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EstaPasta_de_trabalho" defaultThemeVersion="124226"/>
  <mc:AlternateContent xmlns:mc="http://schemas.openxmlformats.org/markup-compatibility/2006">
    <mc:Choice Requires="x15">
      <x15ac:absPath xmlns:x15ac="http://schemas.microsoft.com/office/spreadsheetml/2010/11/ac" url="C:\Users\m1534114\Downloads\"/>
    </mc:Choice>
  </mc:AlternateContent>
  <bookViews>
    <workbookView xWindow="0" yWindow="0" windowWidth="20490" windowHeight="6675" tabRatio="839" activeTab="6"/>
  </bookViews>
  <sheets>
    <sheet name="Capa" sheetId="11" r:id="rId1"/>
    <sheet name="Cronogramas" sheetId="25" r:id="rId2"/>
    <sheet name="Sintético" sheetId="4" r:id="rId3"/>
    <sheet name="Gastos das Atividades" sheetId="21" r:id="rId4"/>
    <sheet name="Analítico" sheetId="17" r:id="rId5"/>
    <sheet name="Encargos e Benefícios" sheetId="18" r:id="rId6"/>
    <sheet name="Gastos com Pessoal" sheetId="14" r:id="rId7"/>
    <sheet name="Bens" sheetId="8" r:id="rId8"/>
    <sheet name="Gastos Gerais" sheetId="22" r:id="rId9"/>
    <sheet name="Desmobilização" sheetId="23" r:id="rId10"/>
    <sheet name="Assinatura" sheetId="12" r:id="rId11"/>
    <sheet name="Plano" sheetId="24" state="hidden" r:id="rId12"/>
  </sheets>
  <externalReferences>
    <externalReference r:id="rId13"/>
  </externalReferences>
  <definedNames>
    <definedName name="_xlnm._FilterDatabase" localSheetId="9" hidden="1">Desmobilização!$A$3:$H$204</definedName>
    <definedName name="_xlnm._FilterDatabase" localSheetId="8" hidden="1">'Gastos Gerais'!$A$3:$H$616</definedName>
    <definedName name="_ftn1" localSheetId="2">Sintético!#REF!</definedName>
    <definedName name="_ftnref1" localSheetId="2">Sintético!#REF!</definedName>
    <definedName name="Aquisição_de_Bens_Permanentes">Plano!$E$2:$E$14</definedName>
    <definedName name="_xlnm.Print_Area" localSheetId="4">Analítico!$A$1:$BL$155</definedName>
    <definedName name="_xlnm.Print_Area" localSheetId="10">Assinatura!$A$1:$F$14</definedName>
    <definedName name="_xlnm.Print_Area" localSheetId="7">Bens!$A$1:$H$91</definedName>
    <definedName name="_xlnm.Print_Area" localSheetId="0">Capa!$A$1:$A$10</definedName>
    <definedName name="_xlnm.Print_Area" localSheetId="9">Desmobilização!$A$1:$H$204</definedName>
    <definedName name="_xlnm.Print_Area" localSheetId="5">'Encargos e Benefícios'!$A$1:$AD$525</definedName>
    <definedName name="_xlnm.Print_Area" localSheetId="6">'Gastos com Pessoal'!$A$1:$AQ$530</definedName>
    <definedName name="_xlnm.Print_Area" localSheetId="3">'Gastos das Atividades'!$A$1:$P$46</definedName>
    <definedName name="_xlnm.Print_Area" localSheetId="8">'Gastos Gerais'!$A$1:$H$616</definedName>
    <definedName name="_xlnm.Print_Area" localSheetId="2">Sintético!$A$1:$BL$28</definedName>
    <definedName name="área_destinada">Plano!$I$2:$I$3</definedName>
    <definedName name="Benefícios">Analítico!$B$48:$B$56</definedName>
    <definedName name="Beneficios2">Analítico!$B$49:$B$56</definedName>
    <definedName name="Beneficios3">'Gastos com Pessoal'!$AU$1:$AU$8</definedName>
    <definedName name="Bens">Analítico!$B$138:$B$151</definedName>
    <definedName name="Categorias">Plano!$C$1:$D$1</definedName>
    <definedName name="Dropdown1" localSheetId="2">Sintético!#REF!</definedName>
    <definedName name="Gastos_com_Pessoal">Plano!$C$2:$C$27</definedName>
    <definedName name="Gastos_Gerais">Plano!$D$2:$D$77</definedName>
    <definedName name="Gerais">Analítico!$B$60:$B$135</definedName>
    <definedName name="Ocorrência">Plano!$H$2:$H$3</definedName>
    <definedName name="Receitas">Plano!$A$2:$A$4</definedName>
    <definedName name="Rendimentos_de_Aplicações_Fin.">Plano!$B$1</definedName>
    <definedName name="Reserva">Plano!$F$1:$F$3</definedName>
    <definedName name="_xlnm.Print_Titles" localSheetId="4">Analítico!$A:$B,Analítico!$2:$3</definedName>
    <definedName name="_xlnm.Print_Titles" localSheetId="9">Desmobilização!$2:$3</definedName>
    <definedName name="_xlnm.Print_Titles" localSheetId="5">'Encargos e Benefícios'!$2:$5</definedName>
    <definedName name="_xlnm.Print_Titles" localSheetId="6">'Gastos com Pessoal'!$4:$6</definedName>
    <definedName name="_xlnm.Print_Titles" localSheetId="8">'Gastos Gerais'!$2:$3</definedName>
    <definedName name="_xlnm.Print_Titles" localSheetId="2">Sintético!$A:$B,Sintético!$2:$3</definedName>
    <definedName name="Transferência_para_Reserva_de_Recursos">Plano!$F$1:$F$1</definedName>
    <definedName name="VinculoPT" localSheetId="11">INDIRECT(CONCATENATE("'Gasto das Atividades'!$B$6:$B$",COUNTA([1]Atividades!$B$4:$B$35)+5))</definedName>
    <definedName name="VinculoPTg">OFFSET('Gastos das Atividades'!$B$3,1,0,COUNTA('Gastos das Atividades'!$B$4:$B$33),1)</definedName>
    <definedName name="VinculoPTp">OFFSET('Gastos das Atividades'!$B$48,0,0,COUNTA('Gastos das Atividades'!$B$4:$B$33)+1,1)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8" i="14" l="1"/>
  <c r="AO9" i="14"/>
  <c r="AO10" i="14"/>
  <c r="AO11" i="14"/>
  <c r="AO12" i="14"/>
  <c r="AO13" i="14"/>
  <c r="AO14" i="14"/>
  <c r="AO15" i="14"/>
  <c r="AO16" i="14"/>
  <c r="AO17" i="14"/>
  <c r="AO18" i="14"/>
  <c r="AO19" i="14"/>
  <c r="AO20" i="14"/>
  <c r="AO21" i="14"/>
  <c r="AO22" i="14"/>
  <c r="AO23" i="14"/>
  <c r="AO24" i="14"/>
  <c r="AO25" i="14"/>
  <c r="AO26" i="14"/>
  <c r="AO27" i="14"/>
  <c r="AO28" i="14"/>
  <c r="AO29" i="14"/>
  <c r="AO30" i="14"/>
  <c r="AO31" i="14"/>
  <c r="AO32" i="14"/>
  <c r="AO33" i="14"/>
  <c r="AO34" i="14"/>
  <c r="AO35" i="14"/>
  <c r="AO36" i="14"/>
  <c r="AO37" i="14"/>
  <c r="AO38" i="14"/>
  <c r="AO39" i="14"/>
  <c r="AO40" i="14"/>
  <c r="AO41" i="14"/>
  <c r="AO42" i="14"/>
  <c r="AO43" i="14"/>
  <c r="AO44" i="14"/>
  <c r="AO45" i="14"/>
  <c r="AO46" i="14"/>
  <c r="AO47" i="14"/>
  <c r="AO48" i="14"/>
  <c r="AO49" i="14"/>
  <c r="AO50" i="14"/>
  <c r="AO51" i="14"/>
  <c r="AO52" i="14"/>
  <c r="AO53" i="14"/>
  <c r="AO54" i="14"/>
  <c r="AO55" i="14"/>
  <c r="AO56" i="14"/>
  <c r="AO57" i="14"/>
  <c r="AO58" i="14"/>
  <c r="AO59" i="14"/>
  <c r="AO60" i="14"/>
  <c r="AO61" i="14"/>
  <c r="AO62" i="14"/>
  <c r="AO63" i="14"/>
  <c r="AO64" i="14"/>
  <c r="AO65" i="14"/>
  <c r="AO66" i="14"/>
  <c r="AO67" i="14"/>
  <c r="AO68" i="14"/>
  <c r="AO69" i="14"/>
  <c r="AO70" i="14"/>
  <c r="AO71" i="14"/>
  <c r="AO72" i="14"/>
  <c r="AO73" i="14"/>
  <c r="AO74" i="14"/>
  <c r="AO75" i="14"/>
  <c r="AO76" i="14"/>
  <c r="AO77" i="14"/>
  <c r="AO78" i="14"/>
  <c r="AO79" i="14"/>
  <c r="AO80" i="14"/>
  <c r="AO81" i="14"/>
  <c r="AO82" i="14"/>
  <c r="AO83" i="14"/>
  <c r="AO84" i="14"/>
  <c r="AO85" i="14"/>
  <c r="AO86" i="14"/>
  <c r="AO87" i="14"/>
  <c r="AO88" i="14"/>
  <c r="AO89" i="14"/>
  <c r="AO90" i="14"/>
  <c r="AO91" i="14"/>
  <c r="AO92" i="14"/>
  <c r="AO93" i="14"/>
  <c r="AO94" i="14"/>
  <c r="AO95" i="14"/>
  <c r="AO96" i="14"/>
  <c r="AO97" i="14"/>
  <c r="AO98" i="14"/>
  <c r="AO99" i="14"/>
  <c r="AO100" i="14"/>
  <c r="AO101" i="14"/>
  <c r="AO102" i="14"/>
  <c r="AO103" i="14"/>
  <c r="AO104" i="14"/>
  <c r="AO105" i="14"/>
  <c r="AO106" i="14"/>
  <c r="AO107" i="14"/>
  <c r="AO108" i="14"/>
  <c r="AO109" i="14"/>
  <c r="AO110" i="14"/>
  <c r="AO111" i="14"/>
  <c r="AO112" i="14"/>
  <c r="AO113" i="14"/>
  <c r="AO114" i="14"/>
  <c r="AO115" i="14"/>
  <c r="AO116" i="14"/>
  <c r="AO117" i="14"/>
  <c r="AO118" i="14"/>
  <c r="AO119" i="14"/>
  <c r="AO120" i="14"/>
  <c r="AO121" i="14"/>
  <c r="AO122" i="14"/>
  <c r="AO123" i="14"/>
  <c r="AO124" i="14"/>
  <c r="AO125" i="14"/>
  <c r="AO126" i="14"/>
  <c r="AO127" i="14"/>
  <c r="AO128" i="14"/>
  <c r="AO129" i="14"/>
  <c r="AO130" i="14"/>
  <c r="AO131" i="14"/>
  <c r="AO132" i="14"/>
  <c r="AO133" i="14"/>
  <c r="AO134" i="14"/>
  <c r="AO135" i="14"/>
  <c r="AO136" i="14"/>
  <c r="AO137" i="14"/>
  <c r="AO138" i="14"/>
  <c r="AO139" i="14"/>
  <c r="AO140" i="14"/>
  <c r="AO141" i="14"/>
  <c r="AO142" i="14"/>
  <c r="AO143" i="14"/>
  <c r="AO144" i="14"/>
  <c r="AO145" i="14"/>
  <c r="AO146" i="14"/>
  <c r="AO147" i="14"/>
  <c r="AO148" i="14"/>
  <c r="AO149" i="14"/>
  <c r="AO150" i="14"/>
  <c r="AO151" i="14"/>
  <c r="AO152" i="14"/>
  <c r="AO153" i="14"/>
  <c r="AO154" i="14"/>
  <c r="AO155" i="14"/>
  <c r="AO156" i="14"/>
  <c r="AO157" i="14"/>
  <c r="AO158" i="14"/>
  <c r="AO159" i="14"/>
  <c r="AO160" i="14"/>
  <c r="AO161" i="14"/>
  <c r="AO162" i="14"/>
  <c r="AO163" i="14"/>
  <c r="AO164" i="14"/>
  <c r="AO165" i="14"/>
  <c r="AO166" i="14"/>
  <c r="AO167" i="14"/>
  <c r="AO168" i="14"/>
  <c r="AO169" i="14"/>
  <c r="AO170" i="14"/>
  <c r="AO171" i="14"/>
  <c r="AO172" i="14"/>
  <c r="AO173" i="14"/>
  <c r="AO174" i="14"/>
  <c r="AO175" i="14"/>
  <c r="AO176" i="14"/>
  <c r="AO177" i="14"/>
  <c r="AO178" i="14"/>
  <c r="AO179" i="14"/>
  <c r="AO180" i="14"/>
  <c r="AO181" i="14"/>
  <c r="AO182" i="14"/>
  <c r="AO183" i="14"/>
  <c r="AO184" i="14"/>
  <c r="AO185" i="14"/>
  <c r="AO186" i="14"/>
  <c r="AO187" i="14"/>
  <c r="AO188" i="14"/>
  <c r="AO189" i="14"/>
  <c r="AO190" i="14"/>
  <c r="AO191" i="14"/>
  <c r="AO192" i="14"/>
  <c r="AO193" i="14"/>
  <c r="AO194" i="14"/>
  <c r="AO195" i="14"/>
  <c r="AO196" i="14"/>
  <c r="AO197" i="14"/>
  <c r="AO198" i="14"/>
  <c r="AO199" i="14"/>
  <c r="AO200" i="14"/>
  <c r="AO201" i="14"/>
  <c r="AO202" i="14"/>
  <c r="AO203" i="14"/>
  <c r="AO204" i="14"/>
  <c r="AO205" i="14"/>
  <c r="AO206" i="14"/>
  <c r="AO207" i="14"/>
  <c r="AO208" i="14"/>
  <c r="AO209" i="14"/>
  <c r="AO210" i="14"/>
  <c r="AO211" i="14"/>
  <c r="AO212" i="14"/>
  <c r="AO213" i="14"/>
  <c r="AO214" i="14"/>
  <c r="AO215" i="14"/>
  <c r="AO216" i="14"/>
  <c r="AO217" i="14"/>
  <c r="AO218" i="14"/>
  <c r="AO219" i="14"/>
  <c r="AO220" i="14"/>
  <c r="AO221" i="14"/>
  <c r="AO222" i="14"/>
  <c r="AO223" i="14"/>
  <c r="AO224" i="14"/>
  <c r="AO225" i="14"/>
  <c r="AO226" i="14"/>
  <c r="AO227" i="14"/>
  <c r="AO228" i="14"/>
  <c r="AO229" i="14"/>
  <c r="AO230" i="14"/>
  <c r="AO231" i="14"/>
  <c r="AO233" i="14"/>
  <c r="AO234" i="14"/>
  <c r="M188" i="18" l="1"/>
  <c r="L188" i="18"/>
  <c r="H188" i="18" s="1"/>
  <c r="I188" i="18" s="1"/>
  <c r="K188" i="18"/>
  <c r="J188" i="18"/>
  <c r="F188" i="18" s="1"/>
  <c r="M166" i="18"/>
  <c r="K166" i="18"/>
  <c r="J166" i="18"/>
  <c r="L166" i="18" s="1"/>
  <c r="M144" i="18"/>
  <c r="K144" i="18"/>
  <c r="J144" i="18"/>
  <c r="L144" i="18" s="1"/>
  <c r="M126" i="18"/>
  <c r="K126" i="18"/>
  <c r="J126" i="18"/>
  <c r="L126" i="18" s="1"/>
  <c r="M106" i="18"/>
  <c r="K106" i="18"/>
  <c r="J106" i="18"/>
  <c r="L106" i="18" s="1"/>
  <c r="F106" i="18" s="1"/>
  <c r="M84" i="18"/>
  <c r="L84" i="18"/>
  <c r="K84" i="18"/>
  <c r="J84" i="18"/>
  <c r="H84" i="18"/>
  <c r="I84" i="18" s="1"/>
  <c r="F84" i="18"/>
  <c r="M66" i="18"/>
  <c r="K66" i="18"/>
  <c r="J66" i="18"/>
  <c r="M46" i="18"/>
  <c r="K46" i="18"/>
  <c r="J46" i="18"/>
  <c r="L46" i="18" s="1"/>
  <c r="F46" i="18" s="1"/>
  <c r="M26" i="18"/>
  <c r="K26" i="18"/>
  <c r="J26" i="18"/>
  <c r="W231" i="18"/>
  <c r="H166" i="18" l="1"/>
  <c r="I166" i="18" s="1"/>
  <c r="F166" i="18"/>
  <c r="F144" i="18"/>
  <c r="H144" i="18"/>
  <c r="I144" i="18" s="1"/>
  <c r="F126" i="18"/>
  <c r="H126" i="18"/>
  <c r="I126" i="18" s="1"/>
  <c r="H106" i="18"/>
  <c r="I106" i="18" s="1"/>
  <c r="L66" i="18"/>
  <c r="H66" i="18" s="1"/>
  <c r="I66" i="18" s="1"/>
  <c r="H46" i="18"/>
  <c r="I46" i="18" s="1"/>
  <c r="L26" i="18"/>
  <c r="F26" i="18" s="1"/>
  <c r="F66" i="18" l="1"/>
  <c r="H26" i="18"/>
  <c r="I26" i="18" s="1"/>
  <c r="P21" i="18" l="1"/>
  <c r="P23" i="18"/>
  <c r="P24" i="18"/>
  <c r="P25" i="18"/>
  <c r="Q21" i="18"/>
  <c r="Q23" i="18"/>
  <c r="Q24" i="18"/>
  <c r="Q25" i="18"/>
  <c r="V7" i="18" l="1"/>
  <c r="V9" i="18"/>
  <c r="V10" i="18"/>
  <c r="V11" i="18"/>
  <c r="V12" i="18"/>
  <c r="V13" i="18"/>
  <c r="V14" i="18"/>
  <c r="V15" i="18"/>
  <c r="V16" i="18"/>
  <c r="V17" i="18"/>
  <c r="V18" i="18"/>
  <c r="V20" i="18"/>
  <c r="V21" i="18"/>
  <c r="V22" i="18"/>
  <c r="V23" i="18"/>
  <c r="V24" i="18"/>
  <c r="V25" i="18"/>
  <c r="V27" i="18"/>
  <c r="V30" i="18"/>
  <c r="V31" i="18"/>
  <c r="V32" i="18"/>
  <c r="V33" i="18"/>
  <c r="V34" i="18"/>
  <c r="V35" i="18"/>
  <c r="V36" i="18"/>
  <c r="V37" i="18"/>
  <c r="V38" i="18"/>
  <c r="V40" i="18"/>
  <c r="V41" i="18"/>
  <c r="V42" i="18"/>
  <c r="V43" i="18"/>
  <c r="V44" i="18"/>
  <c r="V45" i="18"/>
  <c r="V47" i="18"/>
  <c r="V49" i="18"/>
  <c r="V50" i="18"/>
  <c r="V51" i="18"/>
  <c r="V52" i="18"/>
  <c r="V53" i="18"/>
  <c r="V54" i="18"/>
  <c r="V55" i="18"/>
  <c r="V56" i="18"/>
  <c r="V57" i="18"/>
  <c r="V58" i="18"/>
  <c r="V60" i="18"/>
  <c r="V61" i="18"/>
  <c r="V62" i="18"/>
  <c r="V63" i="18"/>
  <c r="V64" i="18"/>
  <c r="V65" i="18"/>
  <c r="V67" i="18"/>
  <c r="V69" i="18"/>
  <c r="V70" i="18"/>
  <c r="V71" i="18"/>
  <c r="V72" i="18"/>
  <c r="V73" i="18"/>
  <c r="V74" i="18"/>
  <c r="V75" i="18"/>
  <c r="V76" i="18"/>
  <c r="V77" i="18"/>
  <c r="V78" i="18"/>
  <c r="V79" i="18"/>
  <c r="V80" i="18"/>
  <c r="V81" i="18"/>
  <c r="V82" i="18"/>
  <c r="V83" i="18"/>
  <c r="V85" i="18"/>
  <c r="V87" i="18"/>
  <c r="V88" i="18"/>
  <c r="V89" i="18"/>
  <c r="V90" i="18"/>
  <c r="V91" i="18"/>
  <c r="V92" i="18"/>
  <c r="V93" i="18"/>
  <c r="V94" i="18"/>
  <c r="V95" i="18"/>
  <c r="V96" i="18"/>
  <c r="V98" i="18"/>
  <c r="V99" i="18"/>
  <c r="V100" i="18"/>
  <c r="V101" i="18"/>
  <c r="V102" i="18"/>
  <c r="V103" i="18"/>
  <c r="V104" i="18"/>
  <c r="V105" i="18"/>
  <c r="V107" i="18"/>
  <c r="V109" i="18"/>
  <c r="V110" i="18"/>
  <c r="V111" i="18"/>
  <c r="V112" i="18"/>
  <c r="V113" i="18"/>
  <c r="V114" i="18"/>
  <c r="V115" i="18"/>
  <c r="V116" i="18"/>
  <c r="V117" i="18"/>
  <c r="V119" i="18"/>
  <c r="V120" i="18"/>
  <c r="V121" i="18"/>
  <c r="V122" i="18"/>
  <c r="V123" i="18"/>
  <c r="V124" i="18"/>
  <c r="V125" i="18"/>
  <c r="V129" i="18"/>
  <c r="V130" i="18"/>
  <c r="V131" i="18"/>
  <c r="V132" i="18"/>
  <c r="V133" i="18"/>
  <c r="V134" i="18"/>
  <c r="V135" i="18"/>
  <c r="V136" i="18"/>
  <c r="V137" i="18"/>
  <c r="V138" i="18"/>
  <c r="V139" i="18"/>
  <c r="V140" i="18"/>
  <c r="V141" i="18"/>
  <c r="V142" i="18"/>
  <c r="V143" i="18"/>
  <c r="V145" i="18"/>
  <c r="V147" i="18"/>
  <c r="V148" i="18"/>
  <c r="V149" i="18"/>
  <c r="V150" i="18"/>
  <c r="V151" i="18"/>
  <c r="V152" i="18"/>
  <c r="V153" i="18"/>
  <c r="V154" i="18"/>
  <c r="V155" i="18"/>
  <c r="V156" i="18"/>
  <c r="V158" i="18"/>
  <c r="V159" i="18"/>
  <c r="V160" i="18"/>
  <c r="V161" i="18"/>
  <c r="V162" i="18"/>
  <c r="V163" i="18"/>
  <c r="V164" i="18"/>
  <c r="V165" i="18"/>
  <c r="V167" i="18"/>
  <c r="V169" i="18"/>
  <c r="V170" i="18"/>
  <c r="V171" i="18"/>
  <c r="V172" i="18"/>
  <c r="V173" i="18"/>
  <c r="V174" i="18"/>
  <c r="V175" i="18"/>
  <c r="V176" i="18"/>
  <c r="V177" i="18"/>
  <c r="V178" i="18"/>
  <c r="V180" i="18"/>
  <c r="V181" i="18"/>
  <c r="V182" i="18"/>
  <c r="V183" i="18"/>
  <c r="V184" i="18"/>
  <c r="V185" i="18"/>
  <c r="V186" i="18"/>
  <c r="V187" i="18"/>
  <c r="V191" i="18"/>
  <c r="V192" i="18"/>
  <c r="V193" i="18"/>
  <c r="V194" i="18"/>
  <c r="V195" i="18"/>
  <c r="V196" i="18"/>
  <c r="V197" i="18"/>
  <c r="V198" i="18"/>
  <c r="V199" i="18"/>
  <c r="V200" i="18"/>
  <c r="V201" i="18"/>
  <c r="V202" i="18"/>
  <c r="V203" i="18"/>
  <c r="V204" i="18"/>
  <c r="V205" i="18"/>
  <c r="V206" i="18"/>
  <c r="V207" i="18"/>
  <c r="V208" i="18"/>
  <c r="V209" i="18"/>
  <c r="V210" i="18"/>
  <c r="V211" i="18"/>
  <c r="V212" i="18"/>
  <c r="V213" i="18"/>
  <c r="V214" i="18"/>
  <c r="V218" i="18"/>
  <c r="V219" i="18"/>
  <c r="V220" i="18"/>
  <c r="V221" i="18"/>
  <c r="V227" i="18"/>
  <c r="V228" i="18"/>
  <c r="V229" i="18"/>
  <c r="V232" i="18"/>
  <c r="C214" i="22" l="1"/>
  <c r="X7" i="18" l="1"/>
  <c r="X8" i="18"/>
  <c r="X9" i="18"/>
  <c r="X10" i="18"/>
  <c r="X11" i="18"/>
  <c r="X12" i="18"/>
  <c r="X13" i="18"/>
  <c r="X14" i="18"/>
  <c r="X15" i="18"/>
  <c r="X16" i="18"/>
  <c r="X17" i="18"/>
  <c r="X18" i="18"/>
  <c r="X19" i="18"/>
  <c r="X20" i="18"/>
  <c r="X21" i="18"/>
  <c r="X22" i="18"/>
  <c r="X23" i="18"/>
  <c r="X24" i="18"/>
  <c r="X25" i="18"/>
  <c r="X26" i="18"/>
  <c r="X27" i="18"/>
  <c r="X28" i="18"/>
  <c r="X29" i="18"/>
  <c r="X30" i="18"/>
  <c r="X31" i="18"/>
  <c r="X32" i="18"/>
  <c r="X33" i="18"/>
  <c r="X34" i="18"/>
  <c r="X35" i="18"/>
  <c r="X36" i="18"/>
  <c r="X37" i="18"/>
  <c r="X38" i="18"/>
  <c r="X39" i="18"/>
  <c r="X40" i="18"/>
  <c r="X41" i="18"/>
  <c r="X42" i="18"/>
  <c r="X43" i="18"/>
  <c r="X44" i="18"/>
  <c r="X45" i="18"/>
  <c r="X46" i="18"/>
  <c r="X47" i="18"/>
  <c r="X48" i="18"/>
  <c r="X49" i="18"/>
  <c r="X50" i="18"/>
  <c r="X51" i="18"/>
  <c r="X52" i="18"/>
  <c r="X53" i="18"/>
  <c r="X54" i="18"/>
  <c r="X55" i="18"/>
  <c r="X56" i="18"/>
  <c r="X57" i="18"/>
  <c r="X58" i="18"/>
  <c r="X59" i="18"/>
  <c r="X60" i="18"/>
  <c r="X61" i="18"/>
  <c r="X62" i="18"/>
  <c r="X63" i="18"/>
  <c r="X64" i="18"/>
  <c r="X65" i="18"/>
  <c r="X66" i="18"/>
  <c r="X67" i="18"/>
  <c r="X68" i="18"/>
  <c r="X69" i="18"/>
  <c r="X70" i="18"/>
  <c r="X71" i="18"/>
  <c r="X72" i="18"/>
  <c r="X73" i="18"/>
  <c r="X74" i="18"/>
  <c r="X75" i="18"/>
  <c r="X76" i="18"/>
  <c r="X77" i="18"/>
  <c r="X78" i="18"/>
  <c r="X79" i="18"/>
  <c r="X80" i="18"/>
  <c r="X81" i="18"/>
  <c r="X82" i="18"/>
  <c r="X83" i="18"/>
  <c r="X84" i="18"/>
  <c r="X85" i="18"/>
  <c r="X86" i="18"/>
  <c r="X87" i="18"/>
  <c r="X88" i="18"/>
  <c r="X89" i="18"/>
  <c r="X90" i="18"/>
  <c r="X91" i="18"/>
  <c r="X92" i="18"/>
  <c r="X93" i="18"/>
  <c r="X94" i="18"/>
  <c r="X95" i="18"/>
  <c r="X96" i="18"/>
  <c r="X97" i="18"/>
  <c r="X98" i="18"/>
  <c r="X99" i="18"/>
  <c r="X100" i="18"/>
  <c r="X101" i="18"/>
  <c r="X102" i="18"/>
  <c r="X103" i="18"/>
  <c r="X104" i="18"/>
  <c r="X105" i="18"/>
  <c r="X106" i="18"/>
  <c r="X107" i="18"/>
  <c r="X108" i="18"/>
  <c r="X109" i="18"/>
  <c r="X110" i="18"/>
  <c r="X111" i="18"/>
  <c r="X112" i="18"/>
  <c r="X113" i="18"/>
  <c r="X114" i="18"/>
  <c r="X115" i="18"/>
  <c r="X116" i="18"/>
  <c r="X117" i="18"/>
  <c r="X118" i="18"/>
  <c r="X119" i="18"/>
  <c r="X120" i="18"/>
  <c r="X121" i="18"/>
  <c r="X122" i="18"/>
  <c r="X123" i="18"/>
  <c r="X124" i="18"/>
  <c r="X125" i="18"/>
  <c r="X126" i="18"/>
  <c r="X127" i="18"/>
  <c r="X128" i="18"/>
  <c r="X129" i="18"/>
  <c r="X130" i="18"/>
  <c r="X131" i="18"/>
  <c r="X132" i="18"/>
  <c r="X133" i="18"/>
  <c r="X134" i="18"/>
  <c r="X135" i="18"/>
  <c r="X136" i="18"/>
  <c r="X137" i="18"/>
  <c r="X138" i="18"/>
  <c r="X139" i="18"/>
  <c r="X140" i="18"/>
  <c r="X141" i="18"/>
  <c r="X142" i="18"/>
  <c r="X143" i="18"/>
  <c r="X144" i="18"/>
  <c r="X145" i="18"/>
  <c r="X146" i="18"/>
  <c r="X147" i="18"/>
  <c r="X148" i="18"/>
  <c r="X149" i="18"/>
  <c r="X150" i="18"/>
  <c r="X151" i="18"/>
  <c r="X152" i="18"/>
  <c r="X153" i="18"/>
  <c r="X154" i="18"/>
  <c r="X155" i="18"/>
  <c r="X156" i="18"/>
  <c r="X157" i="18"/>
  <c r="X158" i="18"/>
  <c r="X159" i="18"/>
  <c r="X160" i="18"/>
  <c r="X161" i="18"/>
  <c r="X162" i="18"/>
  <c r="X163" i="18"/>
  <c r="X164" i="18"/>
  <c r="X165" i="18"/>
  <c r="X166" i="18"/>
  <c r="X167" i="18"/>
  <c r="X168" i="18"/>
  <c r="X169" i="18"/>
  <c r="X170" i="18"/>
  <c r="X171" i="18"/>
  <c r="X172" i="18"/>
  <c r="X173" i="18"/>
  <c r="X174" i="18"/>
  <c r="X175" i="18"/>
  <c r="X176" i="18"/>
  <c r="X177" i="18"/>
  <c r="X178" i="18"/>
  <c r="X179" i="18"/>
  <c r="X180" i="18"/>
  <c r="X181" i="18"/>
  <c r="X182" i="18"/>
  <c r="X183" i="18"/>
  <c r="X184" i="18"/>
  <c r="X185" i="18"/>
  <c r="X186" i="18"/>
  <c r="X187" i="18"/>
  <c r="X188" i="18"/>
  <c r="X189" i="18"/>
  <c r="X190" i="18"/>
  <c r="X191" i="18"/>
  <c r="X192" i="18"/>
  <c r="X193" i="18"/>
  <c r="X194" i="18"/>
  <c r="X195" i="18"/>
  <c r="X196" i="18"/>
  <c r="X197" i="18"/>
  <c r="X198" i="18"/>
  <c r="X199" i="18"/>
  <c r="X200" i="18"/>
  <c r="X201" i="18"/>
  <c r="X202" i="18"/>
  <c r="X203" i="18"/>
  <c r="X204" i="18"/>
  <c r="X205" i="18"/>
  <c r="X206" i="18"/>
  <c r="X207" i="18"/>
  <c r="X208" i="18"/>
  <c r="X209" i="18"/>
  <c r="X210" i="18"/>
  <c r="X211" i="18"/>
  <c r="X212" i="18"/>
  <c r="X213" i="18"/>
  <c r="X214" i="18"/>
  <c r="X215" i="18"/>
  <c r="X216" i="18"/>
  <c r="X217" i="18"/>
  <c r="X218" i="18"/>
  <c r="X219" i="18"/>
  <c r="X220" i="18"/>
  <c r="X221" i="18"/>
  <c r="X222" i="18"/>
  <c r="X223" i="18"/>
  <c r="X224" i="18"/>
  <c r="X225" i="18"/>
  <c r="X226" i="18"/>
  <c r="X227" i="18"/>
  <c r="X228" i="18"/>
  <c r="X229" i="18"/>
  <c r="X230" i="18"/>
  <c r="X231" i="18"/>
  <c r="X232" i="18"/>
  <c r="X233" i="18"/>
  <c r="X6" i="18"/>
  <c r="W233" i="18"/>
  <c r="W232" i="18"/>
  <c r="M7" i="18"/>
  <c r="M8" i="18"/>
  <c r="M9" i="18"/>
  <c r="M10" i="18"/>
  <c r="M11" i="18"/>
  <c r="M12" i="18"/>
  <c r="M13" i="18"/>
  <c r="M14" i="18"/>
  <c r="M16" i="18"/>
  <c r="M17" i="18"/>
  <c r="M18" i="18"/>
  <c r="M19" i="18"/>
  <c r="M20" i="18"/>
  <c r="M21" i="18"/>
  <c r="M22" i="18"/>
  <c r="M23" i="18"/>
  <c r="M24" i="18"/>
  <c r="M25" i="18"/>
  <c r="M27" i="18"/>
  <c r="M28" i="18"/>
  <c r="M29" i="18"/>
  <c r="M30" i="18"/>
  <c r="M31" i="18"/>
  <c r="M32" i="18"/>
  <c r="M33" i="18"/>
  <c r="M34" i="18"/>
  <c r="M35" i="18"/>
  <c r="M36" i="18"/>
  <c r="M37" i="18"/>
  <c r="M38" i="18"/>
  <c r="M39" i="18"/>
  <c r="M40" i="18"/>
  <c r="M41" i="18"/>
  <c r="M42" i="18"/>
  <c r="M43" i="18"/>
  <c r="M44" i="18"/>
  <c r="M45" i="18"/>
  <c r="M47" i="18"/>
  <c r="M48" i="18"/>
  <c r="M49" i="18"/>
  <c r="M50" i="18"/>
  <c r="M51" i="18"/>
  <c r="M52" i="18"/>
  <c r="M53" i="18"/>
  <c r="M54" i="18"/>
  <c r="M56" i="18"/>
  <c r="M57" i="18"/>
  <c r="M58" i="18"/>
  <c r="M59" i="18"/>
  <c r="M60" i="18"/>
  <c r="M61" i="18"/>
  <c r="M62" i="18"/>
  <c r="M63" i="18"/>
  <c r="M64" i="18"/>
  <c r="M65" i="18"/>
  <c r="M67" i="18"/>
  <c r="M68" i="18"/>
  <c r="M69" i="18"/>
  <c r="M70" i="18"/>
  <c r="M71" i="18"/>
  <c r="M72" i="18"/>
  <c r="M73" i="18"/>
  <c r="M74" i="18"/>
  <c r="M75" i="18"/>
  <c r="M76" i="18"/>
  <c r="M77" i="18"/>
  <c r="M78" i="18"/>
  <c r="M79" i="18"/>
  <c r="M80" i="18"/>
  <c r="M81" i="18"/>
  <c r="M82" i="18"/>
  <c r="M83" i="18"/>
  <c r="M85" i="18"/>
  <c r="M86" i="18"/>
  <c r="M87" i="18"/>
  <c r="M88" i="18"/>
  <c r="M89" i="18"/>
  <c r="M90" i="18"/>
  <c r="M91" i="18"/>
  <c r="M92" i="18"/>
  <c r="M93" i="18"/>
  <c r="M94" i="18"/>
  <c r="M95" i="18"/>
  <c r="M96" i="18"/>
  <c r="M97" i="18"/>
  <c r="M98" i="18"/>
  <c r="M99" i="18"/>
  <c r="M100" i="18"/>
  <c r="M101" i="18"/>
  <c r="M102" i="18"/>
  <c r="M103" i="18"/>
  <c r="M104" i="18"/>
  <c r="M105" i="18"/>
  <c r="M107" i="18"/>
  <c r="M108" i="18"/>
  <c r="M109" i="18"/>
  <c r="M110" i="18"/>
  <c r="M111" i="18"/>
  <c r="M112" i="18"/>
  <c r="M113" i="18"/>
  <c r="M114" i="18"/>
  <c r="M116" i="18"/>
  <c r="M117" i="18"/>
  <c r="M118" i="18"/>
  <c r="M119" i="18"/>
  <c r="M121" i="18"/>
  <c r="M122" i="18"/>
  <c r="M123" i="18"/>
  <c r="M124" i="18"/>
  <c r="M125" i="18"/>
  <c r="M127" i="18"/>
  <c r="M128" i="18"/>
  <c r="M129" i="18"/>
  <c r="M130" i="18"/>
  <c r="M131" i="18"/>
  <c r="M132" i="18"/>
  <c r="M133" i="18"/>
  <c r="M134" i="18"/>
  <c r="M135" i="18"/>
  <c r="M136" i="18"/>
  <c r="M137" i="18"/>
  <c r="M138" i="18"/>
  <c r="M139" i="18"/>
  <c r="M140" i="18"/>
  <c r="M141" i="18"/>
  <c r="M142" i="18"/>
  <c r="M143" i="18"/>
  <c r="M145" i="18"/>
  <c r="M146" i="18"/>
  <c r="M147" i="18"/>
  <c r="M148" i="18"/>
  <c r="M149" i="18"/>
  <c r="M150" i="18"/>
  <c r="M151" i="18"/>
  <c r="M152" i="18"/>
  <c r="M154" i="18"/>
  <c r="M155" i="18"/>
  <c r="M156" i="18"/>
  <c r="M157" i="18"/>
  <c r="M158" i="18"/>
  <c r="M159" i="18"/>
  <c r="M160" i="18"/>
  <c r="M161" i="18"/>
  <c r="M162" i="18"/>
  <c r="M163" i="18"/>
  <c r="M164" i="18"/>
  <c r="M165" i="18"/>
  <c r="M167" i="18"/>
  <c r="M168" i="18"/>
  <c r="M169" i="18"/>
  <c r="M170" i="18"/>
  <c r="M171" i="18"/>
  <c r="M172" i="18"/>
  <c r="M173" i="18"/>
  <c r="M174" i="18"/>
  <c r="M176" i="18"/>
  <c r="M177" i="18"/>
  <c r="M178" i="18"/>
  <c r="M179" i="18"/>
  <c r="M181" i="18"/>
  <c r="M182" i="18"/>
  <c r="M183" i="18"/>
  <c r="M184" i="18"/>
  <c r="M185" i="18"/>
  <c r="M186" i="18"/>
  <c r="M187" i="18"/>
  <c r="M189" i="18"/>
  <c r="M190" i="18"/>
  <c r="M191" i="18"/>
  <c r="M192" i="18"/>
  <c r="M193" i="18"/>
  <c r="M194" i="18"/>
  <c r="M195" i="18"/>
  <c r="M196" i="18"/>
  <c r="M198" i="18"/>
  <c r="M199" i="18"/>
  <c r="M200" i="18"/>
  <c r="M201" i="18"/>
  <c r="M202" i="18"/>
  <c r="M203" i="18"/>
  <c r="M204" i="18"/>
  <c r="M205" i="18"/>
  <c r="M206" i="18"/>
  <c r="M207" i="18"/>
  <c r="M208" i="18"/>
  <c r="M209" i="18"/>
  <c r="M210" i="18"/>
  <c r="M211" i="18"/>
  <c r="M212" i="18"/>
  <c r="M213" i="18"/>
  <c r="M214" i="18"/>
  <c r="M215" i="18"/>
  <c r="M216" i="18"/>
  <c r="M217" i="18"/>
  <c r="M218" i="18"/>
  <c r="M219" i="18"/>
  <c r="M220" i="18"/>
  <c r="M221" i="18"/>
  <c r="M222" i="18"/>
  <c r="M223" i="18"/>
  <c r="M224" i="18"/>
  <c r="M225" i="18"/>
  <c r="M226" i="18"/>
  <c r="M227" i="18"/>
  <c r="M228" i="18"/>
  <c r="M229" i="18"/>
  <c r="M232" i="18"/>
  <c r="M314" i="18"/>
  <c r="M315" i="18"/>
  <c r="M316" i="18"/>
  <c r="M317" i="18"/>
  <c r="M318" i="18"/>
  <c r="M319" i="18"/>
  <c r="M320" i="18"/>
  <c r="M321" i="18"/>
  <c r="M322" i="18"/>
  <c r="M323" i="18"/>
  <c r="M324" i="18"/>
  <c r="M325" i="18"/>
  <c r="M326" i="18"/>
  <c r="M327" i="18"/>
  <c r="M328" i="18"/>
  <c r="M329" i="18"/>
  <c r="M330" i="18"/>
  <c r="M331" i="18"/>
  <c r="M332" i="18"/>
  <c r="M333" i="18"/>
  <c r="M334" i="18"/>
  <c r="M335" i="18"/>
  <c r="M336" i="18"/>
  <c r="M337" i="18"/>
  <c r="M338" i="18"/>
  <c r="M339" i="18"/>
  <c r="M340" i="18"/>
  <c r="M341" i="18"/>
  <c r="M342" i="18"/>
  <c r="M343" i="18"/>
  <c r="M344" i="18"/>
  <c r="M345" i="18"/>
  <c r="M346" i="18"/>
  <c r="M347" i="18"/>
  <c r="M348" i="18"/>
  <c r="M349" i="18"/>
  <c r="M350" i="18"/>
  <c r="M351" i="18"/>
  <c r="M352" i="18"/>
  <c r="M353" i="18"/>
  <c r="M354" i="18"/>
  <c r="M355" i="18"/>
  <c r="M356" i="18"/>
  <c r="M357" i="18"/>
  <c r="M358" i="18"/>
  <c r="M359" i="18"/>
  <c r="M360" i="18"/>
  <c r="M361" i="18"/>
  <c r="M362" i="18"/>
  <c r="M363" i="18"/>
  <c r="M364" i="18"/>
  <c r="M365" i="18"/>
  <c r="M366" i="18"/>
  <c r="M367" i="18"/>
  <c r="M368" i="18"/>
  <c r="M369" i="18"/>
  <c r="M370" i="18"/>
  <c r="M371" i="18"/>
  <c r="M372" i="18"/>
  <c r="M373" i="18"/>
  <c r="M374" i="18"/>
  <c r="M375" i="18"/>
  <c r="M376" i="18"/>
  <c r="M377" i="18"/>
  <c r="M378" i="18"/>
  <c r="M379" i="18"/>
  <c r="M380" i="18"/>
  <c r="M381" i="18"/>
  <c r="M382" i="18"/>
  <c r="M383" i="18"/>
  <c r="M384" i="18"/>
  <c r="M385" i="18"/>
  <c r="M386" i="18"/>
  <c r="M387" i="18"/>
  <c r="M388" i="18"/>
  <c r="M389" i="18"/>
  <c r="M390" i="18"/>
  <c r="M391" i="18"/>
  <c r="M392" i="18"/>
  <c r="M393" i="18"/>
  <c r="M394" i="18"/>
  <c r="M395" i="18"/>
  <c r="M396" i="18"/>
  <c r="M397" i="18"/>
  <c r="M398" i="18"/>
  <c r="M399" i="18"/>
  <c r="M400" i="18"/>
  <c r="M401" i="18"/>
  <c r="M402" i="18"/>
  <c r="M403" i="18"/>
  <c r="M404" i="18"/>
  <c r="M405" i="18"/>
  <c r="M406" i="18"/>
  <c r="M407" i="18"/>
  <c r="M408" i="18"/>
  <c r="M409" i="18"/>
  <c r="M410" i="18"/>
  <c r="M411" i="18"/>
  <c r="M412" i="18"/>
  <c r="M413" i="18"/>
  <c r="M414" i="18"/>
  <c r="M415" i="18"/>
  <c r="M416" i="18"/>
  <c r="M417" i="18"/>
  <c r="M418" i="18"/>
  <c r="M419" i="18"/>
  <c r="M420" i="18"/>
  <c r="M421" i="18"/>
  <c r="M422" i="18"/>
  <c r="M423" i="18"/>
  <c r="M424" i="18"/>
  <c r="M425" i="18"/>
  <c r="M426" i="18"/>
  <c r="M427" i="18"/>
  <c r="M428" i="18"/>
  <c r="M429" i="18"/>
  <c r="M430" i="18"/>
  <c r="M431" i="18"/>
  <c r="M432" i="18"/>
  <c r="M433" i="18"/>
  <c r="M434" i="18"/>
  <c r="M435" i="18"/>
  <c r="M436" i="18"/>
  <c r="M437" i="18"/>
  <c r="M438" i="18"/>
  <c r="M439" i="18"/>
  <c r="M440" i="18"/>
  <c r="M441" i="18"/>
  <c r="M442" i="18"/>
  <c r="M443" i="18"/>
  <c r="M444" i="18"/>
  <c r="M445" i="18"/>
  <c r="M446" i="18"/>
  <c r="M447" i="18"/>
  <c r="M448" i="18"/>
  <c r="M449" i="18"/>
  <c r="M450" i="18"/>
  <c r="M451" i="18"/>
  <c r="M452" i="18"/>
  <c r="M453" i="18"/>
  <c r="M454" i="18"/>
  <c r="M455" i="18"/>
  <c r="M456" i="18"/>
  <c r="M457" i="18"/>
  <c r="M458" i="18"/>
  <c r="M459" i="18"/>
  <c r="M460" i="18"/>
  <c r="M461" i="18"/>
  <c r="M462" i="18"/>
  <c r="M463" i="18"/>
  <c r="M464" i="18"/>
  <c r="M465" i="18"/>
  <c r="M466" i="18"/>
  <c r="M467" i="18"/>
  <c r="M468" i="18"/>
  <c r="M469" i="18"/>
  <c r="M470" i="18"/>
  <c r="M471" i="18"/>
  <c r="M472" i="18"/>
  <c r="M473" i="18"/>
  <c r="M474" i="18"/>
  <c r="M475" i="18"/>
  <c r="M476" i="18"/>
  <c r="M477" i="18"/>
  <c r="M478" i="18"/>
  <c r="M479" i="18"/>
  <c r="M480" i="18"/>
  <c r="M481" i="18"/>
  <c r="M482" i="18"/>
  <c r="M483" i="18"/>
  <c r="M484" i="18"/>
  <c r="M485" i="18"/>
  <c r="M486" i="18"/>
  <c r="M487" i="18"/>
  <c r="M488" i="18"/>
  <c r="M489" i="18"/>
  <c r="M490" i="18"/>
  <c r="M491" i="18"/>
  <c r="M492" i="18"/>
  <c r="M493" i="18"/>
  <c r="M494" i="18"/>
  <c r="M495" i="18"/>
  <c r="M496" i="18"/>
  <c r="M497" i="18"/>
  <c r="M498" i="18"/>
  <c r="M499" i="18"/>
  <c r="M500" i="18"/>
  <c r="M501" i="18"/>
  <c r="M502" i="18"/>
  <c r="M503" i="18"/>
  <c r="M504" i="18"/>
  <c r="M505" i="18"/>
  <c r="M6" i="18"/>
  <c r="H34" i="22" l="1"/>
  <c r="H5" i="22"/>
  <c r="H6" i="22"/>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65" i="22"/>
  <c r="H66" i="22"/>
  <c r="H67" i="22"/>
  <c r="H68" i="22"/>
  <c r="H69" i="22"/>
  <c r="H70" i="22"/>
  <c r="H71" i="22"/>
  <c r="H72" i="22"/>
  <c r="H73" i="22"/>
  <c r="H74" i="22"/>
  <c r="H75" i="22"/>
  <c r="H76" i="22"/>
  <c r="H77" i="22"/>
  <c r="H78" i="22"/>
  <c r="H79" i="22"/>
  <c r="H80" i="22"/>
  <c r="H81" i="22"/>
  <c r="H82" i="22"/>
  <c r="H83" i="22"/>
  <c r="H84" i="22"/>
  <c r="H85" i="22"/>
  <c r="H86" i="22"/>
  <c r="H87" i="22"/>
  <c r="H88" i="22"/>
  <c r="H89" i="22"/>
  <c r="H90" i="22"/>
  <c r="H91" i="22"/>
  <c r="H92" i="22"/>
  <c r="H93" i="22"/>
  <c r="H94" i="22"/>
  <c r="H95" i="22"/>
  <c r="H96" i="22"/>
  <c r="H97" i="22"/>
  <c r="H98" i="22"/>
  <c r="H99" i="22"/>
  <c r="H100" i="22"/>
  <c r="H101" i="22"/>
  <c r="H102" i="22"/>
  <c r="H103" i="22"/>
  <c r="H104" i="22"/>
  <c r="H105" i="22"/>
  <c r="H106" i="22"/>
  <c r="H107" i="22"/>
  <c r="H108" i="22"/>
  <c r="H109" i="22"/>
  <c r="H110" i="22"/>
  <c r="H111" i="22"/>
  <c r="H112" i="22"/>
  <c r="H113" i="22"/>
  <c r="H114" i="22"/>
  <c r="H115" i="22"/>
  <c r="H116" i="22"/>
  <c r="H117" i="22"/>
  <c r="H118" i="22"/>
  <c r="H119" i="22"/>
  <c r="H120" i="22"/>
  <c r="H121" i="22"/>
  <c r="H122" i="22"/>
  <c r="H123" i="22"/>
  <c r="H124" i="22"/>
  <c r="H125" i="22"/>
  <c r="H126" i="22"/>
  <c r="H127" i="22"/>
  <c r="H128" i="22"/>
  <c r="H129" i="22"/>
  <c r="H130" i="22"/>
  <c r="H131" i="22"/>
  <c r="H132" i="22"/>
  <c r="H133" i="22"/>
  <c r="H134" i="22"/>
  <c r="H135" i="22"/>
  <c r="H136" i="22"/>
  <c r="H137" i="22"/>
  <c r="H138" i="22"/>
  <c r="H139" i="22"/>
  <c r="H140" i="22"/>
  <c r="H141" i="22"/>
  <c r="H142" i="22"/>
  <c r="H143" i="22"/>
  <c r="H144" i="22"/>
  <c r="H145" i="22"/>
  <c r="H146" i="22"/>
  <c r="H147" i="22"/>
  <c r="H148" i="22"/>
  <c r="H149" i="22"/>
  <c r="H150" i="22"/>
  <c r="H151" i="22"/>
  <c r="H152" i="22"/>
  <c r="H153" i="22"/>
  <c r="H154" i="22"/>
  <c r="H155" i="22"/>
  <c r="H156" i="22"/>
  <c r="H157" i="22"/>
  <c r="H158" i="22"/>
  <c r="H159" i="22"/>
  <c r="H160" i="22"/>
  <c r="H161" i="22"/>
  <c r="H162" i="22"/>
  <c r="H163" i="22"/>
  <c r="H164" i="22"/>
  <c r="H165" i="22"/>
  <c r="H166" i="22"/>
  <c r="H167" i="22"/>
  <c r="H168" i="22"/>
  <c r="H169" i="22"/>
  <c r="H170" i="22"/>
  <c r="H171" i="22"/>
  <c r="H172" i="22"/>
  <c r="H173" i="22"/>
  <c r="H174" i="22"/>
  <c r="H175" i="22"/>
  <c r="H176" i="22"/>
  <c r="H177" i="22"/>
  <c r="H178" i="22"/>
  <c r="H179" i="22"/>
  <c r="H180" i="22"/>
  <c r="H181" i="22"/>
  <c r="H182" i="22"/>
  <c r="H183" i="22"/>
  <c r="H184" i="22"/>
  <c r="H185" i="22"/>
  <c r="H186" i="22"/>
  <c r="H187" i="22"/>
  <c r="H188" i="22"/>
  <c r="H189" i="22"/>
  <c r="H190" i="22"/>
  <c r="H191" i="22"/>
  <c r="H192" i="22"/>
  <c r="H193" i="22"/>
  <c r="H194" i="22"/>
  <c r="H195" i="22"/>
  <c r="H196" i="22"/>
  <c r="H197" i="22"/>
  <c r="H198" i="22"/>
  <c r="H199" i="22"/>
  <c r="H200" i="22"/>
  <c r="H201" i="22"/>
  <c r="H202" i="22"/>
  <c r="H203" i="22"/>
  <c r="H204" i="22"/>
  <c r="H205" i="22"/>
  <c r="H206" i="22"/>
  <c r="H207" i="22"/>
  <c r="H208" i="22"/>
  <c r="H209" i="22"/>
  <c r="H210" i="22"/>
  <c r="H211" i="22"/>
  <c r="H212" i="22"/>
  <c r="H213" i="22"/>
  <c r="H214" i="22"/>
  <c r="H215" i="22"/>
  <c r="H216" i="22"/>
  <c r="H217" i="22"/>
  <c r="H218" i="22"/>
  <c r="H219" i="22"/>
  <c r="H220" i="22"/>
  <c r="H221" i="22"/>
  <c r="H222" i="22"/>
  <c r="H223" i="22"/>
  <c r="H224" i="22"/>
  <c r="H225" i="22"/>
  <c r="H226" i="22"/>
  <c r="H227" i="22"/>
  <c r="H228" i="22"/>
  <c r="H229" i="22"/>
  <c r="H230" i="22"/>
  <c r="H231" i="22"/>
  <c r="H232" i="22"/>
  <c r="H233" i="22"/>
  <c r="H234" i="22"/>
  <c r="H235" i="22"/>
  <c r="H236" i="22"/>
  <c r="H237" i="22"/>
  <c r="H238" i="22"/>
  <c r="H239" i="22"/>
  <c r="H240" i="22"/>
  <c r="H241" i="22"/>
  <c r="H242" i="22"/>
  <c r="H243" i="22"/>
  <c r="H244" i="22"/>
  <c r="H245" i="22"/>
  <c r="H246" i="22"/>
  <c r="H247" i="22"/>
  <c r="H248" i="22"/>
  <c r="H249" i="22"/>
  <c r="H250" i="22"/>
  <c r="H251" i="22"/>
  <c r="H252" i="22"/>
  <c r="H253" i="22"/>
  <c r="H254" i="22"/>
  <c r="H255" i="22"/>
  <c r="H256" i="22"/>
  <c r="H257" i="22"/>
  <c r="H258" i="22"/>
  <c r="H259" i="22"/>
  <c r="H260" i="22"/>
  <c r="H261" i="22"/>
  <c r="H262" i="22"/>
  <c r="H263" i="22"/>
  <c r="H264" i="22"/>
  <c r="H265" i="22"/>
  <c r="H266" i="22"/>
  <c r="H267" i="22"/>
  <c r="H268" i="22"/>
  <c r="H269" i="22"/>
  <c r="H270" i="22"/>
  <c r="H271" i="22"/>
  <c r="H272" i="22"/>
  <c r="H273" i="22"/>
  <c r="H274" i="22"/>
  <c r="H275" i="22"/>
  <c r="H276" i="22"/>
  <c r="H277" i="22"/>
  <c r="H278" i="22"/>
  <c r="H279" i="22"/>
  <c r="H280" i="22"/>
  <c r="H281" i="22"/>
  <c r="H282" i="22"/>
  <c r="H283" i="22"/>
  <c r="H284" i="22"/>
  <c r="H285" i="22"/>
  <c r="H286" i="22"/>
  <c r="H287" i="22"/>
  <c r="H288" i="22"/>
  <c r="H289" i="22"/>
  <c r="H290" i="22"/>
  <c r="H291" i="22"/>
  <c r="H292" i="22"/>
  <c r="H293" i="22"/>
  <c r="H294" i="22"/>
  <c r="H295" i="22"/>
  <c r="H296" i="22"/>
  <c r="H297" i="22"/>
  <c r="H298" i="22"/>
  <c r="H299" i="22"/>
  <c r="H300" i="22"/>
  <c r="H301" i="22"/>
  <c r="H302" i="22"/>
  <c r="H303" i="22"/>
  <c r="H304" i="22"/>
  <c r="H305" i="22"/>
  <c r="H306" i="22"/>
  <c r="H307" i="22"/>
  <c r="H308" i="22"/>
  <c r="H309" i="22"/>
  <c r="H310" i="22"/>
  <c r="H311" i="22"/>
  <c r="H312" i="22"/>
  <c r="H313" i="22"/>
  <c r="H314" i="22"/>
  <c r="H315" i="22"/>
  <c r="H316" i="22"/>
  <c r="H317" i="22"/>
  <c r="H318" i="22"/>
  <c r="H319" i="22"/>
  <c r="H320" i="22"/>
  <c r="H321" i="22"/>
  <c r="H322" i="22"/>
  <c r="H323" i="22"/>
  <c r="H324" i="22"/>
  <c r="H325" i="22"/>
  <c r="H326" i="22"/>
  <c r="H327" i="22"/>
  <c r="H328" i="22"/>
  <c r="H329" i="22"/>
  <c r="H330" i="22"/>
  <c r="H331" i="22"/>
  <c r="H332" i="22"/>
  <c r="H333" i="22"/>
  <c r="H334" i="22"/>
  <c r="H335" i="22"/>
  <c r="H336" i="22"/>
  <c r="H337" i="22"/>
  <c r="H338" i="22"/>
  <c r="H339" i="22"/>
  <c r="H340" i="22"/>
  <c r="H341" i="22"/>
  <c r="H342" i="22"/>
  <c r="H343" i="22"/>
  <c r="H344" i="22"/>
  <c r="H345" i="22"/>
  <c r="H346" i="22"/>
  <c r="H347" i="22"/>
  <c r="H348" i="22"/>
  <c r="H349" i="22"/>
  <c r="H350" i="22"/>
  <c r="H351" i="22"/>
  <c r="H352" i="22"/>
  <c r="H353" i="22"/>
  <c r="H354" i="22"/>
  <c r="H355" i="22"/>
  <c r="H356" i="22"/>
  <c r="H357" i="22"/>
  <c r="H358" i="22"/>
  <c r="H359" i="22"/>
  <c r="H360" i="22"/>
  <c r="H361" i="22"/>
  <c r="H362" i="22"/>
  <c r="H363" i="22"/>
  <c r="H364" i="22"/>
  <c r="H365" i="22"/>
  <c r="H366" i="22"/>
  <c r="H367" i="22"/>
  <c r="H368" i="22"/>
  <c r="H369" i="22"/>
  <c r="H370" i="22"/>
  <c r="H371" i="22"/>
  <c r="H372" i="22"/>
  <c r="H373" i="22"/>
  <c r="H374" i="22"/>
  <c r="H375" i="22"/>
  <c r="H376" i="22"/>
  <c r="H377" i="22"/>
  <c r="H378" i="22"/>
  <c r="H379" i="22"/>
  <c r="H380" i="22"/>
  <c r="H381" i="22"/>
  <c r="H382" i="22"/>
  <c r="H383" i="22"/>
  <c r="H384" i="22"/>
  <c r="H385" i="22"/>
  <c r="H386" i="22"/>
  <c r="H387" i="22"/>
  <c r="H388" i="22"/>
  <c r="H389" i="22"/>
  <c r="H390" i="22"/>
  <c r="H391" i="22"/>
  <c r="H392" i="22"/>
  <c r="H393" i="22"/>
  <c r="H394" i="22"/>
  <c r="H395" i="22"/>
  <c r="H396" i="22"/>
  <c r="H397" i="22"/>
  <c r="H398" i="22"/>
  <c r="H399" i="22"/>
  <c r="H400" i="22"/>
  <c r="H401" i="22"/>
  <c r="H402" i="22"/>
  <c r="H403" i="22"/>
  <c r="H404" i="22"/>
  <c r="H405" i="22"/>
  <c r="H406" i="22"/>
  <c r="H407" i="22"/>
  <c r="H408" i="22"/>
  <c r="H409" i="22"/>
  <c r="H410" i="22"/>
  <c r="H411" i="22"/>
  <c r="H412" i="22"/>
  <c r="H413" i="22"/>
  <c r="H414" i="22"/>
  <c r="H415" i="22"/>
  <c r="H416" i="22"/>
  <c r="H417" i="22"/>
  <c r="H418" i="22"/>
  <c r="H419" i="22"/>
  <c r="H420" i="22"/>
  <c r="H421" i="22"/>
  <c r="H422" i="22"/>
  <c r="H423" i="22"/>
  <c r="H424" i="22"/>
  <c r="H425" i="22"/>
  <c r="H426" i="22"/>
  <c r="H427" i="22"/>
  <c r="H428" i="22"/>
  <c r="H429" i="22"/>
  <c r="H430" i="22"/>
  <c r="H431" i="22"/>
  <c r="H432" i="22"/>
  <c r="H433" i="22"/>
  <c r="H434" i="22"/>
  <c r="H435" i="22"/>
  <c r="H436" i="22"/>
  <c r="H437" i="22"/>
  <c r="H438" i="22"/>
  <c r="H439" i="22"/>
  <c r="H440" i="22"/>
  <c r="H441" i="22"/>
  <c r="H442" i="22"/>
  <c r="H443" i="22"/>
  <c r="H444" i="22"/>
  <c r="H445" i="22"/>
  <c r="H446" i="22"/>
  <c r="H447" i="22"/>
  <c r="H448" i="22"/>
  <c r="H449" i="22"/>
  <c r="H450" i="22"/>
  <c r="H451" i="22"/>
  <c r="H452" i="22"/>
  <c r="H453" i="22"/>
  <c r="H454" i="22"/>
  <c r="H455" i="22"/>
  <c r="H456" i="22"/>
  <c r="H457" i="22"/>
  <c r="H458" i="22"/>
  <c r="H459" i="22"/>
  <c r="H460" i="22"/>
  <c r="H461" i="22"/>
  <c r="H462" i="22"/>
  <c r="H463" i="22"/>
  <c r="H464" i="22"/>
  <c r="H465" i="22"/>
  <c r="H466" i="22"/>
  <c r="H467" i="22"/>
  <c r="H468" i="22"/>
  <c r="H469" i="22"/>
  <c r="H470" i="22"/>
  <c r="H471" i="22"/>
  <c r="H472" i="22"/>
  <c r="H473" i="22"/>
  <c r="H474" i="22"/>
  <c r="H475" i="22"/>
  <c r="H476" i="22"/>
  <c r="H477" i="22"/>
  <c r="H478" i="22"/>
  <c r="H479" i="22"/>
  <c r="H480" i="22"/>
  <c r="H481" i="22"/>
  <c r="H482" i="22"/>
  <c r="H483" i="22"/>
  <c r="H484" i="22"/>
  <c r="H485" i="22"/>
  <c r="H486" i="22"/>
  <c r="H487" i="22"/>
  <c r="H488" i="22"/>
  <c r="H489" i="22"/>
  <c r="H490" i="22"/>
  <c r="H491" i="22"/>
  <c r="H492" i="22"/>
  <c r="H493" i="22"/>
  <c r="H494" i="22"/>
  <c r="H495" i="22"/>
  <c r="H496" i="22"/>
  <c r="H497" i="22"/>
  <c r="H498" i="22"/>
  <c r="H499" i="22"/>
  <c r="H500" i="22"/>
  <c r="H501" i="22"/>
  <c r="H502" i="22"/>
  <c r="H503" i="22"/>
  <c r="H504" i="22"/>
  <c r="H505" i="22"/>
  <c r="H506" i="22"/>
  <c r="H507" i="22"/>
  <c r="H508" i="22"/>
  <c r="H509" i="22"/>
  <c r="H510" i="22"/>
  <c r="H511" i="22"/>
  <c r="H512" i="22"/>
  <c r="H513" i="22"/>
  <c r="H514" i="22"/>
  <c r="H515" i="22"/>
  <c r="H516" i="22"/>
  <c r="H517" i="22"/>
  <c r="H518" i="22"/>
  <c r="H519" i="22"/>
  <c r="H520" i="22"/>
  <c r="H521" i="22"/>
  <c r="H522" i="22"/>
  <c r="H523" i="22"/>
  <c r="H524" i="22"/>
  <c r="H525" i="22"/>
  <c r="H526" i="22"/>
  <c r="H527" i="22"/>
  <c r="H528" i="22"/>
  <c r="H529" i="22"/>
  <c r="H530" i="22"/>
  <c r="H531" i="22"/>
  <c r="H532" i="22"/>
  <c r="H533" i="22"/>
  <c r="H534" i="22"/>
  <c r="H535" i="22"/>
  <c r="H536" i="22"/>
  <c r="H537" i="22"/>
  <c r="H538" i="22"/>
  <c r="H539" i="22"/>
  <c r="H540" i="22"/>
  <c r="H541" i="22"/>
  <c r="H542" i="22"/>
  <c r="H543" i="22"/>
  <c r="H544" i="22"/>
  <c r="H545" i="22"/>
  <c r="H546" i="22"/>
  <c r="H547" i="22"/>
  <c r="H548" i="22"/>
  <c r="H549" i="22"/>
  <c r="H550" i="22"/>
  <c r="H551" i="22"/>
  <c r="H552" i="22"/>
  <c r="H553" i="22"/>
  <c r="H554" i="22"/>
  <c r="H555" i="22"/>
  <c r="H556" i="22"/>
  <c r="H557" i="22"/>
  <c r="H558" i="22"/>
  <c r="H559" i="22"/>
  <c r="H560" i="22"/>
  <c r="H561" i="22"/>
  <c r="H562" i="22"/>
  <c r="H563" i="22"/>
  <c r="H564" i="22"/>
  <c r="H565" i="22"/>
  <c r="H566" i="22"/>
  <c r="H567" i="22"/>
  <c r="H568" i="22"/>
  <c r="H569" i="22"/>
  <c r="H570" i="22"/>
  <c r="H571" i="22"/>
  <c r="H572" i="22"/>
  <c r="H573" i="22"/>
  <c r="H574" i="22"/>
  <c r="H575" i="22"/>
  <c r="H576" i="22"/>
  <c r="H577" i="22"/>
  <c r="H578" i="22"/>
  <c r="H579" i="22"/>
  <c r="H580" i="22"/>
  <c r="H581" i="22"/>
  <c r="H582" i="22"/>
  <c r="H583" i="22"/>
  <c r="H584" i="22"/>
  <c r="H585" i="22"/>
  <c r="H586" i="22"/>
  <c r="H587" i="22"/>
  <c r="H588" i="22"/>
  <c r="H589" i="22"/>
  <c r="H590" i="22"/>
  <c r="H591" i="22"/>
  <c r="H592" i="22"/>
  <c r="H593" i="22"/>
  <c r="H594" i="22"/>
  <c r="H595" i="22"/>
  <c r="H596" i="22"/>
  <c r="H597" i="22"/>
  <c r="H598" i="22"/>
  <c r="H599" i="22"/>
  <c r="H600" i="22"/>
  <c r="H601" i="22"/>
  <c r="H602" i="22"/>
  <c r="H603" i="22"/>
  <c r="H604" i="22"/>
  <c r="H605" i="22"/>
  <c r="H606" i="22"/>
  <c r="H607" i="22"/>
  <c r="H608" i="22"/>
  <c r="H609" i="22"/>
  <c r="H610" i="22"/>
  <c r="H611" i="22"/>
  <c r="H612" i="22"/>
  <c r="H613" i="22"/>
  <c r="H614" i="22"/>
  <c r="H615" i="22"/>
  <c r="K7" i="18" l="1"/>
  <c r="K8" i="18"/>
  <c r="K9" i="18"/>
  <c r="K10" i="18"/>
  <c r="K11" i="18"/>
  <c r="K12" i="18"/>
  <c r="K13" i="18"/>
  <c r="K14" i="18"/>
  <c r="K16" i="18"/>
  <c r="K17" i="18"/>
  <c r="K18" i="18"/>
  <c r="K19" i="18"/>
  <c r="K20" i="18"/>
  <c r="K21" i="18"/>
  <c r="K22" i="18"/>
  <c r="K23" i="18"/>
  <c r="K24" i="18"/>
  <c r="K25" i="18"/>
  <c r="K27" i="18"/>
  <c r="K28" i="18"/>
  <c r="K29" i="18"/>
  <c r="K30" i="18"/>
  <c r="K31" i="18"/>
  <c r="K32" i="18"/>
  <c r="K33" i="18"/>
  <c r="K34" i="18"/>
  <c r="K35" i="18"/>
  <c r="K36" i="18"/>
  <c r="K37" i="18"/>
  <c r="K38" i="18"/>
  <c r="K39" i="18"/>
  <c r="K40" i="18"/>
  <c r="K41" i="18"/>
  <c r="K42" i="18"/>
  <c r="K43" i="18"/>
  <c r="K44" i="18"/>
  <c r="K45" i="18"/>
  <c r="K47" i="18"/>
  <c r="K48" i="18"/>
  <c r="K49" i="18"/>
  <c r="K50" i="18"/>
  <c r="K51" i="18"/>
  <c r="K52" i="18"/>
  <c r="K53" i="18"/>
  <c r="K54" i="18"/>
  <c r="K56" i="18"/>
  <c r="K57" i="18"/>
  <c r="K58" i="18"/>
  <c r="K59" i="18"/>
  <c r="K60" i="18"/>
  <c r="K61" i="18"/>
  <c r="K62" i="18"/>
  <c r="K63" i="18"/>
  <c r="K64" i="18"/>
  <c r="K65" i="18"/>
  <c r="K67" i="18"/>
  <c r="K68" i="18"/>
  <c r="K69" i="18"/>
  <c r="K70" i="18"/>
  <c r="K71" i="18"/>
  <c r="K72" i="18"/>
  <c r="K73" i="18"/>
  <c r="K74" i="18"/>
  <c r="K75" i="18"/>
  <c r="K76" i="18"/>
  <c r="K77" i="18"/>
  <c r="K78" i="18"/>
  <c r="K6" i="18"/>
  <c r="AO304" i="14" l="1"/>
  <c r="AO303" i="14"/>
  <c r="AO281" i="14"/>
  <c r="AO262" i="14"/>
  <c r="AO243" i="14"/>
  <c r="AO302" i="14"/>
  <c r="AO301" i="14"/>
  <c r="AO280" i="14"/>
  <c r="AO279" i="14"/>
  <c r="AO261" i="14"/>
  <c r="AO260" i="14"/>
  <c r="AO242" i="14"/>
  <c r="AO241" i="14"/>
  <c r="AO300" i="14"/>
  <c r="AO299" i="14"/>
  <c r="AO298" i="14"/>
  <c r="AO297" i="14"/>
  <c r="AO296" i="14"/>
  <c r="AO295" i="14"/>
  <c r="AO278" i="14"/>
  <c r="AO277" i="14"/>
  <c r="AO276" i="14"/>
  <c r="AO275" i="14"/>
  <c r="AO274" i="14"/>
  <c r="AO273" i="14"/>
  <c r="AO259" i="14"/>
  <c r="AO258" i="14"/>
  <c r="AO257" i="14"/>
  <c r="AO256" i="14"/>
  <c r="AO255" i="14"/>
  <c r="AO254" i="14"/>
  <c r="AO240" i="14"/>
  <c r="AO239" i="14"/>
  <c r="AO238" i="14"/>
  <c r="AO237" i="14"/>
  <c r="AO236" i="14"/>
  <c r="AO235" i="14"/>
  <c r="AO270" i="14"/>
  <c r="AO251" i="14"/>
  <c r="X277" i="18" l="1"/>
  <c r="X278" i="18"/>
  <c r="X279" i="18"/>
  <c r="X280" i="18"/>
  <c r="X281" i="18"/>
  <c r="X282" i="18"/>
  <c r="X283" i="18"/>
  <c r="X284" i="18"/>
  <c r="X285" i="18"/>
  <c r="X286" i="18"/>
  <c r="X287" i="18"/>
  <c r="X288" i="18"/>
  <c r="X289" i="18"/>
  <c r="X290" i="18"/>
  <c r="X291" i="18"/>
  <c r="X292" i="18"/>
  <c r="X293" i="18"/>
  <c r="X294" i="18"/>
  <c r="X295" i="18"/>
  <c r="X296" i="18"/>
  <c r="X297" i="18"/>
  <c r="X298" i="18"/>
  <c r="X299" i="18"/>
  <c r="X300" i="18"/>
  <c r="X301" i="18"/>
  <c r="X302" i="18"/>
  <c r="X303" i="18"/>
  <c r="X304" i="18"/>
  <c r="X305" i="18"/>
  <c r="X306" i="18"/>
  <c r="X307" i="18"/>
  <c r="X308" i="18"/>
  <c r="X309" i="18"/>
  <c r="X310" i="18"/>
  <c r="X311" i="18"/>
  <c r="X312" i="18"/>
  <c r="W289" i="18"/>
  <c r="W218" i="18"/>
  <c r="W219" i="18"/>
  <c r="W220" i="18"/>
  <c r="W221" i="18"/>
  <c r="W222" i="18"/>
  <c r="W223" i="18"/>
  <c r="W224" i="18"/>
  <c r="W225" i="18"/>
  <c r="W226" i="18"/>
  <c r="W227" i="18"/>
  <c r="W228" i="18"/>
  <c r="W229" i="18"/>
  <c r="W230" i="18"/>
  <c r="W217" i="18"/>
  <c r="W216" i="18"/>
  <c r="W215" i="18"/>
  <c r="Q287" i="18"/>
  <c r="Q286" i="18"/>
  <c r="Q284" i="18"/>
  <c r="Q283" i="18"/>
  <c r="Q282" i="18"/>
  <c r="Q268" i="18"/>
  <c r="Q267" i="18"/>
  <c r="Q265" i="18"/>
  <c r="Q264" i="18"/>
  <c r="Q263" i="18"/>
  <c r="S283" i="18"/>
  <c r="P282" i="18"/>
  <c r="S264" i="18"/>
  <c r="P263" i="18"/>
  <c r="R140" i="18"/>
  <c r="Q140" i="18"/>
  <c r="P140" i="18"/>
  <c r="P20" i="18"/>
  <c r="P287" i="18" l="1"/>
  <c r="P286" i="18"/>
  <c r="P284" i="18"/>
  <c r="P283" i="18"/>
  <c r="P268" i="18"/>
  <c r="P267" i="18"/>
  <c r="P265" i="18"/>
  <c r="P264" i="18"/>
  <c r="P207" i="18"/>
  <c r="P206" i="18"/>
  <c r="P205" i="18"/>
  <c r="P203" i="18"/>
  <c r="P202" i="18"/>
  <c r="P187" i="18"/>
  <c r="P184" i="18"/>
  <c r="P183" i="18"/>
  <c r="P181" i="18"/>
  <c r="P180" i="18"/>
  <c r="P165" i="18"/>
  <c r="P162" i="18"/>
  <c r="P161" i="18"/>
  <c r="P159" i="18"/>
  <c r="P158" i="18"/>
  <c r="P143" i="18"/>
  <c r="P142" i="18"/>
  <c r="P138" i="18"/>
  <c r="P139" i="18"/>
  <c r="P125" i="18"/>
  <c r="P124" i="18"/>
  <c r="P123" i="18"/>
  <c r="P121" i="18"/>
  <c r="P120" i="18"/>
  <c r="X234" i="18"/>
  <c r="X235" i="18"/>
  <c r="X236" i="18"/>
  <c r="X237" i="18"/>
  <c r="X238" i="18"/>
  <c r="X239" i="18"/>
  <c r="X240" i="18"/>
  <c r="X241" i="18"/>
  <c r="X242" i="18"/>
  <c r="X243" i="18"/>
  <c r="X244" i="18"/>
  <c r="X245" i="18"/>
  <c r="X246" i="18"/>
  <c r="X247" i="18"/>
  <c r="X248" i="18"/>
  <c r="X249" i="18"/>
  <c r="X250" i="18"/>
  <c r="X251" i="18"/>
  <c r="X252" i="18"/>
  <c r="X253" i="18"/>
  <c r="X254" i="18"/>
  <c r="X255" i="18"/>
  <c r="X256" i="18"/>
  <c r="X257" i="18"/>
  <c r="X258" i="18"/>
  <c r="X259" i="18"/>
  <c r="X260" i="18"/>
  <c r="X261" i="18"/>
  <c r="X262" i="18"/>
  <c r="X263" i="18"/>
  <c r="X264" i="18"/>
  <c r="X265" i="18"/>
  <c r="X266" i="18"/>
  <c r="X267" i="18"/>
  <c r="X268" i="18"/>
  <c r="X269" i="18"/>
  <c r="X270" i="18"/>
  <c r="X271" i="18"/>
  <c r="X272" i="18"/>
  <c r="X273" i="18"/>
  <c r="X274" i="18"/>
  <c r="X275" i="18"/>
  <c r="X276" i="18"/>
  <c r="S223" i="18" l="1"/>
  <c r="S222" i="18"/>
  <c r="S218" i="18"/>
  <c r="S217" i="18"/>
  <c r="S216" i="18"/>
  <c r="Z7" i="18" l="1"/>
  <c r="Z8" i="18"/>
  <c r="Z9" i="18"/>
  <c r="Z10" i="18"/>
  <c r="Z11" i="18"/>
  <c r="Z12" i="18"/>
  <c r="Z13" i="18"/>
  <c r="Z14" i="18"/>
  <c r="Z15" i="18"/>
  <c r="Z16" i="18"/>
  <c r="Z17" i="18"/>
  <c r="Z18" i="18"/>
  <c r="Z19" i="18"/>
  <c r="Z20" i="18"/>
  <c r="Z21" i="18"/>
  <c r="Z22" i="18"/>
  <c r="Z23" i="18"/>
  <c r="Z24" i="18"/>
  <c r="Z25" i="18"/>
  <c r="Z26" i="18"/>
  <c r="Z27" i="18"/>
  <c r="Z28" i="18"/>
  <c r="Z29" i="18"/>
  <c r="Z30" i="18"/>
  <c r="Z31" i="18"/>
  <c r="Z32" i="18"/>
  <c r="Z33" i="18"/>
  <c r="Z34" i="18"/>
  <c r="Z35" i="18"/>
  <c r="Z36" i="18"/>
  <c r="Z37" i="18"/>
  <c r="Z38" i="18"/>
  <c r="Z39" i="18"/>
  <c r="Z40" i="18"/>
  <c r="Z41" i="18"/>
  <c r="Z42" i="18"/>
  <c r="Z43" i="18"/>
  <c r="Z44" i="18"/>
  <c r="Z45" i="18"/>
  <c r="Z46" i="18"/>
  <c r="Z47" i="18"/>
  <c r="Z48" i="18"/>
  <c r="Z49" i="18"/>
  <c r="Z50" i="18"/>
  <c r="Z51" i="18"/>
  <c r="Z52" i="18"/>
  <c r="Z53" i="18"/>
  <c r="Z54" i="18"/>
  <c r="Z55" i="18"/>
  <c r="Z56" i="18"/>
  <c r="Z57" i="18"/>
  <c r="Z58" i="18"/>
  <c r="Z59" i="18"/>
  <c r="Z60" i="18"/>
  <c r="Z61" i="18"/>
  <c r="Z62" i="18"/>
  <c r="Z63" i="18"/>
  <c r="Z64" i="18"/>
  <c r="Z65" i="18"/>
  <c r="Z66" i="18"/>
  <c r="Z67" i="18"/>
  <c r="Z68" i="18"/>
  <c r="Z69" i="18"/>
  <c r="Z70" i="18"/>
  <c r="Z71" i="18"/>
  <c r="Z72" i="18"/>
  <c r="Z73" i="18"/>
  <c r="Z74" i="18"/>
  <c r="Z75" i="18"/>
  <c r="Z76" i="18"/>
  <c r="Z77" i="18"/>
  <c r="Z78" i="18"/>
  <c r="Z79" i="18"/>
  <c r="Z80" i="18"/>
  <c r="Z81" i="18"/>
  <c r="Z82" i="18"/>
  <c r="Z83" i="18"/>
  <c r="Z84" i="18"/>
  <c r="Z85" i="18"/>
  <c r="Z86" i="18"/>
  <c r="Z87" i="18"/>
  <c r="Z88" i="18"/>
  <c r="Z89" i="18"/>
  <c r="Z90" i="18"/>
  <c r="Z91" i="18"/>
  <c r="Z92" i="18"/>
  <c r="Z93" i="18"/>
  <c r="Z94" i="18"/>
  <c r="Z95" i="18"/>
  <c r="Z96" i="18"/>
  <c r="Z97" i="18"/>
  <c r="Z98" i="18"/>
  <c r="Z99" i="18"/>
  <c r="Z100" i="18"/>
  <c r="Z101" i="18"/>
  <c r="Z102" i="18"/>
  <c r="Z103" i="18"/>
  <c r="Z104" i="18"/>
  <c r="Z105" i="18"/>
  <c r="Z106" i="18"/>
  <c r="Z107" i="18"/>
  <c r="Z108" i="18"/>
  <c r="Z109" i="18"/>
  <c r="Z110" i="18"/>
  <c r="Z111" i="18"/>
  <c r="Z112" i="18"/>
  <c r="Z113" i="18"/>
  <c r="Z114" i="18"/>
  <c r="Z115" i="18"/>
  <c r="Z116" i="18"/>
  <c r="Z117" i="18"/>
  <c r="Z118" i="18"/>
  <c r="Z119" i="18"/>
  <c r="Z120" i="18"/>
  <c r="Z121" i="18"/>
  <c r="Z122" i="18"/>
  <c r="Z123" i="18"/>
  <c r="Z124" i="18"/>
  <c r="Z125" i="18"/>
  <c r="Z126" i="18"/>
  <c r="Z127" i="18"/>
  <c r="Z128" i="18"/>
  <c r="Z129" i="18"/>
  <c r="Z130" i="18"/>
  <c r="Z131" i="18"/>
  <c r="Z132" i="18"/>
  <c r="Z133" i="18"/>
  <c r="Z134" i="18"/>
  <c r="Z135" i="18"/>
  <c r="Z136" i="18"/>
  <c r="Z137" i="18"/>
  <c r="Z138" i="18"/>
  <c r="Z139" i="18"/>
  <c r="Z140" i="18"/>
  <c r="Z141" i="18"/>
  <c r="Z142" i="18"/>
  <c r="Z143" i="18"/>
  <c r="Z144" i="18"/>
  <c r="Z145" i="18"/>
  <c r="Z146" i="18"/>
  <c r="Z147" i="18"/>
  <c r="Z148" i="18"/>
  <c r="Z149" i="18"/>
  <c r="Z150" i="18"/>
  <c r="Z151" i="18"/>
  <c r="Z152" i="18"/>
  <c r="Z153" i="18"/>
  <c r="Z154" i="18"/>
  <c r="Z155" i="18"/>
  <c r="Z156" i="18"/>
  <c r="Z157" i="18"/>
  <c r="Z158" i="18"/>
  <c r="Z159" i="18"/>
  <c r="Z160" i="18"/>
  <c r="Z161" i="18"/>
  <c r="Z162" i="18"/>
  <c r="Z163" i="18"/>
  <c r="Z164" i="18"/>
  <c r="Z165" i="18"/>
  <c r="Z166" i="18"/>
  <c r="Z167" i="18"/>
  <c r="Z168" i="18"/>
  <c r="Z169" i="18"/>
  <c r="Z170" i="18"/>
  <c r="Z171" i="18"/>
  <c r="Z172" i="18"/>
  <c r="Z173" i="18"/>
  <c r="Z174" i="18"/>
  <c r="Z175" i="18"/>
  <c r="Z176" i="18"/>
  <c r="Z177" i="18"/>
  <c r="Z178" i="18"/>
  <c r="Z179" i="18"/>
  <c r="Z180" i="18"/>
  <c r="Z181" i="18"/>
  <c r="Z182" i="18"/>
  <c r="Z183" i="18"/>
  <c r="Z184" i="18"/>
  <c r="Z185" i="18"/>
  <c r="Z186" i="18"/>
  <c r="Z187" i="18"/>
  <c r="Z188" i="18"/>
  <c r="Z189" i="18"/>
  <c r="Z190" i="18"/>
  <c r="Z191" i="18"/>
  <c r="Z192" i="18"/>
  <c r="Z193" i="18"/>
  <c r="Z194" i="18"/>
  <c r="Z195" i="18"/>
  <c r="Z196" i="18"/>
  <c r="Z197" i="18"/>
  <c r="Z198" i="18"/>
  <c r="Z199" i="18"/>
  <c r="Z200" i="18"/>
  <c r="Z201" i="18"/>
  <c r="Z202" i="18"/>
  <c r="Z203" i="18"/>
  <c r="Z204" i="18"/>
  <c r="Z205" i="18"/>
  <c r="Z206" i="18"/>
  <c r="Z207" i="18"/>
  <c r="Z208" i="18"/>
  <c r="Z209" i="18"/>
  <c r="Z210" i="18"/>
  <c r="Z211" i="18"/>
  <c r="Z212" i="18"/>
  <c r="Z213" i="18"/>
  <c r="Z214" i="18"/>
  <c r="Z215" i="18"/>
  <c r="Z216" i="18"/>
  <c r="Z217" i="18"/>
  <c r="Z218" i="18"/>
  <c r="Z219" i="18"/>
  <c r="Z220" i="18"/>
  <c r="Z221" i="18"/>
  <c r="Z222" i="18"/>
  <c r="Z223" i="18"/>
  <c r="Z224" i="18"/>
  <c r="Z225" i="18"/>
  <c r="Z226" i="18"/>
  <c r="Z227" i="18"/>
  <c r="Z228" i="18"/>
  <c r="Z229" i="18"/>
  <c r="Z230" i="18"/>
  <c r="Z231" i="18"/>
  <c r="Z232" i="18"/>
  <c r="Z233" i="18"/>
  <c r="Z234" i="18"/>
  <c r="Z235" i="18"/>
  <c r="Z236" i="18"/>
  <c r="Z237" i="18"/>
  <c r="Z238" i="18"/>
  <c r="Z239" i="18"/>
  <c r="Z240" i="18"/>
  <c r="Z241" i="18"/>
  <c r="Z242" i="18"/>
  <c r="Z243" i="18"/>
  <c r="Z244" i="18"/>
  <c r="Z245" i="18"/>
  <c r="Z246" i="18"/>
  <c r="Z247" i="18"/>
  <c r="Z248" i="18"/>
  <c r="Z249" i="18"/>
  <c r="Z250" i="18"/>
  <c r="Z251" i="18"/>
  <c r="Z252" i="18"/>
  <c r="Z253" i="18"/>
  <c r="Z254" i="18"/>
  <c r="Z255" i="18"/>
  <c r="Z256" i="18"/>
  <c r="Z257" i="18"/>
  <c r="Z258" i="18"/>
  <c r="Z259" i="18"/>
  <c r="Z260" i="18"/>
  <c r="Z261" i="18"/>
  <c r="Z262" i="18"/>
  <c r="Z263" i="18"/>
  <c r="Z264" i="18"/>
  <c r="Z265" i="18"/>
  <c r="Z266" i="18"/>
  <c r="Z267" i="18"/>
  <c r="Z268" i="18"/>
  <c r="Z269" i="18"/>
  <c r="Z270" i="18"/>
  <c r="Z271" i="18"/>
  <c r="Z272" i="18"/>
  <c r="Z273" i="18"/>
  <c r="Z274" i="18"/>
  <c r="Z275" i="18"/>
  <c r="Z276" i="18"/>
  <c r="Z277" i="18"/>
  <c r="Z278" i="18"/>
  <c r="Z279" i="18"/>
  <c r="Z280" i="18"/>
  <c r="Z281" i="18"/>
  <c r="Z282" i="18"/>
  <c r="Z283" i="18"/>
  <c r="Z284" i="18"/>
  <c r="Z285" i="18"/>
  <c r="Z286" i="18"/>
  <c r="Z287" i="18"/>
  <c r="Z288" i="18"/>
  <c r="Z289" i="18"/>
  <c r="Z290" i="18"/>
  <c r="Z291" i="18"/>
  <c r="Z292" i="18"/>
  <c r="Z293" i="18"/>
  <c r="Z294" i="18"/>
  <c r="Z295" i="18"/>
  <c r="Z296" i="18"/>
  <c r="Z297" i="18"/>
  <c r="Z298" i="18"/>
  <c r="Z299" i="18"/>
  <c r="Z300" i="18"/>
  <c r="Z301" i="18"/>
  <c r="Z302" i="18"/>
  <c r="Z303" i="18"/>
  <c r="Z304" i="18"/>
  <c r="Z305" i="18"/>
  <c r="Z306" i="18"/>
  <c r="Z307" i="18"/>
  <c r="Z308" i="18"/>
  <c r="Z309" i="18"/>
  <c r="Z310" i="18"/>
  <c r="Z311" i="18"/>
  <c r="Z312" i="18"/>
  <c r="Z313" i="18"/>
  <c r="Z314" i="18"/>
  <c r="Z315" i="18"/>
  <c r="Z316" i="18"/>
  <c r="Z317" i="18"/>
  <c r="Z318" i="18"/>
  <c r="Z319" i="18"/>
  <c r="Z320" i="18"/>
  <c r="Z321" i="18"/>
  <c r="Z322" i="18"/>
  <c r="Z323" i="18"/>
  <c r="Z324" i="18"/>
  <c r="Z325" i="18"/>
  <c r="Z326" i="18"/>
  <c r="Z327" i="18"/>
  <c r="Z328" i="18"/>
  <c r="Z329" i="18"/>
  <c r="Z330" i="18"/>
  <c r="Z331" i="18"/>
  <c r="Z332" i="18"/>
  <c r="Z333" i="18"/>
  <c r="Z334" i="18"/>
  <c r="Z335" i="18"/>
  <c r="Z336" i="18"/>
  <c r="Z337" i="18"/>
  <c r="Z338" i="18"/>
  <c r="Z339" i="18"/>
  <c r="Z340" i="18"/>
  <c r="Z341" i="18"/>
  <c r="Z342" i="18"/>
  <c r="Z343" i="18"/>
  <c r="Z344" i="18"/>
  <c r="Z345" i="18"/>
  <c r="Z346" i="18"/>
  <c r="Z347" i="18"/>
  <c r="Z348" i="18"/>
  <c r="Z349" i="18"/>
  <c r="Z350" i="18"/>
  <c r="Z351" i="18"/>
  <c r="Z352" i="18"/>
  <c r="Z353" i="18"/>
  <c r="Z354" i="18"/>
  <c r="Z355" i="18"/>
  <c r="Z356" i="18"/>
  <c r="Z357" i="18"/>
  <c r="Z358" i="18"/>
  <c r="Z359" i="18"/>
  <c r="Z360" i="18"/>
  <c r="Z361" i="18"/>
  <c r="Z362" i="18"/>
  <c r="Z363" i="18"/>
  <c r="Z364" i="18"/>
  <c r="Z365" i="18"/>
  <c r="Z366" i="18"/>
  <c r="Z367" i="18"/>
  <c r="Z368" i="18"/>
  <c r="Z369" i="18"/>
  <c r="Z370" i="18"/>
  <c r="Z371" i="18"/>
  <c r="Z372" i="18"/>
  <c r="Z373" i="18"/>
  <c r="Z374" i="18"/>
  <c r="Z375" i="18"/>
  <c r="Z376" i="18"/>
  <c r="Z377" i="18"/>
  <c r="Z378" i="18"/>
  <c r="Z379" i="18"/>
  <c r="Z380" i="18"/>
  <c r="Z381" i="18"/>
  <c r="Z382" i="18"/>
  <c r="Z383" i="18"/>
  <c r="Z384" i="18"/>
  <c r="Z385" i="18"/>
  <c r="Z386" i="18"/>
  <c r="Z387" i="18"/>
  <c r="Z388" i="18"/>
  <c r="Z389" i="18"/>
  <c r="Z390" i="18"/>
  <c r="Z391" i="18"/>
  <c r="Z392" i="18"/>
  <c r="Z393" i="18"/>
  <c r="Z394" i="18"/>
  <c r="Z395" i="18"/>
  <c r="Z396" i="18"/>
  <c r="Z397" i="18"/>
  <c r="Z398" i="18"/>
  <c r="Z399" i="18"/>
  <c r="Z400" i="18"/>
  <c r="Z401" i="18"/>
  <c r="Z402" i="18"/>
  <c r="Z403" i="18"/>
  <c r="Z404" i="18"/>
  <c r="Z405" i="18"/>
  <c r="Z406" i="18"/>
  <c r="Z407" i="18"/>
  <c r="Z408" i="18"/>
  <c r="Z409" i="18"/>
  <c r="Z410" i="18"/>
  <c r="Z411" i="18"/>
  <c r="Z412" i="18"/>
  <c r="Z413" i="18"/>
  <c r="Z414" i="18"/>
  <c r="Z415" i="18"/>
  <c r="Z416" i="18"/>
  <c r="Z417" i="18"/>
  <c r="Z418" i="18"/>
  <c r="Z419" i="18"/>
  <c r="Z420" i="18"/>
  <c r="Z421" i="18"/>
  <c r="Z422" i="18"/>
  <c r="Z423" i="18"/>
  <c r="Z424" i="18"/>
  <c r="Z425" i="18"/>
  <c r="Z426" i="18"/>
  <c r="Z427" i="18"/>
  <c r="Z428" i="18"/>
  <c r="Z429" i="18"/>
  <c r="Z430" i="18"/>
  <c r="Z431" i="18"/>
  <c r="Z432" i="18"/>
  <c r="Z433" i="18"/>
  <c r="Z434" i="18"/>
  <c r="Z435" i="18"/>
  <c r="Z436" i="18"/>
  <c r="Z437" i="18"/>
  <c r="Z438" i="18"/>
  <c r="Z439" i="18"/>
  <c r="Z440" i="18"/>
  <c r="Z441" i="18"/>
  <c r="Z442" i="18"/>
  <c r="Z443" i="18"/>
  <c r="Z444" i="18"/>
  <c r="Z445" i="18"/>
  <c r="Z446" i="18"/>
  <c r="Z447" i="18"/>
  <c r="Z448" i="18"/>
  <c r="Z449" i="18"/>
  <c r="Z450" i="18"/>
  <c r="Z451" i="18"/>
  <c r="Z452" i="18"/>
  <c r="Z453" i="18"/>
  <c r="Z454" i="18"/>
  <c r="Z455" i="18"/>
  <c r="Z456" i="18"/>
  <c r="Z457" i="18"/>
  <c r="Z458" i="18"/>
  <c r="Z459" i="18"/>
  <c r="Z460" i="18"/>
  <c r="Z461" i="18"/>
  <c r="Z462" i="18"/>
  <c r="Z463" i="18"/>
  <c r="Z464" i="18"/>
  <c r="Z465" i="18"/>
  <c r="Z466" i="18"/>
  <c r="Z467" i="18"/>
  <c r="Z468" i="18"/>
  <c r="Z469" i="18"/>
  <c r="Z470" i="18"/>
  <c r="Z471" i="18"/>
  <c r="Z472" i="18"/>
  <c r="Z473" i="18"/>
  <c r="Z474" i="18"/>
  <c r="Z475" i="18"/>
  <c r="Z476" i="18"/>
  <c r="Z477" i="18"/>
  <c r="Z478" i="18"/>
  <c r="Z479" i="18"/>
  <c r="Z480" i="18"/>
  <c r="Z481" i="18"/>
  <c r="Z482" i="18"/>
  <c r="Z483" i="18"/>
  <c r="Z484" i="18"/>
  <c r="Z485" i="18"/>
  <c r="Z486" i="18"/>
  <c r="Z487" i="18"/>
  <c r="Z488" i="18"/>
  <c r="Z489" i="18"/>
  <c r="Z490" i="18"/>
  <c r="Z491" i="18"/>
  <c r="Z492" i="18"/>
  <c r="Z493" i="18"/>
  <c r="Z494" i="18"/>
  <c r="Z495" i="18"/>
  <c r="Z496" i="18"/>
  <c r="Z497" i="18"/>
  <c r="Z498" i="18"/>
  <c r="Z499" i="18"/>
  <c r="Z500" i="18"/>
  <c r="Z501" i="18"/>
  <c r="Z502" i="18"/>
  <c r="Z503" i="18"/>
  <c r="Z504" i="18"/>
  <c r="Z505" i="18"/>
  <c r="Z6" i="18"/>
  <c r="X313" i="18"/>
  <c r="X314" i="18"/>
  <c r="X315" i="18"/>
  <c r="X316" i="18"/>
  <c r="X317" i="18"/>
  <c r="X318" i="18"/>
  <c r="X319" i="18"/>
  <c r="X320" i="18"/>
  <c r="X321" i="18"/>
  <c r="X322" i="18"/>
  <c r="X323" i="18"/>
  <c r="X324" i="18"/>
  <c r="X325" i="18"/>
  <c r="X326" i="18"/>
  <c r="X327" i="18"/>
  <c r="X328" i="18"/>
  <c r="X329" i="18"/>
  <c r="X330" i="18"/>
  <c r="X331" i="18"/>
  <c r="X332" i="18"/>
  <c r="X333" i="18"/>
  <c r="X334" i="18"/>
  <c r="X335" i="18"/>
  <c r="X336" i="18"/>
  <c r="X337" i="18"/>
  <c r="X338" i="18"/>
  <c r="X339" i="18"/>
  <c r="X340" i="18"/>
  <c r="X341" i="18"/>
  <c r="X342" i="18"/>
  <c r="X343" i="18"/>
  <c r="X344" i="18"/>
  <c r="X345" i="18"/>
  <c r="X346" i="18"/>
  <c r="X347" i="18"/>
  <c r="X348" i="18"/>
  <c r="X349" i="18"/>
  <c r="X350" i="18"/>
  <c r="X351" i="18"/>
  <c r="X352" i="18"/>
  <c r="X353" i="18"/>
  <c r="X354" i="18"/>
  <c r="X355" i="18"/>
  <c r="X356" i="18"/>
  <c r="X357" i="18"/>
  <c r="X358" i="18"/>
  <c r="X359" i="18"/>
  <c r="X360" i="18"/>
  <c r="X361" i="18"/>
  <c r="X362" i="18"/>
  <c r="X363" i="18"/>
  <c r="X364" i="18"/>
  <c r="X365" i="18"/>
  <c r="X366" i="18"/>
  <c r="X367" i="18"/>
  <c r="X368" i="18"/>
  <c r="X369" i="18"/>
  <c r="X370" i="18"/>
  <c r="X371" i="18"/>
  <c r="X372" i="18"/>
  <c r="X373" i="18"/>
  <c r="X374" i="18"/>
  <c r="X375" i="18"/>
  <c r="X376" i="18"/>
  <c r="X377" i="18"/>
  <c r="X378" i="18"/>
  <c r="X379" i="18"/>
  <c r="X380" i="18"/>
  <c r="X381" i="18"/>
  <c r="X382" i="18"/>
  <c r="X383" i="18"/>
  <c r="X384" i="18"/>
  <c r="X385" i="18"/>
  <c r="X386" i="18"/>
  <c r="X387" i="18"/>
  <c r="X388" i="18"/>
  <c r="X389" i="18"/>
  <c r="X390" i="18"/>
  <c r="X391" i="18"/>
  <c r="X392" i="18"/>
  <c r="X393" i="18"/>
  <c r="X394" i="18"/>
  <c r="X395" i="18"/>
  <c r="X396" i="18"/>
  <c r="X397" i="18"/>
  <c r="X398" i="18"/>
  <c r="X399" i="18"/>
  <c r="X400" i="18"/>
  <c r="X401" i="18"/>
  <c r="X402" i="18"/>
  <c r="X403" i="18"/>
  <c r="X404" i="18"/>
  <c r="X405" i="18"/>
  <c r="X406" i="18"/>
  <c r="X407" i="18"/>
  <c r="X408" i="18"/>
  <c r="X409" i="18"/>
  <c r="X410" i="18"/>
  <c r="X411" i="18"/>
  <c r="X412" i="18"/>
  <c r="X413" i="18"/>
  <c r="X414" i="18"/>
  <c r="X415" i="18"/>
  <c r="X416" i="18"/>
  <c r="X417" i="18"/>
  <c r="X418" i="18"/>
  <c r="X419" i="18"/>
  <c r="X420" i="18"/>
  <c r="X421" i="18"/>
  <c r="X422" i="18"/>
  <c r="X423" i="18"/>
  <c r="X424" i="18"/>
  <c r="X425" i="18"/>
  <c r="X426" i="18"/>
  <c r="X427" i="18"/>
  <c r="X428" i="18"/>
  <c r="X429" i="18"/>
  <c r="X430" i="18"/>
  <c r="X431" i="18"/>
  <c r="X432" i="18"/>
  <c r="X433" i="18"/>
  <c r="X434" i="18"/>
  <c r="X435" i="18"/>
  <c r="X436" i="18"/>
  <c r="X437" i="18"/>
  <c r="X438" i="18"/>
  <c r="X439" i="18"/>
  <c r="X440" i="18"/>
  <c r="X441" i="18"/>
  <c r="X442" i="18"/>
  <c r="X443" i="18"/>
  <c r="X444" i="18"/>
  <c r="X445" i="18"/>
  <c r="X446" i="18"/>
  <c r="X447" i="18"/>
  <c r="X448" i="18"/>
  <c r="X449" i="18"/>
  <c r="X450" i="18"/>
  <c r="X451" i="18"/>
  <c r="X452" i="18"/>
  <c r="X453" i="18"/>
  <c r="X454" i="18"/>
  <c r="X455" i="18"/>
  <c r="X456" i="18"/>
  <c r="X457" i="18"/>
  <c r="X458" i="18"/>
  <c r="X459" i="18"/>
  <c r="X460" i="18"/>
  <c r="X461" i="18"/>
  <c r="X462" i="18"/>
  <c r="X463" i="18"/>
  <c r="X464" i="18"/>
  <c r="X465" i="18"/>
  <c r="X466" i="18"/>
  <c r="X467" i="18"/>
  <c r="X468" i="18"/>
  <c r="X469" i="18"/>
  <c r="X470" i="18"/>
  <c r="X471" i="18"/>
  <c r="X472" i="18"/>
  <c r="X473" i="18"/>
  <c r="X474" i="18"/>
  <c r="X475" i="18"/>
  <c r="X476" i="18"/>
  <c r="X477" i="18"/>
  <c r="X478" i="18"/>
  <c r="X479" i="18"/>
  <c r="X480" i="18"/>
  <c r="X481" i="18"/>
  <c r="X482" i="18"/>
  <c r="X483" i="18"/>
  <c r="X484" i="18"/>
  <c r="X485" i="18"/>
  <c r="X486" i="18"/>
  <c r="X487" i="18"/>
  <c r="X488" i="18"/>
  <c r="X489" i="18"/>
  <c r="X490" i="18"/>
  <c r="X491" i="18"/>
  <c r="X492" i="18"/>
  <c r="X493" i="18"/>
  <c r="X494" i="18"/>
  <c r="X495" i="18"/>
  <c r="X496" i="18"/>
  <c r="X497" i="18"/>
  <c r="X498" i="18"/>
  <c r="X499" i="18"/>
  <c r="X500" i="18"/>
  <c r="X501" i="18"/>
  <c r="X502" i="18"/>
  <c r="X503" i="18"/>
  <c r="X504" i="18"/>
  <c r="X505" i="18"/>
  <c r="AB7" i="18" l="1"/>
  <c r="AB8" i="18"/>
  <c r="AB9" i="18"/>
  <c r="AB10" i="18"/>
  <c r="AB11" i="18"/>
  <c r="AB12" i="18"/>
  <c r="AB13" i="18"/>
  <c r="AB14" i="18"/>
  <c r="AB15" i="18"/>
  <c r="AB16" i="18"/>
  <c r="AB17" i="18"/>
  <c r="AB18" i="18"/>
  <c r="AB19" i="18"/>
  <c r="AB20" i="18"/>
  <c r="AB21" i="18"/>
  <c r="AB22" i="18"/>
  <c r="AB23" i="18"/>
  <c r="AB24" i="18"/>
  <c r="AB25" i="18"/>
  <c r="AB26" i="18"/>
  <c r="AB27" i="18"/>
  <c r="AB28" i="18"/>
  <c r="AB29" i="18"/>
  <c r="AB30" i="18"/>
  <c r="AB31" i="18"/>
  <c r="AB32" i="18"/>
  <c r="AB33" i="18"/>
  <c r="AB34" i="18"/>
  <c r="AB35" i="18"/>
  <c r="AB36" i="18"/>
  <c r="AB37" i="18"/>
  <c r="AB38" i="18"/>
  <c r="AB39" i="18"/>
  <c r="AB40" i="18"/>
  <c r="AB41" i="18"/>
  <c r="AB42" i="18"/>
  <c r="AB43" i="18"/>
  <c r="AB44" i="18"/>
  <c r="AB45" i="18"/>
  <c r="AB46" i="18"/>
  <c r="AB47" i="18"/>
  <c r="AB48" i="18"/>
  <c r="AB49" i="18"/>
  <c r="AB50" i="18"/>
  <c r="AB51" i="18"/>
  <c r="AB52" i="18"/>
  <c r="AB53" i="18"/>
  <c r="AB54" i="18"/>
  <c r="AB55" i="18"/>
  <c r="AB56" i="18"/>
  <c r="AB57" i="18"/>
  <c r="AB58" i="18"/>
  <c r="AB59" i="18"/>
  <c r="AB60" i="18"/>
  <c r="AB61" i="18"/>
  <c r="AB62" i="18"/>
  <c r="AB63" i="18"/>
  <c r="AB64" i="18"/>
  <c r="AB65" i="18"/>
  <c r="AB66" i="18"/>
  <c r="AB67" i="18"/>
  <c r="AB68" i="18"/>
  <c r="AB69" i="18"/>
  <c r="AB70" i="18"/>
  <c r="AB71" i="18"/>
  <c r="AB72" i="18"/>
  <c r="AB73" i="18"/>
  <c r="AB74" i="18"/>
  <c r="AB75" i="18"/>
  <c r="AB76" i="18"/>
  <c r="AB77" i="18"/>
  <c r="AB78" i="18"/>
  <c r="AB79" i="18"/>
  <c r="AB80" i="18"/>
  <c r="AB81" i="18"/>
  <c r="AB82" i="18"/>
  <c r="AB83" i="18"/>
  <c r="AB84" i="18"/>
  <c r="AB85" i="18"/>
  <c r="AB86" i="18"/>
  <c r="AB87" i="18"/>
  <c r="AB88" i="18"/>
  <c r="AB89" i="18"/>
  <c r="AB90" i="18"/>
  <c r="AB91" i="18"/>
  <c r="AB92" i="18"/>
  <c r="AB93" i="18"/>
  <c r="AB94" i="18"/>
  <c r="AB95" i="18"/>
  <c r="AB96" i="18"/>
  <c r="AB97" i="18"/>
  <c r="AB98" i="18"/>
  <c r="AB99" i="18"/>
  <c r="AB100" i="18"/>
  <c r="AB101" i="18"/>
  <c r="AB102" i="18"/>
  <c r="AB103" i="18"/>
  <c r="AB104" i="18"/>
  <c r="AB105" i="18"/>
  <c r="AB106" i="18"/>
  <c r="AB107" i="18"/>
  <c r="AB108" i="18"/>
  <c r="AB109" i="18"/>
  <c r="AB110" i="18"/>
  <c r="AB111" i="18"/>
  <c r="AB112" i="18"/>
  <c r="AB113" i="18"/>
  <c r="AB114" i="18"/>
  <c r="AB115" i="18"/>
  <c r="AB116" i="18"/>
  <c r="AB117" i="18"/>
  <c r="AB118" i="18"/>
  <c r="AB119" i="18"/>
  <c r="AB120" i="18"/>
  <c r="AB121" i="18"/>
  <c r="AB122" i="18"/>
  <c r="AB123" i="18"/>
  <c r="AB124" i="18"/>
  <c r="AB125" i="18"/>
  <c r="AB126" i="18"/>
  <c r="AB127" i="18"/>
  <c r="AB128" i="18"/>
  <c r="AB129" i="18"/>
  <c r="AB130" i="18"/>
  <c r="AB131" i="18"/>
  <c r="AB132" i="18"/>
  <c r="AB133" i="18"/>
  <c r="AB134" i="18"/>
  <c r="AB135" i="18"/>
  <c r="AB136" i="18"/>
  <c r="AB137" i="18"/>
  <c r="AB138" i="18"/>
  <c r="AB139" i="18"/>
  <c r="AB140" i="18"/>
  <c r="AB141" i="18"/>
  <c r="AB142" i="18"/>
  <c r="AB143" i="18"/>
  <c r="AB144" i="18"/>
  <c r="AB145" i="18"/>
  <c r="AB146" i="18"/>
  <c r="AB147" i="18"/>
  <c r="AB148" i="18"/>
  <c r="AB149" i="18"/>
  <c r="AB150" i="18"/>
  <c r="AB151" i="18"/>
  <c r="AB152" i="18"/>
  <c r="AB153" i="18"/>
  <c r="AB154" i="18"/>
  <c r="AB155" i="18"/>
  <c r="AB156" i="18"/>
  <c r="AB157" i="18"/>
  <c r="AB158" i="18"/>
  <c r="AB159" i="18"/>
  <c r="AB160" i="18"/>
  <c r="AB161" i="18"/>
  <c r="AB162" i="18"/>
  <c r="AB163" i="18"/>
  <c r="AB164" i="18"/>
  <c r="AB165" i="18"/>
  <c r="AB166" i="18"/>
  <c r="AB167" i="18"/>
  <c r="AB168" i="18"/>
  <c r="AB169" i="18"/>
  <c r="AB170" i="18"/>
  <c r="AB171" i="18"/>
  <c r="AB172" i="18"/>
  <c r="AB173" i="18"/>
  <c r="AB174" i="18"/>
  <c r="AB175" i="18"/>
  <c r="AB176" i="18"/>
  <c r="AB177" i="18"/>
  <c r="AB178" i="18"/>
  <c r="AB179" i="18"/>
  <c r="AB180" i="18"/>
  <c r="AB181" i="18"/>
  <c r="AB182" i="18"/>
  <c r="AB183" i="18"/>
  <c r="AB184" i="18"/>
  <c r="AB185" i="18"/>
  <c r="AB186" i="18"/>
  <c r="AB187" i="18"/>
  <c r="AB188" i="18"/>
  <c r="AB189" i="18"/>
  <c r="AB190" i="18"/>
  <c r="AB191" i="18"/>
  <c r="AB192" i="18"/>
  <c r="AB193" i="18"/>
  <c r="AB194" i="18"/>
  <c r="AB195" i="18"/>
  <c r="AB196" i="18"/>
  <c r="AB197" i="18"/>
  <c r="AB198" i="18"/>
  <c r="AB199" i="18"/>
  <c r="AB200" i="18"/>
  <c r="AB201" i="18"/>
  <c r="AB202" i="18"/>
  <c r="AB203" i="18"/>
  <c r="AB204" i="18"/>
  <c r="AB205" i="18"/>
  <c r="AB206" i="18"/>
  <c r="AB207" i="18"/>
  <c r="AB208" i="18"/>
  <c r="AB209" i="18"/>
  <c r="AB210" i="18"/>
  <c r="AB211" i="18"/>
  <c r="AB212" i="18"/>
  <c r="AB213" i="18"/>
  <c r="AB214" i="18"/>
  <c r="AB215" i="18"/>
  <c r="AB216" i="18"/>
  <c r="AB217" i="18"/>
  <c r="AB218" i="18"/>
  <c r="AB219" i="18"/>
  <c r="AB220" i="18"/>
  <c r="AB221" i="18"/>
  <c r="AB222" i="18"/>
  <c r="AB223" i="18"/>
  <c r="AB224" i="18"/>
  <c r="AB225" i="18"/>
  <c r="AB226" i="18"/>
  <c r="AB227" i="18"/>
  <c r="AB228" i="18"/>
  <c r="AB229" i="18"/>
  <c r="AB230" i="18"/>
  <c r="AB6" i="18"/>
  <c r="AA7" i="18"/>
  <c r="AA8" i="18"/>
  <c r="AA9" i="18"/>
  <c r="AA10" i="18"/>
  <c r="AA11" i="18"/>
  <c r="AA12" i="18"/>
  <c r="AA13" i="18"/>
  <c r="AA14" i="18"/>
  <c r="AA15" i="18"/>
  <c r="AA16" i="18"/>
  <c r="AA17" i="18"/>
  <c r="AA18" i="18"/>
  <c r="AA19" i="18"/>
  <c r="AA20" i="18"/>
  <c r="AA21" i="18"/>
  <c r="AA22" i="18"/>
  <c r="AA23" i="18"/>
  <c r="AA24" i="18"/>
  <c r="AA25" i="18"/>
  <c r="AA26" i="18"/>
  <c r="AA27" i="18"/>
  <c r="AA28" i="18"/>
  <c r="AA29" i="18"/>
  <c r="AA30" i="18"/>
  <c r="AA31" i="18"/>
  <c r="AA32" i="18"/>
  <c r="AA33" i="18"/>
  <c r="AA34" i="18"/>
  <c r="AA35" i="18"/>
  <c r="AA36" i="18"/>
  <c r="AA37" i="18"/>
  <c r="AA38" i="18"/>
  <c r="AA39" i="18"/>
  <c r="AA40" i="18"/>
  <c r="AA41" i="18"/>
  <c r="AA42" i="18"/>
  <c r="AA43" i="18"/>
  <c r="AA44" i="18"/>
  <c r="AA45" i="18"/>
  <c r="AA46" i="18"/>
  <c r="AA47" i="18"/>
  <c r="AA48" i="18"/>
  <c r="AA49" i="18"/>
  <c r="AA50" i="18"/>
  <c r="AA51" i="18"/>
  <c r="AA52" i="18"/>
  <c r="AA53" i="18"/>
  <c r="AA54" i="18"/>
  <c r="AA55" i="18"/>
  <c r="AA56" i="18"/>
  <c r="AA57" i="18"/>
  <c r="AA58" i="18"/>
  <c r="AA59" i="18"/>
  <c r="AA60" i="18"/>
  <c r="AA61" i="18"/>
  <c r="AA62" i="18"/>
  <c r="AA63" i="18"/>
  <c r="AA64" i="18"/>
  <c r="AA65" i="18"/>
  <c r="AA66" i="18"/>
  <c r="AA67" i="18"/>
  <c r="AA68" i="18"/>
  <c r="AA69" i="18"/>
  <c r="AA70" i="18"/>
  <c r="AA71" i="18"/>
  <c r="AA72" i="18"/>
  <c r="AA73" i="18"/>
  <c r="AA74" i="18"/>
  <c r="AA75" i="18"/>
  <c r="AA76" i="18"/>
  <c r="AA77" i="18"/>
  <c r="AA78" i="18"/>
  <c r="AA79" i="18"/>
  <c r="AA80" i="18"/>
  <c r="AA81" i="18"/>
  <c r="AA82" i="18"/>
  <c r="AA83" i="18"/>
  <c r="AA84" i="18"/>
  <c r="AA85" i="18"/>
  <c r="AA86" i="18"/>
  <c r="AA87" i="18"/>
  <c r="AA88" i="18"/>
  <c r="AA89" i="18"/>
  <c r="AA90" i="18"/>
  <c r="AA91" i="18"/>
  <c r="AA92" i="18"/>
  <c r="AA93" i="18"/>
  <c r="AA94" i="18"/>
  <c r="AA95" i="18"/>
  <c r="AA96" i="18"/>
  <c r="AA97" i="18"/>
  <c r="AA98" i="18"/>
  <c r="AA99" i="18"/>
  <c r="AA100" i="18"/>
  <c r="AA101" i="18"/>
  <c r="AA102" i="18"/>
  <c r="AA103" i="18"/>
  <c r="AA104" i="18"/>
  <c r="AA105" i="18"/>
  <c r="AA106" i="18"/>
  <c r="AA107" i="18"/>
  <c r="AA108" i="18"/>
  <c r="AA109" i="18"/>
  <c r="AA110" i="18"/>
  <c r="AA111" i="18"/>
  <c r="AA112" i="18"/>
  <c r="AA113" i="18"/>
  <c r="AA114" i="18"/>
  <c r="AA115" i="18"/>
  <c r="AA116" i="18"/>
  <c r="AA117" i="18"/>
  <c r="AA118" i="18"/>
  <c r="AA119" i="18"/>
  <c r="AA120" i="18"/>
  <c r="AA121" i="18"/>
  <c r="AA122" i="18"/>
  <c r="AA123" i="18"/>
  <c r="AA124" i="18"/>
  <c r="AA125" i="18"/>
  <c r="AA126" i="18"/>
  <c r="AA127" i="18"/>
  <c r="AA128" i="18"/>
  <c r="AA129" i="18"/>
  <c r="AA130" i="18"/>
  <c r="AA131" i="18"/>
  <c r="AA132" i="18"/>
  <c r="AA133" i="18"/>
  <c r="AA134" i="18"/>
  <c r="AA135" i="18"/>
  <c r="AA136" i="18"/>
  <c r="AA137" i="18"/>
  <c r="AA138" i="18"/>
  <c r="AA139" i="18"/>
  <c r="AA140" i="18"/>
  <c r="AA141" i="18"/>
  <c r="AA142" i="18"/>
  <c r="AA143" i="18"/>
  <c r="AA144" i="18"/>
  <c r="AA145" i="18"/>
  <c r="AA146" i="18"/>
  <c r="AA147" i="18"/>
  <c r="AA148" i="18"/>
  <c r="AA149" i="18"/>
  <c r="AA150" i="18"/>
  <c r="AA151" i="18"/>
  <c r="AA152" i="18"/>
  <c r="AA153" i="18"/>
  <c r="AA154" i="18"/>
  <c r="AA155" i="18"/>
  <c r="AA156" i="18"/>
  <c r="AA157" i="18"/>
  <c r="AA158" i="18"/>
  <c r="AA159" i="18"/>
  <c r="AA160" i="18"/>
  <c r="AA161" i="18"/>
  <c r="AA162" i="18"/>
  <c r="AA163" i="18"/>
  <c r="AA164" i="18"/>
  <c r="AA165" i="18"/>
  <c r="AA166" i="18"/>
  <c r="AA167" i="18"/>
  <c r="AA168" i="18"/>
  <c r="AA169" i="18"/>
  <c r="AA170" i="18"/>
  <c r="AA171" i="18"/>
  <c r="AA172" i="18"/>
  <c r="AA173" i="18"/>
  <c r="AA174" i="18"/>
  <c r="AA175" i="18"/>
  <c r="AA176" i="18"/>
  <c r="AA177" i="18"/>
  <c r="AA178" i="18"/>
  <c r="AA179" i="18"/>
  <c r="AA180" i="18"/>
  <c r="AA181" i="18"/>
  <c r="AA182" i="18"/>
  <c r="AA183" i="18"/>
  <c r="AA184" i="18"/>
  <c r="AA185" i="18"/>
  <c r="AA186" i="18"/>
  <c r="AA187" i="18"/>
  <c r="AA188" i="18"/>
  <c r="AA189" i="18"/>
  <c r="AA190" i="18"/>
  <c r="AA191" i="18"/>
  <c r="AA192" i="18"/>
  <c r="AA193" i="18"/>
  <c r="AA194" i="18"/>
  <c r="AA195" i="18"/>
  <c r="AA196" i="18"/>
  <c r="AA197" i="18"/>
  <c r="AA198" i="18"/>
  <c r="AA199" i="18"/>
  <c r="AA200" i="18"/>
  <c r="AA201" i="18"/>
  <c r="AA202" i="18"/>
  <c r="AA203" i="18"/>
  <c r="AA204" i="18"/>
  <c r="AA205" i="18"/>
  <c r="AA206" i="18"/>
  <c r="AA207" i="18"/>
  <c r="AA208" i="18"/>
  <c r="AA209" i="18"/>
  <c r="AA210" i="18"/>
  <c r="AA211" i="18"/>
  <c r="AA212" i="18"/>
  <c r="AA213" i="18"/>
  <c r="AA214" i="18"/>
  <c r="AA215" i="18"/>
  <c r="AA216" i="18"/>
  <c r="AA217" i="18"/>
  <c r="AA218" i="18"/>
  <c r="AA219" i="18"/>
  <c r="AA220" i="18"/>
  <c r="AA221" i="18"/>
  <c r="AA222" i="18"/>
  <c r="AA223" i="18"/>
  <c r="AA224" i="18"/>
  <c r="AA225" i="18"/>
  <c r="AA226" i="18"/>
  <c r="AA227" i="18"/>
  <c r="AA228" i="18"/>
  <c r="AA229" i="18"/>
  <c r="AA230" i="18"/>
  <c r="AA6" i="18"/>
  <c r="Y7" i="18"/>
  <c r="Y8" i="18"/>
  <c r="Y9" i="18"/>
  <c r="Y10" i="18"/>
  <c r="Y11" i="18"/>
  <c r="Y12" i="18"/>
  <c r="Y13" i="18"/>
  <c r="Y14" i="18"/>
  <c r="Y15" i="18"/>
  <c r="Y16" i="18"/>
  <c r="Y17" i="18"/>
  <c r="Y18" i="18"/>
  <c r="Y19" i="18"/>
  <c r="Y20" i="18"/>
  <c r="Y21" i="18"/>
  <c r="Y22" i="18"/>
  <c r="Y23" i="18"/>
  <c r="Y24" i="18"/>
  <c r="Y25" i="18"/>
  <c r="Y26" i="18"/>
  <c r="Y27" i="18"/>
  <c r="Y28" i="18"/>
  <c r="Y29" i="18"/>
  <c r="Y30" i="18"/>
  <c r="Y31" i="18"/>
  <c r="Y32" i="18"/>
  <c r="Y33" i="18"/>
  <c r="Y34" i="18"/>
  <c r="Y35" i="18"/>
  <c r="Y36" i="18"/>
  <c r="Y37" i="18"/>
  <c r="Y38" i="18"/>
  <c r="Y39" i="18"/>
  <c r="Y40" i="18"/>
  <c r="Y41" i="18"/>
  <c r="Y42" i="18"/>
  <c r="Y43" i="18"/>
  <c r="Y44" i="18"/>
  <c r="Y45" i="18"/>
  <c r="Y46" i="18"/>
  <c r="Y47" i="18"/>
  <c r="Y48" i="18"/>
  <c r="Y49" i="18"/>
  <c r="Y50" i="18"/>
  <c r="Y51" i="18"/>
  <c r="Y52" i="18"/>
  <c r="Y53" i="18"/>
  <c r="Y54" i="18"/>
  <c r="Y55" i="18"/>
  <c r="Y56" i="18"/>
  <c r="Y57" i="18"/>
  <c r="Y58" i="18"/>
  <c r="Y59" i="18"/>
  <c r="Y60" i="18"/>
  <c r="Y61" i="18"/>
  <c r="Y62" i="18"/>
  <c r="Y63" i="18"/>
  <c r="Y64" i="18"/>
  <c r="Y65" i="18"/>
  <c r="Y66" i="18"/>
  <c r="Y67" i="18"/>
  <c r="Y68" i="18"/>
  <c r="Y69" i="18"/>
  <c r="Y70" i="18"/>
  <c r="Y71" i="18"/>
  <c r="Y72" i="18"/>
  <c r="Y73" i="18"/>
  <c r="Y74" i="18"/>
  <c r="Y75" i="18"/>
  <c r="Y76" i="18"/>
  <c r="Y77" i="18"/>
  <c r="Y78" i="18"/>
  <c r="Y79" i="18"/>
  <c r="Y80" i="18"/>
  <c r="Y81" i="18"/>
  <c r="Y82" i="18"/>
  <c r="Y83" i="18"/>
  <c r="Y84" i="18"/>
  <c r="Y85" i="18"/>
  <c r="Y86" i="18"/>
  <c r="Y87" i="18"/>
  <c r="Y88" i="18"/>
  <c r="Y89" i="18"/>
  <c r="Y90" i="18"/>
  <c r="Y91" i="18"/>
  <c r="Y92" i="18"/>
  <c r="Y93" i="18"/>
  <c r="Y94" i="18"/>
  <c r="Y95" i="18"/>
  <c r="Y96" i="18"/>
  <c r="Y97" i="18"/>
  <c r="Y98" i="18"/>
  <c r="Y99" i="18"/>
  <c r="Y100" i="18"/>
  <c r="Y101" i="18"/>
  <c r="Y102" i="18"/>
  <c r="Y103" i="18"/>
  <c r="Y104" i="18"/>
  <c r="Y105" i="18"/>
  <c r="Y106" i="18"/>
  <c r="Y107" i="18"/>
  <c r="Y108" i="18"/>
  <c r="Y109" i="18"/>
  <c r="Y110" i="18"/>
  <c r="Y111" i="18"/>
  <c r="Y112" i="18"/>
  <c r="Y113" i="18"/>
  <c r="Y114" i="18"/>
  <c r="Y115" i="18"/>
  <c r="Y116" i="18"/>
  <c r="Y117" i="18"/>
  <c r="Y118" i="18"/>
  <c r="Y119" i="18"/>
  <c r="Y120" i="18"/>
  <c r="Y121" i="18"/>
  <c r="Y122" i="18"/>
  <c r="Y123" i="18"/>
  <c r="Y124" i="18"/>
  <c r="Y125" i="18"/>
  <c r="Y126" i="18"/>
  <c r="Y127" i="18"/>
  <c r="Y128" i="18"/>
  <c r="Y129" i="18"/>
  <c r="Y130" i="18"/>
  <c r="Y131" i="18"/>
  <c r="Y132" i="18"/>
  <c r="Y133" i="18"/>
  <c r="Y134" i="18"/>
  <c r="Y135" i="18"/>
  <c r="Y136" i="18"/>
  <c r="Y137" i="18"/>
  <c r="Y138" i="18"/>
  <c r="Y139" i="18"/>
  <c r="Y140" i="18"/>
  <c r="Y141" i="18"/>
  <c r="Y142" i="18"/>
  <c r="Y143" i="18"/>
  <c r="Y144" i="18"/>
  <c r="Y145" i="18"/>
  <c r="Y146" i="18"/>
  <c r="Y147" i="18"/>
  <c r="Y148" i="18"/>
  <c r="Y149" i="18"/>
  <c r="Y150" i="18"/>
  <c r="Y151" i="18"/>
  <c r="Y152" i="18"/>
  <c r="Y153" i="18"/>
  <c r="Y154" i="18"/>
  <c r="Y155" i="18"/>
  <c r="Y156" i="18"/>
  <c r="Y157" i="18"/>
  <c r="Y158" i="18"/>
  <c r="Y159" i="18"/>
  <c r="Y160" i="18"/>
  <c r="Y161" i="18"/>
  <c r="Y162" i="18"/>
  <c r="Y163" i="18"/>
  <c r="Y164" i="18"/>
  <c r="Y165" i="18"/>
  <c r="Y166" i="18"/>
  <c r="Y167" i="18"/>
  <c r="Y168" i="18"/>
  <c r="Y169" i="18"/>
  <c r="Y170" i="18"/>
  <c r="Y171" i="18"/>
  <c r="Y172" i="18"/>
  <c r="Y173" i="18"/>
  <c r="Y174" i="18"/>
  <c r="Y175" i="18"/>
  <c r="Y176" i="18"/>
  <c r="Y177" i="18"/>
  <c r="Y178" i="18"/>
  <c r="Y179" i="18"/>
  <c r="Y180" i="18"/>
  <c r="Y181" i="18"/>
  <c r="Y182" i="18"/>
  <c r="Y183" i="18"/>
  <c r="Y184" i="18"/>
  <c r="Y185" i="18"/>
  <c r="Y186" i="18"/>
  <c r="Y187" i="18"/>
  <c r="Y188" i="18"/>
  <c r="Y189" i="18"/>
  <c r="Y190" i="18"/>
  <c r="Y191" i="18"/>
  <c r="Y192" i="18"/>
  <c r="Y193" i="18"/>
  <c r="Y194" i="18"/>
  <c r="Y195" i="18"/>
  <c r="Y196" i="18"/>
  <c r="Y197" i="18"/>
  <c r="Y198" i="18"/>
  <c r="Y199" i="18"/>
  <c r="Y200" i="18"/>
  <c r="Y201" i="18"/>
  <c r="Y202" i="18"/>
  <c r="Y203" i="18"/>
  <c r="Y204" i="18"/>
  <c r="Y205" i="18"/>
  <c r="Y206" i="18"/>
  <c r="Y207" i="18"/>
  <c r="Y208" i="18"/>
  <c r="Y209" i="18"/>
  <c r="Y210" i="18"/>
  <c r="Y211" i="18"/>
  <c r="Y212" i="18"/>
  <c r="Y213" i="18"/>
  <c r="Y214" i="18"/>
  <c r="Y215" i="18"/>
  <c r="Y216" i="18"/>
  <c r="Y217" i="18"/>
  <c r="Y218" i="18"/>
  <c r="Y219" i="18"/>
  <c r="Y220" i="18"/>
  <c r="Y221" i="18"/>
  <c r="Y222" i="18"/>
  <c r="Y223" i="18"/>
  <c r="Y224" i="18"/>
  <c r="Y225" i="18"/>
  <c r="Y226" i="18"/>
  <c r="Y227" i="18"/>
  <c r="Y228" i="18"/>
  <c r="Y229" i="18"/>
  <c r="Y230" i="18"/>
  <c r="Y6" i="18"/>
  <c r="W313" i="18"/>
  <c r="W314" i="18"/>
  <c r="W315" i="18"/>
  <c r="W316" i="18"/>
  <c r="W317" i="18"/>
  <c r="W318" i="18"/>
  <c r="W319" i="18"/>
  <c r="W320" i="18"/>
  <c r="W321" i="18"/>
  <c r="W322" i="18"/>
  <c r="W323" i="18"/>
  <c r="W324" i="18"/>
  <c r="W325" i="18"/>
  <c r="W326" i="18"/>
  <c r="W327" i="18"/>
  <c r="W328" i="18"/>
  <c r="W329" i="18"/>
  <c r="W330" i="18"/>
  <c r="W331" i="18"/>
  <c r="W332" i="18"/>
  <c r="W333" i="18"/>
  <c r="W334" i="18"/>
  <c r="W335" i="18"/>
  <c r="W336" i="18"/>
  <c r="W337" i="18"/>
  <c r="W338" i="18"/>
  <c r="W339" i="18"/>
  <c r="W340" i="18"/>
  <c r="W341" i="18"/>
  <c r="W342" i="18"/>
  <c r="W343" i="18"/>
  <c r="W344" i="18"/>
  <c r="W345" i="18"/>
  <c r="W346" i="18"/>
  <c r="W347" i="18"/>
  <c r="W348" i="18"/>
  <c r="W349" i="18"/>
  <c r="W350" i="18"/>
  <c r="W351" i="18"/>
  <c r="W352" i="18"/>
  <c r="W353" i="18"/>
  <c r="W354" i="18"/>
  <c r="W355" i="18"/>
  <c r="W356" i="18"/>
  <c r="W357" i="18"/>
  <c r="W358" i="18"/>
  <c r="W359" i="18"/>
  <c r="W360" i="18"/>
  <c r="W361" i="18"/>
  <c r="W362" i="18"/>
  <c r="W363" i="18"/>
  <c r="W364" i="18"/>
  <c r="W365" i="18"/>
  <c r="W366" i="18"/>
  <c r="W367" i="18"/>
  <c r="W368" i="18"/>
  <c r="W369" i="18"/>
  <c r="W370" i="18"/>
  <c r="W371" i="18"/>
  <c r="W372" i="18"/>
  <c r="W373" i="18"/>
  <c r="W374" i="18"/>
  <c r="W375" i="18"/>
  <c r="W376" i="18"/>
  <c r="W377" i="18"/>
  <c r="W378" i="18"/>
  <c r="W379" i="18"/>
  <c r="W380" i="18"/>
  <c r="W381" i="18"/>
  <c r="W382" i="18"/>
  <c r="W383" i="18"/>
  <c r="W384" i="18"/>
  <c r="W385" i="18"/>
  <c r="W386" i="18"/>
  <c r="W387" i="18"/>
  <c r="W388" i="18"/>
  <c r="W389" i="18"/>
  <c r="W390" i="18"/>
  <c r="W391" i="18"/>
  <c r="W392" i="18"/>
  <c r="W393" i="18"/>
  <c r="W394" i="18"/>
  <c r="W395" i="18"/>
  <c r="W396" i="18"/>
  <c r="W397" i="18"/>
  <c r="W398" i="18"/>
  <c r="W399" i="18"/>
  <c r="W400" i="18"/>
  <c r="W401" i="18"/>
  <c r="W402" i="18"/>
  <c r="W403" i="18"/>
  <c r="W404" i="18"/>
  <c r="W405" i="18"/>
  <c r="W406" i="18"/>
  <c r="W407" i="18"/>
  <c r="W408" i="18"/>
  <c r="W409" i="18"/>
  <c r="W410" i="18"/>
  <c r="W411" i="18"/>
  <c r="W412" i="18"/>
  <c r="W413" i="18"/>
  <c r="W414" i="18"/>
  <c r="W415" i="18"/>
  <c r="W416" i="18"/>
  <c r="W417" i="18"/>
  <c r="W418" i="18"/>
  <c r="W419" i="18"/>
  <c r="W420" i="18"/>
  <c r="W421" i="18"/>
  <c r="W422" i="18"/>
  <c r="W423" i="18"/>
  <c r="W424" i="18"/>
  <c r="W425" i="18"/>
  <c r="W426" i="18"/>
  <c r="W427" i="18"/>
  <c r="W428" i="18"/>
  <c r="W429" i="18"/>
  <c r="W430" i="18"/>
  <c r="W431" i="18"/>
  <c r="W432" i="18"/>
  <c r="W433" i="18"/>
  <c r="W434" i="18"/>
  <c r="W435" i="18"/>
  <c r="W436" i="18"/>
  <c r="W437" i="18"/>
  <c r="W438" i="18"/>
  <c r="W439" i="18"/>
  <c r="W440" i="18"/>
  <c r="W441" i="18"/>
  <c r="W442" i="18"/>
  <c r="W443" i="18"/>
  <c r="W444" i="18"/>
  <c r="W445" i="18"/>
  <c r="W446" i="18"/>
  <c r="W447" i="18"/>
  <c r="W448" i="18"/>
  <c r="W449" i="18"/>
  <c r="W450" i="18"/>
  <c r="W451" i="18"/>
  <c r="W452" i="18"/>
  <c r="W453" i="18"/>
  <c r="W454" i="18"/>
  <c r="W455" i="18"/>
  <c r="W456" i="18"/>
  <c r="W457" i="18"/>
  <c r="W458" i="18"/>
  <c r="W459" i="18"/>
  <c r="W460" i="18"/>
  <c r="W461" i="18"/>
  <c r="W462" i="18"/>
  <c r="W463" i="18"/>
  <c r="W464" i="18"/>
  <c r="W465" i="18"/>
  <c r="W466" i="18"/>
  <c r="W467" i="18"/>
  <c r="W468" i="18"/>
  <c r="W469" i="18"/>
  <c r="W470" i="18"/>
  <c r="W471" i="18"/>
  <c r="W472" i="18"/>
  <c r="W473" i="18"/>
  <c r="W474" i="18"/>
  <c r="W475" i="18"/>
  <c r="W476" i="18"/>
  <c r="W477" i="18"/>
  <c r="W478" i="18"/>
  <c r="W479" i="18"/>
  <c r="W480" i="18"/>
  <c r="W481" i="18"/>
  <c r="W482" i="18"/>
  <c r="W483" i="18"/>
  <c r="W484" i="18"/>
  <c r="W485" i="18"/>
  <c r="W486" i="18"/>
  <c r="W487" i="18"/>
  <c r="W488" i="18"/>
  <c r="W489" i="18"/>
  <c r="W490" i="18"/>
  <c r="W491" i="18"/>
  <c r="W492" i="18"/>
  <c r="W493" i="18"/>
  <c r="W494" i="18"/>
  <c r="W495" i="18"/>
  <c r="W496" i="18"/>
  <c r="W497" i="18"/>
  <c r="W498" i="18"/>
  <c r="W499" i="18"/>
  <c r="W500" i="18"/>
  <c r="W501" i="18"/>
  <c r="W502" i="18"/>
  <c r="W503" i="18"/>
  <c r="W504" i="18"/>
  <c r="W505" i="18"/>
  <c r="S202" i="18"/>
  <c r="S180" i="18"/>
  <c r="S158" i="18"/>
  <c r="S138" i="18"/>
  <c r="S120" i="18"/>
  <c r="S98" i="18"/>
  <c r="S78" i="18"/>
  <c r="S60" i="18"/>
  <c r="S40" i="18"/>
  <c r="S20" i="18"/>
  <c r="Q207" i="18"/>
  <c r="Q206" i="18"/>
  <c r="Q205" i="18"/>
  <c r="Q203" i="18"/>
  <c r="Q202" i="18"/>
  <c r="Q187" i="18"/>
  <c r="Q184" i="18"/>
  <c r="Q183" i="18"/>
  <c r="Q181" i="18"/>
  <c r="Q180" i="18"/>
  <c r="Q165" i="18"/>
  <c r="Q162" i="18"/>
  <c r="Q161" i="18"/>
  <c r="Q159" i="18"/>
  <c r="Q158" i="18"/>
  <c r="Q143" i="18"/>
  <c r="Q142" i="18"/>
  <c r="Q139" i="18"/>
  <c r="Q138" i="18"/>
  <c r="Q125" i="18"/>
  <c r="Q124" i="18"/>
  <c r="Q123" i="18"/>
  <c r="Q121" i="18"/>
  <c r="Q120" i="18"/>
  <c r="Q105" i="18"/>
  <c r="Q102" i="18"/>
  <c r="Q101" i="18"/>
  <c r="Q99" i="18"/>
  <c r="Q98" i="18"/>
  <c r="Q83" i="18"/>
  <c r="Q82" i="18"/>
  <c r="Q81" i="18"/>
  <c r="Q79" i="18"/>
  <c r="Q78" i="18"/>
  <c r="Q65" i="18"/>
  <c r="Q64" i="18"/>
  <c r="Q63" i="18"/>
  <c r="Q61" i="18"/>
  <c r="Q60" i="18"/>
  <c r="Q45" i="18"/>
  <c r="Q44" i="18"/>
  <c r="Q43" i="18"/>
  <c r="Q41" i="18"/>
  <c r="Q40" i="18"/>
  <c r="Q20" i="18"/>
  <c r="P105" i="18"/>
  <c r="P102" i="18"/>
  <c r="P101" i="18"/>
  <c r="P99" i="18"/>
  <c r="P98" i="18"/>
  <c r="P83" i="18"/>
  <c r="P82" i="18"/>
  <c r="P81" i="18"/>
  <c r="P78" i="18"/>
  <c r="P79" i="18"/>
  <c r="P64" i="18"/>
  <c r="P63" i="18"/>
  <c r="P65" i="18"/>
  <c r="P61" i="18"/>
  <c r="P60" i="18"/>
  <c r="P43" i="18"/>
  <c r="P44" i="18"/>
  <c r="P45" i="18"/>
  <c r="P41" i="18"/>
  <c r="P40" i="18"/>
  <c r="AO7" i="14" l="1"/>
  <c r="C3" i="21" l="1"/>
  <c r="D3" i="21"/>
  <c r="D8" i="4" l="1"/>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BA8" i="4"/>
  <c r="BB8" i="4"/>
  <c r="BC8" i="4"/>
  <c r="BD8" i="4"/>
  <c r="BE8" i="4"/>
  <c r="BF8" i="4"/>
  <c r="BG8" i="4"/>
  <c r="BH8" i="4"/>
  <c r="BI8" i="4"/>
  <c r="BJ8" i="4"/>
  <c r="D10" i="4"/>
  <c r="E10" i="4"/>
  <c r="F10" i="4"/>
  <c r="G10" i="4"/>
  <c r="H10" i="4"/>
  <c r="I10" i="4"/>
  <c r="J10" i="4"/>
  <c r="K10" i="4"/>
  <c r="L10" i="4"/>
  <c r="M10" i="4"/>
  <c r="N10" i="4"/>
  <c r="O10" i="4"/>
  <c r="P10" i="4"/>
  <c r="Q10" i="4"/>
  <c r="R10" i="4"/>
  <c r="S10" i="4"/>
  <c r="T10" i="4"/>
  <c r="U10" i="4"/>
  <c r="V10" i="4"/>
  <c r="W10" i="4"/>
  <c r="X10" i="4"/>
  <c r="Y10" i="4"/>
  <c r="Z10" i="4"/>
  <c r="AA10" i="4"/>
  <c r="AB10" i="4"/>
  <c r="AC10" i="4"/>
  <c r="AD10" i="4"/>
  <c r="AE10" i="4"/>
  <c r="AF10" i="4"/>
  <c r="AG10" i="4"/>
  <c r="AH10" i="4"/>
  <c r="AI10" i="4"/>
  <c r="AJ10" i="4"/>
  <c r="AK10" i="4"/>
  <c r="AL10" i="4"/>
  <c r="AM10" i="4"/>
  <c r="AN10" i="4"/>
  <c r="AO10" i="4"/>
  <c r="AP10" i="4"/>
  <c r="AQ10" i="4"/>
  <c r="AR10" i="4"/>
  <c r="AS10" i="4"/>
  <c r="AT10" i="4"/>
  <c r="AU10" i="4"/>
  <c r="AV10" i="4"/>
  <c r="AW10" i="4"/>
  <c r="AX10" i="4"/>
  <c r="AY10" i="4"/>
  <c r="AZ10" i="4"/>
  <c r="BA10" i="4"/>
  <c r="BB10" i="4"/>
  <c r="BC10" i="4"/>
  <c r="BD10" i="4"/>
  <c r="BE10" i="4"/>
  <c r="BF10" i="4"/>
  <c r="BG10" i="4"/>
  <c r="BH10" i="4"/>
  <c r="BI10" i="4"/>
  <c r="BJ10" i="4"/>
  <c r="D11" i="4"/>
  <c r="E11" i="4"/>
  <c r="F11" i="4"/>
  <c r="G11" i="4"/>
  <c r="H11" i="4"/>
  <c r="I11" i="4"/>
  <c r="J11" i="4"/>
  <c r="K11" i="4"/>
  <c r="L11" i="4"/>
  <c r="M11" i="4"/>
  <c r="N11" i="4"/>
  <c r="O11" i="4"/>
  <c r="P11" i="4"/>
  <c r="Q11" i="4"/>
  <c r="R11" i="4"/>
  <c r="S11" i="4"/>
  <c r="T11" i="4"/>
  <c r="U11" i="4"/>
  <c r="V11" i="4"/>
  <c r="W11" i="4"/>
  <c r="X11" i="4"/>
  <c r="Y11" i="4"/>
  <c r="Z11" i="4"/>
  <c r="AA11" i="4"/>
  <c r="AB11" i="4"/>
  <c r="AC11" i="4"/>
  <c r="AD11" i="4"/>
  <c r="AE11" i="4"/>
  <c r="AF11" i="4"/>
  <c r="AG11" i="4"/>
  <c r="AH11" i="4"/>
  <c r="AI11" i="4"/>
  <c r="AJ11" i="4"/>
  <c r="AK11" i="4"/>
  <c r="AL11" i="4"/>
  <c r="AM11" i="4"/>
  <c r="AN11" i="4"/>
  <c r="AO11" i="4"/>
  <c r="AP11" i="4"/>
  <c r="AQ11" i="4"/>
  <c r="AR11" i="4"/>
  <c r="AS11" i="4"/>
  <c r="AT11" i="4"/>
  <c r="AU11" i="4"/>
  <c r="AV11" i="4"/>
  <c r="AW11" i="4"/>
  <c r="AX11" i="4"/>
  <c r="AY11" i="4"/>
  <c r="AZ11" i="4"/>
  <c r="BA11" i="4"/>
  <c r="BB11" i="4"/>
  <c r="BC11" i="4"/>
  <c r="BD11" i="4"/>
  <c r="BE11" i="4"/>
  <c r="BF11" i="4"/>
  <c r="BG11" i="4"/>
  <c r="BH11" i="4"/>
  <c r="BI11" i="4"/>
  <c r="BJ11" i="4"/>
  <c r="D12" i="4"/>
  <c r="E12" i="4"/>
  <c r="F12" i="4"/>
  <c r="G12" i="4"/>
  <c r="H12" i="4"/>
  <c r="I12" i="4"/>
  <c r="J12" i="4"/>
  <c r="K12" i="4"/>
  <c r="L12" i="4"/>
  <c r="M12" i="4"/>
  <c r="N12" i="4"/>
  <c r="O12" i="4"/>
  <c r="P12" i="4"/>
  <c r="Q12" i="4"/>
  <c r="R12" i="4"/>
  <c r="S12" i="4"/>
  <c r="T12" i="4"/>
  <c r="U12" i="4"/>
  <c r="V12" i="4"/>
  <c r="W12" i="4"/>
  <c r="X12" i="4"/>
  <c r="Y12" i="4"/>
  <c r="Z12" i="4"/>
  <c r="AA12" i="4"/>
  <c r="AB12" i="4"/>
  <c r="AC12" i="4"/>
  <c r="AD12" i="4"/>
  <c r="AE12" i="4"/>
  <c r="AF12" i="4"/>
  <c r="AG12" i="4"/>
  <c r="AH12" i="4"/>
  <c r="AI12" i="4"/>
  <c r="AJ12" i="4"/>
  <c r="AK12" i="4"/>
  <c r="AL12" i="4"/>
  <c r="AM12" i="4"/>
  <c r="AN12" i="4"/>
  <c r="AO12" i="4"/>
  <c r="AP12" i="4"/>
  <c r="AQ12" i="4"/>
  <c r="AR12" i="4"/>
  <c r="AS12" i="4"/>
  <c r="AT12" i="4"/>
  <c r="AU12" i="4"/>
  <c r="AV12" i="4"/>
  <c r="AW12" i="4"/>
  <c r="AX12" i="4"/>
  <c r="AY12" i="4"/>
  <c r="AZ12" i="4"/>
  <c r="BA12" i="4"/>
  <c r="BB12" i="4"/>
  <c r="BC12" i="4"/>
  <c r="BD12" i="4"/>
  <c r="BE12" i="4"/>
  <c r="BF12" i="4"/>
  <c r="BG12" i="4"/>
  <c r="BH12" i="4"/>
  <c r="BI12" i="4"/>
  <c r="BJ12" i="4"/>
  <c r="C11" i="4"/>
  <c r="C10" i="4"/>
  <c r="BK11" i="17"/>
  <c r="BD13" i="4" l="1"/>
  <c r="AN13" i="4"/>
  <c r="X13" i="4"/>
  <c r="H13" i="4"/>
  <c r="AJ13" i="4"/>
  <c r="AV13" i="4"/>
  <c r="AF13" i="4"/>
  <c r="T13" i="4"/>
  <c r="D13" i="4"/>
  <c r="BI13" i="4"/>
  <c r="BE13" i="4"/>
  <c r="BA13" i="4"/>
  <c r="AW13" i="4"/>
  <c r="AS13" i="4"/>
  <c r="AO13" i="4"/>
  <c r="AK13" i="4"/>
  <c r="AG13" i="4"/>
  <c r="AC13" i="4"/>
  <c r="Y13" i="4"/>
  <c r="U13" i="4"/>
  <c r="Q13" i="4"/>
  <c r="M13" i="4"/>
  <c r="I13" i="4"/>
  <c r="E13" i="4"/>
  <c r="BH13" i="4"/>
  <c r="AR13" i="4"/>
  <c r="AB13" i="4"/>
  <c r="L13" i="4"/>
  <c r="AZ13" i="4"/>
  <c r="P13" i="4"/>
  <c r="BJ13" i="4"/>
  <c r="BF13" i="4"/>
  <c r="AT13" i="4"/>
  <c r="AP13" i="4"/>
  <c r="AD13" i="4"/>
  <c r="V13" i="4"/>
  <c r="N13" i="4"/>
  <c r="J13" i="4"/>
  <c r="BB13" i="4"/>
  <c r="AX13" i="4"/>
  <c r="AL13" i="4"/>
  <c r="AH13" i="4"/>
  <c r="Z13" i="4"/>
  <c r="R13" i="4"/>
  <c r="F13" i="4"/>
  <c r="BC13" i="4"/>
  <c r="AU13" i="4"/>
  <c r="AQ13" i="4"/>
  <c r="AI13" i="4"/>
  <c r="AE13" i="4"/>
  <c r="AA13" i="4"/>
  <c r="W13" i="4"/>
  <c r="S13" i="4"/>
  <c r="O13" i="4"/>
  <c r="K13" i="4"/>
  <c r="G13" i="4"/>
  <c r="BG13" i="4"/>
  <c r="AY13" i="4"/>
  <c r="AM13" i="4"/>
  <c r="BK10" i="4"/>
  <c r="BJ13" i="17"/>
  <c r="BI13"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Y13" i="17"/>
  <c r="X13" i="17"/>
  <c r="W13" i="17"/>
  <c r="V13" i="17"/>
  <c r="U13" i="17"/>
  <c r="T13" i="17"/>
  <c r="S13" i="17"/>
  <c r="R13" i="17"/>
  <c r="Q13" i="17"/>
  <c r="P13" i="17"/>
  <c r="O13" i="17"/>
  <c r="N13" i="17"/>
  <c r="M13" i="17"/>
  <c r="L13" i="17"/>
  <c r="K13" i="17"/>
  <c r="J13" i="17"/>
  <c r="I13" i="17"/>
  <c r="H13" i="17"/>
  <c r="G13" i="17"/>
  <c r="F13" i="17"/>
  <c r="E13" i="17"/>
  <c r="D13" i="17"/>
  <c r="C13" i="17"/>
  <c r="Q4" i="4" l="1"/>
  <c r="R4" i="4"/>
  <c r="S4" i="4"/>
  <c r="T4" i="4"/>
  <c r="U4" i="4"/>
  <c r="V4" i="4"/>
  <c r="W4" i="4"/>
  <c r="X4" i="4"/>
  <c r="Y4" i="4"/>
  <c r="Z4" i="4"/>
  <c r="AA4" i="4"/>
  <c r="AB4" i="4"/>
  <c r="AC4" i="4"/>
  <c r="AD4" i="4"/>
  <c r="AE4" i="4"/>
  <c r="AF4" i="4"/>
  <c r="AG4" i="4"/>
  <c r="AH4" i="4"/>
  <c r="AI4" i="4"/>
  <c r="AJ4" i="4"/>
  <c r="AK4" i="4"/>
  <c r="AL4" i="4"/>
  <c r="AM4" i="4"/>
  <c r="AN4" i="4"/>
  <c r="AO4" i="4"/>
  <c r="AP4" i="4"/>
  <c r="AQ4" i="4"/>
  <c r="AR4" i="4"/>
  <c r="AS4" i="4"/>
  <c r="AT4" i="4"/>
  <c r="AU4" i="4"/>
  <c r="AV4" i="4"/>
  <c r="AW4" i="4"/>
  <c r="AX4" i="4"/>
  <c r="AY4" i="4"/>
  <c r="AZ4" i="4"/>
  <c r="BA4" i="4"/>
  <c r="BB4" i="4"/>
  <c r="BC4" i="4"/>
  <c r="BD4" i="4"/>
  <c r="BE4" i="4"/>
  <c r="BF4" i="4"/>
  <c r="BG4" i="4"/>
  <c r="BH4" i="4"/>
  <c r="BI4" i="4"/>
  <c r="BJ4" i="4"/>
  <c r="D4" i="4"/>
  <c r="E4" i="4"/>
  <c r="F4" i="4"/>
  <c r="G4" i="4"/>
  <c r="H4" i="4"/>
  <c r="I4" i="4"/>
  <c r="J4" i="4"/>
  <c r="K4" i="4"/>
  <c r="L4" i="4"/>
  <c r="M4" i="4"/>
  <c r="N4" i="4"/>
  <c r="O4" i="4"/>
  <c r="P4" i="4"/>
  <c r="C4" i="4"/>
  <c r="BK4" i="17"/>
  <c r="BX33" i="21" l="1"/>
  <c r="BW33" i="21"/>
  <c r="BV33" i="21"/>
  <c r="BU33" i="21"/>
  <c r="BT33" i="21"/>
  <c r="BS33" i="21"/>
  <c r="BR33" i="21"/>
  <c r="BQ33" i="21"/>
  <c r="BP33" i="21"/>
  <c r="BO33" i="21"/>
  <c r="BN33" i="21"/>
  <c r="BM33" i="21"/>
  <c r="BL33" i="21"/>
  <c r="BK33" i="21"/>
  <c r="BJ33" i="21"/>
  <c r="BI33" i="21"/>
  <c r="BH33" i="21"/>
  <c r="BG33" i="21"/>
  <c r="BF33" i="21"/>
  <c r="BE33" i="21"/>
  <c r="BD33" i="21"/>
  <c r="BC33" i="21"/>
  <c r="BB33" i="21"/>
  <c r="BA33" i="21"/>
  <c r="AZ33" i="21"/>
  <c r="AY33" i="21"/>
  <c r="AX33" i="21"/>
  <c r="AW33" i="21"/>
  <c r="AV33" i="21"/>
  <c r="AU33" i="21"/>
  <c r="AT33" i="21"/>
  <c r="AS33" i="21"/>
  <c r="AR33" i="21"/>
  <c r="AQ33" i="21"/>
  <c r="AP33" i="21"/>
  <c r="AO33" i="21"/>
  <c r="AN33" i="21"/>
  <c r="AM33" i="21"/>
  <c r="AL33" i="21"/>
  <c r="AK33" i="21"/>
  <c r="AJ33" i="21"/>
  <c r="AI33" i="21"/>
  <c r="AH33" i="21"/>
  <c r="AG33" i="21"/>
  <c r="AF33" i="21"/>
  <c r="AE33" i="21"/>
  <c r="AD33" i="21"/>
  <c r="AC33" i="21"/>
  <c r="AB33" i="21"/>
  <c r="AA33" i="21"/>
  <c r="Z33" i="21"/>
  <c r="Y33" i="21"/>
  <c r="X33" i="21"/>
  <c r="W33" i="21"/>
  <c r="V33" i="21"/>
  <c r="U33" i="21"/>
  <c r="T33" i="21"/>
  <c r="S33" i="21"/>
  <c r="R33" i="21"/>
  <c r="Q33" i="21"/>
  <c r="BX32" i="21"/>
  <c r="BW32" i="21"/>
  <c r="BV32" i="21"/>
  <c r="BU32" i="21"/>
  <c r="BT32" i="21"/>
  <c r="BS32" i="21"/>
  <c r="BR32" i="21"/>
  <c r="BQ32" i="21"/>
  <c r="BP32" i="21"/>
  <c r="BO32" i="21"/>
  <c r="BN32" i="21"/>
  <c r="BM32" i="21"/>
  <c r="BL32" i="21"/>
  <c r="BK32" i="21"/>
  <c r="BJ32" i="21"/>
  <c r="BI32" i="21"/>
  <c r="BH32" i="21"/>
  <c r="BG32" i="21"/>
  <c r="BF32" i="21"/>
  <c r="BE32" i="21"/>
  <c r="BD32" i="21"/>
  <c r="BC32" i="21"/>
  <c r="BB32"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V32" i="21"/>
  <c r="U32" i="21"/>
  <c r="T32" i="21"/>
  <c r="S32" i="21"/>
  <c r="R32" i="21"/>
  <c r="Q32" i="21"/>
  <c r="BX31" i="21"/>
  <c r="BW31" i="21"/>
  <c r="BV31" i="21"/>
  <c r="BU31" i="21"/>
  <c r="BT31" i="21"/>
  <c r="BS31" i="21"/>
  <c r="BR31" i="21"/>
  <c r="BQ31" i="21"/>
  <c r="BP31" i="21"/>
  <c r="BO31" i="21"/>
  <c r="BN31" i="21"/>
  <c r="BM31" i="21"/>
  <c r="BL31" i="21"/>
  <c r="BK31" i="21"/>
  <c r="BJ31" i="21"/>
  <c r="BI31" i="21"/>
  <c r="BH31" i="21"/>
  <c r="BG31" i="21"/>
  <c r="BF31" i="21"/>
  <c r="BE31" i="21"/>
  <c r="BD31" i="21"/>
  <c r="BC31" i="21"/>
  <c r="BB31" i="21"/>
  <c r="BA31" i="21"/>
  <c r="AZ31" i="21"/>
  <c r="AY31" i="21"/>
  <c r="AX31" i="21"/>
  <c r="AW31" i="21"/>
  <c r="AV31" i="21"/>
  <c r="AU31" i="21"/>
  <c r="AT31" i="21"/>
  <c r="AS31" i="21"/>
  <c r="AR31" i="21"/>
  <c r="AQ31" i="21"/>
  <c r="AP31" i="21"/>
  <c r="AO31" i="21"/>
  <c r="AN31" i="21"/>
  <c r="AM31" i="21"/>
  <c r="AL31" i="21"/>
  <c r="AK31" i="21"/>
  <c r="AJ31" i="21"/>
  <c r="AI31" i="21"/>
  <c r="AH31" i="21"/>
  <c r="AG31" i="21"/>
  <c r="AF31" i="21"/>
  <c r="AE31" i="21"/>
  <c r="AD31" i="21"/>
  <c r="AC31" i="21"/>
  <c r="AB31" i="21"/>
  <c r="AA31" i="21"/>
  <c r="Z31" i="21"/>
  <c r="Y31" i="21"/>
  <c r="X31" i="21"/>
  <c r="W31" i="21"/>
  <c r="V31" i="21"/>
  <c r="U31" i="21"/>
  <c r="T31" i="21"/>
  <c r="S31" i="21"/>
  <c r="R31" i="21"/>
  <c r="Q31" i="21"/>
  <c r="BX30" i="21"/>
  <c r="BW30" i="21"/>
  <c r="BV30" i="21"/>
  <c r="BU30" i="21"/>
  <c r="BT30" i="21"/>
  <c r="BS30" i="21"/>
  <c r="BR30" i="21"/>
  <c r="BQ30" i="21"/>
  <c r="BP30" i="21"/>
  <c r="BO30" i="21"/>
  <c r="BN30" i="21"/>
  <c r="BM30" i="21"/>
  <c r="BL30" i="21"/>
  <c r="BK30" i="21"/>
  <c r="BJ30" i="21"/>
  <c r="BI30" i="21"/>
  <c r="BH30" i="21"/>
  <c r="BG30" i="21"/>
  <c r="BF30" i="21"/>
  <c r="BE30" i="21"/>
  <c r="BD30" i="21"/>
  <c r="BC30" i="21"/>
  <c r="BB30"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V30" i="21"/>
  <c r="U30" i="21"/>
  <c r="T30" i="21"/>
  <c r="S30" i="21"/>
  <c r="R30" i="21"/>
  <c r="Q30" i="21"/>
  <c r="BX29" i="21"/>
  <c r="BW29" i="21"/>
  <c r="BV29" i="21"/>
  <c r="BU29" i="21"/>
  <c r="BT29" i="21"/>
  <c r="BS29" i="21"/>
  <c r="BR29" i="21"/>
  <c r="BQ29" i="21"/>
  <c r="BP29" i="21"/>
  <c r="BO29" i="21"/>
  <c r="BN29" i="21"/>
  <c r="BM29" i="21"/>
  <c r="BL29" i="21"/>
  <c r="BK29" i="21"/>
  <c r="BJ29" i="21"/>
  <c r="BI29" i="21"/>
  <c r="BH29" i="21"/>
  <c r="BG29" i="21"/>
  <c r="BF29" i="21"/>
  <c r="BE29" i="21"/>
  <c r="BD29" i="21"/>
  <c r="BC29" i="21"/>
  <c r="BB29" i="21"/>
  <c r="BA29" i="21"/>
  <c r="AZ29" i="21"/>
  <c r="AY29" i="21"/>
  <c r="AX29" i="21"/>
  <c r="AW29" i="21"/>
  <c r="AV29" i="21"/>
  <c r="AU29" i="21"/>
  <c r="AT29" i="21"/>
  <c r="AS29" i="21"/>
  <c r="AR29" i="21"/>
  <c r="AQ29" i="21"/>
  <c r="AP29" i="21"/>
  <c r="AO29" i="21"/>
  <c r="AN29" i="21"/>
  <c r="AM29" i="21"/>
  <c r="AL29" i="21"/>
  <c r="AK29" i="21"/>
  <c r="AJ29" i="21"/>
  <c r="AI29" i="21"/>
  <c r="AH29" i="21"/>
  <c r="AG29" i="21"/>
  <c r="AF29" i="21"/>
  <c r="AE29" i="21"/>
  <c r="AD29" i="21"/>
  <c r="AC29" i="21"/>
  <c r="AB29" i="21"/>
  <c r="AA29" i="21"/>
  <c r="Z29" i="21"/>
  <c r="Y29" i="21"/>
  <c r="X29" i="21"/>
  <c r="W29" i="21"/>
  <c r="V29" i="21"/>
  <c r="U29" i="21"/>
  <c r="T29" i="21"/>
  <c r="S29" i="21"/>
  <c r="R29" i="21"/>
  <c r="Q29" i="21"/>
  <c r="BX28" i="21"/>
  <c r="BW28" i="21"/>
  <c r="BV28" i="21"/>
  <c r="BU28" i="21"/>
  <c r="BT28" i="21"/>
  <c r="BS28" i="21"/>
  <c r="BR28" i="21"/>
  <c r="BQ28" i="21"/>
  <c r="BP28" i="21"/>
  <c r="BO28" i="21"/>
  <c r="BN28" i="21"/>
  <c r="BM28" i="21"/>
  <c r="BL28" i="21"/>
  <c r="BK28" i="21"/>
  <c r="BJ28" i="21"/>
  <c r="BI28" i="21"/>
  <c r="BH28" i="21"/>
  <c r="BG28" i="21"/>
  <c r="BF28" i="21"/>
  <c r="BE28" i="21"/>
  <c r="BD28" i="21"/>
  <c r="BC28" i="21"/>
  <c r="BB28"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V28" i="21"/>
  <c r="U28" i="21"/>
  <c r="T28" i="21"/>
  <c r="S28" i="21"/>
  <c r="R28" i="21"/>
  <c r="Q28" i="21"/>
  <c r="BX27" i="21"/>
  <c r="BW27" i="21"/>
  <c r="BV27" i="21"/>
  <c r="BU27" i="21"/>
  <c r="BT27" i="21"/>
  <c r="BS27" i="21"/>
  <c r="BR27" i="21"/>
  <c r="BQ27" i="21"/>
  <c r="BP27" i="21"/>
  <c r="BO27" i="21"/>
  <c r="BN27" i="21"/>
  <c r="BM27" i="21"/>
  <c r="BL27" i="21"/>
  <c r="BK27" i="21"/>
  <c r="BJ27" i="21"/>
  <c r="BI27" i="21"/>
  <c r="BH27" i="21"/>
  <c r="BG27" i="21"/>
  <c r="BF27" i="21"/>
  <c r="BE27" i="21"/>
  <c r="BD27" i="21"/>
  <c r="BC27" i="21"/>
  <c r="BB27" i="21"/>
  <c r="BA27" i="21"/>
  <c r="AZ27" i="21"/>
  <c r="AY27" i="21"/>
  <c r="AX27" i="21"/>
  <c r="AW27" i="21"/>
  <c r="AV27" i="21"/>
  <c r="AU27" i="21"/>
  <c r="AT27" i="21"/>
  <c r="AS27" i="21"/>
  <c r="AR27" i="21"/>
  <c r="AQ27" i="21"/>
  <c r="AP27" i="21"/>
  <c r="AO27" i="21"/>
  <c r="AN27" i="21"/>
  <c r="AM27" i="21"/>
  <c r="AL27" i="21"/>
  <c r="AK27" i="21"/>
  <c r="AJ27" i="21"/>
  <c r="AI27" i="21"/>
  <c r="AH27" i="21"/>
  <c r="AG27" i="21"/>
  <c r="AF27" i="21"/>
  <c r="AE27" i="21"/>
  <c r="AD27" i="21"/>
  <c r="AC27" i="21"/>
  <c r="AB27" i="21"/>
  <c r="AA27" i="21"/>
  <c r="Z27" i="21"/>
  <c r="Y27" i="21"/>
  <c r="X27" i="21"/>
  <c r="W27" i="21"/>
  <c r="V27" i="21"/>
  <c r="U27" i="21"/>
  <c r="T27" i="21"/>
  <c r="S27" i="21"/>
  <c r="R27" i="21"/>
  <c r="Q27" i="21"/>
  <c r="BX26" i="21"/>
  <c r="BW26" i="21"/>
  <c r="BV26" i="21"/>
  <c r="BU26" i="21"/>
  <c r="BT26" i="21"/>
  <c r="BS26" i="21"/>
  <c r="BR26" i="21"/>
  <c r="BQ26" i="21"/>
  <c r="BP26" i="21"/>
  <c r="BO26" i="21"/>
  <c r="BN26" i="21"/>
  <c r="BM26" i="21"/>
  <c r="BL26" i="21"/>
  <c r="BK26" i="21"/>
  <c r="BJ26" i="21"/>
  <c r="BI26" i="21"/>
  <c r="BH26" i="21"/>
  <c r="BG26" i="21"/>
  <c r="BF26" i="21"/>
  <c r="BE26" i="21"/>
  <c r="BD26" i="21"/>
  <c r="BC26" i="21"/>
  <c r="BB26"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V26" i="21"/>
  <c r="U26" i="21"/>
  <c r="T26" i="21"/>
  <c r="S26" i="21"/>
  <c r="R26" i="21"/>
  <c r="Q26" i="21"/>
  <c r="BX25" i="21"/>
  <c r="BW25" i="21"/>
  <c r="BV25" i="21"/>
  <c r="BU25" i="21"/>
  <c r="BT25" i="21"/>
  <c r="BS25" i="21"/>
  <c r="BR25" i="21"/>
  <c r="BQ25" i="21"/>
  <c r="BP25" i="21"/>
  <c r="BO25" i="21"/>
  <c r="BN25" i="21"/>
  <c r="BM25" i="21"/>
  <c r="BL25" i="21"/>
  <c r="BK25" i="21"/>
  <c r="BJ25" i="21"/>
  <c r="BI25" i="21"/>
  <c r="BH25" i="21"/>
  <c r="BG25" i="21"/>
  <c r="BF25" i="21"/>
  <c r="BE25" i="21"/>
  <c r="BD25" i="21"/>
  <c r="BC25" i="21"/>
  <c r="BB25" i="21"/>
  <c r="BA25" i="21"/>
  <c r="AZ25" i="21"/>
  <c r="AY25" i="21"/>
  <c r="AX25" i="21"/>
  <c r="AW25" i="21"/>
  <c r="AV25" i="21"/>
  <c r="AU25" i="21"/>
  <c r="AT25" i="21"/>
  <c r="AS25" i="21"/>
  <c r="AR25" i="21"/>
  <c r="AQ25" i="21"/>
  <c r="AP25" i="21"/>
  <c r="AO25" i="21"/>
  <c r="AN25" i="21"/>
  <c r="AM25" i="21"/>
  <c r="AL25" i="21"/>
  <c r="AK25" i="21"/>
  <c r="AJ25" i="21"/>
  <c r="AI25" i="21"/>
  <c r="AH25" i="21"/>
  <c r="AG25" i="21"/>
  <c r="AF25" i="21"/>
  <c r="AE25" i="21"/>
  <c r="AD25" i="21"/>
  <c r="AC25" i="21"/>
  <c r="AB25" i="21"/>
  <c r="AA25" i="21"/>
  <c r="Z25" i="21"/>
  <c r="Y25" i="21"/>
  <c r="X25" i="21"/>
  <c r="W25" i="21"/>
  <c r="V25" i="21"/>
  <c r="U25" i="21"/>
  <c r="T25" i="21"/>
  <c r="S25" i="21"/>
  <c r="R25" i="21"/>
  <c r="Q25" i="21"/>
  <c r="BX24" i="21"/>
  <c r="BW24" i="21"/>
  <c r="BV24" i="21"/>
  <c r="BU24" i="21"/>
  <c r="BT24" i="21"/>
  <c r="BS24" i="21"/>
  <c r="BR24" i="21"/>
  <c r="BQ24" i="21"/>
  <c r="BP24" i="21"/>
  <c r="BO24" i="21"/>
  <c r="BN24" i="21"/>
  <c r="BM24" i="21"/>
  <c r="BL24" i="21"/>
  <c r="BK24" i="21"/>
  <c r="BJ24" i="21"/>
  <c r="BI24" i="21"/>
  <c r="BH24" i="21"/>
  <c r="BG24" i="21"/>
  <c r="BF24" i="21"/>
  <c r="BE24" i="21"/>
  <c r="BD24" i="21"/>
  <c r="BC24" i="21"/>
  <c r="BB24"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V24" i="21"/>
  <c r="U24" i="21"/>
  <c r="T24" i="21"/>
  <c r="S24" i="21"/>
  <c r="R24" i="21"/>
  <c r="Q24" i="21"/>
  <c r="BX23" i="21"/>
  <c r="BW23" i="21"/>
  <c r="BV23" i="21"/>
  <c r="BU23" i="21"/>
  <c r="BT23" i="21"/>
  <c r="BS23" i="21"/>
  <c r="BR23" i="21"/>
  <c r="BQ23" i="21"/>
  <c r="BP23" i="21"/>
  <c r="BO23" i="21"/>
  <c r="BN23" i="21"/>
  <c r="BM23" i="21"/>
  <c r="BL23" i="21"/>
  <c r="BK23" i="21"/>
  <c r="BJ23" i="21"/>
  <c r="BI23" i="21"/>
  <c r="BH23" i="21"/>
  <c r="BG23" i="21"/>
  <c r="BF23" i="21"/>
  <c r="BE23" i="21"/>
  <c r="BD23" i="21"/>
  <c r="BC23" i="21"/>
  <c r="BB23" i="21"/>
  <c r="BA23" i="21"/>
  <c r="AZ23" i="21"/>
  <c r="AY23" i="21"/>
  <c r="AX23" i="21"/>
  <c r="AW23" i="21"/>
  <c r="AV23" i="21"/>
  <c r="AU23" i="21"/>
  <c r="AT23" i="21"/>
  <c r="AS23" i="21"/>
  <c r="AR23" i="21"/>
  <c r="AQ23" i="21"/>
  <c r="AP23" i="21"/>
  <c r="AO23" i="21"/>
  <c r="AN23" i="21"/>
  <c r="AM23" i="21"/>
  <c r="AL23" i="21"/>
  <c r="AK23" i="21"/>
  <c r="AJ23" i="21"/>
  <c r="AI23" i="21"/>
  <c r="AH23" i="21"/>
  <c r="AG23" i="21"/>
  <c r="AF23" i="21"/>
  <c r="AE23" i="21"/>
  <c r="AD23" i="21"/>
  <c r="AC23" i="21"/>
  <c r="AB23" i="21"/>
  <c r="AA23" i="21"/>
  <c r="Z23" i="21"/>
  <c r="Y23" i="21"/>
  <c r="X23" i="21"/>
  <c r="W23" i="21"/>
  <c r="V23" i="21"/>
  <c r="U23" i="21"/>
  <c r="T23" i="21"/>
  <c r="S23" i="21"/>
  <c r="R23" i="21"/>
  <c r="Q23" i="21"/>
  <c r="BX22" i="21"/>
  <c r="BW22" i="21"/>
  <c r="BV22" i="21"/>
  <c r="BU22" i="21"/>
  <c r="BT22" i="21"/>
  <c r="BS22" i="21"/>
  <c r="BR22" i="21"/>
  <c r="BQ22" i="21"/>
  <c r="BP22" i="21"/>
  <c r="BO22" i="21"/>
  <c r="BN22" i="21"/>
  <c r="BM22" i="21"/>
  <c r="BL22" i="21"/>
  <c r="BK22" i="21"/>
  <c r="BJ22" i="21"/>
  <c r="BI22" i="21"/>
  <c r="BH22" i="21"/>
  <c r="BG22" i="21"/>
  <c r="BF22" i="21"/>
  <c r="BE22" i="21"/>
  <c r="BD22" i="21"/>
  <c r="BC22" i="21"/>
  <c r="BB22"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V22" i="21"/>
  <c r="U22" i="21"/>
  <c r="T22" i="21"/>
  <c r="S22" i="21"/>
  <c r="R22" i="21"/>
  <c r="Q22" i="21"/>
  <c r="BX21" i="21"/>
  <c r="BW21" i="21"/>
  <c r="BV21" i="21"/>
  <c r="BU21" i="21"/>
  <c r="BT21" i="21"/>
  <c r="BS21" i="21"/>
  <c r="BR21" i="21"/>
  <c r="BQ21" i="21"/>
  <c r="BP21" i="21"/>
  <c r="BO21" i="21"/>
  <c r="BN21" i="21"/>
  <c r="BM21" i="21"/>
  <c r="BL21" i="21"/>
  <c r="BK21" i="21"/>
  <c r="BJ21" i="21"/>
  <c r="BI21" i="21"/>
  <c r="BH21" i="21"/>
  <c r="BG21" i="21"/>
  <c r="BF21" i="21"/>
  <c r="BE21" i="21"/>
  <c r="BD21" i="21"/>
  <c r="BC21" i="21"/>
  <c r="BB21" i="21"/>
  <c r="BA21" i="21"/>
  <c r="AZ21" i="21"/>
  <c r="AY21" i="21"/>
  <c r="AX21" i="21"/>
  <c r="AW21" i="21"/>
  <c r="AV21" i="21"/>
  <c r="AU21" i="21"/>
  <c r="AT21" i="21"/>
  <c r="AS21" i="21"/>
  <c r="AR21" i="21"/>
  <c r="AQ21" i="21"/>
  <c r="AP21" i="21"/>
  <c r="AO21" i="21"/>
  <c r="AN21" i="21"/>
  <c r="AM21" i="21"/>
  <c r="AL21" i="21"/>
  <c r="AK21" i="21"/>
  <c r="AJ21" i="21"/>
  <c r="AI21" i="21"/>
  <c r="AH21" i="21"/>
  <c r="AG21" i="21"/>
  <c r="AF21" i="21"/>
  <c r="AE21" i="21"/>
  <c r="AD21" i="21"/>
  <c r="AC21" i="21"/>
  <c r="AB21" i="21"/>
  <c r="AA21" i="21"/>
  <c r="Z21" i="21"/>
  <c r="Y21" i="21"/>
  <c r="X21" i="21"/>
  <c r="W21" i="21"/>
  <c r="V21" i="21"/>
  <c r="U21" i="21"/>
  <c r="T21" i="21"/>
  <c r="S21" i="21"/>
  <c r="R21" i="21"/>
  <c r="Q21" i="21"/>
  <c r="BX20" i="21"/>
  <c r="BW20" i="21"/>
  <c r="BV20" i="21"/>
  <c r="BU20" i="21"/>
  <c r="BT20" i="21"/>
  <c r="BS20" i="21"/>
  <c r="BR20" i="21"/>
  <c r="BQ20" i="21"/>
  <c r="BP20" i="21"/>
  <c r="BO20" i="21"/>
  <c r="BN20" i="21"/>
  <c r="BM20" i="21"/>
  <c r="BL20" i="21"/>
  <c r="BK20" i="21"/>
  <c r="BJ20" i="21"/>
  <c r="BI20" i="21"/>
  <c r="BH20" i="21"/>
  <c r="BG20" i="21"/>
  <c r="BF20" i="21"/>
  <c r="BE20" i="21"/>
  <c r="BD20" i="21"/>
  <c r="BC20" i="21"/>
  <c r="BB20"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V20" i="21"/>
  <c r="U20" i="21"/>
  <c r="T20" i="21"/>
  <c r="S20" i="21"/>
  <c r="R20" i="21"/>
  <c r="Q20" i="21"/>
  <c r="BX19" i="21"/>
  <c r="BW19" i="21"/>
  <c r="BV19" i="21"/>
  <c r="BU19" i="21"/>
  <c r="BT19" i="21"/>
  <c r="BS19" i="21"/>
  <c r="BR19" i="21"/>
  <c r="BQ19" i="21"/>
  <c r="BP19" i="21"/>
  <c r="BO19" i="21"/>
  <c r="BN19" i="21"/>
  <c r="BM19" i="21"/>
  <c r="BL19" i="21"/>
  <c r="BK19" i="21"/>
  <c r="BJ19" i="21"/>
  <c r="BI19" i="21"/>
  <c r="BH19" i="21"/>
  <c r="BG19" i="21"/>
  <c r="BF19" i="21"/>
  <c r="BE19" i="21"/>
  <c r="BD19" i="21"/>
  <c r="BC19" i="21"/>
  <c r="BB19" i="21"/>
  <c r="BA19" i="21"/>
  <c r="AZ19" i="21"/>
  <c r="AY19" i="21"/>
  <c r="AX19" i="21"/>
  <c r="AW19" i="21"/>
  <c r="AV19" i="21"/>
  <c r="AU19" i="21"/>
  <c r="AT19" i="21"/>
  <c r="AS19" i="21"/>
  <c r="AR19" i="21"/>
  <c r="AQ19" i="21"/>
  <c r="AP19" i="21"/>
  <c r="AO19" i="21"/>
  <c r="AN19" i="21"/>
  <c r="AM19" i="21"/>
  <c r="AL19" i="21"/>
  <c r="AK19" i="21"/>
  <c r="AJ19" i="21"/>
  <c r="AI19" i="21"/>
  <c r="AH19" i="21"/>
  <c r="AG19" i="21"/>
  <c r="AF19" i="21"/>
  <c r="AE19" i="21"/>
  <c r="AD19" i="21"/>
  <c r="AC19" i="21"/>
  <c r="AB19" i="21"/>
  <c r="AA19" i="21"/>
  <c r="Z19" i="21"/>
  <c r="Y19" i="21"/>
  <c r="X19" i="21"/>
  <c r="W19" i="21"/>
  <c r="V19" i="21"/>
  <c r="U19" i="21"/>
  <c r="T19" i="21"/>
  <c r="S19" i="21"/>
  <c r="R19" i="21"/>
  <c r="Q19" i="21"/>
  <c r="BX18" i="21"/>
  <c r="BW18" i="21"/>
  <c r="BV18" i="21"/>
  <c r="BU18" i="21"/>
  <c r="BT18" i="21"/>
  <c r="BS18" i="21"/>
  <c r="BR18" i="21"/>
  <c r="BQ18" i="21"/>
  <c r="BP18" i="21"/>
  <c r="BO18" i="21"/>
  <c r="BN18" i="21"/>
  <c r="BM18" i="21"/>
  <c r="BL18" i="21"/>
  <c r="BK18" i="21"/>
  <c r="BJ18" i="21"/>
  <c r="BI18" i="21"/>
  <c r="BH18" i="21"/>
  <c r="BG18" i="21"/>
  <c r="BF18" i="21"/>
  <c r="BE18" i="21"/>
  <c r="BD18" i="21"/>
  <c r="BC18" i="21"/>
  <c r="BB18"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V18" i="21"/>
  <c r="U18" i="21"/>
  <c r="T18" i="21"/>
  <c r="S18" i="21"/>
  <c r="R18" i="21"/>
  <c r="Q18" i="21"/>
  <c r="BX17" i="21"/>
  <c r="BW17" i="21"/>
  <c r="BV17" i="21"/>
  <c r="BU17" i="21"/>
  <c r="BT17" i="21"/>
  <c r="BS17" i="21"/>
  <c r="BR17" i="21"/>
  <c r="BQ17" i="21"/>
  <c r="BP17" i="21"/>
  <c r="BO17" i="21"/>
  <c r="BN17" i="21"/>
  <c r="BM17" i="21"/>
  <c r="BL17" i="21"/>
  <c r="BK17" i="21"/>
  <c r="BJ17" i="21"/>
  <c r="BI17" i="21"/>
  <c r="BH17" i="21"/>
  <c r="BG17" i="21"/>
  <c r="BF17" i="21"/>
  <c r="BE17" i="21"/>
  <c r="BD17" i="21"/>
  <c r="BC17" i="21"/>
  <c r="BB17" i="21"/>
  <c r="BA17" i="21"/>
  <c r="AZ17" i="21"/>
  <c r="AY17" i="21"/>
  <c r="AX17" i="21"/>
  <c r="AW17" i="21"/>
  <c r="AV17" i="21"/>
  <c r="AU17" i="21"/>
  <c r="AT17" i="21"/>
  <c r="AS17" i="21"/>
  <c r="AR17" i="21"/>
  <c r="AQ17" i="21"/>
  <c r="AP17" i="21"/>
  <c r="AO17" i="21"/>
  <c r="AN17" i="21"/>
  <c r="AM17" i="21"/>
  <c r="AL17" i="21"/>
  <c r="AK17" i="21"/>
  <c r="AJ17" i="21"/>
  <c r="AI17" i="21"/>
  <c r="AH17" i="21"/>
  <c r="AG17" i="21"/>
  <c r="AF17" i="21"/>
  <c r="AE17" i="21"/>
  <c r="AD17" i="21"/>
  <c r="AC17" i="21"/>
  <c r="AB17" i="21"/>
  <c r="AA17" i="21"/>
  <c r="Z17" i="21"/>
  <c r="Y17" i="21"/>
  <c r="X17" i="21"/>
  <c r="W17" i="21"/>
  <c r="V17" i="21"/>
  <c r="U17" i="21"/>
  <c r="T17" i="21"/>
  <c r="S17" i="21"/>
  <c r="R17" i="21"/>
  <c r="Q17" i="21"/>
  <c r="BX16" i="21"/>
  <c r="BW16" i="21"/>
  <c r="BV16" i="21"/>
  <c r="BU16" i="21"/>
  <c r="BT16" i="21"/>
  <c r="BS16" i="21"/>
  <c r="BR16" i="21"/>
  <c r="BQ16" i="21"/>
  <c r="BP16" i="21"/>
  <c r="BO16" i="21"/>
  <c r="BN16" i="21"/>
  <c r="BM16" i="21"/>
  <c r="BL16" i="21"/>
  <c r="BK16" i="21"/>
  <c r="BJ16" i="21"/>
  <c r="BI16" i="21"/>
  <c r="BH16" i="21"/>
  <c r="BG16" i="21"/>
  <c r="BF16" i="21"/>
  <c r="BE16" i="21"/>
  <c r="BD16" i="21"/>
  <c r="BC16" i="21"/>
  <c r="BB16" i="21"/>
  <c r="BA16" i="21"/>
  <c r="AZ16" i="21"/>
  <c r="AY16" i="21"/>
  <c r="AX16" i="21"/>
  <c r="AW16" i="21"/>
  <c r="AV16" i="21"/>
  <c r="AU16" i="21"/>
  <c r="AT16" i="21"/>
  <c r="AS16" i="21"/>
  <c r="AR16" i="21"/>
  <c r="AQ16" i="21"/>
  <c r="AP16" i="21"/>
  <c r="AO16" i="21"/>
  <c r="AN16" i="21"/>
  <c r="AM16" i="21"/>
  <c r="AL16" i="21"/>
  <c r="AK16" i="21"/>
  <c r="AJ16" i="21"/>
  <c r="AI16" i="21"/>
  <c r="AH16" i="21"/>
  <c r="AG16" i="21"/>
  <c r="AF16" i="21"/>
  <c r="AE16" i="21"/>
  <c r="AD16" i="21"/>
  <c r="AC16" i="21"/>
  <c r="AB16" i="21"/>
  <c r="AA16" i="21"/>
  <c r="Z16" i="21"/>
  <c r="Y16" i="21"/>
  <c r="X16" i="21"/>
  <c r="W16" i="21"/>
  <c r="V16" i="21"/>
  <c r="U16" i="21"/>
  <c r="T16" i="21"/>
  <c r="S16" i="21"/>
  <c r="R16" i="21"/>
  <c r="Q16" i="21"/>
  <c r="BX15" i="21"/>
  <c r="BW15" i="21"/>
  <c r="BV15" i="21"/>
  <c r="BU15" i="21"/>
  <c r="BT15" i="21"/>
  <c r="BS15" i="21"/>
  <c r="BR15" i="21"/>
  <c r="BQ15" i="21"/>
  <c r="BP15" i="21"/>
  <c r="BO15" i="21"/>
  <c r="BN15" i="21"/>
  <c r="BM15" i="21"/>
  <c r="BL15" i="21"/>
  <c r="BK15" i="21"/>
  <c r="BJ15" i="21"/>
  <c r="BI15" i="21"/>
  <c r="BH15" i="21"/>
  <c r="BG15" i="21"/>
  <c r="BF15" i="21"/>
  <c r="BE15" i="21"/>
  <c r="BD15" i="21"/>
  <c r="BC15" i="21"/>
  <c r="BB15" i="21"/>
  <c r="BA15" i="21"/>
  <c r="AZ15" i="21"/>
  <c r="AY15" i="21"/>
  <c r="AX15" i="21"/>
  <c r="AW15" i="21"/>
  <c r="AV15" i="21"/>
  <c r="AU15" i="21"/>
  <c r="AT15" i="21"/>
  <c r="AS15" i="21"/>
  <c r="AR15" i="21"/>
  <c r="AQ15" i="21"/>
  <c r="AP15" i="21"/>
  <c r="AO15" i="21"/>
  <c r="AN15" i="21"/>
  <c r="AM15" i="21"/>
  <c r="AL15" i="21"/>
  <c r="AK15" i="21"/>
  <c r="AJ15" i="21"/>
  <c r="AI15" i="21"/>
  <c r="AH15" i="21"/>
  <c r="AG15" i="21"/>
  <c r="AF15" i="21"/>
  <c r="AE15" i="21"/>
  <c r="AD15" i="21"/>
  <c r="AC15" i="21"/>
  <c r="AB15" i="21"/>
  <c r="AA15" i="21"/>
  <c r="Z15" i="21"/>
  <c r="Y15" i="21"/>
  <c r="X15" i="21"/>
  <c r="W15" i="21"/>
  <c r="V15" i="21"/>
  <c r="U15" i="21"/>
  <c r="T15" i="21"/>
  <c r="S15" i="21"/>
  <c r="R15" i="21"/>
  <c r="Q15" i="21"/>
  <c r="B51" i="21" l="1"/>
  <c r="B52" i="21"/>
  <c r="B53" i="21"/>
  <c r="B54" i="21"/>
  <c r="B55" i="21"/>
  <c r="B56" i="21"/>
  <c r="B57" i="21"/>
  <c r="B58" i="21"/>
  <c r="B59" i="21"/>
  <c r="B60" i="21"/>
  <c r="B61" i="21"/>
  <c r="B62" i="21"/>
  <c r="B63" i="21"/>
  <c r="B64" i="21"/>
  <c r="B65" i="21"/>
  <c r="B66" i="21"/>
  <c r="B67" i="21"/>
  <c r="B68" i="21"/>
  <c r="B69" i="21"/>
  <c r="B70" i="21"/>
  <c r="B71" i="21"/>
  <c r="B72" i="21"/>
  <c r="B73" i="21"/>
  <c r="B74" i="21"/>
  <c r="B75" i="21"/>
  <c r="B76" i="21"/>
  <c r="B77" i="21"/>
  <c r="B78" i="21"/>
  <c r="B50" i="21"/>
  <c r="B48" i="21"/>
  <c r="C34" i="21" l="1"/>
  <c r="X506" i="18"/>
  <c r="H5" i="23" l="1"/>
  <c r="H6" i="23"/>
  <c r="H7" i="23"/>
  <c r="H8" i="23"/>
  <c r="H9" i="23"/>
  <c r="H10" i="23"/>
  <c r="H11" i="23"/>
  <c r="H12" i="23"/>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51" i="23"/>
  <c r="H52" i="23"/>
  <c r="H53" i="23"/>
  <c r="H54" i="23"/>
  <c r="H55" i="23"/>
  <c r="H56" i="23"/>
  <c r="H57" i="23"/>
  <c r="H58" i="23"/>
  <c r="H59" i="23"/>
  <c r="H60" i="23"/>
  <c r="H61" i="23"/>
  <c r="H62" i="23"/>
  <c r="H63" i="23"/>
  <c r="H64" i="23"/>
  <c r="H65" i="23"/>
  <c r="H66" i="23"/>
  <c r="H67" i="23"/>
  <c r="H68" i="23"/>
  <c r="H69" i="23"/>
  <c r="H70" i="23"/>
  <c r="H71" i="23"/>
  <c r="H72" i="23"/>
  <c r="H73" i="23"/>
  <c r="H74" i="23"/>
  <c r="H75" i="23"/>
  <c r="H76" i="23"/>
  <c r="H77" i="23"/>
  <c r="H78" i="23"/>
  <c r="H79" i="23"/>
  <c r="H80" i="23"/>
  <c r="H81" i="23"/>
  <c r="H82" i="23"/>
  <c r="H83" i="23"/>
  <c r="H84" i="23"/>
  <c r="H85" i="23"/>
  <c r="H86" i="23"/>
  <c r="H87" i="23"/>
  <c r="H88" i="23"/>
  <c r="H89" i="23"/>
  <c r="H90" i="23"/>
  <c r="H91" i="23"/>
  <c r="H92" i="23"/>
  <c r="H93" i="23"/>
  <c r="H94" i="23"/>
  <c r="H95" i="23"/>
  <c r="H96" i="23"/>
  <c r="H97" i="23"/>
  <c r="H98" i="23"/>
  <c r="H99" i="23"/>
  <c r="H100" i="23"/>
  <c r="H101" i="23"/>
  <c r="H102" i="23"/>
  <c r="H103" i="23"/>
  <c r="H104" i="23"/>
  <c r="H105" i="23"/>
  <c r="H106" i="23"/>
  <c r="H107" i="23"/>
  <c r="H108" i="23"/>
  <c r="H109" i="23"/>
  <c r="H110" i="23"/>
  <c r="H111" i="23"/>
  <c r="H112" i="23"/>
  <c r="H113" i="23"/>
  <c r="H114" i="23"/>
  <c r="H115" i="23"/>
  <c r="H116" i="23"/>
  <c r="H117" i="23"/>
  <c r="H118" i="23"/>
  <c r="H119" i="23"/>
  <c r="H120" i="23"/>
  <c r="H121" i="23"/>
  <c r="H122" i="23"/>
  <c r="H123" i="23"/>
  <c r="H124" i="23"/>
  <c r="H125" i="23"/>
  <c r="H126" i="23"/>
  <c r="H127" i="23"/>
  <c r="H128" i="23"/>
  <c r="H129" i="23"/>
  <c r="H130" i="23"/>
  <c r="H131" i="23"/>
  <c r="H132" i="23"/>
  <c r="H133" i="23"/>
  <c r="H134" i="23"/>
  <c r="H135" i="23"/>
  <c r="H136" i="23"/>
  <c r="H137" i="23"/>
  <c r="H138" i="23"/>
  <c r="H139" i="23"/>
  <c r="H140" i="23"/>
  <c r="H141" i="23"/>
  <c r="H142" i="23"/>
  <c r="H143" i="23"/>
  <c r="H144" i="23"/>
  <c r="H145" i="23"/>
  <c r="H146" i="23"/>
  <c r="H147" i="23"/>
  <c r="H148" i="23"/>
  <c r="H149" i="23"/>
  <c r="H150" i="23"/>
  <c r="H151" i="23"/>
  <c r="H152" i="23"/>
  <c r="H153" i="23"/>
  <c r="H154" i="23"/>
  <c r="H155" i="23"/>
  <c r="H156" i="23"/>
  <c r="H157" i="23"/>
  <c r="H158" i="23"/>
  <c r="H159" i="23"/>
  <c r="H160" i="23"/>
  <c r="H161" i="23"/>
  <c r="H162" i="23"/>
  <c r="H163" i="23"/>
  <c r="H164" i="23"/>
  <c r="H165" i="23"/>
  <c r="H166" i="23"/>
  <c r="H167" i="23"/>
  <c r="H168" i="23"/>
  <c r="H169" i="23"/>
  <c r="H170" i="23"/>
  <c r="H171" i="23"/>
  <c r="H172" i="23"/>
  <c r="H173" i="23"/>
  <c r="H174" i="23"/>
  <c r="H175" i="23"/>
  <c r="H176" i="23"/>
  <c r="H177" i="23"/>
  <c r="H178" i="23"/>
  <c r="H179" i="23"/>
  <c r="H180" i="23"/>
  <c r="H181" i="23"/>
  <c r="H182" i="23"/>
  <c r="H183" i="23"/>
  <c r="H184" i="23"/>
  <c r="H185" i="23"/>
  <c r="H186" i="23"/>
  <c r="H187" i="23"/>
  <c r="H188" i="23"/>
  <c r="H189" i="23"/>
  <c r="H190" i="23"/>
  <c r="H191" i="23"/>
  <c r="H192" i="23"/>
  <c r="H193" i="23"/>
  <c r="H194" i="23"/>
  <c r="H195" i="23"/>
  <c r="H196" i="23"/>
  <c r="H197" i="23"/>
  <c r="H198" i="23"/>
  <c r="H199" i="23"/>
  <c r="H200" i="23"/>
  <c r="H201" i="23"/>
  <c r="H202" i="23"/>
  <c r="H203" i="23"/>
  <c r="H4" i="23"/>
  <c r="H4" i="22" l="1"/>
  <c r="K3" i="25"/>
  <c r="R39" i="25"/>
  <c r="R40" i="25"/>
  <c r="R41" i="25"/>
  <c r="R42" i="25"/>
  <c r="R43" i="25"/>
  <c r="R44" i="25"/>
  <c r="R45" i="25"/>
  <c r="R46" i="25"/>
  <c r="R47" i="25"/>
  <c r="R48" i="25"/>
  <c r="R49" i="25"/>
  <c r="R50" i="25"/>
  <c r="R51" i="25"/>
  <c r="R52" i="25"/>
  <c r="R53" i="25"/>
  <c r="R54" i="25"/>
  <c r="R55" i="25"/>
  <c r="R56" i="25"/>
  <c r="R57" i="25"/>
  <c r="R58" i="25"/>
  <c r="R59" i="25"/>
  <c r="R60" i="25"/>
  <c r="R61" i="25"/>
  <c r="R62" i="25"/>
  <c r="R63" i="25"/>
  <c r="R64" i="25"/>
  <c r="R65" i="25"/>
  <c r="R66" i="25"/>
  <c r="AN506" i="14"/>
  <c r="AM506" i="14"/>
  <c r="AL506" i="14"/>
  <c r="AK506" i="14"/>
  <c r="AN505" i="14"/>
  <c r="AM505" i="14"/>
  <c r="AL505" i="14"/>
  <c r="AK505" i="14"/>
  <c r="AN504" i="14"/>
  <c r="AM504" i="14"/>
  <c r="AL504" i="14"/>
  <c r="AK504" i="14"/>
  <c r="AN503" i="14"/>
  <c r="AM503" i="14"/>
  <c r="AL503" i="14"/>
  <c r="AK503" i="14"/>
  <c r="AN502" i="14"/>
  <c r="AM502" i="14"/>
  <c r="AL502" i="14"/>
  <c r="AK502" i="14"/>
  <c r="AN501" i="14"/>
  <c r="AM501" i="14"/>
  <c r="AL501" i="14"/>
  <c r="AK501" i="14"/>
  <c r="AN500" i="14"/>
  <c r="AM500" i="14"/>
  <c r="AL500" i="14"/>
  <c r="AK500" i="14"/>
  <c r="AN499" i="14"/>
  <c r="AM499" i="14"/>
  <c r="AL499" i="14"/>
  <c r="AK499" i="14"/>
  <c r="AN498" i="14"/>
  <c r="AM498" i="14"/>
  <c r="AL498" i="14"/>
  <c r="AK498" i="14"/>
  <c r="AN497" i="14"/>
  <c r="AM497" i="14"/>
  <c r="AL497" i="14"/>
  <c r="AK497" i="14"/>
  <c r="AN496" i="14"/>
  <c r="AM496" i="14"/>
  <c r="AL496" i="14"/>
  <c r="AK496" i="14"/>
  <c r="AN495" i="14"/>
  <c r="AM495" i="14"/>
  <c r="AL495" i="14"/>
  <c r="AK495" i="14"/>
  <c r="AN494" i="14"/>
  <c r="AM494" i="14"/>
  <c r="AL494" i="14"/>
  <c r="AK494" i="14"/>
  <c r="AN493" i="14"/>
  <c r="AM493" i="14"/>
  <c r="AL493" i="14"/>
  <c r="AK493" i="14"/>
  <c r="AN492" i="14"/>
  <c r="AM492" i="14"/>
  <c r="AL492" i="14"/>
  <c r="AK492" i="14"/>
  <c r="AN491" i="14"/>
  <c r="AM491" i="14"/>
  <c r="AL491" i="14"/>
  <c r="AK491" i="14"/>
  <c r="AN490" i="14"/>
  <c r="AM490" i="14"/>
  <c r="AL490" i="14"/>
  <c r="AK490" i="14"/>
  <c r="AN489" i="14"/>
  <c r="AM489" i="14"/>
  <c r="AL489" i="14"/>
  <c r="AK489" i="14"/>
  <c r="AN488" i="14"/>
  <c r="AM488" i="14"/>
  <c r="AL488" i="14"/>
  <c r="AK488" i="14"/>
  <c r="AN487" i="14"/>
  <c r="AM487" i="14"/>
  <c r="AL487" i="14"/>
  <c r="AK487" i="14"/>
  <c r="AN486" i="14"/>
  <c r="AM486" i="14"/>
  <c r="AL486" i="14"/>
  <c r="AK486" i="14"/>
  <c r="AN485" i="14"/>
  <c r="AM485" i="14"/>
  <c r="AL485" i="14"/>
  <c r="AK485" i="14"/>
  <c r="AN484" i="14"/>
  <c r="AM484" i="14"/>
  <c r="AL484" i="14"/>
  <c r="AK484" i="14"/>
  <c r="AN483" i="14"/>
  <c r="AM483" i="14"/>
  <c r="AL483" i="14"/>
  <c r="AK483" i="14"/>
  <c r="AN482" i="14"/>
  <c r="AM482" i="14"/>
  <c r="AL482" i="14"/>
  <c r="AK482" i="14"/>
  <c r="AN481" i="14"/>
  <c r="AM481" i="14"/>
  <c r="AL481" i="14"/>
  <c r="AK481" i="14"/>
  <c r="AN480" i="14"/>
  <c r="AM480" i="14"/>
  <c r="AL480" i="14"/>
  <c r="AK480" i="14"/>
  <c r="AN479" i="14"/>
  <c r="AM479" i="14"/>
  <c r="AL479" i="14"/>
  <c r="AK479" i="14"/>
  <c r="AN478" i="14"/>
  <c r="AM478" i="14"/>
  <c r="AL478" i="14"/>
  <c r="AK478" i="14"/>
  <c r="AN477" i="14"/>
  <c r="AM477" i="14"/>
  <c r="AL477" i="14"/>
  <c r="AK477" i="14"/>
  <c r="AN476" i="14"/>
  <c r="AM476" i="14"/>
  <c r="AL476" i="14"/>
  <c r="AK476" i="14"/>
  <c r="AN475" i="14"/>
  <c r="AM475" i="14"/>
  <c r="AL475" i="14"/>
  <c r="AK475" i="14"/>
  <c r="AN474" i="14"/>
  <c r="AM474" i="14"/>
  <c r="AL474" i="14"/>
  <c r="AK474" i="14"/>
  <c r="AN473" i="14"/>
  <c r="AM473" i="14"/>
  <c r="AL473" i="14"/>
  <c r="AK473" i="14"/>
  <c r="AN472" i="14"/>
  <c r="AM472" i="14"/>
  <c r="AL472" i="14"/>
  <c r="AK472" i="14"/>
  <c r="AN471" i="14"/>
  <c r="AM471" i="14"/>
  <c r="AL471" i="14"/>
  <c r="AK471" i="14"/>
  <c r="AN470" i="14"/>
  <c r="AM470" i="14"/>
  <c r="AL470" i="14"/>
  <c r="AK470" i="14"/>
  <c r="AN469" i="14"/>
  <c r="AM469" i="14"/>
  <c r="AL469" i="14"/>
  <c r="AK469" i="14"/>
  <c r="AN468" i="14"/>
  <c r="AM468" i="14"/>
  <c r="AL468" i="14"/>
  <c r="AK468" i="14"/>
  <c r="AN467" i="14"/>
  <c r="AM467" i="14"/>
  <c r="AL467" i="14"/>
  <c r="AK467" i="14"/>
  <c r="AN466" i="14"/>
  <c r="AM466" i="14"/>
  <c r="AL466" i="14"/>
  <c r="AK466" i="14"/>
  <c r="AN465" i="14"/>
  <c r="AM465" i="14"/>
  <c r="AL465" i="14"/>
  <c r="AK465" i="14"/>
  <c r="AN464" i="14"/>
  <c r="AM464" i="14"/>
  <c r="AL464" i="14"/>
  <c r="AK464" i="14"/>
  <c r="AN463" i="14"/>
  <c r="AM463" i="14"/>
  <c r="AL463" i="14"/>
  <c r="AK463" i="14"/>
  <c r="AN462" i="14"/>
  <c r="AM462" i="14"/>
  <c r="AL462" i="14"/>
  <c r="AK462" i="14"/>
  <c r="AN461" i="14"/>
  <c r="AM461" i="14"/>
  <c r="AL461" i="14"/>
  <c r="AK461" i="14"/>
  <c r="AN460" i="14"/>
  <c r="AM460" i="14"/>
  <c r="AL460" i="14"/>
  <c r="AK460" i="14"/>
  <c r="AN459" i="14"/>
  <c r="AM459" i="14"/>
  <c r="AL459" i="14"/>
  <c r="AK459" i="14"/>
  <c r="AN458" i="14"/>
  <c r="AM458" i="14"/>
  <c r="AL458" i="14"/>
  <c r="AK458" i="14"/>
  <c r="AN457" i="14"/>
  <c r="AM457" i="14"/>
  <c r="AL457" i="14"/>
  <c r="AK457" i="14"/>
  <c r="AN456" i="14"/>
  <c r="AM456" i="14"/>
  <c r="AL456" i="14"/>
  <c r="AK456" i="14"/>
  <c r="AN455" i="14"/>
  <c r="AM455" i="14"/>
  <c r="AL455" i="14"/>
  <c r="AK455" i="14"/>
  <c r="AN454" i="14"/>
  <c r="AM454" i="14"/>
  <c r="AL454" i="14"/>
  <c r="AK454" i="14"/>
  <c r="AN453" i="14"/>
  <c r="AM453" i="14"/>
  <c r="AL453" i="14"/>
  <c r="AK453" i="14"/>
  <c r="AN452" i="14"/>
  <c r="AM452" i="14"/>
  <c r="AL452" i="14"/>
  <c r="AK452" i="14"/>
  <c r="AN451" i="14"/>
  <c r="AM451" i="14"/>
  <c r="AL451" i="14"/>
  <c r="AK451" i="14"/>
  <c r="AN450" i="14"/>
  <c r="AM450" i="14"/>
  <c r="AL450" i="14"/>
  <c r="AK450" i="14"/>
  <c r="AN449" i="14"/>
  <c r="AM449" i="14"/>
  <c r="AL449" i="14"/>
  <c r="AK449" i="14"/>
  <c r="AN448" i="14"/>
  <c r="AM448" i="14"/>
  <c r="AL448" i="14"/>
  <c r="AK448" i="14"/>
  <c r="AN447" i="14"/>
  <c r="AM447" i="14"/>
  <c r="AL447" i="14"/>
  <c r="AK447" i="14"/>
  <c r="AN446" i="14"/>
  <c r="AM446" i="14"/>
  <c r="AL446" i="14"/>
  <c r="AK446" i="14"/>
  <c r="AN445" i="14"/>
  <c r="AM445" i="14"/>
  <c r="AL445" i="14"/>
  <c r="AK445" i="14"/>
  <c r="AN444" i="14"/>
  <c r="AM444" i="14"/>
  <c r="AL444" i="14"/>
  <c r="AK444" i="14"/>
  <c r="AN443" i="14"/>
  <c r="AM443" i="14"/>
  <c r="AL443" i="14"/>
  <c r="AK443" i="14"/>
  <c r="AN442" i="14"/>
  <c r="AM442" i="14"/>
  <c r="AL442" i="14"/>
  <c r="AK442" i="14"/>
  <c r="AN441" i="14"/>
  <c r="AM441" i="14"/>
  <c r="AL441" i="14"/>
  <c r="AK441" i="14"/>
  <c r="AN440" i="14"/>
  <c r="AM440" i="14"/>
  <c r="AL440" i="14"/>
  <c r="AK440" i="14"/>
  <c r="AN439" i="14"/>
  <c r="AM439" i="14"/>
  <c r="AL439" i="14"/>
  <c r="AK439" i="14"/>
  <c r="AN438" i="14"/>
  <c r="AM438" i="14"/>
  <c r="AL438" i="14"/>
  <c r="AK438" i="14"/>
  <c r="AN437" i="14"/>
  <c r="AM437" i="14"/>
  <c r="AL437" i="14"/>
  <c r="AK437" i="14"/>
  <c r="AN436" i="14"/>
  <c r="AM436" i="14"/>
  <c r="AL436" i="14"/>
  <c r="AK436" i="14"/>
  <c r="AN435" i="14"/>
  <c r="AM435" i="14"/>
  <c r="AL435" i="14"/>
  <c r="AK435" i="14"/>
  <c r="AN434" i="14"/>
  <c r="AM434" i="14"/>
  <c r="AL434" i="14"/>
  <c r="AK434" i="14"/>
  <c r="AN433" i="14"/>
  <c r="AM433" i="14"/>
  <c r="AL433" i="14"/>
  <c r="AK433" i="14"/>
  <c r="AN432" i="14"/>
  <c r="AM432" i="14"/>
  <c r="AL432" i="14"/>
  <c r="AK432" i="14"/>
  <c r="AN431" i="14"/>
  <c r="AM431" i="14"/>
  <c r="AL431" i="14"/>
  <c r="AK431" i="14"/>
  <c r="AN430" i="14"/>
  <c r="AM430" i="14"/>
  <c r="AL430" i="14"/>
  <c r="AK430" i="14"/>
  <c r="AN429" i="14"/>
  <c r="AM429" i="14"/>
  <c r="AL429" i="14"/>
  <c r="AK429" i="14"/>
  <c r="AN428" i="14"/>
  <c r="AM428" i="14"/>
  <c r="AL428" i="14"/>
  <c r="AK428" i="14"/>
  <c r="AN427" i="14"/>
  <c r="AM427" i="14"/>
  <c r="AL427" i="14"/>
  <c r="AK427" i="14"/>
  <c r="AN426" i="14"/>
  <c r="AM426" i="14"/>
  <c r="AL426" i="14"/>
  <c r="AK426" i="14"/>
  <c r="AN425" i="14"/>
  <c r="AM425" i="14"/>
  <c r="AL425" i="14"/>
  <c r="AK425" i="14"/>
  <c r="AN424" i="14"/>
  <c r="AM424" i="14"/>
  <c r="AL424" i="14"/>
  <c r="AK424" i="14"/>
  <c r="AN423" i="14"/>
  <c r="AM423" i="14"/>
  <c r="AL423" i="14"/>
  <c r="AK423" i="14"/>
  <c r="AN422" i="14"/>
  <c r="AM422" i="14"/>
  <c r="AL422" i="14"/>
  <c r="AK422" i="14"/>
  <c r="AN421" i="14"/>
  <c r="AM421" i="14"/>
  <c r="AL421" i="14"/>
  <c r="AK421" i="14"/>
  <c r="AN420" i="14"/>
  <c r="AM420" i="14"/>
  <c r="AL420" i="14"/>
  <c r="AK420" i="14"/>
  <c r="AN419" i="14"/>
  <c r="AM419" i="14"/>
  <c r="AL419" i="14"/>
  <c r="AK419" i="14"/>
  <c r="AN418" i="14"/>
  <c r="AM418" i="14"/>
  <c r="AL418" i="14"/>
  <c r="AK418" i="14"/>
  <c r="AN417" i="14"/>
  <c r="AM417" i="14"/>
  <c r="AL417" i="14"/>
  <c r="AK417" i="14"/>
  <c r="AN416" i="14"/>
  <c r="AM416" i="14"/>
  <c r="AL416" i="14"/>
  <c r="AK416" i="14"/>
  <c r="AN415" i="14"/>
  <c r="AM415" i="14"/>
  <c r="AL415" i="14"/>
  <c r="AK415" i="14"/>
  <c r="AN414" i="14"/>
  <c r="AM414" i="14"/>
  <c r="AL414" i="14"/>
  <c r="AK414" i="14"/>
  <c r="AN413" i="14"/>
  <c r="AM413" i="14"/>
  <c r="AL413" i="14"/>
  <c r="AK413" i="14"/>
  <c r="AN412" i="14"/>
  <c r="AM412" i="14"/>
  <c r="AL412" i="14"/>
  <c r="AK412" i="14"/>
  <c r="AN411" i="14"/>
  <c r="AM411" i="14"/>
  <c r="AL411" i="14"/>
  <c r="AK411" i="14"/>
  <c r="AN410" i="14"/>
  <c r="AM410" i="14"/>
  <c r="AL410" i="14"/>
  <c r="AK410" i="14"/>
  <c r="AN409" i="14"/>
  <c r="AM409" i="14"/>
  <c r="AL409" i="14"/>
  <c r="AK409" i="14"/>
  <c r="AN408" i="14"/>
  <c r="AM408" i="14"/>
  <c r="AL408" i="14"/>
  <c r="AK408" i="14"/>
  <c r="AN407" i="14"/>
  <c r="AM407" i="14"/>
  <c r="AL407" i="14"/>
  <c r="AK407" i="14"/>
  <c r="AN406" i="14"/>
  <c r="AM406" i="14"/>
  <c r="AL406" i="14"/>
  <c r="AK406" i="14"/>
  <c r="AN405" i="14"/>
  <c r="AM405" i="14"/>
  <c r="AL405" i="14"/>
  <c r="AK405" i="14"/>
  <c r="AN404" i="14"/>
  <c r="AM404" i="14"/>
  <c r="AL404" i="14"/>
  <c r="AK404" i="14"/>
  <c r="AN403" i="14"/>
  <c r="AM403" i="14"/>
  <c r="AL403" i="14"/>
  <c r="AK403" i="14"/>
  <c r="AN402" i="14"/>
  <c r="AM402" i="14"/>
  <c r="AL402" i="14"/>
  <c r="AK402" i="14"/>
  <c r="AN401" i="14"/>
  <c r="AM401" i="14"/>
  <c r="AL401" i="14"/>
  <c r="AK401" i="14"/>
  <c r="AN400" i="14"/>
  <c r="AM400" i="14"/>
  <c r="AL400" i="14"/>
  <c r="AK400" i="14"/>
  <c r="AN399" i="14"/>
  <c r="AM399" i="14"/>
  <c r="AL399" i="14"/>
  <c r="AK399" i="14"/>
  <c r="AN398" i="14"/>
  <c r="AM398" i="14"/>
  <c r="AL398" i="14"/>
  <c r="AK398" i="14"/>
  <c r="AN397" i="14"/>
  <c r="AM397" i="14"/>
  <c r="AL397" i="14"/>
  <c r="AK397" i="14"/>
  <c r="AN396" i="14"/>
  <c r="AM396" i="14"/>
  <c r="AL396" i="14"/>
  <c r="AK396" i="14"/>
  <c r="AN395" i="14"/>
  <c r="AM395" i="14"/>
  <c r="AL395" i="14"/>
  <c r="AK395" i="14"/>
  <c r="AN394" i="14"/>
  <c r="AM394" i="14"/>
  <c r="AL394" i="14"/>
  <c r="AK394" i="14"/>
  <c r="AN393" i="14"/>
  <c r="AM393" i="14"/>
  <c r="AL393" i="14"/>
  <c r="AK393" i="14"/>
  <c r="AN392" i="14"/>
  <c r="AM392" i="14"/>
  <c r="AL392" i="14"/>
  <c r="AK392" i="14"/>
  <c r="AN391" i="14"/>
  <c r="AM391" i="14"/>
  <c r="AL391" i="14"/>
  <c r="AK391" i="14"/>
  <c r="AN390" i="14"/>
  <c r="AM390" i="14"/>
  <c r="AL390" i="14"/>
  <c r="AK390" i="14"/>
  <c r="AN389" i="14"/>
  <c r="AM389" i="14"/>
  <c r="AL389" i="14"/>
  <c r="AK389" i="14"/>
  <c r="AN388" i="14"/>
  <c r="AM388" i="14"/>
  <c r="AL388" i="14"/>
  <c r="AK388" i="14"/>
  <c r="AN387" i="14"/>
  <c r="AM387" i="14"/>
  <c r="AL387" i="14"/>
  <c r="AK387" i="14"/>
  <c r="AN386" i="14"/>
  <c r="AM386" i="14"/>
  <c r="AL386" i="14"/>
  <c r="AK386" i="14"/>
  <c r="AN385" i="14"/>
  <c r="AM385" i="14"/>
  <c r="AL385" i="14"/>
  <c r="AK385" i="14"/>
  <c r="AN384" i="14"/>
  <c r="AM384" i="14"/>
  <c r="AL384" i="14"/>
  <c r="AK384" i="14"/>
  <c r="AN383" i="14"/>
  <c r="AM383" i="14"/>
  <c r="AL383" i="14"/>
  <c r="AK383" i="14"/>
  <c r="AN382" i="14"/>
  <c r="AM382" i="14"/>
  <c r="AL382" i="14"/>
  <c r="AK382" i="14"/>
  <c r="AN381" i="14"/>
  <c r="AM381" i="14"/>
  <c r="AL381" i="14"/>
  <c r="AK381" i="14"/>
  <c r="AN380" i="14"/>
  <c r="AM380" i="14"/>
  <c r="AL380" i="14"/>
  <c r="AK380" i="14"/>
  <c r="AN379" i="14"/>
  <c r="AM379" i="14"/>
  <c r="AL379" i="14"/>
  <c r="AK379" i="14"/>
  <c r="AN378" i="14"/>
  <c r="AM378" i="14"/>
  <c r="AL378" i="14"/>
  <c r="AK378" i="14"/>
  <c r="AN377" i="14"/>
  <c r="AM377" i="14"/>
  <c r="AL377" i="14"/>
  <c r="AK377" i="14"/>
  <c r="AN376" i="14"/>
  <c r="AM376" i="14"/>
  <c r="AL376" i="14"/>
  <c r="AK376" i="14"/>
  <c r="AN375" i="14"/>
  <c r="AM375" i="14"/>
  <c r="AL375" i="14"/>
  <c r="AK375" i="14"/>
  <c r="AN374" i="14"/>
  <c r="AM374" i="14"/>
  <c r="AL374" i="14"/>
  <c r="AK374" i="14"/>
  <c r="AN373" i="14"/>
  <c r="AM373" i="14"/>
  <c r="AL373" i="14"/>
  <c r="AK373" i="14"/>
  <c r="AN372" i="14"/>
  <c r="AM372" i="14"/>
  <c r="AL372" i="14"/>
  <c r="AK372" i="14"/>
  <c r="AN371" i="14"/>
  <c r="AM371" i="14"/>
  <c r="AL371" i="14"/>
  <c r="AK371" i="14"/>
  <c r="AN370" i="14"/>
  <c r="AM370" i="14"/>
  <c r="AL370" i="14"/>
  <c r="AK370" i="14"/>
  <c r="AN369" i="14"/>
  <c r="AM369" i="14"/>
  <c r="AL369" i="14"/>
  <c r="AK369" i="14"/>
  <c r="AN368" i="14"/>
  <c r="AM368" i="14"/>
  <c r="AL368" i="14"/>
  <c r="AK368" i="14"/>
  <c r="AN367" i="14"/>
  <c r="AM367" i="14"/>
  <c r="AL367" i="14"/>
  <c r="AK367" i="14"/>
  <c r="AN366" i="14"/>
  <c r="AM366" i="14"/>
  <c r="AL366" i="14"/>
  <c r="AK366" i="14"/>
  <c r="AN365" i="14"/>
  <c r="AM365" i="14"/>
  <c r="AL365" i="14"/>
  <c r="AK365" i="14"/>
  <c r="AN364" i="14"/>
  <c r="AM364" i="14"/>
  <c r="AL364" i="14"/>
  <c r="AK364" i="14"/>
  <c r="AN363" i="14"/>
  <c r="AM363" i="14"/>
  <c r="AL363" i="14"/>
  <c r="AK363" i="14"/>
  <c r="AN362" i="14"/>
  <c r="AM362" i="14"/>
  <c r="AL362" i="14"/>
  <c r="AK362" i="14"/>
  <c r="AN361" i="14"/>
  <c r="AM361" i="14"/>
  <c r="AL361" i="14"/>
  <c r="AK361" i="14"/>
  <c r="AN360" i="14"/>
  <c r="AM360" i="14"/>
  <c r="AL360" i="14"/>
  <c r="AK360" i="14"/>
  <c r="AN359" i="14"/>
  <c r="AM359" i="14"/>
  <c r="AL359" i="14"/>
  <c r="AK359" i="14"/>
  <c r="AN358" i="14"/>
  <c r="AM358" i="14"/>
  <c r="AL358" i="14"/>
  <c r="AK358" i="14"/>
  <c r="AN357" i="14"/>
  <c r="AM357" i="14"/>
  <c r="AL357" i="14"/>
  <c r="AK357" i="14"/>
  <c r="AN356" i="14"/>
  <c r="AM356" i="14"/>
  <c r="AL356" i="14"/>
  <c r="AK356" i="14"/>
  <c r="AN355" i="14"/>
  <c r="AM355" i="14"/>
  <c r="AL355" i="14"/>
  <c r="AK355" i="14"/>
  <c r="AN354" i="14"/>
  <c r="AM354" i="14"/>
  <c r="AL354" i="14"/>
  <c r="AK354" i="14"/>
  <c r="AN353" i="14"/>
  <c r="AM353" i="14"/>
  <c r="AL353" i="14"/>
  <c r="AK353" i="14"/>
  <c r="AN352" i="14"/>
  <c r="AM352" i="14"/>
  <c r="AL352" i="14"/>
  <c r="AK352" i="14"/>
  <c r="AN351" i="14"/>
  <c r="AM351" i="14"/>
  <c r="AL351" i="14"/>
  <c r="AK351" i="14"/>
  <c r="AN350" i="14"/>
  <c r="AM350" i="14"/>
  <c r="AL350" i="14"/>
  <c r="AK350" i="14"/>
  <c r="AN349" i="14"/>
  <c r="AM349" i="14"/>
  <c r="AL349" i="14"/>
  <c r="AK349" i="14"/>
  <c r="AN348" i="14"/>
  <c r="AM348" i="14"/>
  <c r="AL348" i="14"/>
  <c r="AK348" i="14"/>
  <c r="AN347" i="14"/>
  <c r="AM347" i="14"/>
  <c r="AL347" i="14"/>
  <c r="AK347" i="14"/>
  <c r="AN346" i="14"/>
  <c r="AM346" i="14"/>
  <c r="AL346" i="14"/>
  <c r="AK346" i="14"/>
  <c r="AN345" i="14"/>
  <c r="AM345" i="14"/>
  <c r="AL345" i="14"/>
  <c r="AK345" i="14"/>
  <c r="AN344" i="14"/>
  <c r="AM344" i="14"/>
  <c r="AL344" i="14"/>
  <c r="AK344" i="14"/>
  <c r="AN343" i="14"/>
  <c r="AM343" i="14"/>
  <c r="AL343" i="14"/>
  <c r="AK343" i="14"/>
  <c r="AN342" i="14"/>
  <c r="AM342" i="14"/>
  <c r="AL342" i="14"/>
  <c r="AK342" i="14"/>
  <c r="AN341" i="14"/>
  <c r="AM341" i="14"/>
  <c r="AL341" i="14"/>
  <c r="AK341" i="14"/>
  <c r="AN340" i="14"/>
  <c r="AM340" i="14"/>
  <c r="AL340" i="14"/>
  <c r="AK340" i="14"/>
  <c r="AN339" i="14"/>
  <c r="AM339" i="14"/>
  <c r="AL339" i="14"/>
  <c r="AK339" i="14"/>
  <c r="AN338" i="14"/>
  <c r="AM338" i="14"/>
  <c r="AL338" i="14"/>
  <c r="AK338" i="14"/>
  <c r="AN337" i="14"/>
  <c r="AM337" i="14"/>
  <c r="AL337" i="14"/>
  <c r="AK337" i="14"/>
  <c r="AN336" i="14"/>
  <c r="AM336" i="14"/>
  <c r="AL336" i="14"/>
  <c r="AK336" i="14"/>
  <c r="AN335" i="14"/>
  <c r="AM335" i="14"/>
  <c r="AL335" i="14"/>
  <c r="AK335" i="14"/>
  <c r="AN334" i="14"/>
  <c r="AM334" i="14"/>
  <c r="AL334" i="14"/>
  <c r="AK334" i="14"/>
  <c r="AN333" i="14"/>
  <c r="AM333" i="14"/>
  <c r="AL333" i="14"/>
  <c r="AK333" i="14"/>
  <c r="AN332" i="14"/>
  <c r="AM332" i="14"/>
  <c r="AL332" i="14"/>
  <c r="AK332" i="14"/>
  <c r="AN331" i="14"/>
  <c r="AM331" i="14"/>
  <c r="AL331" i="14"/>
  <c r="AK331" i="14"/>
  <c r="AN330" i="14"/>
  <c r="AM330" i="14"/>
  <c r="AL330" i="14"/>
  <c r="AK330" i="14"/>
  <c r="AN329" i="14"/>
  <c r="AM329" i="14"/>
  <c r="AL329" i="14"/>
  <c r="AK329" i="14"/>
  <c r="AN328" i="14"/>
  <c r="AM328" i="14"/>
  <c r="AL328" i="14"/>
  <c r="AK328" i="14"/>
  <c r="AN327" i="14"/>
  <c r="AM327" i="14"/>
  <c r="AL327" i="14"/>
  <c r="AK327" i="14"/>
  <c r="AN326" i="14"/>
  <c r="AM326" i="14"/>
  <c r="AL326" i="14"/>
  <c r="AK326" i="14"/>
  <c r="AN325" i="14"/>
  <c r="AM325" i="14"/>
  <c r="AL325" i="14"/>
  <c r="AK325" i="14"/>
  <c r="AN324" i="14"/>
  <c r="AM324" i="14"/>
  <c r="AL324" i="14"/>
  <c r="AK324" i="14"/>
  <c r="AN323" i="14"/>
  <c r="AM323" i="14"/>
  <c r="AL323" i="14"/>
  <c r="AK323" i="14"/>
  <c r="AN322" i="14"/>
  <c r="AM322" i="14"/>
  <c r="AL322" i="14"/>
  <c r="AK322" i="14"/>
  <c r="AN321" i="14"/>
  <c r="AM321" i="14"/>
  <c r="AL321" i="14"/>
  <c r="AK321" i="14"/>
  <c r="AN320" i="14"/>
  <c r="AM320" i="14"/>
  <c r="AL320" i="14"/>
  <c r="AK320" i="14"/>
  <c r="AN319" i="14"/>
  <c r="AM319" i="14"/>
  <c r="AL319" i="14"/>
  <c r="AK319" i="14"/>
  <c r="AN318" i="14"/>
  <c r="AM318" i="14"/>
  <c r="AL318" i="14"/>
  <c r="AK318" i="14"/>
  <c r="AN317" i="14"/>
  <c r="AM317" i="14"/>
  <c r="AL317" i="14"/>
  <c r="AK317" i="14"/>
  <c r="AN316" i="14"/>
  <c r="AM316" i="14"/>
  <c r="AL316" i="14"/>
  <c r="AK316" i="14"/>
  <c r="AN315" i="14"/>
  <c r="AM315" i="14"/>
  <c r="AL315" i="14"/>
  <c r="AK315" i="14"/>
  <c r="AK314" i="14"/>
  <c r="AK313" i="14"/>
  <c r="AK312" i="14"/>
  <c r="AK311" i="14"/>
  <c r="AK310" i="14"/>
  <c r="AK309" i="14"/>
  <c r="AK308" i="14"/>
  <c r="AK307" i="14"/>
  <c r="AK306" i="14"/>
  <c r="AK305" i="14"/>
  <c r="AK304" i="14"/>
  <c r="AK303" i="14"/>
  <c r="AK302" i="14"/>
  <c r="AK301" i="14"/>
  <c r="AK300" i="14"/>
  <c r="AK299" i="14"/>
  <c r="AK298" i="14"/>
  <c r="AK297" i="14"/>
  <c r="AK296" i="14"/>
  <c r="AK295" i="14"/>
  <c r="AK294" i="14"/>
  <c r="AK293" i="14"/>
  <c r="AK292" i="14"/>
  <c r="AK291" i="14"/>
  <c r="AK290" i="14"/>
  <c r="AK289" i="14"/>
  <c r="AK288" i="14"/>
  <c r="AK287" i="14"/>
  <c r="AK286" i="14"/>
  <c r="AK285" i="14"/>
  <c r="AK284" i="14"/>
  <c r="AK283" i="14"/>
  <c r="AK282" i="14"/>
  <c r="AK281" i="14"/>
  <c r="AK280" i="14"/>
  <c r="AK279" i="14"/>
  <c r="AK278" i="14"/>
  <c r="AK277" i="14"/>
  <c r="AK276" i="14"/>
  <c r="AK275" i="14"/>
  <c r="AK274" i="14"/>
  <c r="AK273" i="14"/>
  <c r="AK272" i="14"/>
  <c r="AK271" i="14"/>
  <c r="AK270" i="14"/>
  <c r="AK269" i="14"/>
  <c r="AK268" i="14"/>
  <c r="AK267" i="14"/>
  <c r="AK266" i="14"/>
  <c r="AK265" i="14"/>
  <c r="AK264" i="14"/>
  <c r="AK263" i="14"/>
  <c r="AK262" i="14"/>
  <c r="AK261" i="14"/>
  <c r="AK260" i="14"/>
  <c r="AK259" i="14"/>
  <c r="AK258" i="14"/>
  <c r="AK257" i="14"/>
  <c r="AK256" i="14"/>
  <c r="AK255" i="14"/>
  <c r="AK254" i="14"/>
  <c r="AK253" i="14"/>
  <c r="AK252" i="14"/>
  <c r="AK251" i="14"/>
  <c r="AK250" i="14"/>
  <c r="AK249" i="14"/>
  <c r="AK248" i="14"/>
  <c r="AK247" i="14"/>
  <c r="AK246" i="14"/>
  <c r="AK245" i="14"/>
  <c r="AK244" i="14"/>
  <c r="AK243" i="14"/>
  <c r="AK242" i="14"/>
  <c r="AK241" i="14"/>
  <c r="AK240" i="14"/>
  <c r="AK239" i="14"/>
  <c r="AK238" i="14"/>
  <c r="AK237" i="14"/>
  <c r="AK236" i="14"/>
  <c r="AK235" i="14"/>
  <c r="AK234" i="14"/>
  <c r="AK233" i="14"/>
  <c r="AK232" i="14"/>
  <c r="AK231" i="14"/>
  <c r="AK230" i="14"/>
  <c r="AK229" i="14"/>
  <c r="AK228" i="14"/>
  <c r="AK227" i="14"/>
  <c r="AK226" i="14"/>
  <c r="AK225" i="14"/>
  <c r="AK224" i="14"/>
  <c r="AK223" i="14"/>
  <c r="AK222" i="14"/>
  <c r="AK221" i="14"/>
  <c r="AK220" i="14"/>
  <c r="AK219" i="14"/>
  <c r="AK218" i="14"/>
  <c r="AK217" i="14"/>
  <c r="AK216" i="14"/>
  <c r="AK215" i="14"/>
  <c r="AK214" i="14"/>
  <c r="AK213" i="14"/>
  <c r="AK212" i="14"/>
  <c r="AK211" i="14"/>
  <c r="AK210" i="14"/>
  <c r="AK209" i="14"/>
  <c r="AK208" i="14"/>
  <c r="AK207" i="14"/>
  <c r="AK206" i="14"/>
  <c r="AK205" i="14"/>
  <c r="AK204" i="14"/>
  <c r="AK203" i="14"/>
  <c r="AK202" i="14"/>
  <c r="AK201" i="14"/>
  <c r="AK200" i="14"/>
  <c r="AK199" i="14"/>
  <c r="AK198" i="14"/>
  <c r="AK197" i="14"/>
  <c r="AK196" i="14"/>
  <c r="AK195" i="14"/>
  <c r="AK194" i="14"/>
  <c r="AK193" i="14"/>
  <c r="AK192" i="14"/>
  <c r="AK191" i="14"/>
  <c r="AK190" i="14"/>
  <c r="AK189" i="14"/>
  <c r="AK188" i="14"/>
  <c r="AK187" i="14"/>
  <c r="AK186" i="14"/>
  <c r="AK185" i="14"/>
  <c r="AK184" i="14"/>
  <c r="AK183" i="14"/>
  <c r="AK182" i="14"/>
  <c r="AK181" i="14"/>
  <c r="AK180" i="14"/>
  <c r="AK179" i="14"/>
  <c r="AK178" i="14"/>
  <c r="AK177" i="14"/>
  <c r="AK176" i="14"/>
  <c r="AK175" i="14"/>
  <c r="AK174" i="14"/>
  <c r="AK173" i="14"/>
  <c r="AK172" i="14"/>
  <c r="AK171" i="14"/>
  <c r="AK170" i="14"/>
  <c r="AK169" i="14"/>
  <c r="AK168" i="14"/>
  <c r="AK167" i="14"/>
  <c r="AK166" i="14"/>
  <c r="AK165" i="14"/>
  <c r="AK164" i="14"/>
  <c r="AK163" i="14"/>
  <c r="AK162" i="14"/>
  <c r="AK161" i="14"/>
  <c r="AK160" i="14"/>
  <c r="AK159" i="14"/>
  <c r="AK158" i="14"/>
  <c r="AK157" i="14"/>
  <c r="AK156" i="14"/>
  <c r="AK155" i="14"/>
  <c r="AK154" i="14"/>
  <c r="AK153" i="14"/>
  <c r="AK152" i="14"/>
  <c r="AK151" i="14"/>
  <c r="AK150" i="14"/>
  <c r="AK149" i="14"/>
  <c r="AK148" i="14"/>
  <c r="AK147" i="14"/>
  <c r="AK146" i="14"/>
  <c r="AK145" i="14"/>
  <c r="AK144" i="14"/>
  <c r="AK143" i="14"/>
  <c r="AK142" i="14"/>
  <c r="AK141" i="14"/>
  <c r="AK140" i="14"/>
  <c r="AK139" i="14"/>
  <c r="AK138" i="14"/>
  <c r="AK137" i="14"/>
  <c r="AK136" i="14"/>
  <c r="AK135" i="14"/>
  <c r="AK134" i="14"/>
  <c r="AK133" i="14"/>
  <c r="AK132" i="14"/>
  <c r="AK131" i="14"/>
  <c r="AK130" i="14"/>
  <c r="AK129" i="14"/>
  <c r="AK128" i="14"/>
  <c r="AK127" i="14"/>
  <c r="AK126" i="14"/>
  <c r="AK125" i="14"/>
  <c r="AK124" i="14"/>
  <c r="AK123" i="14"/>
  <c r="AK122" i="14"/>
  <c r="AK121" i="14"/>
  <c r="AK120" i="14"/>
  <c r="AK119" i="14"/>
  <c r="AK118" i="14"/>
  <c r="AK117" i="14"/>
  <c r="AK116" i="14"/>
  <c r="AK115" i="14"/>
  <c r="AK114" i="14"/>
  <c r="AK113" i="14"/>
  <c r="AK112" i="14"/>
  <c r="AK111" i="14"/>
  <c r="AK110" i="14"/>
  <c r="AK109" i="14"/>
  <c r="AK108" i="14"/>
  <c r="AK107" i="14"/>
  <c r="AK106" i="14"/>
  <c r="AK105" i="14"/>
  <c r="AK104" i="14"/>
  <c r="AK103" i="14"/>
  <c r="AK102" i="14"/>
  <c r="AK101" i="14"/>
  <c r="AK100" i="14"/>
  <c r="AK99" i="14"/>
  <c r="AK98" i="14"/>
  <c r="AK97" i="14"/>
  <c r="AK96" i="14"/>
  <c r="AK95" i="14"/>
  <c r="AK94" i="14"/>
  <c r="AK93" i="14"/>
  <c r="AK92" i="14"/>
  <c r="AK91" i="14"/>
  <c r="AK90" i="14"/>
  <c r="AK89" i="14"/>
  <c r="AK88" i="14"/>
  <c r="AK87" i="14"/>
  <c r="AK86" i="14"/>
  <c r="AK85" i="14"/>
  <c r="AK84" i="14"/>
  <c r="AK83" i="14"/>
  <c r="AK82" i="14"/>
  <c r="AK81" i="14"/>
  <c r="AK80" i="14"/>
  <c r="AK79" i="14"/>
  <c r="AK78" i="14"/>
  <c r="AK77" i="14"/>
  <c r="AK76" i="14"/>
  <c r="AK75" i="14"/>
  <c r="AK74" i="14"/>
  <c r="AK73" i="14"/>
  <c r="AK72" i="14"/>
  <c r="AK71" i="14"/>
  <c r="AK70" i="14"/>
  <c r="AK69" i="14"/>
  <c r="AK68" i="14"/>
  <c r="AK67" i="14"/>
  <c r="AK66" i="14"/>
  <c r="AK65" i="14"/>
  <c r="AK64" i="14"/>
  <c r="AK63" i="14"/>
  <c r="AK62" i="14"/>
  <c r="AK61" i="14"/>
  <c r="AK60" i="14"/>
  <c r="AK59" i="14"/>
  <c r="AK58" i="14"/>
  <c r="AK57" i="14"/>
  <c r="AK56" i="14"/>
  <c r="AK55" i="14"/>
  <c r="AK54" i="14"/>
  <c r="AK53" i="14"/>
  <c r="AK52" i="14"/>
  <c r="AK51" i="14"/>
  <c r="AK50" i="14"/>
  <c r="AK49" i="14"/>
  <c r="AK48" i="14"/>
  <c r="AK47" i="14"/>
  <c r="AK46" i="14"/>
  <c r="AK45" i="14"/>
  <c r="AK44" i="14"/>
  <c r="AK43" i="14"/>
  <c r="AK42" i="14"/>
  <c r="AK41" i="14"/>
  <c r="AK40" i="14"/>
  <c r="AK39" i="14"/>
  <c r="AK38" i="14"/>
  <c r="AK37" i="14"/>
  <c r="AK36" i="14"/>
  <c r="AK35" i="14"/>
  <c r="AK34" i="14"/>
  <c r="AK33" i="14"/>
  <c r="AK32" i="14"/>
  <c r="AK31" i="14"/>
  <c r="AK30" i="14"/>
  <c r="AK29" i="14"/>
  <c r="AK28" i="14"/>
  <c r="AK27" i="14"/>
  <c r="AK26" i="14"/>
  <c r="AK25" i="14"/>
  <c r="AK24" i="14"/>
  <c r="AK23" i="14"/>
  <c r="AK22" i="14"/>
  <c r="AK21" i="14"/>
  <c r="AK20" i="14"/>
  <c r="AK19" i="14"/>
  <c r="AK18" i="14"/>
  <c r="AK17" i="14"/>
  <c r="AK16" i="14"/>
  <c r="AK15" i="14"/>
  <c r="AK14" i="14"/>
  <c r="AK13" i="14"/>
  <c r="AK12" i="14"/>
  <c r="AK11" i="14"/>
  <c r="AK10" i="14"/>
  <c r="AK9" i="14"/>
  <c r="E7" i="18"/>
  <c r="A1" i="25"/>
  <c r="J7" i="18" l="1"/>
  <c r="L7" i="18" s="1"/>
  <c r="Y506" i="18"/>
  <c r="E505" i="18"/>
  <c r="E504" i="18"/>
  <c r="E503" i="18"/>
  <c r="E502" i="18"/>
  <c r="E501" i="18"/>
  <c r="E500" i="18"/>
  <c r="E499" i="18"/>
  <c r="E498" i="18"/>
  <c r="E497" i="18"/>
  <c r="E496" i="18"/>
  <c r="E495" i="18"/>
  <c r="E494" i="18"/>
  <c r="E493" i="18"/>
  <c r="E492" i="18"/>
  <c r="E491" i="18"/>
  <c r="E490" i="18"/>
  <c r="E489" i="18"/>
  <c r="E488" i="18"/>
  <c r="E487" i="18"/>
  <c r="E486" i="18"/>
  <c r="E485" i="18"/>
  <c r="E484" i="18"/>
  <c r="E483" i="18"/>
  <c r="E482" i="18"/>
  <c r="E481" i="18"/>
  <c r="E480" i="18"/>
  <c r="E479" i="18"/>
  <c r="E478" i="18"/>
  <c r="E477" i="18"/>
  <c r="E476" i="18"/>
  <c r="E475" i="18"/>
  <c r="E474" i="18"/>
  <c r="E473" i="18"/>
  <c r="E472" i="18"/>
  <c r="E471" i="18"/>
  <c r="E470" i="18"/>
  <c r="E469" i="18"/>
  <c r="E468" i="18"/>
  <c r="E467" i="18"/>
  <c r="E466" i="18"/>
  <c r="E465" i="18"/>
  <c r="E464" i="18"/>
  <c r="E463" i="18"/>
  <c r="E462" i="18"/>
  <c r="E461" i="18"/>
  <c r="E460" i="18"/>
  <c r="E459" i="18"/>
  <c r="E458" i="18"/>
  <c r="E457" i="18"/>
  <c r="E456" i="18"/>
  <c r="E455" i="18"/>
  <c r="E454" i="18"/>
  <c r="E453" i="18"/>
  <c r="E452" i="18"/>
  <c r="E451" i="18"/>
  <c r="E450" i="18"/>
  <c r="E449" i="18"/>
  <c r="E448" i="18"/>
  <c r="E447" i="18"/>
  <c r="E446" i="18"/>
  <c r="E445" i="18"/>
  <c r="E444" i="18"/>
  <c r="E443" i="18"/>
  <c r="E442" i="18"/>
  <c r="E441" i="18"/>
  <c r="E440" i="18"/>
  <c r="E439" i="18"/>
  <c r="E438" i="18"/>
  <c r="E437" i="18"/>
  <c r="E436" i="18"/>
  <c r="E435" i="18"/>
  <c r="E434" i="18"/>
  <c r="E433" i="18"/>
  <c r="E432" i="18"/>
  <c r="E431" i="18"/>
  <c r="E430" i="18"/>
  <c r="E429" i="18"/>
  <c r="E428" i="18"/>
  <c r="E427" i="18"/>
  <c r="E426" i="18"/>
  <c r="E425" i="18"/>
  <c r="E424" i="18"/>
  <c r="E423" i="18"/>
  <c r="E422" i="18"/>
  <c r="E421" i="18"/>
  <c r="E420" i="18"/>
  <c r="E419" i="18"/>
  <c r="E418" i="18"/>
  <c r="E417" i="18"/>
  <c r="E416" i="18"/>
  <c r="E415" i="18"/>
  <c r="E414" i="18"/>
  <c r="E413" i="18"/>
  <c r="E412" i="18"/>
  <c r="E411" i="18"/>
  <c r="E410" i="18"/>
  <c r="E409" i="18"/>
  <c r="E408" i="18"/>
  <c r="E407" i="18"/>
  <c r="E406" i="18"/>
  <c r="E405" i="18"/>
  <c r="E404" i="18"/>
  <c r="E403" i="18"/>
  <c r="E402" i="18"/>
  <c r="E401" i="18"/>
  <c r="E400" i="18"/>
  <c r="E399" i="18"/>
  <c r="E398" i="18"/>
  <c r="E397" i="18"/>
  <c r="E396" i="18"/>
  <c r="E395" i="18"/>
  <c r="E394" i="18"/>
  <c r="E393" i="18"/>
  <c r="E392" i="18"/>
  <c r="E391" i="18"/>
  <c r="E390" i="18"/>
  <c r="E389" i="18"/>
  <c r="E388" i="18"/>
  <c r="E387" i="18"/>
  <c r="E386" i="18"/>
  <c r="E385" i="18"/>
  <c r="E384" i="18"/>
  <c r="E383" i="18"/>
  <c r="E382" i="18"/>
  <c r="E381" i="18"/>
  <c r="E380" i="18"/>
  <c r="E379" i="18"/>
  <c r="E378" i="18"/>
  <c r="E377" i="18"/>
  <c r="E376" i="18"/>
  <c r="E375" i="18"/>
  <c r="E374" i="18"/>
  <c r="E373" i="18"/>
  <c r="E372" i="18"/>
  <c r="E371" i="18"/>
  <c r="E370" i="18"/>
  <c r="E369" i="18"/>
  <c r="E368" i="18"/>
  <c r="E367" i="18"/>
  <c r="E366" i="18"/>
  <c r="E365" i="18"/>
  <c r="E364" i="18"/>
  <c r="E363" i="18"/>
  <c r="E362" i="18"/>
  <c r="E361" i="18"/>
  <c r="E360" i="18"/>
  <c r="E359" i="18"/>
  <c r="E358" i="18"/>
  <c r="E357" i="18"/>
  <c r="E356" i="18"/>
  <c r="E355" i="18"/>
  <c r="E354" i="18"/>
  <c r="E353" i="18"/>
  <c r="E352" i="18"/>
  <c r="E351" i="18"/>
  <c r="E350" i="18"/>
  <c r="E349" i="18"/>
  <c r="E348" i="18"/>
  <c r="E347" i="18"/>
  <c r="E346" i="18"/>
  <c r="E345" i="18"/>
  <c r="E344" i="18"/>
  <c r="E343" i="18"/>
  <c r="E342" i="18"/>
  <c r="E341" i="18"/>
  <c r="E340" i="18"/>
  <c r="E339" i="18"/>
  <c r="E338" i="18"/>
  <c r="E337" i="18"/>
  <c r="E336" i="18"/>
  <c r="E335" i="18"/>
  <c r="E334" i="18"/>
  <c r="E333" i="18"/>
  <c r="E332" i="18"/>
  <c r="E331" i="18"/>
  <c r="E330" i="18"/>
  <c r="E329" i="18"/>
  <c r="E328" i="18"/>
  <c r="E327" i="18"/>
  <c r="E326" i="18"/>
  <c r="E325" i="18"/>
  <c r="E324" i="18"/>
  <c r="E323" i="18"/>
  <c r="E322" i="18"/>
  <c r="E321" i="18"/>
  <c r="E320" i="18"/>
  <c r="E319" i="18"/>
  <c r="E318" i="18"/>
  <c r="E317" i="18"/>
  <c r="E316" i="18"/>
  <c r="E315" i="18"/>
  <c r="E314" i="18"/>
  <c r="E313" i="18"/>
  <c r="E312" i="18"/>
  <c r="E311" i="18"/>
  <c r="E310" i="18"/>
  <c r="E309" i="18"/>
  <c r="E308" i="18"/>
  <c r="E307" i="18"/>
  <c r="E306" i="18"/>
  <c r="E305" i="18"/>
  <c r="E304" i="18"/>
  <c r="E303" i="18"/>
  <c r="E302" i="18"/>
  <c r="E301" i="18"/>
  <c r="E300" i="18"/>
  <c r="R300" i="18" s="1"/>
  <c r="E299" i="18"/>
  <c r="E298" i="18"/>
  <c r="E297" i="18"/>
  <c r="E296" i="18"/>
  <c r="E295" i="18"/>
  <c r="E294" i="18"/>
  <c r="E293" i="18"/>
  <c r="E292" i="18"/>
  <c r="E291" i="18"/>
  <c r="E290" i="18"/>
  <c r="E289" i="18"/>
  <c r="E288" i="18"/>
  <c r="E287" i="18"/>
  <c r="E286" i="18"/>
  <c r="E285" i="18"/>
  <c r="E284" i="18"/>
  <c r="R284" i="18" s="1"/>
  <c r="E283" i="18"/>
  <c r="R283" i="18" s="1"/>
  <c r="E282" i="18"/>
  <c r="R282" i="18" s="1"/>
  <c r="E281" i="18"/>
  <c r="E280" i="18"/>
  <c r="E279" i="18"/>
  <c r="E278" i="18"/>
  <c r="E277" i="18"/>
  <c r="E276" i="18"/>
  <c r="E275" i="18"/>
  <c r="E274" i="18"/>
  <c r="E273" i="18"/>
  <c r="E272" i="18"/>
  <c r="E271" i="18"/>
  <c r="E270" i="18"/>
  <c r="E269" i="18"/>
  <c r="E268" i="18"/>
  <c r="E267" i="18"/>
  <c r="E266" i="18"/>
  <c r="E265" i="18"/>
  <c r="R265" i="18" s="1"/>
  <c r="E264" i="18"/>
  <c r="R264" i="18" s="1"/>
  <c r="E263" i="18"/>
  <c r="R263" i="18" s="1"/>
  <c r="E262" i="18"/>
  <c r="E261" i="18"/>
  <c r="E260" i="18"/>
  <c r="E259" i="18"/>
  <c r="R259" i="18" s="1"/>
  <c r="E258" i="18"/>
  <c r="E257" i="18"/>
  <c r="E256" i="18"/>
  <c r="E255" i="18"/>
  <c r="E254" i="18"/>
  <c r="E253" i="18"/>
  <c r="E252" i="18"/>
  <c r="E251" i="18"/>
  <c r="E250" i="18"/>
  <c r="E249" i="18"/>
  <c r="E248" i="18"/>
  <c r="E247" i="18"/>
  <c r="E246" i="18"/>
  <c r="E245" i="18"/>
  <c r="E244" i="18"/>
  <c r="E243" i="18"/>
  <c r="E242" i="18"/>
  <c r="E241" i="18"/>
  <c r="R241" i="18" s="1"/>
  <c r="E240" i="18"/>
  <c r="E239" i="18"/>
  <c r="E238" i="18"/>
  <c r="E237" i="18"/>
  <c r="E236" i="18"/>
  <c r="E235" i="18"/>
  <c r="E234" i="18"/>
  <c r="E233" i="18"/>
  <c r="M233" i="18" s="1"/>
  <c r="E232" i="18"/>
  <c r="E231" i="18"/>
  <c r="AC230" i="18"/>
  <c r="AM231" i="14" s="1"/>
  <c r="E230" i="18"/>
  <c r="M230" i="18" s="1"/>
  <c r="E229" i="18"/>
  <c r="E228" i="18"/>
  <c r="AC227" i="18"/>
  <c r="AM228" i="14" s="1"/>
  <c r="E227" i="18"/>
  <c r="AC226" i="18"/>
  <c r="AM227" i="14" s="1"/>
  <c r="E226" i="18"/>
  <c r="AC225" i="18"/>
  <c r="AM226" i="14" s="1"/>
  <c r="E225" i="18"/>
  <c r="AC224" i="18"/>
  <c r="AM225" i="14" s="1"/>
  <c r="E224" i="18"/>
  <c r="AC223" i="18"/>
  <c r="AM224" i="14" s="1"/>
  <c r="E223" i="18"/>
  <c r="AC222" i="18"/>
  <c r="AM223" i="14" s="1"/>
  <c r="E222" i="18"/>
  <c r="E221" i="18"/>
  <c r="E220" i="18"/>
  <c r="E219" i="18"/>
  <c r="E218" i="18"/>
  <c r="AC217" i="18"/>
  <c r="AM218" i="14" s="1"/>
  <c r="E217" i="18"/>
  <c r="AC216" i="18"/>
  <c r="AM217" i="14" s="1"/>
  <c r="E216" i="18"/>
  <c r="AC215" i="18"/>
  <c r="AM216" i="14" s="1"/>
  <c r="E215" i="18"/>
  <c r="AC214" i="18"/>
  <c r="AM215" i="14" s="1"/>
  <c r="E214" i="18"/>
  <c r="AC213" i="18"/>
  <c r="AM214" i="14" s="1"/>
  <c r="E213" i="18"/>
  <c r="AC212" i="18"/>
  <c r="AM213" i="14" s="1"/>
  <c r="E212" i="18"/>
  <c r="AC211" i="18"/>
  <c r="AM212" i="14" s="1"/>
  <c r="E211" i="18"/>
  <c r="E210" i="18"/>
  <c r="E209" i="18"/>
  <c r="E208" i="18"/>
  <c r="E207" i="18"/>
  <c r="E206" i="18"/>
  <c r="AC205" i="18"/>
  <c r="AM206" i="14" s="1"/>
  <c r="E205" i="18"/>
  <c r="E204" i="18"/>
  <c r="E203" i="18"/>
  <c r="E202" i="18"/>
  <c r="E201" i="18"/>
  <c r="E200" i="18"/>
  <c r="E199" i="18"/>
  <c r="E198" i="18"/>
  <c r="E197" i="18"/>
  <c r="E196" i="18"/>
  <c r="E195" i="18"/>
  <c r="E194" i="18"/>
  <c r="E193" i="18"/>
  <c r="E192" i="18"/>
  <c r="E191" i="18"/>
  <c r="AC190" i="18"/>
  <c r="AM191" i="14" s="1"/>
  <c r="E190" i="18"/>
  <c r="AC189" i="18"/>
  <c r="AM190" i="14" s="1"/>
  <c r="E189" i="18"/>
  <c r="AC188" i="18"/>
  <c r="AM189" i="14" s="1"/>
  <c r="E188" i="18"/>
  <c r="E187" i="18"/>
  <c r="E186" i="18"/>
  <c r="E185" i="18"/>
  <c r="E184" i="18"/>
  <c r="AC183" i="18"/>
  <c r="AM184" i="14" s="1"/>
  <c r="E183" i="18"/>
  <c r="E182" i="18"/>
  <c r="E181" i="18"/>
  <c r="E180" i="18"/>
  <c r="E179" i="18"/>
  <c r="E178" i="18"/>
  <c r="E177" i="18"/>
  <c r="E176" i="18"/>
  <c r="E175" i="18"/>
  <c r="E174" i="18"/>
  <c r="E173" i="18"/>
  <c r="E172" i="18"/>
  <c r="E171" i="18"/>
  <c r="E170" i="18"/>
  <c r="E169" i="18"/>
  <c r="AC168" i="18"/>
  <c r="AM169" i="14" s="1"/>
  <c r="E168" i="18"/>
  <c r="E167" i="18"/>
  <c r="AC166" i="18"/>
  <c r="AM167" i="14" s="1"/>
  <c r="E166" i="18"/>
  <c r="E165" i="18"/>
  <c r="E164" i="18"/>
  <c r="E163" i="18"/>
  <c r="E162" i="18"/>
  <c r="AC161" i="18"/>
  <c r="AM162" i="14" s="1"/>
  <c r="E161" i="18"/>
  <c r="E160" i="18"/>
  <c r="E159" i="18"/>
  <c r="E158" i="18"/>
  <c r="E157" i="18"/>
  <c r="E156" i="18"/>
  <c r="E155" i="18"/>
  <c r="E154" i="18"/>
  <c r="E153" i="18"/>
  <c r="E152" i="18"/>
  <c r="E151" i="18"/>
  <c r="E150" i="18"/>
  <c r="E149" i="18"/>
  <c r="E148" i="18"/>
  <c r="E147" i="18"/>
  <c r="AC146" i="18"/>
  <c r="AM147" i="14" s="1"/>
  <c r="E146" i="18"/>
  <c r="E145" i="18"/>
  <c r="AC144" i="18"/>
  <c r="AM145" i="14" s="1"/>
  <c r="E144" i="18"/>
  <c r="E143" i="18"/>
  <c r="E142" i="18"/>
  <c r="AC141" i="18"/>
  <c r="AM142" i="14" s="1"/>
  <c r="E141" i="18"/>
  <c r="E140" i="18"/>
  <c r="E139" i="18"/>
  <c r="E138" i="18"/>
  <c r="E137" i="18"/>
  <c r="E136" i="18"/>
  <c r="E135" i="18"/>
  <c r="E134" i="18"/>
  <c r="E133" i="18"/>
  <c r="E132" i="18"/>
  <c r="E131" i="18"/>
  <c r="E130" i="18"/>
  <c r="E129" i="18"/>
  <c r="AC128" i="18"/>
  <c r="AM129" i="14" s="1"/>
  <c r="E128" i="18"/>
  <c r="AC127" i="18"/>
  <c r="AM128" i="14" s="1"/>
  <c r="E127" i="18"/>
  <c r="AC126" i="18"/>
  <c r="AM127" i="14" s="1"/>
  <c r="E126" i="18"/>
  <c r="E125" i="18"/>
  <c r="E124" i="18"/>
  <c r="AC123" i="18"/>
  <c r="AM124" i="14" s="1"/>
  <c r="E123" i="18"/>
  <c r="E122" i="18"/>
  <c r="E121" i="18"/>
  <c r="E120" i="18"/>
  <c r="E119" i="18"/>
  <c r="E118" i="18"/>
  <c r="E117" i="18"/>
  <c r="E116" i="18"/>
  <c r="E115" i="18"/>
  <c r="E114" i="18"/>
  <c r="E113" i="18"/>
  <c r="E112" i="18"/>
  <c r="E111" i="18"/>
  <c r="E110" i="18"/>
  <c r="E109" i="18"/>
  <c r="AC108" i="18"/>
  <c r="AM109" i="14" s="1"/>
  <c r="E108" i="18"/>
  <c r="E107" i="18"/>
  <c r="AC106" i="18"/>
  <c r="AM107" i="14" s="1"/>
  <c r="E106" i="18"/>
  <c r="E105" i="18"/>
  <c r="E104" i="18"/>
  <c r="E103" i="18"/>
  <c r="E102" i="18"/>
  <c r="AC101" i="18"/>
  <c r="AM102" i="14" s="1"/>
  <c r="E101" i="18"/>
  <c r="E100" i="18"/>
  <c r="E99" i="18"/>
  <c r="E98" i="18"/>
  <c r="E97" i="18"/>
  <c r="E96" i="18"/>
  <c r="E95" i="18"/>
  <c r="E94" i="18"/>
  <c r="E93" i="18"/>
  <c r="E92" i="18"/>
  <c r="E91" i="18"/>
  <c r="E90" i="18"/>
  <c r="E89" i="18"/>
  <c r="E88" i="18"/>
  <c r="E87" i="18"/>
  <c r="AC86" i="18"/>
  <c r="AM87" i="14" s="1"/>
  <c r="E86" i="18"/>
  <c r="E85" i="18"/>
  <c r="AC84" i="18"/>
  <c r="AM85" i="14" s="1"/>
  <c r="E84" i="18"/>
  <c r="E83" i="18"/>
  <c r="E82" i="18"/>
  <c r="AC81" i="18"/>
  <c r="AM82" i="14" s="1"/>
  <c r="E81" i="18"/>
  <c r="E80" i="18"/>
  <c r="E79" i="18"/>
  <c r="E78" i="18"/>
  <c r="E77" i="18"/>
  <c r="E76" i="18"/>
  <c r="E75" i="18"/>
  <c r="E74" i="18"/>
  <c r="E73" i="18"/>
  <c r="E72" i="18"/>
  <c r="E71" i="18"/>
  <c r="E70" i="18"/>
  <c r="E69" i="18"/>
  <c r="E68" i="18"/>
  <c r="E67" i="18"/>
  <c r="E66" i="18"/>
  <c r="E65" i="18"/>
  <c r="E64" i="18"/>
  <c r="E63" i="18"/>
  <c r="E62" i="18"/>
  <c r="E61" i="18"/>
  <c r="E60" i="18"/>
  <c r="E59" i="18"/>
  <c r="E58" i="18"/>
  <c r="E57" i="18"/>
  <c r="E56" i="18"/>
  <c r="E55" i="18"/>
  <c r="E54" i="18"/>
  <c r="E53" i="18"/>
  <c r="E52" i="18"/>
  <c r="E51" i="18"/>
  <c r="E50" i="18"/>
  <c r="E49" i="18"/>
  <c r="E48" i="18"/>
  <c r="E47" i="18"/>
  <c r="E46" i="18"/>
  <c r="E45" i="18"/>
  <c r="E44" i="18"/>
  <c r="E43" i="18"/>
  <c r="E42" i="18"/>
  <c r="E41" i="18"/>
  <c r="E40" i="18"/>
  <c r="E39" i="18"/>
  <c r="E38" i="18"/>
  <c r="E37" i="18"/>
  <c r="E36" i="18"/>
  <c r="E35" i="18"/>
  <c r="E34" i="18"/>
  <c r="E33" i="18"/>
  <c r="E32" i="18"/>
  <c r="E31" i="18"/>
  <c r="E30" i="18"/>
  <c r="E29" i="18"/>
  <c r="E28" i="18"/>
  <c r="E27" i="18"/>
  <c r="E26" i="18"/>
  <c r="E25" i="18"/>
  <c r="E24" i="18"/>
  <c r="E23" i="18"/>
  <c r="E22" i="18"/>
  <c r="E21" i="18"/>
  <c r="E20" i="18"/>
  <c r="E19" i="18"/>
  <c r="E18" i="18"/>
  <c r="E17" i="18"/>
  <c r="E16" i="18"/>
  <c r="E15" i="18"/>
  <c r="E14" i="18"/>
  <c r="E13" i="18"/>
  <c r="E12" i="18"/>
  <c r="E11" i="18"/>
  <c r="M231" i="18" l="1"/>
  <c r="V231" i="18"/>
  <c r="M55" i="18"/>
  <c r="J229" i="18"/>
  <c r="L229" i="18" s="1"/>
  <c r="J225" i="18"/>
  <c r="L225" i="18" s="1"/>
  <c r="J39" i="18"/>
  <c r="L39" i="18" s="1"/>
  <c r="J16" i="18"/>
  <c r="L16" i="18" s="1"/>
  <c r="J24" i="18"/>
  <c r="L24" i="18" s="1"/>
  <c r="J32" i="18"/>
  <c r="L32" i="18" s="1"/>
  <c r="R40" i="18"/>
  <c r="J48" i="18"/>
  <c r="L48" i="18" s="1"/>
  <c r="AC56" i="18"/>
  <c r="AM57" i="14" s="1"/>
  <c r="J56" i="18"/>
  <c r="L56" i="18" s="1"/>
  <c r="J64" i="18"/>
  <c r="L64" i="18" s="1"/>
  <c r="J72" i="18"/>
  <c r="L72" i="18" s="1"/>
  <c r="AC77" i="18"/>
  <c r="AM78" i="14" s="1"/>
  <c r="J77" i="18"/>
  <c r="L77" i="18" s="1"/>
  <c r="J81" i="18"/>
  <c r="L81" i="18" s="1"/>
  <c r="AC85" i="18"/>
  <c r="AM86" i="14" s="1"/>
  <c r="J85" i="18"/>
  <c r="L85" i="18" s="1"/>
  <c r="AC89" i="18"/>
  <c r="AM90" i="14" s="1"/>
  <c r="J89" i="18"/>
  <c r="L89" i="18" s="1"/>
  <c r="AC93" i="18"/>
  <c r="AM94" i="14" s="1"/>
  <c r="R93" i="18"/>
  <c r="J93" i="18"/>
  <c r="L93" i="18" s="1"/>
  <c r="AC97" i="18"/>
  <c r="AM98" i="14" s="1"/>
  <c r="J97" i="18"/>
  <c r="L97" i="18" s="1"/>
  <c r="J101" i="18"/>
  <c r="L101" i="18" s="1"/>
  <c r="AC105" i="18"/>
  <c r="AM106" i="14" s="1"/>
  <c r="N105" i="18"/>
  <c r="O105" i="18" s="1"/>
  <c r="AC109" i="18"/>
  <c r="AM110" i="14" s="1"/>
  <c r="J109" i="18"/>
  <c r="L109" i="18" s="1"/>
  <c r="AC113" i="18"/>
  <c r="AM114" i="14" s="1"/>
  <c r="J113" i="18"/>
  <c r="L113" i="18" s="1"/>
  <c r="AC117" i="18"/>
  <c r="AM118" i="14" s="1"/>
  <c r="J117" i="18"/>
  <c r="L117" i="18" s="1"/>
  <c r="AC121" i="18"/>
  <c r="AM122" i="14" s="1"/>
  <c r="R121" i="18"/>
  <c r="N121" i="18"/>
  <c r="O121" i="18" s="1"/>
  <c r="AC125" i="18"/>
  <c r="AM126" i="14" s="1"/>
  <c r="N125" i="18"/>
  <c r="O125" i="18" s="1"/>
  <c r="AC129" i="18"/>
  <c r="AM130" i="14" s="1"/>
  <c r="J129" i="18"/>
  <c r="L129" i="18" s="1"/>
  <c r="AC133" i="18"/>
  <c r="AM134" i="14" s="1"/>
  <c r="J133" i="18"/>
  <c r="L133" i="18" s="1"/>
  <c r="AC137" i="18"/>
  <c r="AM138" i="14" s="1"/>
  <c r="J137" i="18"/>
  <c r="L137" i="18" s="1"/>
  <c r="J141" i="18"/>
  <c r="L141" i="18" s="1"/>
  <c r="AC145" i="18"/>
  <c r="AM146" i="14" s="1"/>
  <c r="J145" i="18"/>
  <c r="L145" i="18" s="1"/>
  <c r="AC149" i="18"/>
  <c r="AM150" i="14" s="1"/>
  <c r="J149" i="18"/>
  <c r="L149" i="18" s="1"/>
  <c r="AC153" i="18"/>
  <c r="AM154" i="14" s="1"/>
  <c r="R153" i="18"/>
  <c r="M153" i="18" s="1"/>
  <c r="AC157" i="18"/>
  <c r="AM158" i="14" s="1"/>
  <c r="J157" i="18"/>
  <c r="L157" i="18" s="1"/>
  <c r="J161" i="18"/>
  <c r="L161" i="18" s="1"/>
  <c r="AC165" i="18"/>
  <c r="AM166" i="14" s="1"/>
  <c r="N165" i="18"/>
  <c r="O165" i="18" s="1"/>
  <c r="AC169" i="18"/>
  <c r="AM170" i="14" s="1"/>
  <c r="J169" i="18"/>
  <c r="L169" i="18" s="1"/>
  <c r="AC173" i="18"/>
  <c r="AM174" i="14" s="1"/>
  <c r="J173" i="18"/>
  <c r="L173" i="18" s="1"/>
  <c r="AC177" i="18"/>
  <c r="AM178" i="14" s="1"/>
  <c r="J177" i="18"/>
  <c r="L177" i="18" s="1"/>
  <c r="AC181" i="18"/>
  <c r="AM182" i="14" s="1"/>
  <c r="N181" i="18"/>
  <c r="O181" i="18" s="1"/>
  <c r="R181" i="18"/>
  <c r="AC185" i="18"/>
  <c r="AM186" i="14" s="1"/>
  <c r="J185" i="18"/>
  <c r="L185" i="18" s="1"/>
  <c r="J189" i="18"/>
  <c r="L189" i="18" s="1"/>
  <c r="AC193" i="18"/>
  <c r="AM194" i="14" s="1"/>
  <c r="J193" i="18"/>
  <c r="L193" i="18" s="1"/>
  <c r="AC197" i="18"/>
  <c r="AM198" i="14" s="1"/>
  <c r="R197" i="18"/>
  <c r="M197" i="18" s="1"/>
  <c r="AC201" i="18"/>
  <c r="AM202" i="14" s="1"/>
  <c r="J201" i="18"/>
  <c r="L201" i="18" s="1"/>
  <c r="J205" i="18"/>
  <c r="L205" i="18" s="1"/>
  <c r="AC209" i="18"/>
  <c r="AM210" i="14" s="1"/>
  <c r="J209" i="18"/>
  <c r="L209" i="18" s="1"/>
  <c r="J213" i="18"/>
  <c r="L213" i="18" s="1"/>
  <c r="J217" i="18"/>
  <c r="L217" i="18" s="1"/>
  <c r="AC221" i="18"/>
  <c r="AM222" i="14" s="1"/>
  <c r="J221" i="18"/>
  <c r="L221" i="18" s="1"/>
  <c r="AC229" i="18"/>
  <c r="AM230" i="14" s="1"/>
  <c r="L233" i="18"/>
  <c r="AC233" i="18"/>
  <c r="AM234" i="14" s="1"/>
  <c r="V237" i="18"/>
  <c r="AC237" i="18" s="1"/>
  <c r="AM238" i="14" s="1"/>
  <c r="V241" i="18"/>
  <c r="AC241" i="18" s="1"/>
  <c r="AM242" i="14" s="1"/>
  <c r="V245" i="18"/>
  <c r="AC245" i="18" s="1"/>
  <c r="AM246" i="14" s="1"/>
  <c r="V249" i="18"/>
  <c r="AC249" i="18" s="1"/>
  <c r="AM250" i="14" s="1"/>
  <c r="V253" i="18"/>
  <c r="AC253" i="18" s="1"/>
  <c r="AM254" i="14" s="1"/>
  <c r="V257" i="18"/>
  <c r="AC257" i="18" s="1"/>
  <c r="AM258" i="14" s="1"/>
  <c r="V261" i="18"/>
  <c r="AC261" i="18" s="1"/>
  <c r="AM262" i="14" s="1"/>
  <c r="V265" i="18"/>
  <c r="AC265" i="18" s="1"/>
  <c r="AM266" i="14" s="1"/>
  <c r="AC269" i="18"/>
  <c r="AM270" i="14" s="1"/>
  <c r="V273" i="18"/>
  <c r="AC273" i="18" s="1"/>
  <c r="AM274" i="14" s="1"/>
  <c r="V277" i="18"/>
  <c r="AC277" i="18" s="1"/>
  <c r="AM278" i="14" s="1"/>
  <c r="V281" i="18"/>
  <c r="AC281" i="18" s="1"/>
  <c r="AM282" i="14" s="1"/>
  <c r="AC285" i="18"/>
  <c r="AM286" i="14" s="1"/>
  <c r="V289" i="18"/>
  <c r="AC289" i="18" s="1"/>
  <c r="AM290" i="14" s="1"/>
  <c r="AC293" i="18"/>
  <c r="AM294" i="14" s="1"/>
  <c r="V297" i="18"/>
  <c r="AC297" i="18" s="1"/>
  <c r="AM298" i="14" s="1"/>
  <c r="V301" i="18"/>
  <c r="AC301" i="18" s="1"/>
  <c r="AM302" i="14" s="1"/>
  <c r="V305" i="18"/>
  <c r="AC305" i="18" s="1"/>
  <c r="AM306" i="14" s="1"/>
  <c r="V309" i="18"/>
  <c r="AC309" i="18" s="1"/>
  <c r="AM310" i="14" s="1"/>
  <c r="V313" i="18"/>
  <c r="AC313" i="18" s="1"/>
  <c r="AM314" i="14" s="1"/>
  <c r="K317" i="18"/>
  <c r="L317" i="18" s="1"/>
  <c r="V317" i="18"/>
  <c r="AC317" i="18" s="1"/>
  <c r="K321" i="18"/>
  <c r="L321" i="18" s="1"/>
  <c r="V321" i="18"/>
  <c r="AC321" i="18" s="1"/>
  <c r="K325" i="18"/>
  <c r="L325" i="18" s="1"/>
  <c r="V325" i="18"/>
  <c r="AC325" i="18" s="1"/>
  <c r="K329" i="18"/>
  <c r="L329" i="18" s="1"/>
  <c r="V329" i="18"/>
  <c r="AC329" i="18" s="1"/>
  <c r="K333" i="18"/>
  <c r="L333" i="18" s="1"/>
  <c r="V333" i="18"/>
  <c r="AC333" i="18" s="1"/>
  <c r="K337" i="18"/>
  <c r="L337" i="18" s="1"/>
  <c r="V337" i="18"/>
  <c r="AC337" i="18" s="1"/>
  <c r="K341" i="18"/>
  <c r="L341" i="18" s="1"/>
  <c r="V341" i="18"/>
  <c r="AC341" i="18" s="1"/>
  <c r="K345" i="18"/>
  <c r="L345" i="18" s="1"/>
  <c r="V345" i="18"/>
  <c r="AC345" i="18" s="1"/>
  <c r="K349" i="18"/>
  <c r="L349" i="18" s="1"/>
  <c r="V349" i="18"/>
  <c r="AC349" i="18" s="1"/>
  <c r="K353" i="18"/>
  <c r="L353" i="18" s="1"/>
  <c r="V353" i="18"/>
  <c r="AC353" i="18" s="1"/>
  <c r="K357" i="18"/>
  <c r="L357" i="18" s="1"/>
  <c r="V357" i="18"/>
  <c r="AC357" i="18" s="1"/>
  <c r="K361" i="18"/>
  <c r="L361" i="18" s="1"/>
  <c r="V361" i="18"/>
  <c r="AC361" i="18" s="1"/>
  <c r="K365" i="18"/>
  <c r="L365" i="18" s="1"/>
  <c r="V365" i="18"/>
  <c r="AC365" i="18" s="1"/>
  <c r="K369" i="18"/>
  <c r="L369" i="18" s="1"/>
  <c r="V369" i="18"/>
  <c r="AC369" i="18" s="1"/>
  <c r="K373" i="18"/>
  <c r="L373" i="18" s="1"/>
  <c r="V373" i="18"/>
  <c r="AC373" i="18" s="1"/>
  <c r="K377" i="18"/>
  <c r="L377" i="18" s="1"/>
  <c r="V377" i="18"/>
  <c r="AC377" i="18" s="1"/>
  <c r="K381" i="18"/>
  <c r="L381" i="18" s="1"/>
  <c r="V381" i="18"/>
  <c r="AC381" i="18" s="1"/>
  <c r="K385" i="18"/>
  <c r="L385" i="18" s="1"/>
  <c r="V385" i="18"/>
  <c r="AC385" i="18" s="1"/>
  <c r="K389" i="18"/>
  <c r="L389" i="18" s="1"/>
  <c r="V389" i="18"/>
  <c r="AC389" i="18" s="1"/>
  <c r="K393" i="18"/>
  <c r="L393" i="18" s="1"/>
  <c r="V393" i="18"/>
  <c r="AC393" i="18" s="1"/>
  <c r="K397" i="18"/>
  <c r="L397" i="18" s="1"/>
  <c r="V397" i="18"/>
  <c r="AC397" i="18" s="1"/>
  <c r="K401" i="18"/>
  <c r="L401" i="18" s="1"/>
  <c r="V401" i="18"/>
  <c r="AC401" i="18" s="1"/>
  <c r="K405" i="18"/>
  <c r="L405" i="18" s="1"/>
  <c r="V405" i="18"/>
  <c r="AC405" i="18" s="1"/>
  <c r="K409" i="18"/>
  <c r="L409" i="18" s="1"/>
  <c r="V409" i="18"/>
  <c r="AC409" i="18" s="1"/>
  <c r="K413" i="18"/>
  <c r="L413" i="18" s="1"/>
  <c r="V413" i="18"/>
  <c r="AC413" i="18" s="1"/>
  <c r="K417" i="18"/>
  <c r="L417" i="18" s="1"/>
  <c r="V417" i="18"/>
  <c r="AC417" i="18" s="1"/>
  <c r="K421" i="18"/>
  <c r="L421" i="18" s="1"/>
  <c r="V421" i="18"/>
  <c r="AC421" i="18" s="1"/>
  <c r="K425" i="18"/>
  <c r="L425" i="18" s="1"/>
  <c r="V425" i="18"/>
  <c r="AC425" i="18" s="1"/>
  <c r="K429" i="18"/>
  <c r="L429" i="18" s="1"/>
  <c r="V429" i="18"/>
  <c r="AC429" i="18" s="1"/>
  <c r="K433" i="18"/>
  <c r="L433" i="18" s="1"/>
  <c r="V433" i="18"/>
  <c r="AC433" i="18" s="1"/>
  <c r="K437" i="18"/>
  <c r="L437" i="18" s="1"/>
  <c r="V437" i="18"/>
  <c r="AC437" i="18" s="1"/>
  <c r="K441" i="18"/>
  <c r="L441" i="18" s="1"/>
  <c r="V441" i="18"/>
  <c r="AC441" i="18" s="1"/>
  <c r="K445" i="18"/>
  <c r="L445" i="18" s="1"/>
  <c r="V445" i="18"/>
  <c r="AC445" i="18" s="1"/>
  <c r="K449" i="18"/>
  <c r="L449" i="18" s="1"/>
  <c r="V449" i="18"/>
  <c r="AC449" i="18" s="1"/>
  <c r="K453" i="18"/>
  <c r="L453" i="18" s="1"/>
  <c r="V453" i="18"/>
  <c r="AC453" i="18" s="1"/>
  <c r="K457" i="18"/>
  <c r="L457" i="18" s="1"/>
  <c r="V457" i="18"/>
  <c r="AC457" i="18" s="1"/>
  <c r="K461" i="18"/>
  <c r="L461" i="18" s="1"/>
  <c r="V461" i="18"/>
  <c r="AC461" i="18" s="1"/>
  <c r="K465" i="18"/>
  <c r="L465" i="18" s="1"/>
  <c r="V465" i="18"/>
  <c r="AC465" i="18" s="1"/>
  <c r="K469" i="18"/>
  <c r="L469" i="18" s="1"/>
  <c r="V469" i="18"/>
  <c r="AC469" i="18" s="1"/>
  <c r="K473" i="18"/>
  <c r="L473" i="18" s="1"/>
  <c r="V473" i="18"/>
  <c r="AC473" i="18" s="1"/>
  <c r="K477" i="18"/>
  <c r="L477" i="18" s="1"/>
  <c r="V477" i="18"/>
  <c r="AC477" i="18" s="1"/>
  <c r="K481" i="18"/>
  <c r="L481" i="18" s="1"/>
  <c r="V481" i="18"/>
  <c r="AC481" i="18" s="1"/>
  <c r="K485" i="18"/>
  <c r="L485" i="18" s="1"/>
  <c r="V485" i="18"/>
  <c r="AC485" i="18" s="1"/>
  <c r="K489" i="18"/>
  <c r="L489" i="18" s="1"/>
  <c r="V489" i="18"/>
  <c r="AC489" i="18" s="1"/>
  <c r="K493" i="18"/>
  <c r="L493" i="18" s="1"/>
  <c r="V493" i="18"/>
  <c r="AC493" i="18" s="1"/>
  <c r="K497" i="18"/>
  <c r="L497" i="18" s="1"/>
  <c r="V497" i="18"/>
  <c r="AC497" i="18" s="1"/>
  <c r="K501" i="18"/>
  <c r="L501" i="18" s="1"/>
  <c r="V501" i="18"/>
  <c r="AC501" i="18" s="1"/>
  <c r="K505" i="18"/>
  <c r="L505" i="18" s="1"/>
  <c r="V505" i="18"/>
  <c r="AC505" i="18" s="1"/>
  <c r="J17" i="18"/>
  <c r="L17" i="18" s="1"/>
  <c r="N65" i="18"/>
  <c r="O65" i="18" s="1"/>
  <c r="J18" i="18"/>
  <c r="L18" i="18" s="1"/>
  <c r="J34" i="18"/>
  <c r="L34" i="18" s="1"/>
  <c r="J42" i="18"/>
  <c r="L42" i="18" s="1"/>
  <c r="J50" i="18"/>
  <c r="L50" i="18" s="1"/>
  <c r="J58" i="18"/>
  <c r="L58" i="18" s="1"/>
  <c r="AC74" i="18"/>
  <c r="AM75" i="14" s="1"/>
  <c r="R74" i="18"/>
  <c r="AC78" i="18"/>
  <c r="AM79" i="14" s="1"/>
  <c r="R78" i="18"/>
  <c r="AC82" i="18"/>
  <c r="AM83" i="14" s="1"/>
  <c r="J82" i="18"/>
  <c r="L82" i="18" s="1"/>
  <c r="J86" i="18"/>
  <c r="L86" i="18" s="1"/>
  <c r="AC90" i="18"/>
  <c r="AM91" i="14" s="1"/>
  <c r="J90" i="18"/>
  <c r="L90" i="18" s="1"/>
  <c r="AC94" i="18"/>
  <c r="AM95" i="14" s="1"/>
  <c r="J94" i="18"/>
  <c r="L94" i="18" s="1"/>
  <c r="AC98" i="18"/>
  <c r="AM99" i="14" s="1"/>
  <c r="R98" i="18"/>
  <c r="J98" i="18" s="1"/>
  <c r="L98" i="18" s="1"/>
  <c r="AC102" i="18"/>
  <c r="AM103" i="14" s="1"/>
  <c r="J102" i="18"/>
  <c r="L102" i="18" s="1"/>
  <c r="AC110" i="18"/>
  <c r="AM111" i="14" s="1"/>
  <c r="J110" i="18"/>
  <c r="L110" i="18" s="1"/>
  <c r="AC114" i="18"/>
  <c r="AM115" i="14" s="1"/>
  <c r="J114" i="18"/>
  <c r="L114" i="18" s="1"/>
  <c r="AC118" i="18"/>
  <c r="AM119" i="14" s="1"/>
  <c r="AC122" i="18"/>
  <c r="AM123" i="14" s="1"/>
  <c r="J122" i="18"/>
  <c r="L122" i="18" s="1"/>
  <c r="AC130" i="18"/>
  <c r="AM131" i="14" s="1"/>
  <c r="J130" i="18"/>
  <c r="L130" i="18" s="1"/>
  <c r="AC134" i="18"/>
  <c r="AM135" i="14" s="1"/>
  <c r="R134" i="18"/>
  <c r="J134" i="18" s="1"/>
  <c r="L134" i="18" s="1"/>
  <c r="AC138" i="18"/>
  <c r="AM139" i="14" s="1"/>
  <c r="R138" i="18"/>
  <c r="AC142" i="18"/>
  <c r="AM143" i="14" s="1"/>
  <c r="J142" i="18"/>
  <c r="L142" i="18" s="1"/>
  <c r="J146" i="18"/>
  <c r="L146" i="18" s="1"/>
  <c r="AC150" i="18"/>
  <c r="AM151" i="14" s="1"/>
  <c r="J150" i="18"/>
  <c r="L150" i="18" s="1"/>
  <c r="AC154" i="18"/>
  <c r="AM155" i="14" s="1"/>
  <c r="J154" i="18"/>
  <c r="L154" i="18" s="1"/>
  <c r="AC158" i="18"/>
  <c r="AM159" i="14" s="1"/>
  <c r="R158" i="18"/>
  <c r="AC162" i="18"/>
  <c r="AM163" i="14" s="1"/>
  <c r="J162" i="18"/>
  <c r="L162" i="18" s="1"/>
  <c r="AC170" i="18"/>
  <c r="AM171" i="14" s="1"/>
  <c r="J170" i="18"/>
  <c r="L170" i="18" s="1"/>
  <c r="AC174" i="18"/>
  <c r="AM175" i="14" s="1"/>
  <c r="J174" i="18"/>
  <c r="L174" i="18" s="1"/>
  <c r="AC178" i="18"/>
  <c r="AM179" i="14" s="1"/>
  <c r="J178" i="18"/>
  <c r="L178" i="18" s="1"/>
  <c r="AC182" i="18"/>
  <c r="AM183" i="14" s="1"/>
  <c r="J182" i="18"/>
  <c r="L182" i="18" s="1"/>
  <c r="AC186" i="18"/>
  <c r="AM187" i="14" s="1"/>
  <c r="J186" i="18"/>
  <c r="L186" i="18" s="1"/>
  <c r="J190" i="18"/>
  <c r="L190" i="18" s="1"/>
  <c r="AC194" i="18"/>
  <c r="AM195" i="14" s="1"/>
  <c r="J194" i="18"/>
  <c r="L194" i="18" s="1"/>
  <c r="AC198" i="18"/>
  <c r="AM199" i="14" s="1"/>
  <c r="J198" i="18"/>
  <c r="L198" i="18" s="1"/>
  <c r="AC202" i="18"/>
  <c r="AM203" i="14" s="1"/>
  <c r="R202" i="18"/>
  <c r="AC206" i="18"/>
  <c r="AM207" i="14" s="1"/>
  <c r="J206" i="18"/>
  <c r="L206" i="18" s="1"/>
  <c r="AC210" i="18"/>
  <c r="AM211" i="14" s="1"/>
  <c r="J210" i="18"/>
  <c r="L210" i="18" s="1"/>
  <c r="J214" i="18"/>
  <c r="L214" i="18" s="1"/>
  <c r="AC218" i="18"/>
  <c r="AM219" i="14" s="1"/>
  <c r="J218" i="18"/>
  <c r="L218" i="18" s="1"/>
  <c r="J222" i="18"/>
  <c r="L222" i="18" s="1"/>
  <c r="J226" i="18"/>
  <c r="L226" i="18" s="1"/>
  <c r="J230" i="18"/>
  <c r="L230" i="18" s="1"/>
  <c r="V234" i="18"/>
  <c r="AC234" i="18" s="1"/>
  <c r="AM235" i="14" s="1"/>
  <c r="V238" i="18"/>
  <c r="AC238" i="18" s="1"/>
  <c r="AM239" i="14" s="1"/>
  <c r="V242" i="18"/>
  <c r="AC242" i="18" s="1"/>
  <c r="AM243" i="14" s="1"/>
  <c r="V246" i="18"/>
  <c r="AC246" i="18" s="1"/>
  <c r="AM247" i="14" s="1"/>
  <c r="AC250" i="18"/>
  <c r="AM251" i="14" s="1"/>
  <c r="V254" i="18"/>
  <c r="AC254" i="18" s="1"/>
  <c r="AM255" i="14" s="1"/>
  <c r="V258" i="18"/>
  <c r="AC258" i="18" s="1"/>
  <c r="AM259" i="14" s="1"/>
  <c r="V262" i="18"/>
  <c r="AC262" i="18" s="1"/>
  <c r="AM263" i="14" s="1"/>
  <c r="AC266" i="18"/>
  <c r="AM267" i="14" s="1"/>
  <c r="AC270" i="18"/>
  <c r="AM271" i="14" s="1"/>
  <c r="V274" i="18"/>
  <c r="AC274" i="18" s="1"/>
  <c r="AM275" i="14" s="1"/>
  <c r="V278" i="18"/>
  <c r="AC278" i="18" s="1"/>
  <c r="AM279" i="14" s="1"/>
  <c r="V282" i="18"/>
  <c r="AC282" i="18" s="1"/>
  <c r="AM283" i="14" s="1"/>
  <c r="V286" i="18"/>
  <c r="AC286" i="18" s="1"/>
  <c r="AM287" i="14" s="1"/>
  <c r="V290" i="18"/>
  <c r="AC290" i="18" s="1"/>
  <c r="AM291" i="14" s="1"/>
  <c r="V294" i="18"/>
  <c r="AC294" i="18" s="1"/>
  <c r="AM295" i="14" s="1"/>
  <c r="V298" i="18"/>
  <c r="AC298" i="18" s="1"/>
  <c r="AM299" i="14" s="1"/>
  <c r="V302" i="18"/>
  <c r="AC302" i="18" s="1"/>
  <c r="AM303" i="14" s="1"/>
  <c r="V306" i="18"/>
  <c r="AC306" i="18" s="1"/>
  <c r="AM307" i="14" s="1"/>
  <c r="V310" i="18"/>
  <c r="AC310" i="18" s="1"/>
  <c r="AM311" i="14" s="1"/>
  <c r="K314" i="18"/>
  <c r="L314" i="18" s="1"/>
  <c r="V314" i="18"/>
  <c r="AC314" i="18" s="1"/>
  <c r="K318" i="18"/>
  <c r="L318" i="18" s="1"/>
  <c r="V318" i="18"/>
  <c r="AC318" i="18" s="1"/>
  <c r="K322" i="18"/>
  <c r="L322" i="18" s="1"/>
  <c r="V322" i="18"/>
  <c r="AC322" i="18" s="1"/>
  <c r="K326" i="18"/>
  <c r="L326" i="18" s="1"/>
  <c r="V326" i="18"/>
  <c r="AC326" i="18" s="1"/>
  <c r="K330" i="18"/>
  <c r="L330" i="18" s="1"/>
  <c r="V330" i="18"/>
  <c r="AC330" i="18" s="1"/>
  <c r="K334" i="18"/>
  <c r="L334" i="18" s="1"/>
  <c r="V334" i="18"/>
  <c r="AC334" i="18" s="1"/>
  <c r="K338" i="18"/>
  <c r="L338" i="18" s="1"/>
  <c r="V338" i="18"/>
  <c r="AC338" i="18" s="1"/>
  <c r="K342" i="18"/>
  <c r="L342" i="18" s="1"/>
  <c r="V342" i="18"/>
  <c r="AC342" i="18" s="1"/>
  <c r="K346" i="18"/>
  <c r="L346" i="18" s="1"/>
  <c r="V346" i="18"/>
  <c r="AC346" i="18" s="1"/>
  <c r="K350" i="18"/>
  <c r="L350" i="18" s="1"/>
  <c r="V350" i="18"/>
  <c r="AC350" i="18" s="1"/>
  <c r="K354" i="18"/>
  <c r="L354" i="18" s="1"/>
  <c r="V354" i="18"/>
  <c r="AC354" i="18" s="1"/>
  <c r="K358" i="18"/>
  <c r="L358" i="18" s="1"/>
  <c r="V358" i="18"/>
  <c r="AC358" i="18" s="1"/>
  <c r="K362" i="18"/>
  <c r="L362" i="18" s="1"/>
  <c r="V362" i="18"/>
  <c r="AC362" i="18" s="1"/>
  <c r="K366" i="18"/>
  <c r="L366" i="18" s="1"/>
  <c r="V366" i="18"/>
  <c r="AC366" i="18" s="1"/>
  <c r="K370" i="18"/>
  <c r="L370" i="18" s="1"/>
  <c r="V370" i="18"/>
  <c r="AC370" i="18" s="1"/>
  <c r="K374" i="18"/>
  <c r="L374" i="18" s="1"/>
  <c r="V374" i="18"/>
  <c r="AC374" i="18" s="1"/>
  <c r="K378" i="18"/>
  <c r="L378" i="18" s="1"/>
  <c r="V378" i="18"/>
  <c r="AC378" i="18" s="1"/>
  <c r="K382" i="18"/>
  <c r="L382" i="18" s="1"/>
  <c r="V382" i="18"/>
  <c r="AC382" i="18" s="1"/>
  <c r="K386" i="18"/>
  <c r="L386" i="18" s="1"/>
  <c r="V386" i="18"/>
  <c r="AC386" i="18" s="1"/>
  <c r="K390" i="18"/>
  <c r="L390" i="18" s="1"/>
  <c r="V390" i="18"/>
  <c r="AC390" i="18" s="1"/>
  <c r="K394" i="18"/>
  <c r="L394" i="18" s="1"/>
  <c r="V394" i="18"/>
  <c r="AC394" i="18" s="1"/>
  <c r="K398" i="18"/>
  <c r="L398" i="18" s="1"/>
  <c r="V398" i="18"/>
  <c r="AC398" i="18" s="1"/>
  <c r="K402" i="18"/>
  <c r="L402" i="18" s="1"/>
  <c r="V402" i="18"/>
  <c r="AC402" i="18" s="1"/>
  <c r="K406" i="18"/>
  <c r="L406" i="18" s="1"/>
  <c r="V406" i="18"/>
  <c r="AC406" i="18" s="1"/>
  <c r="K410" i="18"/>
  <c r="L410" i="18" s="1"/>
  <c r="V410" i="18"/>
  <c r="AC410" i="18" s="1"/>
  <c r="K414" i="18"/>
  <c r="L414" i="18" s="1"/>
  <c r="V414" i="18"/>
  <c r="AC414" i="18" s="1"/>
  <c r="K418" i="18"/>
  <c r="L418" i="18" s="1"/>
  <c r="V418" i="18"/>
  <c r="AC418" i="18" s="1"/>
  <c r="K422" i="18"/>
  <c r="L422" i="18" s="1"/>
  <c r="V422" i="18"/>
  <c r="AC422" i="18" s="1"/>
  <c r="K426" i="18"/>
  <c r="L426" i="18" s="1"/>
  <c r="V426" i="18"/>
  <c r="AC426" i="18" s="1"/>
  <c r="K430" i="18"/>
  <c r="L430" i="18" s="1"/>
  <c r="V430" i="18"/>
  <c r="AC430" i="18" s="1"/>
  <c r="K434" i="18"/>
  <c r="L434" i="18" s="1"/>
  <c r="V434" i="18"/>
  <c r="AC434" i="18" s="1"/>
  <c r="K438" i="18"/>
  <c r="L438" i="18" s="1"/>
  <c r="V438" i="18"/>
  <c r="AC438" i="18" s="1"/>
  <c r="K442" i="18"/>
  <c r="L442" i="18" s="1"/>
  <c r="V442" i="18"/>
  <c r="AC442" i="18" s="1"/>
  <c r="K446" i="18"/>
  <c r="L446" i="18" s="1"/>
  <c r="V446" i="18"/>
  <c r="AC446" i="18" s="1"/>
  <c r="K450" i="18"/>
  <c r="L450" i="18" s="1"/>
  <c r="V450" i="18"/>
  <c r="AC450" i="18" s="1"/>
  <c r="K454" i="18"/>
  <c r="L454" i="18" s="1"/>
  <c r="V454" i="18"/>
  <c r="AC454" i="18" s="1"/>
  <c r="K458" i="18"/>
  <c r="L458" i="18" s="1"/>
  <c r="V458" i="18"/>
  <c r="AC458" i="18" s="1"/>
  <c r="K462" i="18"/>
  <c r="L462" i="18" s="1"/>
  <c r="V462" i="18"/>
  <c r="AC462" i="18" s="1"/>
  <c r="K466" i="18"/>
  <c r="L466" i="18" s="1"/>
  <c r="V466" i="18"/>
  <c r="AC466" i="18" s="1"/>
  <c r="K470" i="18"/>
  <c r="L470" i="18" s="1"/>
  <c r="V470" i="18"/>
  <c r="AC470" i="18" s="1"/>
  <c r="K474" i="18"/>
  <c r="L474" i="18" s="1"/>
  <c r="V474" i="18"/>
  <c r="AC474" i="18" s="1"/>
  <c r="K478" i="18"/>
  <c r="L478" i="18" s="1"/>
  <c r="V478" i="18"/>
  <c r="AC478" i="18" s="1"/>
  <c r="K482" i="18"/>
  <c r="L482" i="18" s="1"/>
  <c r="V482" i="18"/>
  <c r="AC482" i="18" s="1"/>
  <c r="K486" i="18"/>
  <c r="L486" i="18" s="1"/>
  <c r="V486" i="18"/>
  <c r="AC486" i="18" s="1"/>
  <c r="K490" i="18"/>
  <c r="L490" i="18" s="1"/>
  <c r="V490" i="18"/>
  <c r="AC490" i="18" s="1"/>
  <c r="K494" i="18"/>
  <c r="L494" i="18" s="1"/>
  <c r="V494" i="18"/>
  <c r="AC494" i="18" s="1"/>
  <c r="K498" i="18"/>
  <c r="L498" i="18" s="1"/>
  <c r="V498" i="18"/>
  <c r="AC498" i="18" s="1"/>
  <c r="K502" i="18"/>
  <c r="L502" i="18" s="1"/>
  <c r="V502" i="18"/>
  <c r="AC502" i="18" s="1"/>
  <c r="J31" i="18"/>
  <c r="L31" i="18" s="1"/>
  <c r="J63" i="18"/>
  <c r="L63" i="18" s="1"/>
  <c r="AC11" i="18"/>
  <c r="AM12" i="14" s="1"/>
  <c r="J11" i="18"/>
  <c r="L11" i="18" s="1"/>
  <c r="N41" i="18"/>
  <c r="O41" i="18" s="1"/>
  <c r="R41" i="18"/>
  <c r="J57" i="18"/>
  <c r="L57" i="18" s="1"/>
  <c r="AC12" i="18"/>
  <c r="AM13" i="14" s="1"/>
  <c r="J12" i="18"/>
  <c r="L12" i="18" s="1"/>
  <c r="J19" i="18"/>
  <c r="L19" i="18" s="1"/>
  <c r="J27" i="18"/>
  <c r="L27" i="18" s="1"/>
  <c r="R35" i="18"/>
  <c r="J35" i="18" s="1"/>
  <c r="L35" i="18" s="1"/>
  <c r="J43" i="18"/>
  <c r="L43" i="18" s="1"/>
  <c r="J51" i="18"/>
  <c r="L51" i="18" s="1"/>
  <c r="J59" i="18"/>
  <c r="L59" i="18" s="1"/>
  <c r="J67" i="18"/>
  <c r="L67" i="18" s="1"/>
  <c r="R15" i="18"/>
  <c r="M15" i="18" s="1"/>
  <c r="J23" i="18"/>
  <c r="L23" i="18" s="1"/>
  <c r="R55" i="18"/>
  <c r="K55" i="18" s="1"/>
  <c r="J71" i="18"/>
  <c r="L71" i="18" s="1"/>
  <c r="N25" i="18"/>
  <c r="O25" i="18" s="1"/>
  <c r="AC20" i="18"/>
  <c r="AM21" i="14" s="1"/>
  <c r="R20" i="18"/>
  <c r="J28" i="18"/>
  <c r="L28" i="18" s="1"/>
  <c r="J36" i="18"/>
  <c r="L36" i="18" s="1"/>
  <c r="J44" i="18"/>
  <c r="L44" i="18" s="1"/>
  <c r="AC52" i="18"/>
  <c r="AM53" i="14" s="1"/>
  <c r="J52" i="18"/>
  <c r="L52" i="18" s="1"/>
  <c r="R60" i="18"/>
  <c r="J68" i="18"/>
  <c r="L68" i="18" s="1"/>
  <c r="AC75" i="18"/>
  <c r="AM76" i="14" s="1"/>
  <c r="J75" i="18"/>
  <c r="L75" i="18" s="1"/>
  <c r="AC79" i="18"/>
  <c r="AM80" i="14" s="1"/>
  <c r="R79" i="18"/>
  <c r="N79" i="18"/>
  <c r="O79" i="18" s="1"/>
  <c r="AC83" i="18"/>
  <c r="AM84" i="14" s="1"/>
  <c r="N83" i="18"/>
  <c r="O83" i="18" s="1"/>
  <c r="AC87" i="18"/>
  <c r="AM88" i="14" s="1"/>
  <c r="J87" i="18"/>
  <c r="L87" i="18" s="1"/>
  <c r="AC91" i="18"/>
  <c r="AM92" i="14" s="1"/>
  <c r="J91" i="18"/>
  <c r="L91" i="18" s="1"/>
  <c r="AC95" i="18"/>
  <c r="AM96" i="14" s="1"/>
  <c r="J95" i="18"/>
  <c r="L95" i="18" s="1"/>
  <c r="AC99" i="18"/>
  <c r="AM100" i="14" s="1"/>
  <c r="N99" i="18"/>
  <c r="O99" i="18" s="1"/>
  <c r="R99" i="18"/>
  <c r="AC103" i="18"/>
  <c r="AM104" i="14" s="1"/>
  <c r="J103" i="18"/>
  <c r="L103" i="18" s="1"/>
  <c r="AC107" i="18"/>
  <c r="AM108" i="14" s="1"/>
  <c r="J107" i="18"/>
  <c r="L107" i="18" s="1"/>
  <c r="AC111" i="18"/>
  <c r="AM112" i="14" s="1"/>
  <c r="J111" i="18"/>
  <c r="L111" i="18" s="1"/>
  <c r="AC115" i="18"/>
  <c r="AM116" i="14" s="1"/>
  <c r="R115" i="18"/>
  <c r="J115" i="18" s="1"/>
  <c r="L115" i="18" s="1"/>
  <c r="AC119" i="18"/>
  <c r="AM120" i="14" s="1"/>
  <c r="J119" i="18"/>
  <c r="L119" i="18" s="1"/>
  <c r="J123" i="18"/>
  <c r="L123" i="18" s="1"/>
  <c r="J127" i="18"/>
  <c r="L127" i="18" s="1"/>
  <c r="AC131" i="18"/>
  <c r="AM132" i="14" s="1"/>
  <c r="J131" i="18"/>
  <c r="L131" i="18" s="1"/>
  <c r="AC135" i="18"/>
  <c r="AM136" i="14" s="1"/>
  <c r="J135" i="18"/>
  <c r="L135" i="18" s="1"/>
  <c r="AC139" i="18"/>
  <c r="AM140" i="14" s="1"/>
  <c r="R139" i="18"/>
  <c r="N139" i="18"/>
  <c r="O139" i="18" s="1"/>
  <c r="AC143" i="18"/>
  <c r="AM144" i="14" s="1"/>
  <c r="N143" i="18"/>
  <c r="O143" i="18" s="1"/>
  <c r="AC147" i="18"/>
  <c r="AM148" i="14" s="1"/>
  <c r="J147" i="18"/>
  <c r="L147" i="18" s="1"/>
  <c r="AC151" i="18"/>
  <c r="AM152" i="14" s="1"/>
  <c r="J151" i="18"/>
  <c r="L151" i="18" s="1"/>
  <c r="AC155" i="18"/>
  <c r="AM156" i="14" s="1"/>
  <c r="J155" i="18"/>
  <c r="L155" i="18" s="1"/>
  <c r="AC159" i="18"/>
  <c r="AM160" i="14" s="1"/>
  <c r="N159" i="18"/>
  <c r="O159" i="18" s="1"/>
  <c r="R159" i="18"/>
  <c r="AC163" i="18"/>
  <c r="AM164" i="14" s="1"/>
  <c r="J163" i="18"/>
  <c r="L163" i="18" s="1"/>
  <c r="AC167" i="18"/>
  <c r="AM168" i="14" s="1"/>
  <c r="J167" i="18"/>
  <c r="L167" i="18" s="1"/>
  <c r="AC171" i="18"/>
  <c r="AM172" i="14" s="1"/>
  <c r="J171" i="18"/>
  <c r="L171" i="18" s="1"/>
  <c r="AC175" i="18"/>
  <c r="AM176" i="14" s="1"/>
  <c r="R175" i="18"/>
  <c r="J175" i="18" s="1"/>
  <c r="L175" i="18" s="1"/>
  <c r="AC179" i="18"/>
  <c r="AM180" i="14" s="1"/>
  <c r="J179" i="18"/>
  <c r="L179" i="18" s="1"/>
  <c r="J183" i="18"/>
  <c r="L183" i="18" s="1"/>
  <c r="AC187" i="18"/>
  <c r="AM188" i="14" s="1"/>
  <c r="N187" i="18"/>
  <c r="O187" i="18" s="1"/>
  <c r="AC191" i="18"/>
  <c r="AM192" i="14" s="1"/>
  <c r="J191" i="18"/>
  <c r="L191" i="18" s="1"/>
  <c r="AC195" i="18"/>
  <c r="AM196" i="14" s="1"/>
  <c r="J195" i="18"/>
  <c r="L195" i="18" s="1"/>
  <c r="AC199" i="18"/>
  <c r="AM200" i="14" s="1"/>
  <c r="J199" i="18"/>
  <c r="L199" i="18" s="1"/>
  <c r="AC203" i="18"/>
  <c r="AM204" i="14" s="1"/>
  <c r="N203" i="18"/>
  <c r="O203" i="18" s="1"/>
  <c r="R203" i="18"/>
  <c r="AC207" i="18"/>
  <c r="AM208" i="14" s="1"/>
  <c r="N207" i="18"/>
  <c r="O207" i="18" s="1"/>
  <c r="J211" i="18"/>
  <c r="L211" i="18" s="1"/>
  <c r="J215" i="18"/>
  <c r="L215" i="18" s="1"/>
  <c r="AC219" i="18"/>
  <c r="AM220" i="14" s="1"/>
  <c r="J219" i="18"/>
  <c r="L219" i="18" s="1"/>
  <c r="J223" i="18"/>
  <c r="L223" i="18" s="1"/>
  <c r="J227" i="18"/>
  <c r="L227" i="18" s="1"/>
  <c r="L231" i="18"/>
  <c r="AC231" i="18"/>
  <c r="AM232" i="14" s="1"/>
  <c r="V235" i="18"/>
  <c r="AC235" i="18" s="1"/>
  <c r="AM236" i="14" s="1"/>
  <c r="V239" i="18"/>
  <c r="AC239" i="18" s="1"/>
  <c r="AM240" i="14" s="1"/>
  <c r="V243" i="18"/>
  <c r="AC243" i="18" s="1"/>
  <c r="AM244" i="14" s="1"/>
  <c r="AC247" i="18"/>
  <c r="AM248" i="14" s="1"/>
  <c r="AC251" i="18"/>
  <c r="AM252" i="14" s="1"/>
  <c r="V255" i="18"/>
  <c r="AC255" i="18" s="1"/>
  <c r="AM256" i="14" s="1"/>
  <c r="V259" i="18"/>
  <c r="AC259" i="18" s="1"/>
  <c r="AM260" i="14" s="1"/>
  <c r="V263" i="18"/>
  <c r="AC263" i="18" s="1"/>
  <c r="AM264" i="14" s="1"/>
  <c r="V267" i="18"/>
  <c r="AC267" i="18" s="1"/>
  <c r="AM268" i="14" s="1"/>
  <c r="AC271" i="18"/>
  <c r="AM272" i="14" s="1"/>
  <c r="V275" i="18"/>
  <c r="AC275" i="18" s="1"/>
  <c r="AM276" i="14" s="1"/>
  <c r="V279" i="18"/>
  <c r="AC279" i="18" s="1"/>
  <c r="AM280" i="14" s="1"/>
  <c r="V283" i="18"/>
  <c r="AC283" i="18" s="1"/>
  <c r="AM284" i="14" s="1"/>
  <c r="V287" i="18"/>
  <c r="AC287" i="18" s="1"/>
  <c r="AM288" i="14" s="1"/>
  <c r="AC291" i="18"/>
  <c r="AM292" i="14" s="1"/>
  <c r="V295" i="18"/>
  <c r="AC295" i="18" s="1"/>
  <c r="AM296" i="14" s="1"/>
  <c r="V299" i="18"/>
  <c r="AC299" i="18" s="1"/>
  <c r="AM300" i="14" s="1"/>
  <c r="V303" i="18"/>
  <c r="AC303" i="18" s="1"/>
  <c r="AM304" i="14" s="1"/>
  <c r="V307" i="18"/>
  <c r="AC307" i="18" s="1"/>
  <c r="AM308" i="14" s="1"/>
  <c r="V311" i="18"/>
  <c r="AC311" i="18" s="1"/>
  <c r="AM312" i="14" s="1"/>
  <c r="K315" i="18"/>
  <c r="L315" i="18" s="1"/>
  <c r="V315" i="18"/>
  <c r="AC315" i="18" s="1"/>
  <c r="K319" i="18"/>
  <c r="L319" i="18" s="1"/>
  <c r="V319" i="18"/>
  <c r="AC319" i="18" s="1"/>
  <c r="K323" i="18"/>
  <c r="L323" i="18" s="1"/>
  <c r="V323" i="18"/>
  <c r="AC323" i="18" s="1"/>
  <c r="K327" i="18"/>
  <c r="L327" i="18" s="1"/>
  <c r="V327" i="18"/>
  <c r="AC327" i="18" s="1"/>
  <c r="K331" i="18"/>
  <c r="L331" i="18" s="1"/>
  <c r="V331" i="18"/>
  <c r="AC331" i="18" s="1"/>
  <c r="K335" i="18"/>
  <c r="L335" i="18" s="1"/>
  <c r="V335" i="18"/>
  <c r="AC335" i="18" s="1"/>
  <c r="K339" i="18"/>
  <c r="L339" i="18" s="1"/>
  <c r="V339" i="18"/>
  <c r="AC339" i="18" s="1"/>
  <c r="K343" i="18"/>
  <c r="L343" i="18" s="1"/>
  <c r="V343" i="18"/>
  <c r="AC343" i="18" s="1"/>
  <c r="K347" i="18"/>
  <c r="L347" i="18" s="1"/>
  <c r="V347" i="18"/>
  <c r="AC347" i="18" s="1"/>
  <c r="K351" i="18"/>
  <c r="L351" i="18" s="1"/>
  <c r="V351" i="18"/>
  <c r="AC351" i="18" s="1"/>
  <c r="K355" i="18"/>
  <c r="L355" i="18" s="1"/>
  <c r="V355" i="18"/>
  <c r="AC355" i="18" s="1"/>
  <c r="K359" i="18"/>
  <c r="L359" i="18" s="1"/>
  <c r="V359" i="18"/>
  <c r="AC359" i="18" s="1"/>
  <c r="K363" i="18"/>
  <c r="L363" i="18" s="1"/>
  <c r="V363" i="18"/>
  <c r="AC363" i="18" s="1"/>
  <c r="K367" i="18"/>
  <c r="L367" i="18" s="1"/>
  <c r="V367" i="18"/>
  <c r="AC367" i="18" s="1"/>
  <c r="K371" i="18"/>
  <c r="L371" i="18" s="1"/>
  <c r="V371" i="18"/>
  <c r="AC371" i="18" s="1"/>
  <c r="K375" i="18"/>
  <c r="L375" i="18" s="1"/>
  <c r="V375" i="18"/>
  <c r="AC375" i="18" s="1"/>
  <c r="K379" i="18"/>
  <c r="L379" i="18" s="1"/>
  <c r="V379" i="18"/>
  <c r="AC379" i="18" s="1"/>
  <c r="K383" i="18"/>
  <c r="L383" i="18" s="1"/>
  <c r="V383" i="18"/>
  <c r="AC383" i="18" s="1"/>
  <c r="K387" i="18"/>
  <c r="L387" i="18" s="1"/>
  <c r="V387" i="18"/>
  <c r="AC387" i="18" s="1"/>
  <c r="K391" i="18"/>
  <c r="L391" i="18" s="1"/>
  <c r="V391" i="18"/>
  <c r="AC391" i="18" s="1"/>
  <c r="K395" i="18"/>
  <c r="L395" i="18" s="1"/>
  <c r="V395" i="18"/>
  <c r="AC395" i="18" s="1"/>
  <c r="K399" i="18"/>
  <c r="L399" i="18" s="1"/>
  <c r="V399" i="18"/>
  <c r="AC399" i="18" s="1"/>
  <c r="K403" i="18"/>
  <c r="L403" i="18" s="1"/>
  <c r="V403" i="18"/>
  <c r="AC403" i="18" s="1"/>
  <c r="K407" i="18"/>
  <c r="L407" i="18" s="1"/>
  <c r="V407" i="18"/>
  <c r="AC407" i="18" s="1"/>
  <c r="K411" i="18"/>
  <c r="L411" i="18" s="1"/>
  <c r="V411" i="18"/>
  <c r="AC411" i="18" s="1"/>
  <c r="K415" i="18"/>
  <c r="L415" i="18" s="1"/>
  <c r="V415" i="18"/>
  <c r="AC415" i="18" s="1"/>
  <c r="K419" i="18"/>
  <c r="L419" i="18" s="1"/>
  <c r="V419" i="18"/>
  <c r="AC419" i="18" s="1"/>
  <c r="K423" i="18"/>
  <c r="L423" i="18" s="1"/>
  <c r="V423" i="18"/>
  <c r="AC423" i="18" s="1"/>
  <c r="K427" i="18"/>
  <c r="L427" i="18" s="1"/>
  <c r="V427" i="18"/>
  <c r="AC427" i="18" s="1"/>
  <c r="K431" i="18"/>
  <c r="L431" i="18" s="1"/>
  <c r="V431" i="18"/>
  <c r="AC431" i="18" s="1"/>
  <c r="K435" i="18"/>
  <c r="L435" i="18" s="1"/>
  <c r="V435" i="18"/>
  <c r="AC435" i="18" s="1"/>
  <c r="K439" i="18"/>
  <c r="L439" i="18" s="1"/>
  <c r="V439" i="18"/>
  <c r="AC439" i="18" s="1"/>
  <c r="K443" i="18"/>
  <c r="L443" i="18" s="1"/>
  <c r="V443" i="18"/>
  <c r="AC443" i="18" s="1"/>
  <c r="K447" i="18"/>
  <c r="L447" i="18" s="1"/>
  <c r="V447" i="18"/>
  <c r="AC447" i="18" s="1"/>
  <c r="K451" i="18"/>
  <c r="L451" i="18" s="1"/>
  <c r="V451" i="18"/>
  <c r="AC451" i="18" s="1"/>
  <c r="K455" i="18"/>
  <c r="L455" i="18" s="1"/>
  <c r="V455" i="18"/>
  <c r="AC455" i="18" s="1"/>
  <c r="K459" i="18"/>
  <c r="L459" i="18" s="1"/>
  <c r="V459" i="18"/>
  <c r="AC459" i="18" s="1"/>
  <c r="K463" i="18"/>
  <c r="L463" i="18" s="1"/>
  <c r="V463" i="18"/>
  <c r="AC463" i="18" s="1"/>
  <c r="K467" i="18"/>
  <c r="L467" i="18" s="1"/>
  <c r="V467" i="18"/>
  <c r="AC467" i="18" s="1"/>
  <c r="K471" i="18"/>
  <c r="L471" i="18" s="1"/>
  <c r="V471" i="18"/>
  <c r="AC471" i="18" s="1"/>
  <c r="K475" i="18"/>
  <c r="L475" i="18" s="1"/>
  <c r="V475" i="18"/>
  <c r="AC475" i="18" s="1"/>
  <c r="K479" i="18"/>
  <c r="L479" i="18" s="1"/>
  <c r="V479" i="18"/>
  <c r="AC479" i="18" s="1"/>
  <c r="K483" i="18"/>
  <c r="L483" i="18" s="1"/>
  <c r="V483" i="18"/>
  <c r="AC483" i="18" s="1"/>
  <c r="K487" i="18"/>
  <c r="L487" i="18" s="1"/>
  <c r="V487" i="18"/>
  <c r="AC487" i="18" s="1"/>
  <c r="K491" i="18"/>
  <c r="L491" i="18" s="1"/>
  <c r="V491" i="18"/>
  <c r="AC491" i="18" s="1"/>
  <c r="K495" i="18"/>
  <c r="L495" i="18" s="1"/>
  <c r="V495" i="18"/>
  <c r="AC495" i="18" s="1"/>
  <c r="K499" i="18"/>
  <c r="L499" i="18" s="1"/>
  <c r="V499" i="18"/>
  <c r="AC499" i="18" s="1"/>
  <c r="K503" i="18"/>
  <c r="L503" i="18" s="1"/>
  <c r="V503" i="18"/>
  <c r="AC503" i="18" s="1"/>
  <c r="AC47" i="18"/>
  <c r="AM48" i="14" s="1"/>
  <c r="J47" i="18"/>
  <c r="L47" i="18" s="1"/>
  <c r="J33" i="18"/>
  <c r="L33" i="18" s="1"/>
  <c r="AC49" i="18"/>
  <c r="AM50" i="14" s="1"/>
  <c r="J49" i="18"/>
  <c r="L49" i="18" s="1"/>
  <c r="J73" i="18"/>
  <c r="L73" i="18" s="1"/>
  <c r="AC13" i="18"/>
  <c r="AM14" i="14" s="1"/>
  <c r="J13" i="18"/>
  <c r="L13" i="18" s="1"/>
  <c r="N21" i="18"/>
  <c r="O21" i="18" s="1"/>
  <c r="R21" i="18"/>
  <c r="J29" i="18"/>
  <c r="L29" i="18" s="1"/>
  <c r="J37" i="18"/>
  <c r="L37" i="18" s="1"/>
  <c r="N45" i="18"/>
  <c r="O45" i="18" s="1"/>
  <c r="AC53" i="18"/>
  <c r="AM54" i="14" s="1"/>
  <c r="J53" i="18"/>
  <c r="L53" i="18" s="1"/>
  <c r="R61" i="18"/>
  <c r="N61" i="18"/>
  <c r="O61" i="18" s="1"/>
  <c r="J69" i="18"/>
  <c r="L69" i="18" s="1"/>
  <c r="J14" i="18"/>
  <c r="L14" i="18" s="1"/>
  <c r="J22" i="18"/>
  <c r="L22" i="18" s="1"/>
  <c r="J30" i="18"/>
  <c r="L30" i="18" s="1"/>
  <c r="J38" i="18"/>
  <c r="L38" i="18" s="1"/>
  <c r="AC54" i="18"/>
  <c r="AM55" i="14" s="1"/>
  <c r="J54" i="18"/>
  <c r="L54" i="18" s="1"/>
  <c r="J62" i="18"/>
  <c r="L62" i="18" s="1"/>
  <c r="AC70" i="18"/>
  <c r="AM71" i="14" s="1"/>
  <c r="J70" i="18"/>
  <c r="L70" i="18" s="1"/>
  <c r="AC76" i="18"/>
  <c r="AM77" i="14" s="1"/>
  <c r="J76" i="18"/>
  <c r="L76" i="18" s="1"/>
  <c r="AC80" i="18"/>
  <c r="AM81" i="14" s="1"/>
  <c r="J80" i="18"/>
  <c r="L80" i="18" s="1"/>
  <c r="AC88" i="18"/>
  <c r="AM89" i="14" s="1"/>
  <c r="J88" i="18"/>
  <c r="L88" i="18" s="1"/>
  <c r="AC92" i="18"/>
  <c r="AM93" i="14" s="1"/>
  <c r="J92" i="18"/>
  <c r="L92" i="18" s="1"/>
  <c r="AC96" i="18"/>
  <c r="AM97" i="14" s="1"/>
  <c r="J96" i="18"/>
  <c r="L96" i="18" s="1"/>
  <c r="AC100" i="18"/>
  <c r="AM101" i="14" s="1"/>
  <c r="J100" i="18"/>
  <c r="L100" i="18" s="1"/>
  <c r="AC104" i="18"/>
  <c r="AM105" i="14" s="1"/>
  <c r="J104" i="18"/>
  <c r="L104" i="18" s="1"/>
  <c r="J108" i="18"/>
  <c r="L108" i="18" s="1"/>
  <c r="AC112" i="18"/>
  <c r="AM113" i="14" s="1"/>
  <c r="J112" i="18"/>
  <c r="L112" i="18" s="1"/>
  <c r="AC116" i="18"/>
  <c r="AM117" i="14" s="1"/>
  <c r="J116" i="18"/>
  <c r="L116" i="18" s="1"/>
  <c r="AC120" i="18"/>
  <c r="AM121" i="14" s="1"/>
  <c r="R120" i="18"/>
  <c r="M120" i="18" s="1"/>
  <c r="AC124" i="18"/>
  <c r="AM125" i="14" s="1"/>
  <c r="J124" i="18"/>
  <c r="L124" i="18" s="1"/>
  <c r="J128" i="18"/>
  <c r="L128" i="18" s="1"/>
  <c r="AC132" i="18"/>
  <c r="AM133" i="14" s="1"/>
  <c r="J132" i="18"/>
  <c r="L132" i="18" s="1"/>
  <c r="AC136" i="18"/>
  <c r="AM137" i="14" s="1"/>
  <c r="J136" i="18"/>
  <c r="L136" i="18" s="1"/>
  <c r="AC140" i="18"/>
  <c r="AM141" i="14" s="1"/>
  <c r="J140" i="18"/>
  <c r="L140" i="18" s="1"/>
  <c r="AC148" i="18"/>
  <c r="AM149" i="14" s="1"/>
  <c r="J148" i="18"/>
  <c r="L148" i="18" s="1"/>
  <c r="AC152" i="18"/>
  <c r="AM153" i="14" s="1"/>
  <c r="J152" i="18"/>
  <c r="L152" i="18" s="1"/>
  <c r="AC156" i="18"/>
  <c r="AM157" i="14" s="1"/>
  <c r="J156" i="18"/>
  <c r="L156" i="18" s="1"/>
  <c r="AC160" i="18"/>
  <c r="AM161" i="14" s="1"/>
  <c r="J160" i="18"/>
  <c r="L160" i="18" s="1"/>
  <c r="AC164" i="18"/>
  <c r="AM165" i="14" s="1"/>
  <c r="J164" i="18"/>
  <c r="L164" i="18" s="1"/>
  <c r="J168" i="18"/>
  <c r="L168" i="18" s="1"/>
  <c r="AC172" i="18"/>
  <c r="AM173" i="14" s="1"/>
  <c r="J172" i="18"/>
  <c r="L172" i="18" s="1"/>
  <c r="AC176" i="18"/>
  <c r="AM177" i="14" s="1"/>
  <c r="J176" i="18"/>
  <c r="L176" i="18" s="1"/>
  <c r="AC180" i="18"/>
  <c r="AM181" i="14" s="1"/>
  <c r="R180" i="18"/>
  <c r="J180" i="18" s="1"/>
  <c r="L180" i="18" s="1"/>
  <c r="AC184" i="18"/>
  <c r="AM185" i="14" s="1"/>
  <c r="J184" i="18"/>
  <c r="L184" i="18" s="1"/>
  <c r="AC192" i="18"/>
  <c r="AM193" i="14" s="1"/>
  <c r="J192" i="18"/>
  <c r="L192" i="18" s="1"/>
  <c r="AC196" i="18"/>
  <c r="AM197" i="14" s="1"/>
  <c r="J196" i="18"/>
  <c r="L196" i="18" s="1"/>
  <c r="AC200" i="18"/>
  <c r="AM201" i="14" s="1"/>
  <c r="J200" i="18"/>
  <c r="L200" i="18" s="1"/>
  <c r="AC204" i="18"/>
  <c r="AM205" i="14" s="1"/>
  <c r="J204" i="18"/>
  <c r="L204" i="18" s="1"/>
  <c r="AC208" i="18"/>
  <c r="AM209" i="14" s="1"/>
  <c r="J208" i="18"/>
  <c r="L208" i="18" s="1"/>
  <c r="J212" i="18"/>
  <c r="L212" i="18" s="1"/>
  <c r="J216" i="18"/>
  <c r="L216" i="18" s="1"/>
  <c r="AC220" i="18"/>
  <c r="AM221" i="14" s="1"/>
  <c r="J220" i="18"/>
  <c r="L220" i="18" s="1"/>
  <c r="J224" i="18"/>
  <c r="L224" i="18" s="1"/>
  <c r="AC228" i="18"/>
  <c r="AM229" i="14" s="1"/>
  <c r="J228" i="18"/>
  <c r="L228" i="18" s="1"/>
  <c r="L232" i="18"/>
  <c r="AC232" i="18"/>
  <c r="AM233" i="14" s="1"/>
  <c r="V236" i="18"/>
  <c r="AC236" i="18" s="1"/>
  <c r="AM237" i="14" s="1"/>
  <c r="V240" i="18"/>
  <c r="AC240" i="18" s="1"/>
  <c r="AM241" i="14" s="1"/>
  <c r="V244" i="18"/>
  <c r="AC244" i="18" s="1"/>
  <c r="AM245" i="14" s="1"/>
  <c r="V248" i="18"/>
  <c r="AC248" i="18" s="1"/>
  <c r="AM249" i="14" s="1"/>
  <c r="AC252" i="18"/>
  <c r="AM253" i="14" s="1"/>
  <c r="V256" i="18"/>
  <c r="AC256" i="18" s="1"/>
  <c r="AM257" i="14" s="1"/>
  <c r="V260" i="18"/>
  <c r="AC260" i="18" s="1"/>
  <c r="AM261" i="14" s="1"/>
  <c r="V264" i="18"/>
  <c r="AC264" i="18" s="1"/>
  <c r="AM265" i="14" s="1"/>
  <c r="V268" i="18"/>
  <c r="AC268" i="18" s="1"/>
  <c r="AM269" i="14" s="1"/>
  <c r="V272" i="18"/>
  <c r="AC272" i="18" s="1"/>
  <c r="AM273" i="14" s="1"/>
  <c r="V276" i="18"/>
  <c r="AC276" i="18" s="1"/>
  <c r="AM277" i="14" s="1"/>
  <c r="V280" i="18"/>
  <c r="AC280" i="18" s="1"/>
  <c r="AM281" i="14" s="1"/>
  <c r="V284" i="18"/>
  <c r="AC284" i="18" s="1"/>
  <c r="AM285" i="14" s="1"/>
  <c r="V288" i="18"/>
  <c r="AC288" i="18" s="1"/>
  <c r="AM289" i="14" s="1"/>
  <c r="V292" i="18"/>
  <c r="AC292" i="18" s="1"/>
  <c r="AM293" i="14" s="1"/>
  <c r="V296" i="18"/>
  <c r="AC296" i="18" s="1"/>
  <c r="AM297" i="14" s="1"/>
  <c r="V300" i="18"/>
  <c r="AC300" i="18" s="1"/>
  <c r="AM301" i="14" s="1"/>
  <c r="AC304" i="18"/>
  <c r="AM305" i="14" s="1"/>
  <c r="AC308" i="18"/>
  <c r="AM309" i="14" s="1"/>
  <c r="V312" i="18"/>
  <c r="AC312" i="18" s="1"/>
  <c r="AM313" i="14" s="1"/>
  <c r="K316" i="18"/>
  <c r="L316" i="18" s="1"/>
  <c r="V316" i="18"/>
  <c r="AC316" i="18" s="1"/>
  <c r="K320" i="18"/>
  <c r="L320" i="18" s="1"/>
  <c r="V320" i="18"/>
  <c r="AC320" i="18" s="1"/>
  <c r="K324" i="18"/>
  <c r="L324" i="18" s="1"/>
  <c r="V324" i="18"/>
  <c r="AC324" i="18" s="1"/>
  <c r="K328" i="18"/>
  <c r="L328" i="18" s="1"/>
  <c r="V328" i="18"/>
  <c r="AC328" i="18" s="1"/>
  <c r="K332" i="18"/>
  <c r="L332" i="18" s="1"/>
  <c r="V332" i="18"/>
  <c r="AC332" i="18" s="1"/>
  <c r="K336" i="18"/>
  <c r="L336" i="18" s="1"/>
  <c r="V336" i="18"/>
  <c r="AC336" i="18" s="1"/>
  <c r="K340" i="18"/>
  <c r="L340" i="18" s="1"/>
  <c r="V340" i="18"/>
  <c r="AC340" i="18" s="1"/>
  <c r="K344" i="18"/>
  <c r="L344" i="18" s="1"/>
  <c r="V344" i="18"/>
  <c r="AC344" i="18" s="1"/>
  <c r="K348" i="18"/>
  <c r="L348" i="18" s="1"/>
  <c r="V348" i="18"/>
  <c r="AC348" i="18" s="1"/>
  <c r="K352" i="18"/>
  <c r="L352" i="18" s="1"/>
  <c r="V352" i="18"/>
  <c r="AC352" i="18" s="1"/>
  <c r="K356" i="18"/>
  <c r="L356" i="18" s="1"/>
  <c r="V356" i="18"/>
  <c r="AC356" i="18" s="1"/>
  <c r="K360" i="18"/>
  <c r="L360" i="18" s="1"/>
  <c r="V360" i="18"/>
  <c r="AC360" i="18" s="1"/>
  <c r="K364" i="18"/>
  <c r="L364" i="18" s="1"/>
  <c r="V364" i="18"/>
  <c r="AC364" i="18" s="1"/>
  <c r="K368" i="18"/>
  <c r="L368" i="18" s="1"/>
  <c r="V368" i="18"/>
  <c r="AC368" i="18" s="1"/>
  <c r="K372" i="18"/>
  <c r="L372" i="18" s="1"/>
  <c r="V372" i="18"/>
  <c r="AC372" i="18" s="1"/>
  <c r="K376" i="18"/>
  <c r="L376" i="18" s="1"/>
  <c r="V376" i="18"/>
  <c r="AC376" i="18" s="1"/>
  <c r="K380" i="18"/>
  <c r="L380" i="18" s="1"/>
  <c r="V380" i="18"/>
  <c r="AC380" i="18" s="1"/>
  <c r="K384" i="18"/>
  <c r="L384" i="18" s="1"/>
  <c r="V384" i="18"/>
  <c r="AC384" i="18" s="1"/>
  <c r="K388" i="18"/>
  <c r="L388" i="18" s="1"/>
  <c r="V388" i="18"/>
  <c r="AC388" i="18" s="1"/>
  <c r="K392" i="18"/>
  <c r="L392" i="18" s="1"/>
  <c r="V392" i="18"/>
  <c r="AC392" i="18" s="1"/>
  <c r="K396" i="18"/>
  <c r="L396" i="18" s="1"/>
  <c r="V396" i="18"/>
  <c r="AC396" i="18" s="1"/>
  <c r="K400" i="18"/>
  <c r="L400" i="18" s="1"/>
  <c r="V400" i="18"/>
  <c r="AC400" i="18" s="1"/>
  <c r="K404" i="18"/>
  <c r="L404" i="18" s="1"/>
  <c r="V404" i="18"/>
  <c r="AC404" i="18" s="1"/>
  <c r="K408" i="18"/>
  <c r="L408" i="18" s="1"/>
  <c r="V408" i="18"/>
  <c r="AC408" i="18" s="1"/>
  <c r="K412" i="18"/>
  <c r="L412" i="18" s="1"/>
  <c r="V412" i="18"/>
  <c r="AC412" i="18" s="1"/>
  <c r="K416" i="18"/>
  <c r="L416" i="18" s="1"/>
  <c r="V416" i="18"/>
  <c r="AC416" i="18" s="1"/>
  <c r="K420" i="18"/>
  <c r="L420" i="18" s="1"/>
  <c r="V420" i="18"/>
  <c r="AC420" i="18" s="1"/>
  <c r="K424" i="18"/>
  <c r="L424" i="18" s="1"/>
  <c r="V424" i="18"/>
  <c r="AC424" i="18" s="1"/>
  <c r="K428" i="18"/>
  <c r="L428" i="18" s="1"/>
  <c r="V428" i="18"/>
  <c r="AC428" i="18" s="1"/>
  <c r="K432" i="18"/>
  <c r="L432" i="18" s="1"/>
  <c r="V432" i="18"/>
  <c r="AC432" i="18" s="1"/>
  <c r="K436" i="18"/>
  <c r="L436" i="18" s="1"/>
  <c r="V436" i="18"/>
  <c r="AC436" i="18" s="1"/>
  <c r="K440" i="18"/>
  <c r="L440" i="18" s="1"/>
  <c r="V440" i="18"/>
  <c r="AC440" i="18" s="1"/>
  <c r="K444" i="18"/>
  <c r="L444" i="18" s="1"/>
  <c r="V444" i="18"/>
  <c r="AC444" i="18" s="1"/>
  <c r="K448" i="18"/>
  <c r="L448" i="18" s="1"/>
  <c r="V448" i="18"/>
  <c r="AC448" i="18" s="1"/>
  <c r="K452" i="18"/>
  <c r="L452" i="18" s="1"/>
  <c r="V452" i="18"/>
  <c r="AC452" i="18" s="1"/>
  <c r="K456" i="18"/>
  <c r="L456" i="18" s="1"/>
  <c r="V456" i="18"/>
  <c r="AC456" i="18" s="1"/>
  <c r="K460" i="18"/>
  <c r="L460" i="18" s="1"/>
  <c r="V460" i="18"/>
  <c r="AC460" i="18" s="1"/>
  <c r="K464" i="18"/>
  <c r="L464" i="18" s="1"/>
  <c r="V464" i="18"/>
  <c r="AC464" i="18" s="1"/>
  <c r="K468" i="18"/>
  <c r="L468" i="18" s="1"/>
  <c r="V468" i="18"/>
  <c r="AC468" i="18" s="1"/>
  <c r="K472" i="18"/>
  <c r="L472" i="18" s="1"/>
  <c r="V472" i="18"/>
  <c r="AC472" i="18" s="1"/>
  <c r="K476" i="18"/>
  <c r="L476" i="18" s="1"/>
  <c r="V476" i="18"/>
  <c r="AC476" i="18" s="1"/>
  <c r="K480" i="18"/>
  <c r="L480" i="18" s="1"/>
  <c r="V480" i="18"/>
  <c r="AC480" i="18" s="1"/>
  <c r="K484" i="18"/>
  <c r="L484" i="18" s="1"/>
  <c r="V484" i="18"/>
  <c r="AC484" i="18" s="1"/>
  <c r="K488" i="18"/>
  <c r="L488" i="18" s="1"/>
  <c r="V488" i="18"/>
  <c r="AC488" i="18" s="1"/>
  <c r="K492" i="18"/>
  <c r="L492" i="18" s="1"/>
  <c r="V492" i="18"/>
  <c r="AC492" i="18" s="1"/>
  <c r="K496" i="18"/>
  <c r="L496" i="18" s="1"/>
  <c r="V496" i="18"/>
  <c r="AC496" i="18" s="1"/>
  <c r="K500" i="18"/>
  <c r="L500" i="18" s="1"/>
  <c r="V500" i="18"/>
  <c r="AC500" i="18" s="1"/>
  <c r="K504" i="18"/>
  <c r="L504" i="18" s="1"/>
  <c r="V504" i="18"/>
  <c r="AC504" i="18" s="1"/>
  <c r="J232" i="18"/>
  <c r="J316" i="18"/>
  <c r="J324" i="18"/>
  <c r="J344" i="18"/>
  <c r="J372" i="18"/>
  <c r="J448" i="18"/>
  <c r="J231" i="18"/>
  <c r="J315" i="18"/>
  <c r="J319" i="18"/>
  <c r="J323" i="18"/>
  <c r="J327" i="18"/>
  <c r="J331" i="18"/>
  <c r="J335" i="18"/>
  <c r="J339" i="18"/>
  <c r="J343" i="18"/>
  <c r="J347" i="18"/>
  <c r="J351" i="18"/>
  <c r="J355" i="18"/>
  <c r="J359" i="18"/>
  <c r="J363" i="18"/>
  <c r="J367" i="18"/>
  <c r="J371" i="18"/>
  <c r="J375" i="18"/>
  <c r="J379" i="18"/>
  <c r="J383" i="18"/>
  <c r="J387" i="18"/>
  <c r="J391" i="18"/>
  <c r="J395" i="18"/>
  <c r="J399" i="18"/>
  <c r="J403" i="18"/>
  <c r="J407" i="18"/>
  <c r="J411" i="18"/>
  <c r="J415" i="18"/>
  <c r="J419" i="18"/>
  <c r="J423" i="18"/>
  <c r="J427" i="18"/>
  <c r="J431" i="18"/>
  <c r="J435" i="18"/>
  <c r="J439" i="18"/>
  <c r="J443" i="18"/>
  <c r="J447" i="18"/>
  <c r="J451" i="18"/>
  <c r="J455" i="18"/>
  <c r="J459" i="18"/>
  <c r="J463" i="18"/>
  <c r="J467" i="18"/>
  <c r="J471" i="18"/>
  <c r="J475" i="18"/>
  <c r="J479" i="18"/>
  <c r="J483" i="18"/>
  <c r="J487" i="18"/>
  <c r="J491" i="18"/>
  <c r="J495" i="18"/>
  <c r="J499" i="18"/>
  <c r="J503" i="18"/>
  <c r="J468" i="18"/>
  <c r="J472" i="18"/>
  <c r="J476" i="18"/>
  <c r="J480" i="18"/>
  <c r="J484" i="18"/>
  <c r="J488" i="18"/>
  <c r="J492" i="18"/>
  <c r="J496" i="18"/>
  <c r="J500" i="18"/>
  <c r="J504" i="18"/>
  <c r="J356" i="18"/>
  <c r="J464" i="18"/>
  <c r="J328" i="18"/>
  <c r="J340" i="18"/>
  <c r="J368" i="18"/>
  <c r="J460" i="18"/>
  <c r="J233" i="18"/>
  <c r="J317" i="18"/>
  <c r="J321" i="18"/>
  <c r="J325" i="18"/>
  <c r="J329" i="18"/>
  <c r="J333" i="18"/>
  <c r="J337" i="18"/>
  <c r="J341" i="18"/>
  <c r="J345" i="18"/>
  <c r="J349" i="18"/>
  <c r="J353" i="18"/>
  <c r="J357" i="18"/>
  <c r="J361" i="18"/>
  <c r="J365" i="18"/>
  <c r="J369" i="18"/>
  <c r="J373" i="18"/>
  <c r="J377" i="18"/>
  <c r="J381" i="18"/>
  <c r="J385" i="18"/>
  <c r="J389" i="18"/>
  <c r="J393" i="18"/>
  <c r="J397" i="18"/>
  <c r="J401" i="18"/>
  <c r="J405" i="18"/>
  <c r="J409" i="18"/>
  <c r="J413" i="18"/>
  <c r="J417" i="18"/>
  <c r="J421" i="18"/>
  <c r="J425" i="18"/>
  <c r="J429" i="18"/>
  <c r="J433" i="18"/>
  <c r="J437" i="18"/>
  <c r="J441" i="18"/>
  <c r="J445" i="18"/>
  <c r="J449" i="18"/>
  <c r="J453" i="18"/>
  <c r="J457" i="18"/>
  <c r="J461" i="18"/>
  <c r="J465" i="18"/>
  <c r="J469" i="18"/>
  <c r="J473" i="18"/>
  <c r="J477" i="18"/>
  <c r="J481" i="18"/>
  <c r="J485" i="18"/>
  <c r="J489" i="18"/>
  <c r="J493" i="18"/>
  <c r="J497" i="18"/>
  <c r="J501" i="18"/>
  <c r="J505" i="18"/>
  <c r="J452" i="18"/>
  <c r="J320" i="18"/>
  <c r="J332" i="18"/>
  <c r="J336" i="18"/>
  <c r="J348" i="18"/>
  <c r="J352" i="18"/>
  <c r="J360" i="18"/>
  <c r="J364" i="18"/>
  <c r="J376" i="18"/>
  <c r="J380" i="18"/>
  <c r="J384" i="18"/>
  <c r="J388" i="18"/>
  <c r="J392" i="18"/>
  <c r="J396" i="18"/>
  <c r="J400" i="18"/>
  <c r="J404" i="18"/>
  <c r="J408" i="18"/>
  <c r="J412" i="18"/>
  <c r="J416" i="18"/>
  <c r="J420" i="18"/>
  <c r="J424" i="18"/>
  <c r="J428" i="18"/>
  <c r="J432" i="18"/>
  <c r="J436" i="18"/>
  <c r="J440" i="18"/>
  <c r="J444" i="18"/>
  <c r="J456" i="18"/>
  <c r="J314" i="18"/>
  <c r="J318" i="18"/>
  <c r="J322" i="18"/>
  <c r="J326" i="18"/>
  <c r="J330" i="18"/>
  <c r="J334" i="18"/>
  <c r="J338" i="18"/>
  <c r="J342" i="18"/>
  <c r="J346" i="18"/>
  <c r="J350" i="18"/>
  <c r="J354" i="18"/>
  <c r="J358" i="18"/>
  <c r="J362" i="18"/>
  <c r="J366" i="18"/>
  <c r="J370" i="18"/>
  <c r="J374" i="18"/>
  <c r="J378" i="18"/>
  <c r="J382" i="18"/>
  <c r="J386" i="18"/>
  <c r="J390" i="18"/>
  <c r="J394" i="18"/>
  <c r="J398" i="18"/>
  <c r="J402" i="18"/>
  <c r="J406" i="18"/>
  <c r="J410" i="18"/>
  <c r="J414" i="18"/>
  <c r="J418" i="18"/>
  <c r="J422" i="18"/>
  <c r="J426" i="18"/>
  <c r="J430" i="18"/>
  <c r="J434" i="18"/>
  <c r="J438" i="18"/>
  <c r="J442" i="18"/>
  <c r="J446" i="18"/>
  <c r="J450" i="18"/>
  <c r="J454" i="18"/>
  <c r="J458" i="18"/>
  <c r="J462" i="18"/>
  <c r="J466" i="18"/>
  <c r="J470" i="18"/>
  <c r="J474" i="18"/>
  <c r="J478" i="18"/>
  <c r="J482" i="18"/>
  <c r="J486" i="18"/>
  <c r="J490" i="18"/>
  <c r="J494" i="18"/>
  <c r="J498" i="18"/>
  <c r="J502" i="18"/>
  <c r="J118" i="18"/>
  <c r="L118" i="18" s="1"/>
  <c r="AC26" i="18"/>
  <c r="AM27" i="14" s="1"/>
  <c r="AC58" i="18"/>
  <c r="AM59" i="14" s="1"/>
  <c r="AC15" i="18"/>
  <c r="AM16" i="14" s="1"/>
  <c r="AC19" i="18"/>
  <c r="AM20" i="14" s="1"/>
  <c r="AC23" i="18"/>
  <c r="AM24" i="14" s="1"/>
  <c r="AC27" i="18"/>
  <c r="AM28" i="14" s="1"/>
  <c r="AC31" i="18"/>
  <c r="AM32" i="14" s="1"/>
  <c r="AC35" i="18"/>
  <c r="AM36" i="14" s="1"/>
  <c r="AC39" i="18"/>
  <c r="AM40" i="14" s="1"/>
  <c r="AC43" i="18"/>
  <c r="AM44" i="14" s="1"/>
  <c r="AC51" i="18"/>
  <c r="AM52" i="14" s="1"/>
  <c r="AC55" i="18"/>
  <c r="AM56" i="14" s="1"/>
  <c r="AC59" i="18"/>
  <c r="AM60" i="14" s="1"/>
  <c r="AC63" i="18"/>
  <c r="AM64" i="14" s="1"/>
  <c r="AC67" i="18"/>
  <c r="AM68" i="14" s="1"/>
  <c r="AC71" i="18"/>
  <c r="AM72" i="14" s="1"/>
  <c r="AC14" i="18"/>
  <c r="AM15" i="14" s="1"/>
  <c r="AC30" i="18"/>
  <c r="AM31" i="14" s="1"/>
  <c r="AC16" i="18"/>
  <c r="AM17" i="14" s="1"/>
  <c r="AC24" i="18"/>
  <c r="AM25" i="14" s="1"/>
  <c r="AC28" i="18"/>
  <c r="AM29" i="14" s="1"/>
  <c r="AC32" i="18"/>
  <c r="AM33" i="14" s="1"/>
  <c r="AC36" i="18"/>
  <c r="AM37" i="14" s="1"/>
  <c r="AC40" i="18"/>
  <c r="AM41" i="14" s="1"/>
  <c r="AC44" i="18"/>
  <c r="AM45" i="14" s="1"/>
  <c r="AC48" i="18"/>
  <c r="AM49" i="14" s="1"/>
  <c r="AC60" i="18"/>
  <c r="AM61" i="14" s="1"/>
  <c r="AC64" i="18"/>
  <c r="AM65" i="14" s="1"/>
  <c r="AC68" i="18"/>
  <c r="AM69" i="14" s="1"/>
  <c r="AC72" i="18"/>
  <c r="AM73" i="14" s="1"/>
  <c r="AC22" i="18"/>
  <c r="AM23" i="14" s="1"/>
  <c r="AC34" i="18"/>
  <c r="AM35" i="14" s="1"/>
  <c r="AC38" i="18"/>
  <c r="AM39" i="14" s="1"/>
  <c r="AC42" i="18"/>
  <c r="AM43" i="14" s="1"/>
  <c r="AC50" i="18"/>
  <c r="AM51" i="14" s="1"/>
  <c r="AC17" i="18"/>
  <c r="AM18" i="14" s="1"/>
  <c r="AC21" i="18"/>
  <c r="AM22" i="14" s="1"/>
  <c r="AC25" i="18"/>
  <c r="AM26" i="14" s="1"/>
  <c r="AC29" i="18"/>
  <c r="AM30" i="14" s="1"/>
  <c r="AC33" i="18"/>
  <c r="AM34" i="14" s="1"/>
  <c r="AC37" i="18"/>
  <c r="AM38" i="14" s="1"/>
  <c r="AC41" i="18"/>
  <c r="AM42" i="14" s="1"/>
  <c r="AC45" i="18"/>
  <c r="AM46" i="14" s="1"/>
  <c r="AC57" i="18"/>
  <c r="AM58" i="14" s="1"/>
  <c r="AC61" i="18"/>
  <c r="AM62" i="14" s="1"/>
  <c r="AC65" i="18"/>
  <c r="AM66" i="14" s="1"/>
  <c r="AC69" i="18"/>
  <c r="AM70" i="14" s="1"/>
  <c r="AC73" i="18"/>
  <c r="AM74" i="14" s="1"/>
  <c r="AC66" i="18"/>
  <c r="AM67" i="14" s="1"/>
  <c r="AC18" i="18"/>
  <c r="AM19" i="14" s="1"/>
  <c r="AC46" i="18"/>
  <c r="AM47" i="14" s="1"/>
  <c r="AC62" i="18"/>
  <c r="AM63" i="14" s="1"/>
  <c r="B69" i="14"/>
  <c r="C69" i="14"/>
  <c r="B70" i="14"/>
  <c r="C70" i="14"/>
  <c r="B71" i="14"/>
  <c r="C71" i="14"/>
  <c r="B72" i="14"/>
  <c r="C72" i="14"/>
  <c r="B73" i="14"/>
  <c r="C73" i="14"/>
  <c r="B74" i="14"/>
  <c r="C74" i="14"/>
  <c r="B75" i="14"/>
  <c r="C75" i="14"/>
  <c r="B76" i="14"/>
  <c r="C76" i="14"/>
  <c r="B77" i="14"/>
  <c r="C77" i="14"/>
  <c r="B78" i="14"/>
  <c r="C78" i="14"/>
  <c r="B79" i="14"/>
  <c r="C79" i="14"/>
  <c r="B80" i="14"/>
  <c r="C80" i="14"/>
  <c r="B81" i="14"/>
  <c r="C81" i="14"/>
  <c r="B82" i="14"/>
  <c r="C82" i="14"/>
  <c r="B83" i="14"/>
  <c r="C83" i="14"/>
  <c r="B84" i="14"/>
  <c r="C84" i="14"/>
  <c r="B85" i="14"/>
  <c r="C85" i="14"/>
  <c r="B86" i="14"/>
  <c r="C86" i="14"/>
  <c r="B87" i="14"/>
  <c r="C87" i="14"/>
  <c r="B88" i="14"/>
  <c r="C88" i="14"/>
  <c r="B89" i="14"/>
  <c r="C89" i="14"/>
  <c r="B90" i="14"/>
  <c r="C90" i="14"/>
  <c r="B91" i="14"/>
  <c r="C91" i="14"/>
  <c r="B92" i="14"/>
  <c r="C92" i="14"/>
  <c r="B93" i="14"/>
  <c r="C93" i="14"/>
  <c r="B94" i="14"/>
  <c r="C94" i="14"/>
  <c r="B95" i="14"/>
  <c r="C95" i="14"/>
  <c r="B96" i="14"/>
  <c r="C96" i="14"/>
  <c r="B97" i="14"/>
  <c r="C97" i="14"/>
  <c r="B98" i="14"/>
  <c r="C98" i="14"/>
  <c r="B99" i="14"/>
  <c r="C99" i="14"/>
  <c r="B100" i="14"/>
  <c r="C100" i="14"/>
  <c r="B101" i="14"/>
  <c r="C101" i="14"/>
  <c r="B102" i="14"/>
  <c r="C102" i="14"/>
  <c r="B103" i="14"/>
  <c r="C103" i="14"/>
  <c r="B104" i="14"/>
  <c r="C104" i="14"/>
  <c r="B105" i="14"/>
  <c r="C105" i="14"/>
  <c r="B106" i="14"/>
  <c r="C106" i="14"/>
  <c r="B107" i="14"/>
  <c r="C107" i="14"/>
  <c r="B108" i="14"/>
  <c r="C108" i="14"/>
  <c r="B109" i="14"/>
  <c r="C109" i="14"/>
  <c r="B110" i="14"/>
  <c r="C110" i="14"/>
  <c r="B111" i="14"/>
  <c r="C111" i="14"/>
  <c r="B112" i="14"/>
  <c r="C112" i="14"/>
  <c r="B113" i="14"/>
  <c r="C113" i="14"/>
  <c r="B114" i="14"/>
  <c r="C114" i="14"/>
  <c r="B115" i="14"/>
  <c r="C115" i="14"/>
  <c r="B116" i="14"/>
  <c r="C116" i="14"/>
  <c r="B117" i="14"/>
  <c r="C117" i="14"/>
  <c r="B118" i="14"/>
  <c r="C118" i="14"/>
  <c r="B119" i="14"/>
  <c r="C119" i="14"/>
  <c r="B120" i="14"/>
  <c r="C120" i="14"/>
  <c r="B121" i="14"/>
  <c r="C121" i="14"/>
  <c r="B122" i="14"/>
  <c r="C122" i="14"/>
  <c r="B123" i="14"/>
  <c r="C123" i="14"/>
  <c r="B124" i="14"/>
  <c r="C124" i="14"/>
  <c r="B125" i="14"/>
  <c r="C125" i="14"/>
  <c r="B126" i="14"/>
  <c r="C126" i="14"/>
  <c r="B127" i="14"/>
  <c r="C127" i="14"/>
  <c r="B128" i="14"/>
  <c r="C128" i="14"/>
  <c r="B129" i="14"/>
  <c r="C129" i="14"/>
  <c r="B130" i="14"/>
  <c r="C130" i="14"/>
  <c r="B131" i="14"/>
  <c r="C131" i="14"/>
  <c r="B132" i="14"/>
  <c r="C132" i="14"/>
  <c r="B133" i="14"/>
  <c r="C133" i="14"/>
  <c r="B134" i="14"/>
  <c r="C134" i="14"/>
  <c r="B135" i="14"/>
  <c r="C135" i="14"/>
  <c r="B136" i="14"/>
  <c r="C136" i="14"/>
  <c r="B137" i="14"/>
  <c r="C137" i="14"/>
  <c r="B138" i="14"/>
  <c r="C138" i="14"/>
  <c r="B139" i="14"/>
  <c r="C139" i="14"/>
  <c r="B140" i="14"/>
  <c r="C140" i="14"/>
  <c r="B141" i="14"/>
  <c r="C141" i="14"/>
  <c r="B142" i="14"/>
  <c r="C142" i="14"/>
  <c r="B143" i="14"/>
  <c r="C143" i="14"/>
  <c r="B144" i="14"/>
  <c r="C144" i="14"/>
  <c r="B145" i="14"/>
  <c r="C145" i="14"/>
  <c r="B146" i="14"/>
  <c r="C146" i="14"/>
  <c r="B147" i="14"/>
  <c r="C147" i="14"/>
  <c r="B148" i="14"/>
  <c r="C148" i="14"/>
  <c r="B149" i="14"/>
  <c r="C149" i="14"/>
  <c r="B150" i="14"/>
  <c r="C150" i="14"/>
  <c r="B151" i="14"/>
  <c r="C151" i="14"/>
  <c r="B152" i="14"/>
  <c r="C152" i="14"/>
  <c r="B153" i="14"/>
  <c r="C153" i="14"/>
  <c r="B154" i="14"/>
  <c r="C154" i="14"/>
  <c r="B155" i="14"/>
  <c r="C155" i="14"/>
  <c r="B156" i="14"/>
  <c r="C156" i="14"/>
  <c r="B157" i="14"/>
  <c r="C157" i="14"/>
  <c r="B158" i="14"/>
  <c r="C158" i="14"/>
  <c r="B159" i="14"/>
  <c r="C159" i="14"/>
  <c r="B160" i="14"/>
  <c r="C160" i="14"/>
  <c r="B161" i="14"/>
  <c r="C161" i="14"/>
  <c r="B162" i="14"/>
  <c r="C162" i="14"/>
  <c r="B163" i="14"/>
  <c r="C163" i="14"/>
  <c r="B164" i="14"/>
  <c r="C164" i="14"/>
  <c r="B165" i="14"/>
  <c r="C165" i="14"/>
  <c r="B166" i="14"/>
  <c r="C166" i="14"/>
  <c r="B167" i="14"/>
  <c r="C167" i="14"/>
  <c r="B168" i="14"/>
  <c r="C168" i="14"/>
  <c r="B169" i="14"/>
  <c r="C169" i="14"/>
  <c r="B170" i="14"/>
  <c r="C170" i="14"/>
  <c r="B171" i="14"/>
  <c r="C171" i="14"/>
  <c r="B172" i="14"/>
  <c r="C172" i="14"/>
  <c r="B173" i="14"/>
  <c r="C173" i="14"/>
  <c r="B174" i="14"/>
  <c r="C174" i="14"/>
  <c r="B175" i="14"/>
  <c r="C175" i="14"/>
  <c r="B176" i="14"/>
  <c r="C176" i="14"/>
  <c r="B177" i="14"/>
  <c r="C177" i="14"/>
  <c r="B178" i="14"/>
  <c r="C178" i="14"/>
  <c r="B179" i="14"/>
  <c r="C179" i="14"/>
  <c r="B180" i="14"/>
  <c r="C180" i="14"/>
  <c r="B181" i="14"/>
  <c r="C181" i="14"/>
  <c r="B182" i="14"/>
  <c r="C182" i="14"/>
  <c r="B183" i="14"/>
  <c r="C183" i="14"/>
  <c r="B184" i="14"/>
  <c r="C184" i="14"/>
  <c r="B185" i="14"/>
  <c r="C185" i="14"/>
  <c r="B186" i="14"/>
  <c r="C186" i="14"/>
  <c r="B187" i="14"/>
  <c r="C187" i="14"/>
  <c r="B188" i="14"/>
  <c r="C188" i="14"/>
  <c r="B189" i="14"/>
  <c r="C189" i="14"/>
  <c r="B190" i="14"/>
  <c r="C190" i="14"/>
  <c r="B191" i="14"/>
  <c r="C191" i="14"/>
  <c r="B192" i="14"/>
  <c r="C192" i="14"/>
  <c r="B193" i="14"/>
  <c r="C193" i="14"/>
  <c r="B194" i="14"/>
  <c r="C194" i="14"/>
  <c r="B195" i="14"/>
  <c r="C195" i="14"/>
  <c r="B196" i="14"/>
  <c r="C196" i="14"/>
  <c r="B197" i="14"/>
  <c r="C197" i="14"/>
  <c r="B198" i="14"/>
  <c r="C198" i="14"/>
  <c r="B199" i="14"/>
  <c r="C199" i="14"/>
  <c r="B200" i="14"/>
  <c r="C200" i="14"/>
  <c r="B201" i="14"/>
  <c r="C201" i="14"/>
  <c r="B202" i="14"/>
  <c r="C202" i="14"/>
  <c r="B203" i="14"/>
  <c r="C203" i="14"/>
  <c r="B204" i="14"/>
  <c r="C204" i="14"/>
  <c r="B205" i="14"/>
  <c r="C205" i="14"/>
  <c r="B206" i="14"/>
  <c r="C206" i="14"/>
  <c r="B207" i="14"/>
  <c r="C207" i="14"/>
  <c r="B208" i="14"/>
  <c r="C208" i="14"/>
  <c r="B209" i="14"/>
  <c r="C209" i="14"/>
  <c r="B210" i="14"/>
  <c r="C210" i="14"/>
  <c r="B211" i="14"/>
  <c r="C211" i="14"/>
  <c r="B212" i="14"/>
  <c r="C212" i="14"/>
  <c r="B213" i="14"/>
  <c r="C213" i="14"/>
  <c r="B214" i="14"/>
  <c r="C214" i="14"/>
  <c r="B215" i="14"/>
  <c r="C215" i="14"/>
  <c r="B216" i="14"/>
  <c r="C216" i="14"/>
  <c r="B217" i="14"/>
  <c r="C217" i="14"/>
  <c r="B218" i="14"/>
  <c r="C218" i="14"/>
  <c r="B219" i="14"/>
  <c r="C219" i="14"/>
  <c r="B220" i="14"/>
  <c r="C220" i="14"/>
  <c r="B221" i="14"/>
  <c r="C221" i="14"/>
  <c r="B222" i="14"/>
  <c r="C222" i="14"/>
  <c r="B223" i="14"/>
  <c r="C223" i="14"/>
  <c r="B224" i="14"/>
  <c r="C224" i="14"/>
  <c r="B225" i="14"/>
  <c r="C225" i="14"/>
  <c r="B226" i="14"/>
  <c r="C226" i="14"/>
  <c r="B227" i="14"/>
  <c r="C227" i="14"/>
  <c r="B228" i="14"/>
  <c r="C228" i="14"/>
  <c r="B229" i="14"/>
  <c r="C229" i="14"/>
  <c r="B230" i="14"/>
  <c r="C230" i="14"/>
  <c r="B231" i="14"/>
  <c r="C231" i="14"/>
  <c r="B232" i="14"/>
  <c r="C232" i="14"/>
  <c r="B233" i="14"/>
  <c r="C233" i="14"/>
  <c r="B234" i="14"/>
  <c r="C234" i="14"/>
  <c r="B235" i="14"/>
  <c r="C235" i="14"/>
  <c r="B236" i="14"/>
  <c r="C236" i="14"/>
  <c r="B237" i="14"/>
  <c r="C237" i="14"/>
  <c r="B238" i="14"/>
  <c r="C238" i="14"/>
  <c r="B239" i="14"/>
  <c r="C239" i="14"/>
  <c r="B240" i="14"/>
  <c r="C240" i="14"/>
  <c r="B241" i="14"/>
  <c r="C241" i="14"/>
  <c r="B242" i="14"/>
  <c r="C242" i="14"/>
  <c r="B243" i="14"/>
  <c r="C243" i="14"/>
  <c r="B244" i="14"/>
  <c r="C244" i="14"/>
  <c r="B245" i="14"/>
  <c r="C245" i="14"/>
  <c r="B246" i="14"/>
  <c r="C246" i="14"/>
  <c r="B247" i="14"/>
  <c r="C247" i="14"/>
  <c r="B248" i="14"/>
  <c r="C248" i="14"/>
  <c r="B249" i="14"/>
  <c r="C249" i="14"/>
  <c r="B250" i="14"/>
  <c r="C250" i="14"/>
  <c r="B251" i="14"/>
  <c r="C251" i="14"/>
  <c r="B252" i="14"/>
  <c r="C252" i="14"/>
  <c r="B253" i="14"/>
  <c r="C253" i="14"/>
  <c r="B254" i="14"/>
  <c r="C254" i="14"/>
  <c r="B255" i="14"/>
  <c r="C255" i="14"/>
  <c r="B256" i="14"/>
  <c r="C256" i="14"/>
  <c r="B257" i="14"/>
  <c r="C257" i="14"/>
  <c r="B258" i="14"/>
  <c r="C258" i="14"/>
  <c r="B259" i="14"/>
  <c r="C259" i="14"/>
  <c r="B260" i="14"/>
  <c r="C260" i="14"/>
  <c r="B261" i="14"/>
  <c r="C261" i="14"/>
  <c r="B262" i="14"/>
  <c r="C262" i="14"/>
  <c r="B263" i="14"/>
  <c r="C263" i="14"/>
  <c r="B264" i="14"/>
  <c r="C264" i="14"/>
  <c r="B265" i="14"/>
  <c r="C265" i="14"/>
  <c r="B266" i="14"/>
  <c r="C266" i="14"/>
  <c r="B267" i="14"/>
  <c r="C267" i="14"/>
  <c r="B268" i="14"/>
  <c r="C268" i="14"/>
  <c r="B269" i="14"/>
  <c r="C269" i="14"/>
  <c r="B270" i="14"/>
  <c r="C270" i="14"/>
  <c r="B271" i="14"/>
  <c r="C271" i="14"/>
  <c r="B272" i="14"/>
  <c r="C272" i="14"/>
  <c r="B273" i="14"/>
  <c r="C273" i="14"/>
  <c r="B274" i="14"/>
  <c r="C274" i="14"/>
  <c r="B275" i="14"/>
  <c r="C275" i="14"/>
  <c r="B276" i="14"/>
  <c r="C276" i="14"/>
  <c r="B277" i="14"/>
  <c r="C277" i="14"/>
  <c r="B278" i="14"/>
  <c r="C278" i="14"/>
  <c r="B279" i="14"/>
  <c r="C279" i="14"/>
  <c r="B280" i="14"/>
  <c r="C280" i="14"/>
  <c r="B281" i="14"/>
  <c r="C281" i="14"/>
  <c r="B282" i="14"/>
  <c r="C282" i="14"/>
  <c r="B283" i="14"/>
  <c r="C283" i="14"/>
  <c r="B284" i="14"/>
  <c r="C284" i="14"/>
  <c r="B285" i="14"/>
  <c r="C285" i="14"/>
  <c r="B286" i="14"/>
  <c r="C286" i="14"/>
  <c r="B287" i="14"/>
  <c r="C287" i="14"/>
  <c r="B288" i="14"/>
  <c r="C288" i="14"/>
  <c r="B289" i="14"/>
  <c r="C289" i="14"/>
  <c r="B290" i="14"/>
  <c r="C290" i="14"/>
  <c r="B291" i="14"/>
  <c r="C291" i="14"/>
  <c r="B292" i="14"/>
  <c r="C292" i="14"/>
  <c r="B293" i="14"/>
  <c r="C293" i="14"/>
  <c r="B294" i="14"/>
  <c r="C294" i="14"/>
  <c r="B295" i="14"/>
  <c r="C295" i="14"/>
  <c r="B296" i="14"/>
  <c r="C296" i="14"/>
  <c r="B297" i="14"/>
  <c r="C297" i="14"/>
  <c r="B298" i="14"/>
  <c r="C298" i="14"/>
  <c r="B299" i="14"/>
  <c r="C299" i="14"/>
  <c r="B300" i="14"/>
  <c r="C300" i="14"/>
  <c r="B301" i="14"/>
  <c r="C301" i="14"/>
  <c r="B302" i="14"/>
  <c r="C302" i="14"/>
  <c r="B303" i="14"/>
  <c r="C303" i="14"/>
  <c r="B304" i="14"/>
  <c r="C304" i="14"/>
  <c r="B305" i="14"/>
  <c r="C305" i="14"/>
  <c r="B306" i="14"/>
  <c r="C306" i="14"/>
  <c r="B307" i="14"/>
  <c r="C307" i="14"/>
  <c r="B308" i="14"/>
  <c r="C308" i="14"/>
  <c r="B309" i="14"/>
  <c r="C309" i="14"/>
  <c r="B310" i="14"/>
  <c r="C310" i="14"/>
  <c r="B311" i="14"/>
  <c r="C311" i="14"/>
  <c r="B312" i="14"/>
  <c r="C312" i="14"/>
  <c r="B313" i="14"/>
  <c r="C313" i="14"/>
  <c r="B314" i="14"/>
  <c r="C314" i="14"/>
  <c r="B315" i="14"/>
  <c r="C315" i="14"/>
  <c r="B316" i="14"/>
  <c r="C316" i="14"/>
  <c r="B317" i="14"/>
  <c r="C317" i="14"/>
  <c r="B318" i="14"/>
  <c r="C318" i="14"/>
  <c r="B319" i="14"/>
  <c r="C319" i="14"/>
  <c r="B320" i="14"/>
  <c r="C320" i="14"/>
  <c r="B321" i="14"/>
  <c r="C321" i="14"/>
  <c r="B322" i="14"/>
  <c r="C322" i="14"/>
  <c r="B323" i="14"/>
  <c r="C323" i="14"/>
  <c r="B324" i="14"/>
  <c r="C324" i="14"/>
  <c r="B325" i="14"/>
  <c r="C325" i="14"/>
  <c r="B326" i="14"/>
  <c r="C326" i="14"/>
  <c r="B327" i="14"/>
  <c r="C327" i="14"/>
  <c r="B328" i="14"/>
  <c r="C328" i="14"/>
  <c r="B329" i="14"/>
  <c r="C329" i="14"/>
  <c r="B330" i="14"/>
  <c r="C330" i="14"/>
  <c r="B331" i="14"/>
  <c r="C331" i="14"/>
  <c r="B332" i="14"/>
  <c r="C332" i="14"/>
  <c r="B333" i="14"/>
  <c r="C333" i="14"/>
  <c r="B334" i="14"/>
  <c r="C334" i="14"/>
  <c r="B335" i="14"/>
  <c r="C335" i="14"/>
  <c r="B336" i="14"/>
  <c r="C336" i="14"/>
  <c r="B337" i="14"/>
  <c r="C337" i="14"/>
  <c r="B338" i="14"/>
  <c r="C338" i="14"/>
  <c r="B339" i="14"/>
  <c r="C339" i="14"/>
  <c r="B340" i="14"/>
  <c r="C340" i="14"/>
  <c r="B341" i="14"/>
  <c r="C341" i="14"/>
  <c r="B342" i="14"/>
  <c r="C342" i="14"/>
  <c r="B343" i="14"/>
  <c r="C343" i="14"/>
  <c r="B344" i="14"/>
  <c r="C344" i="14"/>
  <c r="B345" i="14"/>
  <c r="C345" i="14"/>
  <c r="B346" i="14"/>
  <c r="C346" i="14"/>
  <c r="B347" i="14"/>
  <c r="C347" i="14"/>
  <c r="B348" i="14"/>
  <c r="C348" i="14"/>
  <c r="B349" i="14"/>
  <c r="C349" i="14"/>
  <c r="B350" i="14"/>
  <c r="C350" i="14"/>
  <c r="B351" i="14"/>
  <c r="C351" i="14"/>
  <c r="B352" i="14"/>
  <c r="C352" i="14"/>
  <c r="B353" i="14"/>
  <c r="C353" i="14"/>
  <c r="B354" i="14"/>
  <c r="C354" i="14"/>
  <c r="B355" i="14"/>
  <c r="C355" i="14"/>
  <c r="B356" i="14"/>
  <c r="C356" i="14"/>
  <c r="B357" i="14"/>
  <c r="C357" i="14"/>
  <c r="B358" i="14"/>
  <c r="C358" i="14"/>
  <c r="B359" i="14"/>
  <c r="C359" i="14"/>
  <c r="B360" i="14"/>
  <c r="C360" i="14"/>
  <c r="B361" i="14"/>
  <c r="C361" i="14"/>
  <c r="B362" i="14"/>
  <c r="C362" i="14"/>
  <c r="B363" i="14"/>
  <c r="C363" i="14"/>
  <c r="B364" i="14"/>
  <c r="C364" i="14"/>
  <c r="B365" i="14"/>
  <c r="C365" i="14"/>
  <c r="B366" i="14"/>
  <c r="C366" i="14"/>
  <c r="B367" i="14"/>
  <c r="C367" i="14"/>
  <c r="B368" i="14"/>
  <c r="C368" i="14"/>
  <c r="B369" i="14"/>
  <c r="C369" i="14"/>
  <c r="B370" i="14"/>
  <c r="C370" i="14"/>
  <c r="B371" i="14"/>
  <c r="C371" i="14"/>
  <c r="B372" i="14"/>
  <c r="C372" i="14"/>
  <c r="B373" i="14"/>
  <c r="C373" i="14"/>
  <c r="B374" i="14"/>
  <c r="C374" i="14"/>
  <c r="B375" i="14"/>
  <c r="C375" i="14"/>
  <c r="B376" i="14"/>
  <c r="C376" i="14"/>
  <c r="B377" i="14"/>
  <c r="C377" i="14"/>
  <c r="B378" i="14"/>
  <c r="C378" i="14"/>
  <c r="B379" i="14"/>
  <c r="C379" i="14"/>
  <c r="B380" i="14"/>
  <c r="C380" i="14"/>
  <c r="B381" i="14"/>
  <c r="C381" i="14"/>
  <c r="B382" i="14"/>
  <c r="C382" i="14"/>
  <c r="B383" i="14"/>
  <c r="C383" i="14"/>
  <c r="B384" i="14"/>
  <c r="C384" i="14"/>
  <c r="B385" i="14"/>
  <c r="C385" i="14"/>
  <c r="B386" i="14"/>
  <c r="C386" i="14"/>
  <c r="B387" i="14"/>
  <c r="C387" i="14"/>
  <c r="B388" i="14"/>
  <c r="C388" i="14"/>
  <c r="B389" i="14"/>
  <c r="C389" i="14"/>
  <c r="B390" i="14"/>
  <c r="C390" i="14"/>
  <c r="B391" i="14"/>
  <c r="C391" i="14"/>
  <c r="B392" i="14"/>
  <c r="C392" i="14"/>
  <c r="B393" i="14"/>
  <c r="C393" i="14"/>
  <c r="B394" i="14"/>
  <c r="C394" i="14"/>
  <c r="B395" i="14"/>
  <c r="C395" i="14"/>
  <c r="B396" i="14"/>
  <c r="C396" i="14"/>
  <c r="B397" i="14"/>
  <c r="C397" i="14"/>
  <c r="B398" i="14"/>
  <c r="C398" i="14"/>
  <c r="B399" i="14"/>
  <c r="C399" i="14"/>
  <c r="B400" i="14"/>
  <c r="C400" i="14"/>
  <c r="B401" i="14"/>
  <c r="C401" i="14"/>
  <c r="B402" i="14"/>
  <c r="C402" i="14"/>
  <c r="B403" i="14"/>
  <c r="C403" i="14"/>
  <c r="B404" i="14"/>
  <c r="C404" i="14"/>
  <c r="B405" i="14"/>
  <c r="C405" i="14"/>
  <c r="B406" i="14"/>
  <c r="C406" i="14"/>
  <c r="B407" i="14"/>
  <c r="C407" i="14"/>
  <c r="B408" i="14"/>
  <c r="C408" i="14"/>
  <c r="B409" i="14"/>
  <c r="C409" i="14"/>
  <c r="B410" i="14"/>
  <c r="C410" i="14"/>
  <c r="B411" i="14"/>
  <c r="C411" i="14"/>
  <c r="B412" i="14"/>
  <c r="C412" i="14"/>
  <c r="B413" i="14"/>
  <c r="C413" i="14"/>
  <c r="B414" i="14"/>
  <c r="C414" i="14"/>
  <c r="B415" i="14"/>
  <c r="C415" i="14"/>
  <c r="B416" i="14"/>
  <c r="C416" i="14"/>
  <c r="B417" i="14"/>
  <c r="C417" i="14"/>
  <c r="B418" i="14"/>
  <c r="C418" i="14"/>
  <c r="B419" i="14"/>
  <c r="C419" i="14"/>
  <c r="B420" i="14"/>
  <c r="C420" i="14"/>
  <c r="B421" i="14"/>
  <c r="C421" i="14"/>
  <c r="B422" i="14"/>
  <c r="C422" i="14"/>
  <c r="B423" i="14"/>
  <c r="C423" i="14"/>
  <c r="B424" i="14"/>
  <c r="C424" i="14"/>
  <c r="B425" i="14"/>
  <c r="C425" i="14"/>
  <c r="B426" i="14"/>
  <c r="C426" i="14"/>
  <c r="B427" i="14"/>
  <c r="C427" i="14"/>
  <c r="B428" i="14"/>
  <c r="C428" i="14"/>
  <c r="B429" i="14"/>
  <c r="C429" i="14"/>
  <c r="B430" i="14"/>
  <c r="C430" i="14"/>
  <c r="B431" i="14"/>
  <c r="C431" i="14"/>
  <c r="B432" i="14"/>
  <c r="C432" i="14"/>
  <c r="B433" i="14"/>
  <c r="C433" i="14"/>
  <c r="B434" i="14"/>
  <c r="C434" i="14"/>
  <c r="B435" i="14"/>
  <c r="C435" i="14"/>
  <c r="B436" i="14"/>
  <c r="C436" i="14"/>
  <c r="B437" i="14"/>
  <c r="C437" i="14"/>
  <c r="B438" i="14"/>
  <c r="C438" i="14"/>
  <c r="B439" i="14"/>
  <c r="C439" i="14"/>
  <c r="B440" i="14"/>
  <c r="C440" i="14"/>
  <c r="B441" i="14"/>
  <c r="C441" i="14"/>
  <c r="B442" i="14"/>
  <c r="C442" i="14"/>
  <c r="B443" i="14"/>
  <c r="C443" i="14"/>
  <c r="B444" i="14"/>
  <c r="C444" i="14"/>
  <c r="B445" i="14"/>
  <c r="C445" i="14"/>
  <c r="B446" i="14"/>
  <c r="C446" i="14"/>
  <c r="B447" i="14"/>
  <c r="C447" i="14"/>
  <c r="B448" i="14"/>
  <c r="C448" i="14"/>
  <c r="B449" i="14"/>
  <c r="C449" i="14"/>
  <c r="B450" i="14"/>
  <c r="C450" i="14"/>
  <c r="B451" i="14"/>
  <c r="C451" i="14"/>
  <c r="B452" i="14"/>
  <c r="C452" i="14"/>
  <c r="B453" i="14"/>
  <c r="C453" i="14"/>
  <c r="B454" i="14"/>
  <c r="C454" i="14"/>
  <c r="B455" i="14"/>
  <c r="C455" i="14"/>
  <c r="B456" i="14"/>
  <c r="C456" i="14"/>
  <c r="B457" i="14"/>
  <c r="C457" i="14"/>
  <c r="B458" i="14"/>
  <c r="C458" i="14"/>
  <c r="B459" i="14"/>
  <c r="C459" i="14"/>
  <c r="B460" i="14"/>
  <c r="C460" i="14"/>
  <c r="B461" i="14"/>
  <c r="C461" i="14"/>
  <c r="B462" i="14"/>
  <c r="C462" i="14"/>
  <c r="B463" i="14"/>
  <c r="C463" i="14"/>
  <c r="B464" i="14"/>
  <c r="C464" i="14"/>
  <c r="B465" i="14"/>
  <c r="C465" i="14"/>
  <c r="B466" i="14"/>
  <c r="C466" i="14"/>
  <c r="B467" i="14"/>
  <c r="C467" i="14"/>
  <c r="B468" i="14"/>
  <c r="C468" i="14"/>
  <c r="B469" i="14"/>
  <c r="C469" i="14"/>
  <c r="B470" i="14"/>
  <c r="C470" i="14"/>
  <c r="B471" i="14"/>
  <c r="C471" i="14"/>
  <c r="B472" i="14"/>
  <c r="C472" i="14"/>
  <c r="B473" i="14"/>
  <c r="C473" i="14"/>
  <c r="B474" i="14"/>
  <c r="C474" i="14"/>
  <c r="B475" i="14"/>
  <c r="C475" i="14"/>
  <c r="B476" i="14"/>
  <c r="C476" i="14"/>
  <c r="B477" i="14"/>
  <c r="C477" i="14"/>
  <c r="B478" i="14"/>
  <c r="C478" i="14"/>
  <c r="B479" i="14"/>
  <c r="C479" i="14"/>
  <c r="B480" i="14"/>
  <c r="C480" i="14"/>
  <c r="B481" i="14"/>
  <c r="C481" i="14"/>
  <c r="B482" i="14"/>
  <c r="C482" i="14"/>
  <c r="B483" i="14"/>
  <c r="C483" i="14"/>
  <c r="B484" i="14"/>
  <c r="C484" i="14"/>
  <c r="B485" i="14"/>
  <c r="C485" i="14"/>
  <c r="B486" i="14"/>
  <c r="C486" i="14"/>
  <c r="B487" i="14"/>
  <c r="C487" i="14"/>
  <c r="B488" i="14"/>
  <c r="C488" i="14"/>
  <c r="B489" i="14"/>
  <c r="C489" i="14"/>
  <c r="B490" i="14"/>
  <c r="C490" i="14"/>
  <c r="B491" i="14"/>
  <c r="C491" i="14"/>
  <c r="B492" i="14"/>
  <c r="C492" i="14"/>
  <c r="B493" i="14"/>
  <c r="C493" i="14"/>
  <c r="B494" i="14"/>
  <c r="C494" i="14"/>
  <c r="B495" i="14"/>
  <c r="C495" i="14"/>
  <c r="B496" i="14"/>
  <c r="C496" i="14"/>
  <c r="B497" i="14"/>
  <c r="C497" i="14"/>
  <c r="B498" i="14"/>
  <c r="C498" i="14"/>
  <c r="B499" i="14"/>
  <c r="C499" i="14"/>
  <c r="B500" i="14"/>
  <c r="C500" i="14"/>
  <c r="B501" i="14"/>
  <c r="C501" i="14"/>
  <c r="B502" i="14"/>
  <c r="C502" i="14"/>
  <c r="B503" i="14"/>
  <c r="C503" i="14"/>
  <c r="B504" i="14"/>
  <c r="C504" i="14"/>
  <c r="B505" i="14"/>
  <c r="C505" i="14"/>
  <c r="B506" i="14"/>
  <c r="C506" i="14"/>
  <c r="B8" i="14"/>
  <c r="C8" i="14"/>
  <c r="B9" i="14"/>
  <c r="C9" i="14"/>
  <c r="B10" i="14"/>
  <c r="C10" i="14"/>
  <c r="B11" i="14"/>
  <c r="C11" i="14"/>
  <c r="B12" i="14"/>
  <c r="C12" i="14"/>
  <c r="B13" i="14"/>
  <c r="C13" i="14"/>
  <c r="B14" i="14"/>
  <c r="C14" i="14"/>
  <c r="B15" i="14"/>
  <c r="C15" i="14"/>
  <c r="B16" i="14"/>
  <c r="C16" i="14"/>
  <c r="B17" i="14"/>
  <c r="C17" i="14"/>
  <c r="B18" i="14"/>
  <c r="C18" i="14"/>
  <c r="B19" i="14"/>
  <c r="C19" i="14"/>
  <c r="B20" i="14"/>
  <c r="C20" i="14"/>
  <c r="B21" i="14"/>
  <c r="C21" i="14"/>
  <c r="B22" i="14"/>
  <c r="C22" i="14"/>
  <c r="B23" i="14"/>
  <c r="C23" i="14"/>
  <c r="B24" i="14"/>
  <c r="C24" i="14"/>
  <c r="B25" i="14"/>
  <c r="C25" i="14"/>
  <c r="B26" i="14"/>
  <c r="C26" i="14"/>
  <c r="B27" i="14"/>
  <c r="C27" i="14"/>
  <c r="B28" i="14"/>
  <c r="C28" i="14"/>
  <c r="B29" i="14"/>
  <c r="C29" i="14"/>
  <c r="B30" i="14"/>
  <c r="C30" i="14"/>
  <c r="B31" i="14"/>
  <c r="C31" i="14"/>
  <c r="B32" i="14"/>
  <c r="C32" i="14"/>
  <c r="B33" i="14"/>
  <c r="C33" i="14"/>
  <c r="B34" i="14"/>
  <c r="C34" i="14"/>
  <c r="B35" i="14"/>
  <c r="C35" i="14"/>
  <c r="B36" i="14"/>
  <c r="C36" i="14"/>
  <c r="B37" i="14"/>
  <c r="C37" i="14"/>
  <c r="B38" i="14"/>
  <c r="C38" i="14"/>
  <c r="B39" i="14"/>
  <c r="C39" i="14"/>
  <c r="B40" i="14"/>
  <c r="C40" i="14"/>
  <c r="B41" i="14"/>
  <c r="C41" i="14"/>
  <c r="B42" i="14"/>
  <c r="C42" i="14"/>
  <c r="B43" i="14"/>
  <c r="C43" i="14"/>
  <c r="B44" i="14"/>
  <c r="C44" i="14"/>
  <c r="B45" i="14"/>
  <c r="C45" i="14"/>
  <c r="B46" i="14"/>
  <c r="C46" i="14"/>
  <c r="B47" i="14"/>
  <c r="C47" i="14"/>
  <c r="B48" i="14"/>
  <c r="C48" i="14"/>
  <c r="B49" i="14"/>
  <c r="C49" i="14"/>
  <c r="B50" i="14"/>
  <c r="C50" i="14"/>
  <c r="B51" i="14"/>
  <c r="C51" i="14"/>
  <c r="B52" i="14"/>
  <c r="C52" i="14"/>
  <c r="B53" i="14"/>
  <c r="C53" i="14"/>
  <c r="B54" i="14"/>
  <c r="C54" i="14"/>
  <c r="B55" i="14"/>
  <c r="C55" i="14"/>
  <c r="B56" i="14"/>
  <c r="C56" i="14"/>
  <c r="B57" i="14"/>
  <c r="C57" i="14"/>
  <c r="B58" i="14"/>
  <c r="C58" i="14"/>
  <c r="B59" i="14"/>
  <c r="C59" i="14"/>
  <c r="B60" i="14"/>
  <c r="C60" i="14"/>
  <c r="B61" i="14"/>
  <c r="C61" i="14"/>
  <c r="B62" i="14"/>
  <c r="C62" i="14"/>
  <c r="B63" i="14"/>
  <c r="C63" i="14"/>
  <c r="B64" i="14"/>
  <c r="C64" i="14"/>
  <c r="B65" i="14"/>
  <c r="C65" i="14"/>
  <c r="B66" i="14"/>
  <c r="C66" i="14"/>
  <c r="B67" i="14"/>
  <c r="C67" i="14"/>
  <c r="B68" i="14"/>
  <c r="C68" i="14"/>
  <c r="E10" i="18"/>
  <c r="M175" i="18" l="1"/>
  <c r="K15" i="18"/>
  <c r="M115" i="18"/>
  <c r="M180" i="18"/>
  <c r="J139" i="18"/>
  <c r="L139" i="18" s="1"/>
  <c r="J20" i="18"/>
  <c r="L20" i="18" s="1"/>
  <c r="J153" i="18"/>
  <c r="L153" i="18" s="1"/>
  <c r="J55" i="18"/>
  <c r="L55" i="18" s="1"/>
  <c r="J143" i="18"/>
  <c r="L143" i="18" s="1"/>
  <c r="J99" i="18"/>
  <c r="L99" i="18" s="1"/>
  <c r="J41" i="18"/>
  <c r="L41" i="18" s="1"/>
  <c r="J25" i="18"/>
  <c r="L25" i="18" s="1"/>
  <c r="J165" i="18"/>
  <c r="L165" i="18" s="1"/>
  <c r="J21" i="18"/>
  <c r="L21" i="18" s="1"/>
  <c r="H41" i="18"/>
  <c r="I41" i="18" s="1"/>
  <c r="J61" i="18"/>
  <c r="L61" i="18" s="1"/>
  <c r="J138" i="18"/>
  <c r="L138" i="18" s="1"/>
  <c r="J121" i="18"/>
  <c r="L121" i="18" s="1"/>
  <c r="H175" i="18"/>
  <c r="I175" i="18" s="1"/>
  <c r="J187" i="18"/>
  <c r="L187" i="18" s="1"/>
  <c r="H181" i="18"/>
  <c r="I181" i="18" s="1"/>
  <c r="J125" i="18"/>
  <c r="L125" i="18" s="1"/>
  <c r="F35" i="18"/>
  <c r="J207" i="18"/>
  <c r="L207" i="18" s="1"/>
  <c r="J202" i="18"/>
  <c r="L202" i="18" s="1"/>
  <c r="J120" i="18"/>
  <c r="L120" i="18" s="1"/>
  <c r="J74" i="18"/>
  <c r="L74" i="18" s="1"/>
  <c r="AC10" i="18"/>
  <c r="AM11" i="14" s="1"/>
  <c r="J10" i="18"/>
  <c r="L10" i="18" s="1"/>
  <c r="J60" i="18"/>
  <c r="L60" i="18" s="1"/>
  <c r="J15" i="18"/>
  <c r="L15" i="18" s="1"/>
  <c r="F138" i="18"/>
  <c r="J78" i="18"/>
  <c r="F74" i="18"/>
  <c r="J197" i="18"/>
  <c r="L197" i="18" s="1"/>
  <c r="J181" i="18"/>
  <c r="L181" i="18" s="1"/>
  <c r="J40" i="18"/>
  <c r="L40" i="18" s="1"/>
  <c r="J45" i="18"/>
  <c r="J79" i="18"/>
  <c r="L79" i="18" s="1"/>
  <c r="J158" i="18"/>
  <c r="L158" i="18" s="1"/>
  <c r="J105" i="18"/>
  <c r="L105" i="18" s="1"/>
  <c r="J159" i="18"/>
  <c r="J203" i="18"/>
  <c r="H115" i="18"/>
  <c r="I115" i="18" s="1"/>
  <c r="J83" i="18"/>
  <c r="L83" i="18" s="1"/>
  <c r="J65" i="18"/>
  <c r="L65" i="18" s="1"/>
  <c r="H466" i="18"/>
  <c r="F466" i="18"/>
  <c r="H30" i="18"/>
  <c r="I30" i="18" s="1"/>
  <c r="F30" i="18"/>
  <c r="F75" i="18"/>
  <c r="H75" i="18"/>
  <c r="I75" i="18" s="1"/>
  <c r="F57" i="18"/>
  <c r="H57" i="18"/>
  <c r="I57" i="18" s="1"/>
  <c r="F388" i="18"/>
  <c r="H388" i="18"/>
  <c r="I388" i="18" s="1"/>
  <c r="H224" i="18"/>
  <c r="I224" i="18" s="1"/>
  <c r="F224" i="18"/>
  <c r="H96" i="18"/>
  <c r="I96" i="18" s="1"/>
  <c r="F96" i="18"/>
  <c r="H330" i="18"/>
  <c r="F330" i="18"/>
  <c r="H481" i="18"/>
  <c r="I481" i="18" s="1"/>
  <c r="F481" i="18"/>
  <c r="H417" i="18"/>
  <c r="I417" i="18" s="1"/>
  <c r="F417" i="18"/>
  <c r="H356" i="18"/>
  <c r="I356" i="18" s="1"/>
  <c r="F356" i="18"/>
  <c r="H317" i="18"/>
  <c r="I317" i="18" s="1"/>
  <c r="F317" i="18"/>
  <c r="F189" i="18"/>
  <c r="H189" i="18"/>
  <c r="I189" i="18" s="1"/>
  <c r="F93" i="18"/>
  <c r="H93" i="18"/>
  <c r="I93" i="18" s="1"/>
  <c r="F494" i="18"/>
  <c r="H494" i="18"/>
  <c r="I494" i="18" s="1"/>
  <c r="H42" i="18"/>
  <c r="I42" i="18" s="1"/>
  <c r="F42" i="18"/>
  <c r="H491" i="18"/>
  <c r="I491" i="18" s="1"/>
  <c r="F491" i="18"/>
  <c r="H459" i="18"/>
  <c r="F459" i="18"/>
  <c r="F366" i="18"/>
  <c r="H366" i="18"/>
  <c r="I366" i="18" s="1"/>
  <c r="H335" i="18"/>
  <c r="F335" i="18"/>
  <c r="F111" i="18"/>
  <c r="H111" i="18"/>
  <c r="I111" i="18" s="1"/>
  <c r="H79" i="18"/>
  <c r="I79" i="18" s="1"/>
  <c r="F79" i="18"/>
  <c r="F437" i="18"/>
  <c r="H437" i="18"/>
  <c r="I437" i="18" s="1"/>
  <c r="H373" i="18"/>
  <c r="F373" i="18"/>
  <c r="H225" i="18"/>
  <c r="I225" i="18" s="1"/>
  <c r="F225" i="18"/>
  <c r="H161" i="18"/>
  <c r="I161" i="18" s="1"/>
  <c r="F161" i="18"/>
  <c r="H504" i="18"/>
  <c r="F504" i="18"/>
  <c r="H472" i="18"/>
  <c r="I472" i="18" s="1"/>
  <c r="F472" i="18"/>
  <c r="H376" i="18"/>
  <c r="I376" i="18" s="1"/>
  <c r="F376" i="18"/>
  <c r="H148" i="18"/>
  <c r="I148" i="18" s="1"/>
  <c r="F148" i="18"/>
  <c r="H52" i="18"/>
  <c r="I52" i="18" s="1"/>
  <c r="F52" i="18"/>
  <c r="F501" i="18"/>
  <c r="H501" i="18"/>
  <c r="H469" i="18"/>
  <c r="I469" i="18" s="1"/>
  <c r="F469" i="18"/>
  <c r="H344" i="18"/>
  <c r="I344" i="18" s="1"/>
  <c r="F344" i="18"/>
  <c r="H233" i="18"/>
  <c r="I233" i="18" s="1"/>
  <c r="F233" i="18"/>
  <c r="H73" i="18"/>
  <c r="I73" i="18" s="1"/>
  <c r="F73" i="18"/>
  <c r="H426" i="18"/>
  <c r="I426" i="18" s="1"/>
  <c r="F426" i="18"/>
  <c r="F394" i="18"/>
  <c r="H394" i="18"/>
  <c r="I394" i="18" s="1"/>
  <c r="H365" i="18"/>
  <c r="I365" i="18" s="1"/>
  <c r="F365" i="18"/>
  <c r="H22" i="18"/>
  <c r="I22" i="18" s="1"/>
  <c r="F22" i="18"/>
  <c r="H323" i="18"/>
  <c r="I323" i="18" s="1"/>
  <c r="F323" i="18"/>
  <c r="H476" i="18"/>
  <c r="I476" i="18" s="1"/>
  <c r="F476" i="18"/>
  <c r="H152" i="18"/>
  <c r="I152" i="18" s="1"/>
  <c r="F152" i="18"/>
  <c r="H441" i="18"/>
  <c r="I441" i="18" s="1"/>
  <c r="F441" i="18"/>
  <c r="H409" i="18"/>
  <c r="F409" i="18"/>
  <c r="H377" i="18"/>
  <c r="I377" i="18" s="1"/>
  <c r="F377" i="18"/>
  <c r="H348" i="18"/>
  <c r="I348" i="18" s="1"/>
  <c r="F348" i="18"/>
  <c r="H85" i="18"/>
  <c r="I85" i="18" s="1"/>
  <c r="F85" i="18"/>
  <c r="F53" i="18"/>
  <c r="H53" i="18"/>
  <c r="I53" i="18" s="1"/>
  <c r="H486" i="18"/>
  <c r="F486" i="18"/>
  <c r="H353" i="18"/>
  <c r="I353" i="18" s="1"/>
  <c r="F353" i="18"/>
  <c r="H451" i="18"/>
  <c r="I451" i="18" s="1"/>
  <c r="F451" i="18"/>
  <c r="H419" i="18"/>
  <c r="F419" i="18"/>
  <c r="H387" i="18"/>
  <c r="I387" i="18" s="1"/>
  <c r="F387" i="18"/>
  <c r="H231" i="18"/>
  <c r="I231" i="18" s="1"/>
  <c r="F231" i="18"/>
  <c r="H199" i="18"/>
  <c r="I199" i="18" s="1"/>
  <c r="F199" i="18"/>
  <c r="H39" i="18"/>
  <c r="I39" i="18" s="1"/>
  <c r="F39" i="18"/>
  <c r="H352" i="18"/>
  <c r="I352" i="18" s="1"/>
  <c r="F352" i="18"/>
  <c r="H332" i="18"/>
  <c r="I332" i="18" s="1"/>
  <c r="F332" i="18"/>
  <c r="H172" i="18"/>
  <c r="I172" i="18" s="1"/>
  <c r="F172" i="18"/>
  <c r="H76" i="18"/>
  <c r="I76" i="18" s="1"/>
  <c r="F76" i="18"/>
  <c r="H493" i="18"/>
  <c r="I493" i="18" s="1"/>
  <c r="F493" i="18"/>
  <c r="H461" i="18"/>
  <c r="F461" i="18"/>
  <c r="H397" i="18"/>
  <c r="I397" i="18" s="1"/>
  <c r="F397" i="18"/>
  <c r="H49" i="18"/>
  <c r="I49" i="18" s="1"/>
  <c r="F49" i="18"/>
  <c r="F192" i="18"/>
  <c r="H192" i="18"/>
  <c r="I192" i="18" s="1"/>
  <c r="F116" i="18"/>
  <c r="H116" i="18"/>
  <c r="I116" i="18" s="1"/>
  <c r="H458" i="18"/>
  <c r="I458" i="18" s="1"/>
  <c r="F458" i="18"/>
  <c r="F339" i="18"/>
  <c r="H339" i="18"/>
  <c r="I339" i="18" s="1"/>
  <c r="H214" i="18"/>
  <c r="I214" i="18" s="1"/>
  <c r="F214" i="18"/>
  <c r="F182" i="18"/>
  <c r="H182" i="18"/>
  <c r="I182" i="18" s="1"/>
  <c r="H86" i="18"/>
  <c r="I86" i="18" s="1"/>
  <c r="F86" i="18"/>
  <c r="H406" i="18"/>
  <c r="I406" i="18" s="1"/>
  <c r="F406" i="18"/>
  <c r="F122" i="18"/>
  <c r="H122" i="18"/>
  <c r="I122" i="18" s="1"/>
  <c r="H113" i="18"/>
  <c r="I113" i="18" s="1"/>
  <c r="F113" i="18"/>
  <c r="H487" i="18"/>
  <c r="I487" i="18" s="1"/>
  <c r="F487" i="18"/>
  <c r="H455" i="18"/>
  <c r="I455" i="18" s="1"/>
  <c r="F455" i="18"/>
  <c r="H423" i="18"/>
  <c r="I423" i="18" s="1"/>
  <c r="F423" i="18"/>
  <c r="H362" i="18"/>
  <c r="F362" i="18"/>
  <c r="H227" i="18"/>
  <c r="I227" i="18" s="1"/>
  <c r="F227" i="18"/>
  <c r="F195" i="18"/>
  <c r="H195" i="18"/>
  <c r="I195" i="18" s="1"/>
  <c r="H163" i="18"/>
  <c r="I163" i="18" s="1"/>
  <c r="F163" i="18"/>
  <c r="F131" i="18"/>
  <c r="H131" i="18"/>
  <c r="I131" i="18" s="1"/>
  <c r="H99" i="18"/>
  <c r="I99" i="18" s="1"/>
  <c r="F99" i="18"/>
  <c r="H67" i="18"/>
  <c r="I67" i="18" s="1"/>
  <c r="F67" i="18"/>
  <c r="H35" i="18"/>
  <c r="I35" i="18" s="1"/>
  <c r="F56" i="18"/>
  <c r="H56" i="18"/>
  <c r="I56" i="18" s="1"/>
  <c r="H374" i="18"/>
  <c r="I374" i="18" s="1"/>
  <c r="F374" i="18"/>
  <c r="H33" i="18"/>
  <c r="I33" i="18" s="1"/>
  <c r="F33" i="18"/>
  <c r="H444" i="18"/>
  <c r="I444" i="18" s="1"/>
  <c r="F444" i="18"/>
  <c r="H412" i="18"/>
  <c r="I412" i="18" s="1"/>
  <c r="F412" i="18"/>
  <c r="H380" i="18"/>
  <c r="I380" i="18" s="1"/>
  <c r="F380" i="18"/>
  <c r="H343" i="18"/>
  <c r="I343" i="18" s="1"/>
  <c r="F343" i="18"/>
  <c r="H216" i="18"/>
  <c r="I216" i="18" s="1"/>
  <c r="F216" i="18"/>
  <c r="H184" i="18"/>
  <c r="I184" i="18" s="1"/>
  <c r="F184" i="18"/>
  <c r="F88" i="18"/>
  <c r="H88" i="18"/>
  <c r="I88" i="18" s="1"/>
  <c r="F24" i="18"/>
  <c r="H24" i="18"/>
  <c r="I24" i="18" s="1"/>
  <c r="H361" i="18"/>
  <c r="I361" i="18" s="1"/>
  <c r="F361" i="18"/>
  <c r="H322" i="18"/>
  <c r="I322" i="18" s="1"/>
  <c r="F322" i="18"/>
  <c r="F202" i="18"/>
  <c r="H202" i="18"/>
  <c r="I202" i="18" s="1"/>
  <c r="H170" i="18"/>
  <c r="I170" i="18" s="1"/>
  <c r="F170" i="18"/>
  <c r="H82" i="18"/>
  <c r="I82" i="18" s="1"/>
  <c r="F82" i="18"/>
  <c r="H505" i="18"/>
  <c r="I505" i="18" s="1"/>
  <c r="F505" i="18"/>
  <c r="H473" i="18"/>
  <c r="F473" i="18"/>
  <c r="H213" i="18"/>
  <c r="I213" i="18" s="1"/>
  <c r="F213" i="18"/>
  <c r="F181" i="18"/>
  <c r="F149" i="18"/>
  <c r="H149" i="18"/>
  <c r="I149" i="18" s="1"/>
  <c r="F117" i="18"/>
  <c r="H117" i="18"/>
  <c r="I117" i="18" s="1"/>
  <c r="H114" i="18"/>
  <c r="I114" i="18" s="1"/>
  <c r="F114" i="18"/>
  <c r="H438" i="18"/>
  <c r="I438" i="18" s="1"/>
  <c r="F438" i="18"/>
  <c r="H130" i="18"/>
  <c r="I130" i="18" s="1"/>
  <c r="F130" i="18"/>
  <c r="H34" i="18"/>
  <c r="I34" i="18" s="1"/>
  <c r="F34" i="18"/>
  <c r="H483" i="18"/>
  <c r="F483" i="18"/>
  <c r="H358" i="18"/>
  <c r="I358" i="18" s="1"/>
  <c r="F358" i="18"/>
  <c r="H327" i="18"/>
  <c r="F327" i="18"/>
  <c r="H167" i="18"/>
  <c r="I167" i="18" s="1"/>
  <c r="F167" i="18"/>
  <c r="H135" i="18"/>
  <c r="I135" i="18" s="1"/>
  <c r="F135" i="18"/>
  <c r="H103" i="18"/>
  <c r="I103" i="18" s="1"/>
  <c r="F103" i="18"/>
  <c r="H71" i="18"/>
  <c r="I71" i="18" s="1"/>
  <c r="F71" i="18"/>
  <c r="H44" i="18"/>
  <c r="I44" i="18" s="1"/>
  <c r="F44" i="18"/>
  <c r="H421" i="18"/>
  <c r="I421" i="18" s="1"/>
  <c r="F421" i="18"/>
  <c r="H209" i="18"/>
  <c r="I209" i="18" s="1"/>
  <c r="F209" i="18"/>
  <c r="H153" i="18"/>
  <c r="I153" i="18" s="1"/>
  <c r="F153" i="18"/>
  <c r="F97" i="18"/>
  <c r="H97" i="18"/>
  <c r="I97" i="18" s="1"/>
  <c r="F496" i="18"/>
  <c r="H496" i="18"/>
  <c r="I496" i="18" s="1"/>
  <c r="F464" i="18"/>
  <c r="H464" i="18"/>
  <c r="I464" i="18" s="1"/>
  <c r="H432" i="18"/>
  <c r="I432" i="18" s="1"/>
  <c r="F432" i="18"/>
  <c r="H400" i="18"/>
  <c r="I400" i="18" s="1"/>
  <c r="F400" i="18"/>
  <c r="F368" i="18"/>
  <c r="H368" i="18"/>
  <c r="I368" i="18" s="1"/>
  <c r="F204" i="18"/>
  <c r="H204" i="18"/>
  <c r="I204" i="18" s="1"/>
  <c r="H140" i="18"/>
  <c r="I140" i="18" s="1"/>
  <c r="F140" i="18"/>
  <c r="F108" i="18"/>
  <c r="H108" i="18"/>
  <c r="I108" i="18" s="1"/>
  <c r="F36" i="18"/>
  <c r="H36" i="18"/>
  <c r="I36" i="18" s="1"/>
  <c r="H329" i="18"/>
  <c r="I329" i="18" s="1"/>
  <c r="F329" i="18"/>
  <c r="H217" i="18"/>
  <c r="I217" i="18" s="1"/>
  <c r="F217" i="18"/>
  <c r="H62" i="18"/>
  <c r="I62" i="18" s="1"/>
  <c r="F62" i="18"/>
  <c r="H137" i="18"/>
  <c r="I137" i="18" s="1"/>
  <c r="F137" i="18"/>
  <c r="H171" i="18"/>
  <c r="I171" i="18" s="1"/>
  <c r="F171" i="18"/>
  <c r="H484" i="18"/>
  <c r="I484" i="18" s="1"/>
  <c r="F484" i="18"/>
  <c r="H178" i="18"/>
  <c r="I178" i="18" s="1"/>
  <c r="F178" i="18"/>
  <c r="H427" i="18"/>
  <c r="I427" i="18" s="1"/>
  <c r="F427" i="18"/>
  <c r="H391" i="18"/>
  <c r="I391" i="18" s="1"/>
  <c r="F391" i="18"/>
  <c r="H482" i="18"/>
  <c r="I482" i="18" s="1"/>
  <c r="F482" i="18"/>
  <c r="H334" i="18"/>
  <c r="I334" i="18" s="1"/>
  <c r="F334" i="18"/>
  <c r="H206" i="18"/>
  <c r="I206" i="18" s="1"/>
  <c r="F206" i="18"/>
  <c r="F14" i="18"/>
  <c r="H14" i="18"/>
  <c r="I14" i="18" s="1"/>
  <c r="H479" i="18"/>
  <c r="I479" i="18" s="1"/>
  <c r="F479" i="18"/>
  <c r="H219" i="18"/>
  <c r="I219" i="18" s="1"/>
  <c r="F219" i="18"/>
  <c r="H91" i="18"/>
  <c r="I91" i="18" s="1"/>
  <c r="F91" i="18"/>
  <c r="H436" i="18"/>
  <c r="F436" i="18"/>
  <c r="H404" i="18"/>
  <c r="I404" i="18" s="1"/>
  <c r="F404" i="18"/>
  <c r="H372" i="18"/>
  <c r="I372" i="18" s="1"/>
  <c r="F372" i="18"/>
  <c r="H112" i="18"/>
  <c r="I112" i="18" s="1"/>
  <c r="F112" i="18"/>
  <c r="F80" i="18"/>
  <c r="H80" i="18"/>
  <c r="I80" i="18" s="1"/>
  <c r="H16" i="18"/>
  <c r="I16" i="18" s="1"/>
  <c r="F16" i="18"/>
  <c r="H226" i="18"/>
  <c r="I226" i="18" s="1"/>
  <c r="F226" i="18"/>
  <c r="H497" i="18"/>
  <c r="I497" i="18" s="1"/>
  <c r="F497" i="18"/>
  <c r="H465" i="18"/>
  <c r="I465" i="18" s="1"/>
  <c r="F465" i="18"/>
  <c r="H205" i="18"/>
  <c r="I205" i="18" s="1"/>
  <c r="F205" i="18"/>
  <c r="H478" i="18"/>
  <c r="I478" i="18" s="1"/>
  <c r="F478" i="18"/>
  <c r="H314" i="18"/>
  <c r="I314" i="18" s="1"/>
  <c r="F314" i="18"/>
  <c r="H95" i="18"/>
  <c r="I95" i="18" s="1"/>
  <c r="F95" i="18"/>
  <c r="F12" i="18"/>
  <c r="H12" i="18"/>
  <c r="I12" i="18" s="1"/>
  <c r="F41" i="18"/>
  <c r="H456" i="18"/>
  <c r="I456" i="18" s="1"/>
  <c r="F456" i="18"/>
  <c r="H424" i="18"/>
  <c r="I424" i="18" s="1"/>
  <c r="F424" i="18"/>
  <c r="H392" i="18"/>
  <c r="I392" i="18" s="1"/>
  <c r="F392" i="18"/>
  <c r="H228" i="18"/>
  <c r="I228" i="18" s="1"/>
  <c r="F228" i="18"/>
  <c r="H196" i="18"/>
  <c r="I196" i="18" s="1"/>
  <c r="F196" i="18"/>
  <c r="F164" i="18"/>
  <c r="H164" i="18"/>
  <c r="I164" i="18" s="1"/>
  <c r="F445" i="18"/>
  <c r="H445" i="18"/>
  <c r="I445" i="18" s="1"/>
  <c r="F118" i="18"/>
  <c r="H118" i="18"/>
  <c r="I118" i="18" s="1"/>
  <c r="H450" i="18"/>
  <c r="I450" i="18" s="1"/>
  <c r="F450" i="18"/>
  <c r="H418" i="18"/>
  <c r="I418" i="18" s="1"/>
  <c r="F418" i="18"/>
  <c r="H386" i="18"/>
  <c r="I386" i="18" s="1"/>
  <c r="F386" i="18"/>
  <c r="H357" i="18"/>
  <c r="I357" i="18" s="1"/>
  <c r="F357" i="18"/>
  <c r="H174" i="18"/>
  <c r="I174" i="18" s="1"/>
  <c r="F174" i="18"/>
  <c r="H142" i="18"/>
  <c r="I142" i="18" s="1"/>
  <c r="F142" i="18"/>
  <c r="F110" i="18"/>
  <c r="H110" i="18"/>
  <c r="I110" i="18" s="1"/>
  <c r="H462" i="18"/>
  <c r="I462" i="18" s="1"/>
  <c r="F462" i="18"/>
  <c r="H390" i="18"/>
  <c r="I390" i="18" s="1"/>
  <c r="F390" i="18"/>
  <c r="F65" i="18"/>
  <c r="H65" i="18"/>
  <c r="I65" i="18" s="1"/>
  <c r="H447" i="18"/>
  <c r="I447" i="18" s="1"/>
  <c r="F447" i="18"/>
  <c r="H415" i="18"/>
  <c r="I415" i="18" s="1"/>
  <c r="F415" i="18"/>
  <c r="H383" i="18"/>
  <c r="I383" i="18" s="1"/>
  <c r="F383" i="18"/>
  <c r="H354" i="18"/>
  <c r="I354" i="18" s="1"/>
  <c r="F354" i="18"/>
  <c r="H315" i="18"/>
  <c r="I315" i="18" s="1"/>
  <c r="F315" i="18"/>
  <c r="H155" i="18"/>
  <c r="I155" i="18" s="1"/>
  <c r="F155" i="18"/>
  <c r="H123" i="18"/>
  <c r="I123" i="18" s="1"/>
  <c r="F123" i="18"/>
  <c r="H59" i="18"/>
  <c r="I59" i="18" s="1"/>
  <c r="F59" i="18"/>
  <c r="H27" i="18"/>
  <c r="I27" i="18" s="1"/>
  <c r="F27" i="18"/>
  <c r="F48" i="18"/>
  <c r="H48" i="18"/>
  <c r="I48" i="18" s="1"/>
  <c r="H50" i="18"/>
  <c r="I50" i="18" s="1"/>
  <c r="F50" i="18"/>
  <c r="H500" i="18"/>
  <c r="I500" i="18" s="1"/>
  <c r="F500" i="18"/>
  <c r="H468" i="18"/>
  <c r="I468" i="18" s="1"/>
  <c r="F468" i="18"/>
  <c r="F336" i="18"/>
  <c r="H336" i="18"/>
  <c r="I336" i="18" s="1"/>
  <c r="F208" i="18"/>
  <c r="H208" i="18"/>
  <c r="I208" i="18" s="1"/>
  <c r="H176" i="18"/>
  <c r="I176" i="18" s="1"/>
  <c r="F176" i="18"/>
  <c r="H345" i="18"/>
  <c r="I345" i="18" s="1"/>
  <c r="F345" i="18"/>
  <c r="F194" i="18"/>
  <c r="H194" i="18"/>
  <c r="I194" i="18" s="1"/>
  <c r="H162" i="18"/>
  <c r="I162" i="18" s="1"/>
  <c r="F162" i="18"/>
  <c r="H433" i="18"/>
  <c r="I433" i="18" s="1"/>
  <c r="F433" i="18"/>
  <c r="H401" i="18"/>
  <c r="I401" i="18" s="1"/>
  <c r="F401" i="18"/>
  <c r="H369" i="18"/>
  <c r="I369" i="18" s="1"/>
  <c r="F369" i="18"/>
  <c r="H333" i="18"/>
  <c r="I333" i="18" s="1"/>
  <c r="F333" i="18"/>
  <c r="F173" i="18"/>
  <c r="H173" i="18"/>
  <c r="I173" i="18" s="1"/>
  <c r="H141" i="18"/>
  <c r="I141" i="18" s="1"/>
  <c r="F141" i="18"/>
  <c r="F109" i="18"/>
  <c r="H109" i="18"/>
  <c r="I109" i="18" s="1"/>
  <c r="F77" i="18"/>
  <c r="H77" i="18"/>
  <c r="I77" i="18" s="1"/>
  <c r="H58" i="18"/>
  <c r="I58" i="18" s="1"/>
  <c r="F58" i="18"/>
  <c r="H422" i="18"/>
  <c r="I422" i="18" s="1"/>
  <c r="F422" i="18"/>
  <c r="F98" i="18"/>
  <c r="H98" i="18"/>
  <c r="I98" i="18" s="1"/>
  <c r="H185" i="18"/>
  <c r="I185" i="18" s="1"/>
  <c r="F185" i="18"/>
  <c r="H475" i="18"/>
  <c r="I475" i="18" s="1"/>
  <c r="F475" i="18"/>
  <c r="H443" i="18"/>
  <c r="I443" i="18" s="1"/>
  <c r="F443" i="18"/>
  <c r="H411" i="18"/>
  <c r="I411" i="18" s="1"/>
  <c r="F411" i="18"/>
  <c r="H379" i="18"/>
  <c r="I379" i="18" s="1"/>
  <c r="F379" i="18"/>
  <c r="H350" i="18"/>
  <c r="I350" i="18" s="1"/>
  <c r="F350" i="18"/>
  <c r="H319" i="18"/>
  <c r="I319" i="18" s="1"/>
  <c r="F319" i="18"/>
  <c r="H223" i="18"/>
  <c r="I223" i="18" s="1"/>
  <c r="F223" i="18"/>
  <c r="H191" i="18"/>
  <c r="I191" i="18" s="1"/>
  <c r="F191" i="18"/>
  <c r="H127" i="18"/>
  <c r="I127" i="18" s="1"/>
  <c r="F127" i="18"/>
  <c r="H63" i="18"/>
  <c r="I63" i="18" s="1"/>
  <c r="F63" i="18"/>
  <c r="H31" i="18"/>
  <c r="I31" i="18" s="1"/>
  <c r="F31" i="18"/>
  <c r="H405" i="18"/>
  <c r="I405" i="18" s="1"/>
  <c r="F405" i="18"/>
  <c r="H337" i="18"/>
  <c r="I337" i="18" s="1"/>
  <c r="F337" i="18"/>
  <c r="H201" i="18"/>
  <c r="I201" i="18" s="1"/>
  <c r="F201" i="18"/>
  <c r="H145" i="18"/>
  <c r="I145" i="18" s="1"/>
  <c r="F145" i="18"/>
  <c r="H488" i="18"/>
  <c r="I488" i="18" s="1"/>
  <c r="F488" i="18"/>
  <c r="H363" i="18"/>
  <c r="I363" i="18" s="1"/>
  <c r="F363" i="18"/>
  <c r="F324" i="18"/>
  <c r="H324" i="18"/>
  <c r="I324" i="18" s="1"/>
  <c r="F132" i="18"/>
  <c r="H132" i="18"/>
  <c r="I132" i="18" s="1"/>
  <c r="H100" i="18"/>
  <c r="I100" i="18" s="1"/>
  <c r="F100" i="18"/>
  <c r="H68" i="18"/>
  <c r="I68" i="18" s="1"/>
  <c r="F68" i="18"/>
  <c r="H28" i="18"/>
  <c r="I28" i="18" s="1"/>
  <c r="F28" i="18"/>
  <c r="H485" i="18"/>
  <c r="I485" i="18" s="1"/>
  <c r="F485" i="18"/>
  <c r="H381" i="18"/>
  <c r="I381" i="18" s="1"/>
  <c r="F381" i="18"/>
  <c r="H321" i="18"/>
  <c r="I321" i="18" s="1"/>
  <c r="F321" i="18"/>
  <c r="H193" i="18"/>
  <c r="I193" i="18" s="1"/>
  <c r="F193" i="18"/>
  <c r="H17" i="18"/>
  <c r="I17" i="18" s="1"/>
  <c r="F17" i="18"/>
  <c r="H498" i="18"/>
  <c r="I498" i="18" s="1"/>
  <c r="F498" i="18"/>
  <c r="H370" i="18"/>
  <c r="I370" i="18" s="1"/>
  <c r="F370" i="18"/>
  <c r="H318" i="18"/>
  <c r="I318" i="18" s="1"/>
  <c r="F318" i="18"/>
  <c r="H94" i="18"/>
  <c r="I94" i="18" s="1"/>
  <c r="F94" i="18"/>
  <c r="F430" i="18"/>
  <c r="H430" i="18"/>
  <c r="I430" i="18" s="1"/>
  <c r="H107" i="18"/>
  <c r="I107" i="18" s="1"/>
  <c r="F107" i="18"/>
  <c r="H11" i="18"/>
  <c r="I11" i="18" s="1"/>
  <c r="F11" i="18"/>
  <c r="F420" i="18"/>
  <c r="H420" i="18"/>
  <c r="I420" i="18" s="1"/>
  <c r="H160" i="18"/>
  <c r="I160" i="18" s="1"/>
  <c r="F160" i="18"/>
  <c r="H502" i="18"/>
  <c r="I502" i="18" s="1"/>
  <c r="F502" i="18"/>
  <c r="H146" i="18"/>
  <c r="I146" i="18" s="1"/>
  <c r="F146" i="18"/>
  <c r="H385" i="18"/>
  <c r="I385" i="18" s="1"/>
  <c r="F385" i="18"/>
  <c r="H157" i="18"/>
  <c r="I157" i="18" s="1"/>
  <c r="F157" i="18"/>
  <c r="H54" i="18"/>
  <c r="I54" i="18" s="1"/>
  <c r="F54" i="18"/>
  <c r="H51" i="18"/>
  <c r="I51" i="18" s="1"/>
  <c r="F51" i="18"/>
  <c r="H492" i="18"/>
  <c r="I492" i="18" s="1"/>
  <c r="F492" i="18"/>
  <c r="H136" i="18"/>
  <c r="I136" i="18" s="1"/>
  <c r="F136" i="18"/>
  <c r="H104" i="18"/>
  <c r="I104" i="18" s="1"/>
  <c r="F104" i="18"/>
  <c r="H72" i="18"/>
  <c r="I72" i="18" s="1"/>
  <c r="F72" i="18"/>
  <c r="H338" i="18"/>
  <c r="I338" i="18" s="1"/>
  <c r="F338" i="18"/>
  <c r="F154" i="18"/>
  <c r="H154" i="18"/>
  <c r="I154" i="18" s="1"/>
  <c r="H325" i="18"/>
  <c r="I325" i="18" s="1"/>
  <c r="F325" i="18"/>
  <c r="H414" i="18"/>
  <c r="I414" i="18" s="1"/>
  <c r="F414" i="18"/>
  <c r="H467" i="18"/>
  <c r="I467" i="18" s="1"/>
  <c r="F467" i="18"/>
  <c r="H403" i="18"/>
  <c r="I403" i="18" s="1"/>
  <c r="F403" i="18"/>
  <c r="H215" i="18"/>
  <c r="I215" i="18" s="1"/>
  <c r="F215" i="18"/>
  <c r="F87" i="18"/>
  <c r="H87" i="18"/>
  <c r="I87" i="18" s="1"/>
  <c r="H355" i="18"/>
  <c r="F355" i="18"/>
  <c r="H316" i="18"/>
  <c r="I316" i="18" s="1"/>
  <c r="F316" i="18"/>
  <c r="H156" i="18"/>
  <c r="I156" i="18" s="1"/>
  <c r="F156" i="18"/>
  <c r="F429" i="18"/>
  <c r="H429" i="18"/>
  <c r="I429" i="18" s="1"/>
  <c r="H360" i="18"/>
  <c r="I360" i="18" s="1"/>
  <c r="F360" i="18"/>
  <c r="H89" i="18"/>
  <c r="I89" i="18" s="1"/>
  <c r="F89" i="18"/>
  <c r="H351" i="18"/>
  <c r="I351" i="18" s="1"/>
  <c r="F351" i="18"/>
  <c r="F150" i="18"/>
  <c r="H150" i="18"/>
  <c r="I150" i="18" s="1"/>
  <c r="F474" i="18"/>
  <c r="H474" i="18"/>
  <c r="I474" i="18" s="1"/>
  <c r="H442" i="18"/>
  <c r="I442" i="18" s="1"/>
  <c r="F442" i="18"/>
  <c r="F410" i="18"/>
  <c r="H410" i="18"/>
  <c r="I410" i="18" s="1"/>
  <c r="H378" i="18"/>
  <c r="I378" i="18" s="1"/>
  <c r="F378" i="18"/>
  <c r="H349" i="18"/>
  <c r="I349" i="18" s="1"/>
  <c r="F349" i="18"/>
  <c r="F326" i="18"/>
  <c r="H326" i="18"/>
  <c r="I326" i="18" s="1"/>
  <c r="H230" i="18"/>
  <c r="I230" i="18" s="1"/>
  <c r="F230" i="18"/>
  <c r="F198" i="18"/>
  <c r="H198" i="18"/>
  <c r="I198" i="18" s="1"/>
  <c r="F134" i="18"/>
  <c r="H134" i="18"/>
  <c r="I134" i="18" s="1"/>
  <c r="H102" i="18"/>
  <c r="I102" i="18" s="1"/>
  <c r="F102" i="18"/>
  <c r="H70" i="18"/>
  <c r="I70" i="18" s="1"/>
  <c r="F70" i="18"/>
  <c r="F38" i="18"/>
  <c r="H38" i="18"/>
  <c r="I38" i="18" s="1"/>
  <c r="H40" i="18"/>
  <c r="I40" i="18" s="1"/>
  <c r="F40" i="18"/>
  <c r="F454" i="18"/>
  <c r="H454" i="18"/>
  <c r="I454" i="18" s="1"/>
  <c r="H340" i="18"/>
  <c r="I340" i="18" s="1"/>
  <c r="F340" i="18"/>
  <c r="H177" i="18"/>
  <c r="I177" i="18" s="1"/>
  <c r="F177" i="18"/>
  <c r="H503" i="18"/>
  <c r="I503" i="18" s="1"/>
  <c r="F503" i="18"/>
  <c r="H471" i="18"/>
  <c r="I471" i="18" s="1"/>
  <c r="F471" i="18"/>
  <c r="H439" i="18"/>
  <c r="I439" i="18" s="1"/>
  <c r="F439" i="18"/>
  <c r="H407" i="18"/>
  <c r="I407" i="18" s="1"/>
  <c r="F407" i="18"/>
  <c r="H375" i="18"/>
  <c r="I375" i="18" s="1"/>
  <c r="F375" i="18"/>
  <c r="H346" i="18"/>
  <c r="I346" i="18" s="1"/>
  <c r="F346" i="18"/>
  <c r="H211" i="18"/>
  <c r="I211" i="18" s="1"/>
  <c r="F211" i="18"/>
  <c r="H179" i="18"/>
  <c r="I179" i="18" s="1"/>
  <c r="F179" i="18"/>
  <c r="H147" i="18"/>
  <c r="I147" i="18" s="1"/>
  <c r="F147" i="18"/>
  <c r="F115" i="18"/>
  <c r="H83" i="18"/>
  <c r="I83" i="18" s="1"/>
  <c r="F83" i="18"/>
  <c r="H19" i="18"/>
  <c r="I19" i="18" s="1"/>
  <c r="F19" i="18"/>
  <c r="H32" i="18"/>
  <c r="I32" i="18" s="1"/>
  <c r="F32" i="18"/>
  <c r="H105" i="18"/>
  <c r="I105" i="18" s="1"/>
  <c r="F105" i="18"/>
  <c r="H460" i="18"/>
  <c r="I460" i="18" s="1"/>
  <c r="F460" i="18"/>
  <c r="H428" i="18"/>
  <c r="I428" i="18" s="1"/>
  <c r="F428" i="18"/>
  <c r="H396" i="18"/>
  <c r="I396" i="18" s="1"/>
  <c r="F396" i="18"/>
  <c r="H359" i="18"/>
  <c r="I359" i="18" s="1"/>
  <c r="F359" i="18"/>
  <c r="H328" i="18"/>
  <c r="I328" i="18" s="1"/>
  <c r="F328" i="18"/>
  <c r="H232" i="18"/>
  <c r="I232" i="18" s="1"/>
  <c r="F232" i="18"/>
  <c r="H200" i="18"/>
  <c r="I200" i="18" s="1"/>
  <c r="F200" i="18"/>
  <c r="F168" i="18"/>
  <c r="H168" i="18"/>
  <c r="I168" i="18" s="1"/>
  <c r="H13" i="18"/>
  <c r="I13" i="18" s="1"/>
  <c r="F13" i="18"/>
  <c r="H218" i="18"/>
  <c r="I218" i="18" s="1"/>
  <c r="F218" i="18"/>
  <c r="F186" i="18"/>
  <c r="H186" i="18"/>
  <c r="I186" i="18" s="1"/>
  <c r="H489" i="18"/>
  <c r="I489" i="18" s="1"/>
  <c r="F489" i="18"/>
  <c r="H457" i="18"/>
  <c r="I457" i="18" s="1"/>
  <c r="F457" i="18"/>
  <c r="F425" i="18"/>
  <c r="H425" i="18"/>
  <c r="I425" i="18" s="1"/>
  <c r="H393" i="18"/>
  <c r="I393" i="18" s="1"/>
  <c r="F393" i="18"/>
  <c r="H364" i="18"/>
  <c r="I364" i="18" s="1"/>
  <c r="F364" i="18"/>
  <c r="H229" i="18"/>
  <c r="I229" i="18" s="1"/>
  <c r="F229" i="18"/>
  <c r="H197" i="18"/>
  <c r="I197" i="18" s="1"/>
  <c r="F165" i="18"/>
  <c r="H165" i="18"/>
  <c r="I165" i="18" s="1"/>
  <c r="F133" i="18"/>
  <c r="H133" i="18"/>
  <c r="I133" i="18" s="1"/>
  <c r="F101" i="18"/>
  <c r="H101" i="18"/>
  <c r="I101" i="18" s="1"/>
  <c r="F69" i="18"/>
  <c r="H69" i="18"/>
  <c r="I69" i="18" s="1"/>
  <c r="F37" i="18"/>
  <c r="H37" i="18"/>
  <c r="I37" i="18" s="1"/>
  <c r="H81" i="18"/>
  <c r="I81" i="18" s="1"/>
  <c r="F81" i="18"/>
  <c r="H470" i="18"/>
  <c r="I470" i="18" s="1"/>
  <c r="F470" i="18"/>
  <c r="H90" i="18"/>
  <c r="I90" i="18" s="1"/>
  <c r="F90" i="18"/>
  <c r="H499" i="18"/>
  <c r="I499" i="18" s="1"/>
  <c r="F499" i="18"/>
  <c r="H435" i="18"/>
  <c r="I435" i="18" s="1"/>
  <c r="F435" i="18"/>
  <c r="H371" i="18"/>
  <c r="I371" i="18" s="1"/>
  <c r="F371" i="18"/>
  <c r="H342" i="18"/>
  <c r="I342" i="18" s="1"/>
  <c r="F342" i="18"/>
  <c r="H183" i="18"/>
  <c r="I183" i="18" s="1"/>
  <c r="F183" i="18"/>
  <c r="H151" i="18"/>
  <c r="I151" i="18" s="1"/>
  <c r="F151" i="18"/>
  <c r="H119" i="18"/>
  <c r="I119" i="18" s="1"/>
  <c r="F119" i="18"/>
  <c r="H23" i="18"/>
  <c r="I23" i="18" s="1"/>
  <c r="F23" i="18"/>
  <c r="H453" i="18"/>
  <c r="I453" i="18" s="1"/>
  <c r="F453" i="18"/>
  <c r="H389" i="18"/>
  <c r="I389" i="18" s="1"/>
  <c r="F389" i="18"/>
  <c r="F169" i="18"/>
  <c r="H169" i="18"/>
  <c r="I169" i="18" s="1"/>
  <c r="H129" i="18"/>
  <c r="I129" i="18" s="1"/>
  <c r="F129" i="18"/>
  <c r="H480" i="18"/>
  <c r="I480" i="18" s="1"/>
  <c r="F480" i="18"/>
  <c r="H448" i="18"/>
  <c r="I448" i="18" s="1"/>
  <c r="F448" i="18"/>
  <c r="H416" i="18"/>
  <c r="I416" i="18" s="1"/>
  <c r="F416" i="18"/>
  <c r="H384" i="18"/>
  <c r="I384" i="18" s="1"/>
  <c r="F384" i="18"/>
  <c r="H220" i="18"/>
  <c r="I220" i="18" s="1"/>
  <c r="F220" i="18"/>
  <c r="H124" i="18"/>
  <c r="I124" i="18" s="1"/>
  <c r="F124" i="18"/>
  <c r="H92" i="18"/>
  <c r="I92" i="18" s="1"/>
  <c r="F92" i="18"/>
  <c r="H60" i="18"/>
  <c r="I60" i="18" s="1"/>
  <c r="F60" i="18"/>
  <c r="H477" i="18"/>
  <c r="I477" i="18" s="1"/>
  <c r="F477" i="18"/>
  <c r="F29" i="18"/>
  <c r="H29" i="18"/>
  <c r="I29" i="18" s="1"/>
  <c r="H398" i="18"/>
  <c r="I398" i="18" s="1"/>
  <c r="F398" i="18"/>
  <c r="F452" i="18"/>
  <c r="H452" i="18"/>
  <c r="I452" i="18" s="1"/>
  <c r="H64" i="18"/>
  <c r="I64" i="18" s="1"/>
  <c r="F64" i="18"/>
  <c r="H449" i="18"/>
  <c r="I449" i="18" s="1"/>
  <c r="F449" i="18"/>
  <c r="H395" i="18"/>
  <c r="I395" i="18" s="1"/>
  <c r="F395" i="18"/>
  <c r="H490" i="18"/>
  <c r="I490" i="18" s="1"/>
  <c r="F490" i="18"/>
  <c r="H434" i="18"/>
  <c r="I434" i="18" s="1"/>
  <c r="F434" i="18"/>
  <c r="H402" i="18"/>
  <c r="I402" i="18" s="1"/>
  <c r="F402" i="18"/>
  <c r="H341" i="18"/>
  <c r="I341" i="18" s="1"/>
  <c r="F341" i="18"/>
  <c r="H222" i="18"/>
  <c r="I222" i="18" s="1"/>
  <c r="F222" i="18"/>
  <c r="F190" i="18"/>
  <c r="H190" i="18"/>
  <c r="I190" i="18" s="1"/>
  <c r="H495" i="18"/>
  <c r="I495" i="18" s="1"/>
  <c r="F495" i="18"/>
  <c r="H463" i="18"/>
  <c r="I463" i="18" s="1"/>
  <c r="F463" i="18"/>
  <c r="H431" i="18"/>
  <c r="I431" i="18" s="1"/>
  <c r="F431" i="18"/>
  <c r="H399" i="18"/>
  <c r="I399" i="18" s="1"/>
  <c r="F399" i="18"/>
  <c r="H367" i="18"/>
  <c r="I367" i="18" s="1"/>
  <c r="F367" i="18"/>
  <c r="H331" i="18"/>
  <c r="I331" i="18" s="1"/>
  <c r="F331" i="18"/>
  <c r="H43" i="18"/>
  <c r="I43" i="18" s="1"/>
  <c r="F43" i="18"/>
  <c r="H320" i="18"/>
  <c r="I320" i="18" s="1"/>
  <c r="F320" i="18"/>
  <c r="F128" i="18"/>
  <c r="H128" i="18"/>
  <c r="I128" i="18" s="1"/>
  <c r="H210" i="18"/>
  <c r="I210" i="18" s="1"/>
  <c r="F210" i="18"/>
  <c r="H18" i="18"/>
  <c r="I18" i="18" s="1"/>
  <c r="F18" i="18"/>
  <c r="H221" i="18"/>
  <c r="I221" i="18" s="1"/>
  <c r="F221" i="18"/>
  <c r="H446" i="18"/>
  <c r="I446" i="18" s="1"/>
  <c r="F446" i="18"/>
  <c r="H382" i="18"/>
  <c r="I382" i="18" s="1"/>
  <c r="F382" i="18"/>
  <c r="F47" i="18"/>
  <c r="H47" i="18"/>
  <c r="I47" i="18" s="1"/>
  <c r="H440" i="18"/>
  <c r="I440" i="18" s="1"/>
  <c r="F440" i="18"/>
  <c r="H408" i="18"/>
  <c r="I408" i="18" s="1"/>
  <c r="F408" i="18"/>
  <c r="H347" i="18"/>
  <c r="I347" i="18" s="1"/>
  <c r="F347" i="18"/>
  <c r="F212" i="18"/>
  <c r="H212" i="18"/>
  <c r="I212" i="18" s="1"/>
  <c r="H180" i="18"/>
  <c r="I180" i="18" s="1"/>
  <c r="F180" i="18"/>
  <c r="H413" i="18"/>
  <c r="I413" i="18" s="1"/>
  <c r="F413" i="18"/>
  <c r="I483" i="18"/>
  <c r="I461" i="18"/>
  <c r="G394" i="18"/>
  <c r="G370" i="18"/>
  <c r="G380" i="18"/>
  <c r="G362" i="18"/>
  <c r="G460" i="18"/>
  <c r="G480" i="18"/>
  <c r="G388" i="18"/>
  <c r="I466" i="18"/>
  <c r="G408" i="18"/>
  <c r="G471" i="18"/>
  <c r="G375" i="18"/>
  <c r="G346" i="18"/>
  <c r="G320" i="18"/>
  <c r="I335" i="18"/>
  <c r="G421" i="18"/>
  <c r="G352" i="18"/>
  <c r="G440" i="18"/>
  <c r="G376" i="18"/>
  <c r="G503" i="18"/>
  <c r="G372" i="18"/>
  <c r="G497" i="18"/>
  <c r="G340" i="18"/>
  <c r="G495" i="18"/>
  <c r="G484" i="18"/>
  <c r="G343" i="18"/>
  <c r="G441" i="18"/>
  <c r="G414" i="18"/>
  <c r="I419" i="18"/>
  <c r="G395" i="18"/>
  <c r="G371" i="18"/>
  <c r="I373" i="18"/>
  <c r="G347" i="18"/>
  <c r="G461" i="18"/>
  <c r="G489" i="18"/>
  <c r="G407" i="18"/>
  <c r="G351" i="18"/>
  <c r="G417" i="18"/>
  <c r="G325" i="18"/>
  <c r="G438" i="18"/>
  <c r="G353" i="18"/>
  <c r="G327" i="18"/>
  <c r="G464" i="18"/>
  <c r="G318" i="18"/>
  <c r="G322" i="18"/>
  <c r="G416" i="18"/>
  <c r="G455" i="18"/>
  <c r="G315" i="18"/>
  <c r="G338" i="18"/>
  <c r="G437" i="18"/>
  <c r="G432" i="18"/>
  <c r="G368" i="18"/>
  <c r="G341" i="18"/>
  <c r="G454" i="18"/>
  <c r="G428" i="18"/>
  <c r="G457" i="18"/>
  <c r="G339" i="18"/>
  <c r="G326" i="18"/>
  <c r="G451" i="18"/>
  <c r="G504" i="18"/>
  <c r="G448" i="18"/>
  <c r="G329" i="18"/>
  <c r="G333" i="18"/>
  <c r="G389" i="18"/>
  <c r="G373" i="18"/>
  <c r="G472" i="18"/>
  <c r="G400" i="18"/>
  <c r="G332" i="18"/>
  <c r="G493" i="18"/>
  <c r="G429" i="18"/>
  <c r="G396" i="18"/>
  <c r="G359" i="18"/>
  <c r="G459" i="18"/>
  <c r="G452" i="18"/>
  <c r="G436" i="18"/>
  <c r="G505" i="18"/>
  <c r="G481" i="18"/>
  <c r="G401" i="18"/>
  <c r="G364" i="18"/>
  <c r="G483" i="18"/>
  <c r="I459" i="18"/>
  <c r="G496" i="18"/>
  <c r="G468" i="18"/>
  <c r="G336" i="18"/>
  <c r="G361" i="18"/>
  <c r="I409" i="18"/>
  <c r="I486" i="18"/>
  <c r="G422" i="18"/>
  <c r="G475" i="18"/>
  <c r="G363" i="18"/>
  <c r="G445" i="18"/>
  <c r="G381" i="18"/>
  <c r="G369" i="18"/>
  <c r="G348" i="18"/>
  <c r="G446" i="18"/>
  <c r="G427" i="18"/>
  <c r="G485" i="18"/>
  <c r="G434" i="18"/>
  <c r="G498" i="18"/>
  <c r="G365" i="18"/>
  <c r="G463" i="18"/>
  <c r="G456" i="18"/>
  <c r="G406" i="18"/>
  <c r="G323" i="18"/>
  <c r="G479" i="18"/>
  <c r="G403" i="18"/>
  <c r="G319" i="18"/>
  <c r="G490" i="18"/>
  <c r="G439" i="18"/>
  <c r="G473" i="18"/>
  <c r="G477" i="18"/>
  <c r="G386" i="18"/>
  <c r="G423" i="18"/>
  <c r="G402" i="18"/>
  <c r="G458" i="18"/>
  <c r="G391" i="18"/>
  <c r="G349" i="18"/>
  <c r="G334" i="18"/>
  <c r="G430" i="18"/>
  <c r="G331" i="18"/>
  <c r="G328" i="18"/>
  <c r="G466" i="18"/>
  <c r="G442" i="18"/>
  <c r="G410" i="18"/>
  <c r="G378" i="18"/>
  <c r="G357" i="18"/>
  <c r="G487" i="18"/>
  <c r="G447" i="18"/>
  <c r="G399" i="18"/>
  <c r="G482" i="18"/>
  <c r="G474" i="18"/>
  <c r="G431" i="18"/>
  <c r="G415" i="18"/>
  <c r="G367" i="18"/>
  <c r="I362" i="18"/>
  <c r="G425" i="18"/>
  <c r="G424" i="18"/>
  <c r="G392" i="18"/>
  <c r="G397" i="18"/>
  <c r="G450" i="18"/>
  <c r="G390" i="18"/>
  <c r="G492" i="18"/>
  <c r="G345" i="18"/>
  <c r="G356" i="18"/>
  <c r="G499" i="18"/>
  <c r="G426" i="18"/>
  <c r="G418" i="18"/>
  <c r="G398" i="18"/>
  <c r="G478" i="18"/>
  <c r="G314" i="18"/>
  <c r="G344" i="18"/>
  <c r="G462" i="18"/>
  <c r="G444" i="18"/>
  <c r="G435" i="18"/>
  <c r="G350" i="18"/>
  <c r="G324" i="18"/>
  <c r="G469" i="18"/>
  <c r="G385" i="18"/>
  <c r="G405" i="18"/>
  <c r="G384" i="18"/>
  <c r="G383" i="18"/>
  <c r="G420" i="18"/>
  <c r="G404" i="18"/>
  <c r="G330" i="18"/>
  <c r="G411" i="18"/>
  <c r="G337" i="18"/>
  <c r="G355" i="18"/>
  <c r="I355" i="18"/>
  <c r="G317" i="18"/>
  <c r="G467" i="18"/>
  <c r="G488" i="18"/>
  <c r="G501" i="18"/>
  <c r="G476" i="18"/>
  <c r="G412" i="18"/>
  <c r="G449" i="18"/>
  <c r="G486" i="18"/>
  <c r="G419" i="18"/>
  <c r="G387" i="18"/>
  <c r="G342" i="18"/>
  <c r="G335" i="18"/>
  <c r="I504" i="18"/>
  <c r="G360" i="18"/>
  <c r="G321" i="18"/>
  <c r="I330" i="18"/>
  <c r="I473" i="18"/>
  <c r="G409" i="18"/>
  <c r="G377" i="18"/>
  <c r="G491" i="18"/>
  <c r="G366" i="18"/>
  <c r="G358" i="18"/>
  <c r="G453" i="18"/>
  <c r="G316" i="18"/>
  <c r="G502" i="18"/>
  <c r="G382" i="18"/>
  <c r="I436" i="18"/>
  <c r="G393" i="18"/>
  <c r="G494" i="18"/>
  <c r="G413" i="18"/>
  <c r="G354" i="18"/>
  <c r="G374" i="18"/>
  <c r="G500" i="18"/>
  <c r="G433" i="18"/>
  <c r="G470" i="18"/>
  <c r="G443" i="18"/>
  <c r="G379" i="18"/>
  <c r="I327" i="18"/>
  <c r="I501" i="18"/>
  <c r="G465" i="18"/>
  <c r="H25" i="18" l="1"/>
  <c r="I25" i="18" s="1"/>
  <c r="F25" i="18"/>
  <c r="H55" i="18"/>
  <c r="I55" i="18" s="1"/>
  <c r="F55" i="18"/>
  <c r="F20" i="18"/>
  <c r="H20" i="18"/>
  <c r="I20" i="18" s="1"/>
  <c r="F187" i="18"/>
  <c r="H143" i="18"/>
  <c r="I143" i="18" s="1"/>
  <c r="F143" i="18"/>
  <c r="H125" i="18"/>
  <c r="I125" i="18" s="1"/>
  <c r="F125" i="18"/>
  <c r="H187" i="18"/>
  <c r="I187" i="18" s="1"/>
  <c r="H207" i="18"/>
  <c r="I207" i="18" s="1"/>
  <c r="F139" i="18"/>
  <c r="H139" i="18"/>
  <c r="I139" i="18" s="1"/>
  <c r="H121" i="18"/>
  <c r="I121" i="18" s="1"/>
  <c r="F120" i="18"/>
  <c r="U120" i="18" s="1"/>
  <c r="H61" i="18"/>
  <c r="I61" i="18" s="1"/>
  <c r="F61" i="18"/>
  <c r="H21" i="18"/>
  <c r="I21" i="18" s="1"/>
  <c r="F197" i="18"/>
  <c r="U197" i="18" s="1"/>
  <c r="F175" i="18"/>
  <c r="U175" i="18" s="1"/>
  <c r="H74" i="18"/>
  <c r="I74" i="18" s="1"/>
  <c r="F15" i="18"/>
  <c r="L45" i="18"/>
  <c r="F45" i="18" s="1"/>
  <c r="L159" i="18"/>
  <c r="F159" i="18" s="1"/>
  <c r="H120" i="18"/>
  <c r="I120" i="18" s="1"/>
  <c r="F121" i="18"/>
  <c r="H15" i="18"/>
  <c r="I15" i="18" s="1"/>
  <c r="H138" i="18"/>
  <c r="I138" i="18" s="1"/>
  <c r="U138" i="18" s="1"/>
  <c r="L78" i="18"/>
  <c r="F78" i="18" s="1"/>
  <c r="H158" i="18"/>
  <c r="I158" i="18" s="1"/>
  <c r="F158" i="18"/>
  <c r="L203" i="18"/>
  <c r="H203" i="18" s="1"/>
  <c r="I203" i="18" s="1"/>
  <c r="F21" i="18"/>
  <c r="U276" i="18"/>
  <c r="F207" i="18"/>
  <c r="U207" i="18" s="1"/>
  <c r="U470" i="18"/>
  <c r="AD470" i="18" s="1"/>
  <c r="U433" i="18"/>
  <c r="AD433" i="18" s="1"/>
  <c r="U79" i="18"/>
  <c r="AL80" i="14" s="1"/>
  <c r="U445" i="18"/>
  <c r="AD445" i="18" s="1"/>
  <c r="U365" i="18"/>
  <c r="AD365" i="18" s="1"/>
  <c r="H10" i="18"/>
  <c r="I10" i="18" s="1"/>
  <c r="F10" i="18"/>
  <c r="U303" i="18"/>
  <c r="U218" i="18"/>
  <c r="U19" i="18"/>
  <c r="AD19" i="18" s="1"/>
  <c r="AN20" i="14" s="1"/>
  <c r="U97" i="18"/>
  <c r="U348" i="18"/>
  <c r="AD348" i="18" s="1"/>
  <c r="U38" i="18"/>
  <c r="AD38" i="18" s="1"/>
  <c r="AN39" i="14" s="1"/>
  <c r="U450" i="18"/>
  <c r="AD450" i="18" s="1"/>
  <c r="U381" i="18"/>
  <c r="AD381" i="18" s="1"/>
  <c r="U432" i="18"/>
  <c r="AD432" i="18" s="1"/>
  <c r="U408" i="18"/>
  <c r="AD408" i="18" s="1"/>
  <c r="U438" i="18"/>
  <c r="AD438" i="18" s="1"/>
  <c r="U461" i="18"/>
  <c r="AD461" i="18" s="1"/>
  <c r="U482" i="18"/>
  <c r="AD482" i="18" s="1"/>
  <c r="U347" i="18"/>
  <c r="AD347" i="18" s="1"/>
  <c r="U440" i="18"/>
  <c r="AD440" i="18" s="1"/>
  <c r="U395" i="18"/>
  <c r="AD395" i="18" s="1"/>
  <c r="U51" i="18"/>
  <c r="AL52" i="14" s="1"/>
  <c r="U335" i="18"/>
  <c r="AD335" i="18" s="1"/>
  <c r="U258" i="18"/>
  <c r="U475" i="18"/>
  <c r="AD475" i="18" s="1"/>
  <c r="U401" i="18"/>
  <c r="AD401" i="18" s="1"/>
  <c r="U286" i="18"/>
  <c r="U178" i="18"/>
  <c r="U115" i="18"/>
  <c r="U231" i="18"/>
  <c r="U389" i="18"/>
  <c r="AD389" i="18" s="1"/>
  <c r="U264" i="18"/>
  <c r="U68" i="18"/>
  <c r="AD68" i="18" s="1"/>
  <c r="AN69" i="14" s="1"/>
  <c r="U447" i="18"/>
  <c r="AD447" i="18" s="1"/>
  <c r="U494" i="18"/>
  <c r="AD494" i="18" s="1"/>
  <c r="U221" i="18"/>
  <c r="U211" i="18"/>
  <c r="U235" i="18"/>
  <c r="U230" i="18"/>
  <c r="U100" i="18"/>
  <c r="U223" i="18"/>
  <c r="U329" i="18"/>
  <c r="AD329" i="18" s="1"/>
  <c r="U181" i="18"/>
  <c r="U163" i="18"/>
  <c r="U254" i="18"/>
  <c r="U110" i="18"/>
  <c r="U452" i="18"/>
  <c r="AD452" i="18" s="1"/>
  <c r="U415" i="18"/>
  <c r="AD415" i="18" s="1"/>
  <c r="U169" i="18"/>
  <c r="U459" i="18"/>
  <c r="AD459" i="18" s="1"/>
  <c r="U270" i="18"/>
  <c r="U357" i="18"/>
  <c r="AD357" i="18" s="1"/>
  <c r="U102" i="18"/>
  <c r="U503" i="18"/>
  <c r="AD503" i="18" s="1"/>
  <c r="U437" i="18"/>
  <c r="AD437" i="18" s="1"/>
  <c r="U312" i="18"/>
  <c r="U376" i="18"/>
  <c r="AD376" i="18" s="1"/>
  <c r="U34" i="18"/>
  <c r="AD34" i="18" s="1"/>
  <c r="AN35" i="14" s="1"/>
  <c r="U73" i="18"/>
  <c r="U62" i="18"/>
  <c r="AL63" i="14" s="1"/>
  <c r="U131" i="18"/>
  <c r="U414" i="18"/>
  <c r="AD414" i="18" s="1"/>
  <c r="U117" i="18"/>
  <c r="U128" i="18"/>
  <c r="U87" i="18"/>
  <c r="U250" i="18"/>
  <c r="U474" i="18"/>
  <c r="AD474" i="18" s="1"/>
  <c r="U89" i="18"/>
  <c r="U219" i="18"/>
  <c r="U209" i="18"/>
  <c r="U64" i="18"/>
  <c r="U111" i="18"/>
  <c r="U167" i="18"/>
  <c r="U122" i="18"/>
  <c r="U418" i="18"/>
  <c r="AD418" i="18" s="1"/>
  <c r="U500" i="18"/>
  <c r="AD500" i="18" s="1"/>
  <c r="U291" i="18"/>
  <c r="U127" i="18"/>
  <c r="U60" i="18"/>
  <c r="U239" i="18"/>
  <c r="U226" i="18"/>
  <c r="U374" i="18"/>
  <c r="AD374" i="18" s="1"/>
  <c r="U343" i="18"/>
  <c r="AD343" i="18" s="1"/>
  <c r="U342" i="18"/>
  <c r="AD342" i="18" s="1"/>
  <c r="U214" i="18"/>
  <c r="U182" i="18"/>
  <c r="U293" i="18"/>
  <c r="U393" i="18"/>
  <c r="AD393" i="18" s="1"/>
  <c r="U259" i="18"/>
  <c r="U160" i="18"/>
  <c r="U341" i="18"/>
  <c r="AD341" i="18" s="1"/>
  <c r="U451" i="18"/>
  <c r="AD451" i="18" s="1"/>
  <c r="U48" i="18"/>
  <c r="U50" i="18"/>
  <c r="U14" i="18"/>
  <c r="U290" i="18"/>
  <c r="U257" i="18"/>
  <c r="U387" i="18"/>
  <c r="AD387" i="18" s="1"/>
  <c r="U505" i="18"/>
  <c r="AD505" i="18" s="1"/>
  <c r="U76" i="18"/>
  <c r="U22" i="18"/>
  <c r="U212" i="18"/>
  <c r="U114" i="18"/>
  <c r="U139" i="18"/>
  <c r="U464" i="18"/>
  <c r="AD464" i="18" s="1"/>
  <c r="U266" i="18"/>
  <c r="U369" i="18"/>
  <c r="AD369" i="18" s="1"/>
  <c r="U184" i="18"/>
  <c r="U495" i="18"/>
  <c r="AD495" i="18" s="1"/>
  <c r="U471" i="18"/>
  <c r="AD471" i="18" s="1"/>
  <c r="U360" i="18"/>
  <c r="AD360" i="18" s="1"/>
  <c r="U319" i="18"/>
  <c r="AD319" i="18" s="1"/>
  <c r="U232" i="18"/>
  <c r="U295" i="18"/>
  <c r="U441" i="18"/>
  <c r="AD441" i="18" s="1"/>
  <c r="U126" i="18"/>
  <c r="U410" i="18"/>
  <c r="AD410" i="18" s="1"/>
  <c r="U492" i="18"/>
  <c r="AD492" i="18" s="1"/>
  <c r="U148" i="18"/>
  <c r="U205" i="18"/>
  <c r="U260" i="18"/>
  <c r="U333" i="18"/>
  <c r="AD333" i="18" s="1"/>
  <c r="U222" i="18"/>
  <c r="U108" i="18"/>
  <c r="U129" i="18"/>
  <c r="U373" i="18"/>
  <c r="AD373" i="18" s="1"/>
  <c r="U367" i="18"/>
  <c r="AD367" i="18" s="1"/>
  <c r="U57" i="18"/>
  <c r="U180" i="18"/>
  <c r="U370" i="18"/>
  <c r="AD370" i="18" s="1"/>
  <c r="U344" i="18"/>
  <c r="AD344" i="18" s="1"/>
  <c r="U480" i="18"/>
  <c r="AD480" i="18" s="1"/>
  <c r="U36" i="18"/>
  <c r="U468" i="18"/>
  <c r="AD468" i="18" s="1"/>
  <c r="U372" i="18"/>
  <c r="AD372" i="18" s="1"/>
  <c r="U386" i="18"/>
  <c r="AD386" i="18" s="1"/>
  <c r="U136" i="18"/>
  <c r="U311" i="18"/>
  <c r="U287" i="18"/>
  <c r="U453" i="18"/>
  <c r="AD453" i="18" s="1"/>
  <c r="U274" i="18"/>
  <c r="U419" i="18"/>
  <c r="AD419" i="18" s="1"/>
  <c r="U109" i="18"/>
  <c r="U377" i="18"/>
  <c r="AD377" i="18" s="1"/>
  <c r="U321" i="18"/>
  <c r="AD321" i="18" s="1"/>
  <c r="U23" i="18"/>
  <c r="U275" i="18"/>
  <c r="U313" i="18"/>
  <c r="U409" i="18"/>
  <c r="AD409" i="18" s="1"/>
  <c r="U24" i="18"/>
  <c r="U155" i="18"/>
  <c r="U442" i="18"/>
  <c r="AD442" i="18" s="1"/>
  <c r="U454" i="18"/>
  <c r="AD454" i="18" s="1"/>
  <c r="U354" i="18"/>
  <c r="AD354" i="18" s="1"/>
  <c r="U316" i="18"/>
  <c r="AD316" i="18" s="1"/>
  <c r="U416" i="18"/>
  <c r="AD416" i="18" s="1"/>
  <c r="U227" i="18"/>
  <c r="U133" i="18"/>
  <c r="U224" i="18"/>
  <c r="U91" i="18"/>
  <c r="U202" i="18"/>
  <c r="U168" i="18"/>
  <c r="U436" i="18"/>
  <c r="AD436" i="18" s="1"/>
  <c r="U58" i="18"/>
  <c r="U83" i="18"/>
  <c r="U443" i="18"/>
  <c r="AD443" i="18" s="1"/>
  <c r="U251" i="18"/>
  <c r="U104" i="18"/>
  <c r="U375" i="18"/>
  <c r="AD375" i="18" s="1"/>
  <c r="U402" i="18"/>
  <c r="AD402" i="18" s="1"/>
  <c r="U105" i="18"/>
  <c r="U457" i="18"/>
  <c r="AD457" i="18" s="1"/>
  <c r="U309" i="18"/>
  <c r="U280" i="18"/>
  <c r="U271" i="18"/>
  <c r="U107" i="18"/>
  <c r="U101" i="18"/>
  <c r="U216" i="18"/>
  <c r="U186" i="18"/>
  <c r="U165" i="18"/>
  <c r="U487" i="18"/>
  <c r="AD487" i="18" s="1"/>
  <c r="U157" i="18"/>
  <c r="U383" i="18"/>
  <c r="AD383" i="18" s="1"/>
  <c r="U85" i="18"/>
  <c r="U149" i="18"/>
  <c r="U496" i="18"/>
  <c r="AD496" i="18" s="1"/>
  <c r="U132" i="18"/>
  <c r="U151" i="18"/>
  <c r="U233" i="18"/>
  <c r="U289" i="18"/>
  <c r="U146" i="18"/>
  <c r="U491" i="18"/>
  <c r="AD491" i="18" s="1"/>
  <c r="U176" i="18"/>
  <c r="U345" i="18"/>
  <c r="AD345" i="18" s="1"/>
  <c r="U63" i="18"/>
  <c r="U242" i="18"/>
  <c r="U458" i="18"/>
  <c r="AD458" i="18" s="1"/>
  <c r="U368" i="18"/>
  <c r="AD368" i="18" s="1"/>
  <c r="U305" i="18"/>
  <c r="U504" i="18"/>
  <c r="AD504" i="18" s="1"/>
  <c r="U407" i="18"/>
  <c r="AD407" i="18" s="1"/>
  <c r="U498" i="18"/>
  <c r="AD498" i="18" s="1"/>
  <c r="U331" i="18"/>
  <c r="AD331" i="18" s="1"/>
  <c r="U95" i="18"/>
  <c r="U281" i="18"/>
  <c r="U18" i="18"/>
  <c r="U31" i="18"/>
  <c r="U183" i="18"/>
  <c r="U255" i="18"/>
  <c r="U361" i="18"/>
  <c r="AD361" i="18" s="1"/>
  <c r="U208" i="18"/>
  <c r="U37" i="18"/>
  <c r="U206" i="18"/>
  <c r="U420" i="18"/>
  <c r="AD420" i="18" s="1"/>
  <c r="U99" i="18"/>
  <c r="U346" i="18"/>
  <c r="AD346" i="18" s="1"/>
  <c r="U150" i="18"/>
  <c r="U340" i="18"/>
  <c r="AD340" i="18" s="1"/>
  <c r="U378" i="18"/>
  <c r="AD378" i="18" s="1"/>
  <c r="U166" i="18"/>
  <c r="U439" i="18"/>
  <c r="AD439" i="18" s="1"/>
  <c r="U241" i="18"/>
  <c r="U292" i="18"/>
  <c r="U153" i="18"/>
  <c r="U28" i="18"/>
  <c r="U483" i="18"/>
  <c r="AD483" i="18" s="1"/>
  <c r="U486" i="18"/>
  <c r="AD486" i="18" s="1"/>
  <c r="U449" i="18"/>
  <c r="AD449" i="18" s="1"/>
  <c r="U272" i="18"/>
  <c r="U488" i="18"/>
  <c r="AD488" i="18" s="1"/>
  <c r="U317" i="18"/>
  <c r="AD317" i="18" s="1"/>
  <c r="U152" i="18"/>
  <c r="U179" i="18"/>
  <c r="U413" i="18"/>
  <c r="AD413" i="18" s="1"/>
  <c r="U113" i="18"/>
  <c r="U351" i="18"/>
  <c r="AD351" i="18" s="1"/>
  <c r="U134" i="18"/>
  <c r="U59" i="18"/>
  <c r="U497" i="18"/>
  <c r="AD497" i="18" s="1"/>
  <c r="U66" i="18"/>
  <c r="U210" i="18"/>
  <c r="U455" i="18"/>
  <c r="AD455" i="18" s="1"/>
  <c r="U426" i="18"/>
  <c r="AD426" i="18" s="1"/>
  <c r="U86" i="18"/>
  <c r="U238" i="18"/>
  <c r="U12" i="18"/>
  <c r="U485" i="18"/>
  <c r="AD485" i="18" s="1"/>
  <c r="U448" i="18"/>
  <c r="AD448" i="18" s="1"/>
  <c r="U92" i="18"/>
  <c r="U284" i="18"/>
  <c r="U225" i="18"/>
  <c r="U229" i="18"/>
  <c r="U90" i="18"/>
  <c r="U427" i="18"/>
  <c r="AD427" i="18" s="1"/>
  <c r="U161" i="18"/>
  <c r="U67" i="18"/>
  <c r="U430" i="18"/>
  <c r="AD430" i="18" s="1"/>
  <c r="U302" i="18"/>
  <c r="U349" i="18"/>
  <c r="AD349" i="18" s="1"/>
  <c r="U94" i="18"/>
  <c r="U417" i="18"/>
  <c r="AD417" i="18" s="1"/>
  <c r="U248" i="18"/>
  <c r="U465" i="18"/>
  <c r="AD465" i="18" s="1"/>
  <c r="U193" i="18"/>
  <c r="U204" i="18"/>
  <c r="U88" i="18"/>
  <c r="U358" i="18"/>
  <c r="AD358" i="18" s="1"/>
  <c r="U17" i="18"/>
  <c r="U199" i="18"/>
  <c r="U338" i="18"/>
  <c r="AD338" i="18" s="1"/>
  <c r="U47" i="18"/>
  <c r="U30" i="18"/>
  <c r="U137" i="18"/>
  <c r="U431" i="18"/>
  <c r="AD431" i="18" s="1"/>
  <c r="U328" i="18"/>
  <c r="AD328" i="18" s="1"/>
  <c r="U174" i="18"/>
  <c r="U362" i="18"/>
  <c r="AD362" i="18" s="1"/>
  <c r="U40" i="18"/>
  <c r="U220" i="18"/>
  <c r="U43" i="18"/>
  <c r="U364" i="18"/>
  <c r="AD364" i="18" s="1"/>
  <c r="U502" i="18"/>
  <c r="AD502" i="18" s="1"/>
  <c r="U140" i="18"/>
  <c r="U247" i="18"/>
  <c r="U46" i="18"/>
  <c r="U301" i="18"/>
  <c r="U54" i="18"/>
  <c r="U177" i="18"/>
  <c r="U318" i="18"/>
  <c r="AD318" i="18" s="1"/>
  <c r="U298" i="18"/>
  <c r="U267" i="18"/>
  <c r="U390" i="18"/>
  <c r="AD390" i="18" s="1"/>
  <c r="U191" i="18"/>
  <c r="U194" i="18"/>
  <c r="U379" i="18"/>
  <c r="AD379" i="18" s="1"/>
  <c r="U141" i="18"/>
  <c r="U228" i="18"/>
  <c r="U192" i="18"/>
  <c r="U244" i="18"/>
  <c r="U282" i="18"/>
  <c r="U472" i="18"/>
  <c r="AD472" i="18" s="1"/>
  <c r="U93" i="18"/>
  <c r="U142" i="18"/>
  <c r="U297" i="18"/>
  <c r="U444" i="18"/>
  <c r="AD444" i="18" s="1"/>
  <c r="U147" i="18"/>
  <c r="U396" i="18"/>
  <c r="AD396" i="18" s="1"/>
  <c r="U315" i="18"/>
  <c r="AD315" i="18" s="1"/>
  <c r="U466" i="18"/>
  <c r="AD466" i="18" s="1"/>
  <c r="U334" i="18"/>
  <c r="AD334" i="18" s="1"/>
  <c r="U490" i="18"/>
  <c r="AD490" i="18" s="1"/>
  <c r="U388" i="18"/>
  <c r="AD388" i="18" s="1"/>
  <c r="U195" i="18"/>
  <c r="U196" i="18"/>
  <c r="U81" i="18"/>
  <c r="U411" i="18"/>
  <c r="AD411" i="18" s="1"/>
  <c r="U493" i="18"/>
  <c r="AD493" i="18" s="1"/>
  <c r="U279" i="18"/>
  <c r="U240" i="18"/>
  <c r="U116" i="18"/>
  <c r="U288" i="18"/>
  <c r="U162" i="18"/>
  <c r="U337" i="18"/>
  <c r="AD337" i="18" s="1"/>
  <c r="U327" i="18"/>
  <c r="AD327" i="18" s="1"/>
  <c r="U330" i="18"/>
  <c r="AD330" i="18" s="1"/>
  <c r="U71" i="18"/>
  <c r="U156" i="18"/>
  <c r="U273" i="18"/>
  <c r="U336" i="18"/>
  <c r="AD336" i="18" s="1"/>
  <c r="U398" i="18"/>
  <c r="AD398" i="18" s="1"/>
  <c r="U82" i="18"/>
  <c r="U144" i="18"/>
  <c r="U392" i="18"/>
  <c r="AD392" i="18" s="1"/>
  <c r="U98" i="18"/>
  <c r="U428" i="18"/>
  <c r="AD428" i="18" s="1"/>
  <c r="U296" i="18"/>
  <c r="U308" i="18"/>
  <c r="U425" i="18"/>
  <c r="AD425" i="18" s="1"/>
  <c r="U29" i="18"/>
  <c r="U310" i="18"/>
  <c r="U353" i="18"/>
  <c r="AD353" i="18" s="1"/>
  <c r="U215" i="18"/>
  <c r="U124" i="18"/>
  <c r="U263" i="18"/>
  <c r="U201" i="18"/>
  <c r="U501" i="18"/>
  <c r="AD501" i="18" s="1"/>
  <c r="U359" i="18"/>
  <c r="AD359" i="18" s="1"/>
  <c r="U380" i="18"/>
  <c r="AD380" i="18" s="1"/>
  <c r="U385" i="18"/>
  <c r="AD385" i="18" s="1"/>
  <c r="U352" i="18"/>
  <c r="AD352" i="18" s="1"/>
  <c r="U435" i="18"/>
  <c r="AD435" i="18" s="1"/>
  <c r="U39" i="18"/>
  <c r="U314" i="18"/>
  <c r="AD314" i="18" s="1"/>
  <c r="U234" i="18"/>
  <c r="U200" i="18"/>
  <c r="U424" i="18"/>
  <c r="AD424" i="18" s="1"/>
  <c r="U112" i="18"/>
  <c r="U35" i="18"/>
  <c r="U394" i="18"/>
  <c r="AD394" i="18" s="1"/>
  <c r="U32" i="18"/>
  <c r="U198" i="18"/>
  <c r="U326" i="18"/>
  <c r="AD326" i="18" s="1"/>
  <c r="U479" i="18"/>
  <c r="AD479" i="18" s="1"/>
  <c r="U243" i="18"/>
  <c r="U366" i="18"/>
  <c r="AD366" i="18" s="1"/>
  <c r="U300" i="18"/>
  <c r="U77" i="18"/>
  <c r="U306" i="18"/>
  <c r="U322" i="18"/>
  <c r="AD322" i="18" s="1"/>
  <c r="U69" i="18"/>
  <c r="U460" i="18"/>
  <c r="AD460" i="18" s="1"/>
  <c r="U484" i="18"/>
  <c r="AD484" i="18" s="1"/>
  <c r="U399" i="18"/>
  <c r="AD399" i="18" s="1"/>
  <c r="U434" i="18"/>
  <c r="AD434" i="18" s="1"/>
  <c r="U213" i="18"/>
  <c r="U252" i="18"/>
  <c r="U145" i="18"/>
  <c r="U245" i="18"/>
  <c r="U13" i="18"/>
  <c r="U236" i="18"/>
  <c r="U72" i="18"/>
  <c r="U261" i="18"/>
  <c r="U332" i="18"/>
  <c r="AD332" i="18" s="1"/>
  <c r="U53" i="18"/>
  <c r="U33" i="18"/>
  <c r="U469" i="18"/>
  <c r="AD469" i="18" s="1"/>
  <c r="U172" i="18"/>
  <c r="U422" i="18"/>
  <c r="AD422" i="18" s="1"/>
  <c r="U356" i="18"/>
  <c r="AD356" i="18" s="1"/>
  <c r="U406" i="18"/>
  <c r="AD406" i="18" s="1"/>
  <c r="U423" i="18"/>
  <c r="AD423" i="18" s="1"/>
  <c r="U473" i="18"/>
  <c r="AD473" i="18" s="1"/>
  <c r="U70" i="18"/>
  <c r="U421" i="18"/>
  <c r="AD421" i="18" s="1"/>
  <c r="U262" i="18"/>
  <c r="U268" i="18"/>
  <c r="U44" i="18"/>
  <c r="U154" i="18"/>
  <c r="U189" i="18"/>
  <c r="U217" i="18"/>
  <c r="U382" i="18"/>
  <c r="AD382" i="18" s="1"/>
  <c r="U249" i="18"/>
  <c r="U355" i="18"/>
  <c r="AD355" i="18" s="1"/>
  <c r="U384" i="18"/>
  <c r="AD384" i="18" s="1"/>
  <c r="U405" i="18"/>
  <c r="AD405" i="18" s="1"/>
  <c r="U188" i="18"/>
  <c r="U478" i="18"/>
  <c r="AD478" i="18" s="1"/>
  <c r="U170" i="18"/>
  <c r="U41" i="18"/>
  <c r="U499" i="18"/>
  <c r="AD499" i="18" s="1"/>
  <c r="U304" i="18"/>
  <c r="U11" i="18"/>
  <c r="U397" i="18"/>
  <c r="AD397" i="18" s="1"/>
  <c r="U371" i="18"/>
  <c r="AD371" i="18" s="1"/>
  <c r="U16" i="18"/>
  <c r="U123" i="18"/>
  <c r="U118" i="18"/>
  <c r="U339" i="18"/>
  <c r="AD339" i="18" s="1"/>
  <c r="U190" i="18"/>
  <c r="U42" i="18"/>
  <c r="U253" i="18"/>
  <c r="U265" i="18"/>
  <c r="U56" i="18"/>
  <c r="U164" i="18"/>
  <c r="U467" i="18"/>
  <c r="AD467" i="18" s="1"/>
  <c r="U103" i="18"/>
  <c r="U185" i="18"/>
  <c r="U489" i="18"/>
  <c r="AD489" i="18" s="1"/>
  <c r="U404" i="18"/>
  <c r="AD404" i="18" s="1"/>
  <c r="U52" i="18"/>
  <c r="U106" i="18"/>
  <c r="U350" i="18"/>
  <c r="AD350" i="18" s="1"/>
  <c r="U412" i="18"/>
  <c r="AD412" i="18" s="1"/>
  <c r="U49" i="18"/>
  <c r="U27" i="18"/>
  <c r="U363" i="18"/>
  <c r="AD363" i="18" s="1"/>
  <c r="U96" i="18"/>
  <c r="U283" i="18"/>
  <c r="U462" i="18"/>
  <c r="AD462" i="18" s="1"/>
  <c r="U119" i="18"/>
  <c r="U26" i="18"/>
  <c r="U323" i="18"/>
  <c r="AD323" i="18" s="1"/>
  <c r="U456" i="18"/>
  <c r="AD456" i="18" s="1"/>
  <c r="U130" i="18"/>
  <c r="U269" i="18"/>
  <c r="U285" i="18"/>
  <c r="U446" i="18"/>
  <c r="AD446" i="18" s="1"/>
  <c r="U256" i="18"/>
  <c r="U400" i="18"/>
  <c r="AD400" i="18" s="1"/>
  <c r="U173" i="18"/>
  <c r="U75" i="18"/>
  <c r="U84" i="18"/>
  <c r="U324" i="18"/>
  <c r="AD324" i="18" s="1"/>
  <c r="U325" i="18"/>
  <c r="AD325" i="18" s="1"/>
  <c r="U171" i="18"/>
  <c r="U320" i="18"/>
  <c r="AD320" i="18" s="1"/>
  <c r="U476" i="18"/>
  <c r="AD476" i="18" s="1"/>
  <c r="U463" i="18"/>
  <c r="AD463" i="18" s="1"/>
  <c r="U135" i="18"/>
  <c r="U237" i="18"/>
  <c r="U481" i="18"/>
  <c r="AD481" i="18" s="1"/>
  <c r="U80" i="18"/>
  <c r="U277" i="18"/>
  <c r="U299" i="18"/>
  <c r="U391" i="18"/>
  <c r="AD391" i="18" s="1"/>
  <c r="U477" i="18"/>
  <c r="AD477" i="18" s="1"/>
  <c r="U294" i="18"/>
  <c r="U403" i="18"/>
  <c r="AD403" i="18" s="1"/>
  <c r="U65" i="18"/>
  <c r="U278" i="18"/>
  <c r="U429" i="18"/>
  <c r="AD429" i="18" s="1"/>
  <c r="U246" i="18"/>
  <c r="AB1" i="25"/>
  <c r="U25" i="18" l="1"/>
  <c r="AD25" i="18" s="1"/>
  <c r="AN26" i="14" s="1"/>
  <c r="U55" i="18"/>
  <c r="AD55" i="18" s="1"/>
  <c r="AN56" i="14" s="1"/>
  <c r="U158" i="18"/>
  <c r="U143" i="18"/>
  <c r="AD143" i="18" s="1"/>
  <c r="AN144" i="14" s="1"/>
  <c r="U187" i="18"/>
  <c r="U61" i="18"/>
  <c r="AD61" i="18" s="1"/>
  <c r="AN62" i="14" s="1"/>
  <c r="U20" i="18"/>
  <c r="AD20" i="18" s="1"/>
  <c r="AN21" i="14" s="1"/>
  <c r="U125" i="18"/>
  <c r="U121" i="18"/>
  <c r="U74" i="18"/>
  <c r="AD74" i="18" s="1"/>
  <c r="AN75" i="14" s="1"/>
  <c r="AD313" i="18"/>
  <c r="AN314" i="14" s="1"/>
  <c r="AL314" i="14"/>
  <c r="AD294" i="18"/>
  <c r="AN295" i="14" s="1"/>
  <c r="AL295" i="14"/>
  <c r="AD292" i="18"/>
  <c r="AN293" i="14" s="1"/>
  <c r="AL293" i="14"/>
  <c r="AD305" i="18"/>
  <c r="AN306" i="14" s="1"/>
  <c r="AL306" i="14"/>
  <c r="AD309" i="18"/>
  <c r="AN310" i="14" s="1"/>
  <c r="AL310" i="14"/>
  <c r="AD310" i="18"/>
  <c r="AN311" i="14" s="1"/>
  <c r="AL311" i="14"/>
  <c r="AD293" i="18"/>
  <c r="AN294" i="14" s="1"/>
  <c r="AL294" i="14"/>
  <c r="AD312" i="18"/>
  <c r="AN313" i="14" s="1"/>
  <c r="AL313" i="14"/>
  <c r="AD299" i="18"/>
  <c r="AN300" i="14" s="1"/>
  <c r="AL300" i="14"/>
  <c r="AD308" i="18"/>
  <c r="AN309" i="14" s="1"/>
  <c r="AL309" i="14"/>
  <c r="AD298" i="18"/>
  <c r="AN299" i="14" s="1"/>
  <c r="AL299" i="14"/>
  <c r="AD291" i="18"/>
  <c r="AN292" i="14" s="1"/>
  <c r="AL292" i="14"/>
  <c r="AD301" i="18"/>
  <c r="AN302" i="14" s="1"/>
  <c r="AL302" i="14"/>
  <c r="AD304" i="18"/>
  <c r="AN305" i="14" s="1"/>
  <c r="AL305" i="14"/>
  <c r="AD306" i="18"/>
  <c r="AN307" i="14" s="1"/>
  <c r="AL307" i="14"/>
  <c r="AD296" i="18"/>
  <c r="AN297" i="14" s="1"/>
  <c r="AL297" i="14"/>
  <c r="AD302" i="18"/>
  <c r="AN303" i="14" s="1"/>
  <c r="AL303" i="14"/>
  <c r="AD303" i="18"/>
  <c r="AN304" i="14" s="1"/>
  <c r="AL304" i="14"/>
  <c r="AD297" i="18"/>
  <c r="AN298" i="14" s="1"/>
  <c r="AL298" i="14"/>
  <c r="AD311" i="18"/>
  <c r="AN312" i="14" s="1"/>
  <c r="AL312" i="14"/>
  <c r="AD300" i="18"/>
  <c r="AN301" i="14" s="1"/>
  <c r="AL301" i="14"/>
  <c r="AD295" i="18"/>
  <c r="AN296" i="14" s="1"/>
  <c r="AL296" i="14"/>
  <c r="AD290" i="18"/>
  <c r="AN291" i="14" s="1"/>
  <c r="AL291" i="14"/>
  <c r="H45" i="18"/>
  <c r="I45" i="18" s="1"/>
  <c r="U21" i="18"/>
  <c r="AD21" i="18" s="1"/>
  <c r="AN22" i="14" s="1"/>
  <c r="AD289" i="18"/>
  <c r="AN290" i="14" s="1"/>
  <c r="AL290" i="14"/>
  <c r="AL20" i="14"/>
  <c r="H159" i="18"/>
  <c r="U15" i="18"/>
  <c r="AL16" i="14" s="1"/>
  <c r="H78" i="18"/>
  <c r="AD288" i="18"/>
  <c r="AN289" i="14" s="1"/>
  <c r="AL289" i="14"/>
  <c r="AD277" i="18"/>
  <c r="AN278" i="14" s="1"/>
  <c r="AL278" i="14"/>
  <c r="AD282" i="18"/>
  <c r="AN283" i="14" s="1"/>
  <c r="AL283" i="14"/>
  <c r="AD286" i="18"/>
  <c r="AN287" i="14" s="1"/>
  <c r="AL287" i="14"/>
  <c r="AD278" i="18"/>
  <c r="AN279" i="14" s="1"/>
  <c r="AL279" i="14"/>
  <c r="AD285" i="18"/>
  <c r="AN286" i="14" s="1"/>
  <c r="AL286" i="14"/>
  <c r="AD283" i="18"/>
  <c r="AN284" i="14" s="1"/>
  <c r="AL284" i="14"/>
  <c r="AD263" i="18"/>
  <c r="AN264" i="14" s="1"/>
  <c r="AL264" i="14"/>
  <c r="AD267" i="18"/>
  <c r="AN268" i="14" s="1"/>
  <c r="AL268" i="14"/>
  <c r="AD271" i="18"/>
  <c r="AN272" i="14" s="1"/>
  <c r="AL272" i="14"/>
  <c r="AD260" i="18"/>
  <c r="AN261" i="14" s="1"/>
  <c r="AL261" i="14"/>
  <c r="AD232" i="18"/>
  <c r="AN233" i="14" s="1"/>
  <c r="AL233" i="14"/>
  <c r="AD287" i="18"/>
  <c r="AN288" i="14" s="1"/>
  <c r="AL288" i="14"/>
  <c r="AD234" i="18"/>
  <c r="AN235" i="14" s="1"/>
  <c r="AL235" i="14"/>
  <c r="AD238" i="18"/>
  <c r="AN239" i="14" s="1"/>
  <c r="AL239" i="14"/>
  <c r="AD272" i="18"/>
  <c r="AN273" i="14" s="1"/>
  <c r="AL273" i="14"/>
  <c r="AD276" i="18"/>
  <c r="AN277" i="14" s="1"/>
  <c r="AL277" i="14"/>
  <c r="AD269" i="18"/>
  <c r="AN270" i="14" s="1"/>
  <c r="AL270" i="14"/>
  <c r="AD265" i="18"/>
  <c r="AN266" i="14" s="1"/>
  <c r="AL266" i="14"/>
  <c r="AD261" i="18"/>
  <c r="AN262" i="14" s="1"/>
  <c r="AL262" i="14"/>
  <c r="AD273" i="18"/>
  <c r="AN274" i="14" s="1"/>
  <c r="AL274" i="14"/>
  <c r="AD281" i="18"/>
  <c r="AN282" i="14" s="1"/>
  <c r="AL282" i="14"/>
  <c r="AD280" i="18"/>
  <c r="AN281" i="14" s="1"/>
  <c r="AL281" i="14"/>
  <c r="AD266" i="18"/>
  <c r="AN267" i="14" s="1"/>
  <c r="AL267" i="14"/>
  <c r="F203" i="18"/>
  <c r="U203" i="18" s="1"/>
  <c r="AD203" i="18" s="1"/>
  <c r="AN204" i="14" s="1"/>
  <c r="AD270" i="18"/>
  <c r="AN271" i="14" s="1"/>
  <c r="AL271" i="14"/>
  <c r="AD237" i="18"/>
  <c r="AN238" i="14" s="1"/>
  <c r="AL238" i="14"/>
  <c r="AD257" i="18"/>
  <c r="AN258" i="14" s="1"/>
  <c r="AL258" i="14"/>
  <c r="AD264" i="18"/>
  <c r="AN265" i="14" s="1"/>
  <c r="AL265" i="14"/>
  <c r="AD268" i="18"/>
  <c r="AN269" i="14" s="1"/>
  <c r="AL269" i="14"/>
  <c r="AD240" i="18"/>
  <c r="AN241" i="14" s="1"/>
  <c r="AL241" i="14"/>
  <c r="AD274" i="18"/>
  <c r="AN275" i="14" s="1"/>
  <c r="AL275" i="14"/>
  <c r="AD254" i="18"/>
  <c r="AN255" i="14" s="1"/>
  <c r="AL255" i="14"/>
  <c r="AD235" i="18"/>
  <c r="AN236" i="14" s="1"/>
  <c r="AL236" i="14"/>
  <c r="AD258" i="18"/>
  <c r="AN259" i="14" s="1"/>
  <c r="AL259" i="14"/>
  <c r="AD275" i="18"/>
  <c r="AN276" i="14" s="1"/>
  <c r="AL276" i="14"/>
  <c r="AD239" i="18"/>
  <c r="AN240" i="14" s="1"/>
  <c r="AL240" i="14"/>
  <c r="AD284" i="18"/>
  <c r="AN285" i="14" s="1"/>
  <c r="AL285" i="14"/>
  <c r="AD233" i="18"/>
  <c r="AN234" i="14" s="1"/>
  <c r="AL234" i="14"/>
  <c r="AD262" i="18"/>
  <c r="AN263" i="14" s="1"/>
  <c r="AL263" i="14"/>
  <c r="AD236" i="18"/>
  <c r="AN237" i="14" s="1"/>
  <c r="AL237" i="14"/>
  <c r="AD279" i="18"/>
  <c r="AN280" i="14" s="1"/>
  <c r="AL280" i="14"/>
  <c r="AD259" i="18"/>
  <c r="AN260" i="14" s="1"/>
  <c r="AL260" i="14"/>
  <c r="AD231" i="18"/>
  <c r="AN232" i="14" s="1"/>
  <c r="AL232" i="14"/>
  <c r="AD118" i="18"/>
  <c r="AN119" i="14" s="1"/>
  <c r="AL119" i="14"/>
  <c r="AD228" i="18"/>
  <c r="AN229" i="14" s="1"/>
  <c r="AL229" i="14"/>
  <c r="AD79" i="18"/>
  <c r="AN80" i="14" s="1"/>
  <c r="AL39" i="14"/>
  <c r="AD229" i="18"/>
  <c r="AN230" i="14" s="1"/>
  <c r="AL230" i="14"/>
  <c r="AD230" i="18"/>
  <c r="AN231" i="14" s="1"/>
  <c r="AL231" i="14"/>
  <c r="AD227" i="18"/>
  <c r="AN228" i="14" s="1"/>
  <c r="AL228" i="14"/>
  <c r="AD217" i="18"/>
  <c r="AN218" i="14" s="1"/>
  <c r="AL218" i="14"/>
  <c r="AD223" i="18"/>
  <c r="AN224" i="14" s="1"/>
  <c r="AL224" i="14"/>
  <c r="AD216" i="18"/>
  <c r="AN217" i="14" s="1"/>
  <c r="AL217" i="14"/>
  <c r="AD225" i="18"/>
  <c r="AN226" i="14" s="1"/>
  <c r="AL226" i="14"/>
  <c r="AD215" i="18"/>
  <c r="AN216" i="14" s="1"/>
  <c r="AL216" i="14"/>
  <c r="AD226" i="18"/>
  <c r="AN227" i="14" s="1"/>
  <c r="AL227" i="14"/>
  <c r="AD219" i="18"/>
  <c r="AN220" i="14" s="1"/>
  <c r="AL220" i="14"/>
  <c r="AD222" i="18"/>
  <c r="AN223" i="14" s="1"/>
  <c r="AL223" i="14"/>
  <c r="AD221" i="18"/>
  <c r="AN222" i="14" s="1"/>
  <c r="AL222" i="14"/>
  <c r="AD220" i="18"/>
  <c r="AN221" i="14" s="1"/>
  <c r="AL221" i="14"/>
  <c r="AD224" i="18"/>
  <c r="AN225" i="14" s="1"/>
  <c r="AL225" i="14"/>
  <c r="AD218" i="18"/>
  <c r="AN219" i="14" s="1"/>
  <c r="AL219" i="14"/>
  <c r="AD75" i="18"/>
  <c r="AN76" i="14" s="1"/>
  <c r="AL76" i="14"/>
  <c r="AD185" i="18"/>
  <c r="AN186" i="14" s="1"/>
  <c r="AL186" i="14"/>
  <c r="AD246" i="18"/>
  <c r="AN247" i="14" s="1"/>
  <c r="AL247" i="14"/>
  <c r="AD172" i="18"/>
  <c r="AN173" i="14" s="1"/>
  <c r="AL173" i="14"/>
  <c r="AD142" i="18"/>
  <c r="AN143" i="14" s="1"/>
  <c r="AL143" i="14"/>
  <c r="AD179" i="18"/>
  <c r="AN180" i="14" s="1"/>
  <c r="AL180" i="14"/>
  <c r="AD208" i="18"/>
  <c r="AN209" i="14" s="1"/>
  <c r="AL209" i="14"/>
  <c r="AD95" i="18"/>
  <c r="AN96" i="14" s="1"/>
  <c r="AL96" i="14"/>
  <c r="AD83" i="18"/>
  <c r="AN84" i="14" s="1"/>
  <c r="AL84" i="14"/>
  <c r="AD155" i="18"/>
  <c r="AN156" i="14" s="1"/>
  <c r="AL156" i="14"/>
  <c r="AD109" i="18"/>
  <c r="AN110" i="14" s="1"/>
  <c r="AL110" i="14"/>
  <c r="AD158" i="18"/>
  <c r="AN159" i="14" s="1"/>
  <c r="AL159" i="14"/>
  <c r="AD205" i="18"/>
  <c r="AN206" i="14" s="1"/>
  <c r="AL206" i="14"/>
  <c r="AD117" i="18"/>
  <c r="AN118" i="14" s="1"/>
  <c r="AL118" i="14"/>
  <c r="AD181" i="18"/>
  <c r="AN182" i="14" s="1"/>
  <c r="AL182" i="14"/>
  <c r="AD178" i="18"/>
  <c r="AN179" i="14" s="1"/>
  <c r="AL179" i="14"/>
  <c r="AD171" i="18"/>
  <c r="AN172" i="14" s="1"/>
  <c r="AL172" i="14"/>
  <c r="AD164" i="18"/>
  <c r="AN165" i="14" s="1"/>
  <c r="AL165" i="14"/>
  <c r="AD200" i="18"/>
  <c r="AN201" i="14" s="1"/>
  <c r="AL201" i="14"/>
  <c r="AD82" i="18"/>
  <c r="AN83" i="14" s="1"/>
  <c r="AL83" i="14"/>
  <c r="AD93" i="18"/>
  <c r="AN94" i="14" s="1"/>
  <c r="AL94" i="14"/>
  <c r="AD194" i="18"/>
  <c r="AN195" i="14" s="1"/>
  <c r="AL195" i="14"/>
  <c r="AD161" i="18"/>
  <c r="AN162" i="14" s="1"/>
  <c r="AL162" i="14"/>
  <c r="AD152" i="18"/>
  <c r="AN153" i="14" s="1"/>
  <c r="AL153" i="14"/>
  <c r="AD153" i="18"/>
  <c r="AN154" i="14" s="1"/>
  <c r="AL154" i="14"/>
  <c r="AD120" i="18"/>
  <c r="AN121" i="14" s="1"/>
  <c r="AL121" i="14"/>
  <c r="AD242" i="18"/>
  <c r="AN243" i="14" s="1"/>
  <c r="AL243" i="14"/>
  <c r="AD151" i="18"/>
  <c r="AN152" i="14" s="1"/>
  <c r="AL152" i="14"/>
  <c r="AD165" i="18"/>
  <c r="AN166" i="14" s="1"/>
  <c r="AL166" i="14"/>
  <c r="AD133" i="18"/>
  <c r="AN134" i="14" s="1"/>
  <c r="AL134" i="14"/>
  <c r="AD148" i="18"/>
  <c r="AN149" i="14" s="1"/>
  <c r="AL149" i="14"/>
  <c r="AD182" i="18"/>
  <c r="AN183" i="14" s="1"/>
  <c r="AL183" i="14"/>
  <c r="AD127" i="18"/>
  <c r="AN128" i="14" s="1"/>
  <c r="AL128" i="14"/>
  <c r="AD209" i="18"/>
  <c r="AN210" i="14" s="1"/>
  <c r="AL210" i="14"/>
  <c r="AD169" i="18"/>
  <c r="AN170" i="14" s="1"/>
  <c r="AL170" i="14"/>
  <c r="AD207" i="18"/>
  <c r="AN208" i="14" s="1"/>
  <c r="AL208" i="14"/>
  <c r="AD119" i="18"/>
  <c r="AN120" i="14" s="1"/>
  <c r="AL120" i="14"/>
  <c r="AD243" i="18"/>
  <c r="AN244" i="14" s="1"/>
  <c r="AL244" i="14"/>
  <c r="AD106" i="18"/>
  <c r="AN107" i="14" s="1"/>
  <c r="AL107" i="14"/>
  <c r="AD123" i="18"/>
  <c r="AN124" i="14" s="1"/>
  <c r="AL124" i="14"/>
  <c r="AD170" i="18"/>
  <c r="AN171" i="14" s="1"/>
  <c r="AL171" i="14"/>
  <c r="AD245" i="18"/>
  <c r="AN246" i="14" s="1"/>
  <c r="AL246" i="14"/>
  <c r="AD191" i="18"/>
  <c r="AN192" i="14" s="1"/>
  <c r="AL192" i="14"/>
  <c r="AD248" i="18"/>
  <c r="AN249" i="14" s="1"/>
  <c r="AL249" i="14"/>
  <c r="AD150" i="18"/>
  <c r="AN151" i="14" s="1"/>
  <c r="AL151" i="14"/>
  <c r="AD255" i="18"/>
  <c r="AN256" i="14" s="1"/>
  <c r="AL256" i="14"/>
  <c r="AD132" i="18"/>
  <c r="AN133" i="14" s="1"/>
  <c r="AL133" i="14"/>
  <c r="AD186" i="18"/>
  <c r="AN187" i="14" s="1"/>
  <c r="AL187" i="14"/>
  <c r="AD105" i="18"/>
  <c r="AN106" i="14" s="1"/>
  <c r="AL106" i="14"/>
  <c r="AD138" i="18"/>
  <c r="AN139" i="14" s="1"/>
  <c r="AL139" i="14"/>
  <c r="AD139" i="18"/>
  <c r="AN140" i="14" s="1"/>
  <c r="AL140" i="14"/>
  <c r="AD214" i="18"/>
  <c r="AN215" i="14" s="1"/>
  <c r="AL215" i="14"/>
  <c r="AD173" i="18"/>
  <c r="AN174" i="14" s="1"/>
  <c r="AL174" i="14"/>
  <c r="AD249" i="18"/>
  <c r="AN250" i="14" s="1"/>
  <c r="AL250" i="14"/>
  <c r="AD144" i="18"/>
  <c r="AN145" i="14" s="1"/>
  <c r="AL145" i="14"/>
  <c r="AD193" i="18"/>
  <c r="AN194" i="14" s="1"/>
  <c r="AL194" i="14"/>
  <c r="AD80" i="18"/>
  <c r="AN81" i="14" s="1"/>
  <c r="AL81" i="14"/>
  <c r="AD198" i="18"/>
  <c r="AN199" i="14" s="1"/>
  <c r="AL199" i="14"/>
  <c r="AD162" i="18"/>
  <c r="AN163" i="14" s="1"/>
  <c r="AL163" i="14"/>
  <c r="AD247" i="18"/>
  <c r="AN248" i="14" s="1"/>
  <c r="AL248" i="14"/>
  <c r="AD90" i="18"/>
  <c r="AN91" i="14" s="1"/>
  <c r="AL91" i="14"/>
  <c r="AD190" i="18"/>
  <c r="AN191" i="14" s="1"/>
  <c r="AL191" i="14"/>
  <c r="AD256" i="18"/>
  <c r="AN257" i="14" s="1"/>
  <c r="AL257" i="14"/>
  <c r="AD210" i="18"/>
  <c r="AN211" i="14" s="1"/>
  <c r="AL211" i="14"/>
  <c r="AD96" i="18"/>
  <c r="AN97" i="14" s="1"/>
  <c r="AL97" i="14"/>
  <c r="AD189" i="18"/>
  <c r="AN190" i="14" s="1"/>
  <c r="AL190" i="14"/>
  <c r="AD145" i="18"/>
  <c r="AN146" i="14" s="1"/>
  <c r="AL146" i="14"/>
  <c r="AD201" i="18"/>
  <c r="AN202" i="14" s="1"/>
  <c r="AL202" i="14"/>
  <c r="AD81" i="18"/>
  <c r="AN82" i="14" s="1"/>
  <c r="AL82" i="14"/>
  <c r="AD174" i="18"/>
  <c r="AN175" i="14" s="1"/>
  <c r="AL175" i="14"/>
  <c r="AD199" i="18"/>
  <c r="AN200" i="14" s="1"/>
  <c r="AL200" i="14"/>
  <c r="AD183" i="18"/>
  <c r="AN184" i="14" s="1"/>
  <c r="AL184" i="14"/>
  <c r="AD129" i="18"/>
  <c r="AN130" i="14" s="1"/>
  <c r="AL130" i="14"/>
  <c r="AD114" i="18"/>
  <c r="AN115" i="14" s="1"/>
  <c r="AL115" i="14"/>
  <c r="AD89" i="18"/>
  <c r="AN90" i="14" s="1"/>
  <c r="AL90" i="14"/>
  <c r="AD131" i="18"/>
  <c r="AN132" i="14" s="1"/>
  <c r="AL132" i="14"/>
  <c r="AD100" i="18"/>
  <c r="AN101" i="14" s="1"/>
  <c r="AL101" i="14"/>
  <c r="AD125" i="18"/>
  <c r="AN126" i="14" s="1"/>
  <c r="AL126" i="14"/>
  <c r="AD84" i="18"/>
  <c r="AN85" i="14" s="1"/>
  <c r="AL85" i="14"/>
  <c r="AD130" i="18"/>
  <c r="AN131" i="14" s="1"/>
  <c r="AL131" i="14"/>
  <c r="AD253" i="18"/>
  <c r="AN254" i="14" s="1"/>
  <c r="AL254" i="14"/>
  <c r="AD188" i="18"/>
  <c r="AN189" i="14" s="1"/>
  <c r="AL189" i="14"/>
  <c r="AD154" i="18"/>
  <c r="AN155" i="14" s="1"/>
  <c r="AL155" i="14"/>
  <c r="AD252" i="18"/>
  <c r="AN253" i="14" s="1"/>
  <c r="AL253" i="14"/>
  <c r="AD196" i="18"/>
  <c r="AN197" i="14" s="1"/>
  <c r="AL197" i="14"/>
  <c r="AD244" i="18"/>
  <c r="AN245" i="14" s="1"/>
  <c r="AL245" i="14"/>
  <c r="AD140" i="18"/>
  <c r="AN141" i="14" s="1"/>
  <c r="AL141" i="14"/>
  <c r="AD94" i="18"/>
  <c r="AN95" i="14" s="1"/>
  <c r="AL95" i="14"/>
  <c r="AD134" i="18"/>
  <c r="AN135" i="14" s="1"/>
  <c r="AL135" i="14"/>
  <c r="AD99" i="18"/>
  <c r="AN100" i="14" s="1"/>
  <c r="AL100" i="14"/>
  <c r="AD176" i="18"/>
  <c r="AN177" i="14" s="1"/>
  <c r="AL177" i="14"/>
  <c r="AD149" i="18"/>
  <c r="AN150" i="14" s="1"/>
  <c r="AL150" i="14"/>
  <c r="AD101" i="18"/>
  <c r="AN102" i="14" s="1"/>
  <c r="AL102" i="14"/>
  <c r="AD168" i="18"/>
  <c r="AN169" i="14" s="1"/>
  <c r="AL169" i="14"/>
  <c r="AD108" i="18"/>
  <c r="AN109" i="14" s="1"/>
  <c r="AL109" i="14"/>
  <c r="AD126" i="18"/>
  <c r="AN127" i="14" s="1"/>
  <c r="AL127" i="14"/>
  <c r="AD212" i="18"/>
  <c r="AN213" i="14" s="1"/>
  <c r="AL213" i="14"/>
  <c r="AD110" i="18"/>
  <c r="AN111" i="14" s="1"/>
  <c r="AL111" i="14"/>
  <c r="AD97" i="18"/>
  <c r="AN98" i="14" s="1"/>
  <c r="AL98" i="14"/>
  <c r="AD135" i="18"/>
  <c r="AN136" i="14" s="1"/>
  <c r="AL136" i="14"/>
  <c r="AD213" i="18"/>
  <c r="AN214" i="14" s="1"/>
  <c r="AL214" i="14"/>
  <c r="AD77" i="18"/>
  <c r="AN78" i="14" s="1"/>
  <c r="AL78" i="14"/>
  <c r="AD124" i="18"/>
  <c r="AN125" i="14" s="1"/>
  <c r="AL125" i="14"/>
  <c r="AD197" i="18"/>
  <c r="AN198" i="14" s="1"/>
  <c r="AL198" i="14"/>
  <c r="AD195" i="18"/>
  <c r="AN196" i="14" s="1"/>
  <c r="AL196" i="14"/>
  <c r="AD147" i="18"/>
  <c r="AN148" i="14" s="1"/>
  <c r="AL148" i="14"/>
  <c r="AD192" i="18"/>
  <c r="AN193" i="14" s="1"/>
  <c r="AL193" i="14"/>
  <c r="AD86" i="18"/>
  <c r="AN87" i="14" s="1"/>
  <c r="AL87" i="14"/>
  <c r="AD241" i="18"/>
  <c r="AN242" i="14" s="1"/>
  <c r="AL242" i="14"/>
  <c r="AD85" i="18"/>
  <c r="AN86" i="14" s="1"/>
  <c r="AL86" i="14"/>
  <c r="AD107" i="18"/>
  <c r="AN108" i="14" s="1"/>
  <c r="AL108" i="14"/>
  <c r="AD104" i="18"/>
  <c r="AN105" i="14" s="1"/>
  <c r="AL105" i="14"/>
  <c r="AD202" i="18"/>
  <c r="AN203" i="14" s="1"/>
  <c r="AL203" i="14"/>
  <c r="AD160" i="18"/>
  <c r="AN161" i="14" s="1"/>
  <c r="AL161" i="14"/>
  <c r="AD122" i="18"/>
  <c r="AN123" i="14" s="1"/>
  <c r="AL123" i="14"/>
  <c r="AD250" i="18"/>
  <c r="AN251" i="14" s="1"/>
  <c r="AL251" i="14"/>
  <c r="AD102" i="18"/>
  <c r="AN103" i="14" s="1"/>
  <c r="AL103" i="14"/>
  <c r="AD175" i="18"/>
  <c r="AN176" i="14" s="1"/>
  <c r="AL176" i="14"/>
  <c r="AD98" i="18"/>
  <c r="AN99" i="14" s="1"/>
  <c r="AL99" i="14"/>
  <c r="AD156" i="18"/>
  <c r="AN157" i="14" s="1"/>
  <c r="AL157" i="14"/>
  <c r="AD116" i="18"/>
  <c r="AN117" i="14" s="1"/>
  <c r="AL117" i="14"/>
  <c r="AD137" i="18"/>
  <c r="AN138" i="14" s="1"/>
  <c r="AL138" i="14"/>
  <c r="AD88" i="18"/>
  <c r="AN89" i="14" s="1"/>
  <c r="AL89" i="14"/>
  <c r="AD113" i="18"/>
  <c r="AN114" i="14" s="1"/>
  <c r="AL114" i="14"/>
  <c r="AD206" i="18"/>
  <c r="AN207" i="14" s="1"/>
  <c r="AL207" i="14"/>
  <c r="AD121" i="18"/>
  <c r="AN122" i="14" s="1"/>
  <c r="AL122" i="14"/>
  <c r="AD146" i="18"/>
  <c r="AN147" i="14" s="1"/>
  <c r="AL147" i="14"/>
  <c r="AD251" i="18"/>
  <c r="AN252" i="14" s="1"/>
  <c r="AL252" i="14"/>
  <c r="AD136" i="18"/>
  <c r="AN137" i="14" s="1"/>
  <c r="AL137" i="14"/>
  <c r="AD184" i="18"/>
  <c r="AN185" i="14" s="1"/>
  <c r="AL185" i="14"/>
  <c r="AD76" i="18"/>
  <c r="AN77" i="14" s="1"/>
  <c r="AL77" i="14"/>
  <c r="AD167" i="18"/>
  <c r="AN168" i="14" s="1"/>
  <c r="AL168" i="14"/>
  <c r="AD87" i="18"/>
  <c r="AN88" i="14" s="1"/>
  <c r="AL88" i="14"/>
  <c r="AD211" i="18"/>
  <c r="AN212" i="14" s="1"/>
  <c r="AL212" i="14"/>
  <c r="AD187" i="18"/>
  <c r="AN188" i="14" s="1"/>
  <c r="AL188" i="14"/>
  <c r="AD103" i="18"/>
  <c r="AN104" i="14" s="1"/>
  <c r="AL104" i="14"/>
  <c r="AD112" i="18"/>
  <c r="AN113" i="14" s="1"/>
  <c r="AL113" i="14"/>
  <c r="AD141" i="18"/>
  <c r="AN142" i="14" s="1"/>
  <c r="AL142" i="14"/>
  <c r="AD177" i="18"/>
  <c r="AN178" i="14" s="1"/>
  <c r="AL178" i="14"/>
  <c r="AD204" i="18"/>
  <c r="AN205" i="14" s="1"/>
  <c r="AL205" i="14"/>
  <c r="AD92" i="18"/>
  <c r="AN93" i="14" s="1"/>
  <c r="AL93" i="14"/>
  <c r="AD166" i="18"/>
  <c r="AN167" i="14" s="1"/>
  <c r="AL167" i="14"/>
  <c r="AD157" i="18"/>
  <c r="AN158" i="14" s="1"/>
  <c r="AL158" i="14"/>
  <c r="AD91" i="18"/>
  <c r="AN92" i="14" s="1"/>
  <c r="AL92" i="14"/>
  <c r="AD180" i="18"/>
  <c r="AN181" i="14" s="1"/>
  <c r="AL181" i="14"/>
  <c r="AD111" i="18"/>
  <c r="AN112" i="14" s="1"/>
  <c r="AL112" i="14"/>
  <c r="AD128" i="18"/>
  <c r="AN129" i="14" s="1"/>
  <c r="AL129" i="14"/>
  <c r="AD163" i="18"/>
  <c r="AN164" i="14" s="1"/>
  <c r="AL164" i="14"/>
  <c r="AD115" i="18"/>
  <c r="AN116" i="14" s="1"/>
  <c r="AL116" i="14"/>
  <c r="AL26" i="14"/>
  <c r="AD51" i="18"/>
  <c r="AN52" i="14" s="1"/>
  <c r="AD71" i="18"/>
  <c r="AN72" i="14" s="1"/>
  <c r="AL72" i="14"/>
  <c r="AD72" i="18"/>
  <c r="AN73" i="14" s="1"/>
  <c r="AL73" i="14"/>
  <c r="AD73" i="18"/>
  <c r="AN74" i="14" s="1"/>
  <c r="AL74" i="14"/>
  <c r="AL69" i="14"/>
  <c r="AL35" i="14"/>
  <c r="AD62" i="18"/>
  <c r="AN63" i="14" s="1"/>
  <c r="AL21" i="14"/>
  <c r="AD67" i="18"/>
  <c r="AN68" i="14" s="1"/>
  <c r="AL68" i="14"/>
  <c r="AD66" i="18"/>
  <c r="AN67" i="14" s="1"/>
  <c r="AL67" i="14"/>
  <c r="AD70" i="18"/>
  <c r="AN71" i="14" s="1"/>
  <c r="AL71" i="14"/>
  <c r="AD69" i="18"/>
  <c r="AN70" i="14" s="1"/>
  <c r="AL70" i="14"/>
  <c r="AD56" i="18"/>
  <c r="AN57" i="14" s="1"/>
  <c r="AL57" i="14"/>
  <c r="AD63" i="18"/>
  <c r="AN64" i="14" s="1"/>
  <c r="AL64" i="14"/>
  <c r="AD60" i="18"/>
  <c r="AN61" i="14" s="1"/>
  <c r="AL61" i="14"/>
  <c r="AD64" i="18"/>
  <c r="AN65" i="14" s="1"/>
  <c r="AL65" i="14"/>
  <c r="AD65" i="18"/>
  <c r="AN66" i="14" s="1"/>
  <c r="AL66" i="14"/>
  <c r="AD53" i="18"/>
  <c r="AN54" i="14" s="1"/>
  <c r="AL54" i="14"/>
  <c r="AD59" i="18"/>
  <c r="AN60" i="14" s="1"/>
  <c r="AL60" i="14"/>
  <c r="AD58" i="18"/>
  <c r="AN59" i="14" s="1"/>
  <c r="AL59" i="14"/>
  <c r="AD54" i="18"/>
  <c r="AN55" i="14" s="1"/>
  <c r="AL55" i="14"/>
  <c r="AD57" i="18"/>
  <c r="AN58" i="14" s="1"/>
  <c r="AL58" i="14"/>
  <c r="AD48" i="18"/>
  <c r="AN49" i="14" s="1"/>
  <c r="AL49" i="14"/>
  <c r="AD49" i="18"/>
  <c r="AN50" i="14" s="1"/>
  <c r="AL50" i="14"/>
  <c r="AD47" i="18"/>
  <c r="AN48" i="14" s="1"/>
  <c r="AL48" i="14"/>
  <c r="AD50" i="18"/>
  <c r="AN51" i="14" s="1"/>
  <c r="AL51" i="14"/>
  <c r="AD52" i="18"/>
  <c r="AN53" i="14" s="1"/>
  <c r="AL53" i="14"/>
  <c r="AD41" i="18"/>
  <c r="AN42" i="14" s="1"/>
  <c r="AL42" i="14"/>
  <c r="AD40" i="18"/>
  <c r="AN41" i="14" s="1"/>
  <c r="AL41" i="14"/>
  <c r="AD36" i="18"/>
  <c r="AN37" i="14" s="1"/>
  <c r="AL37" i="14"/>
  <c r="AD46" i="18"/>
  <c r="AN47" i="14" s="1"/>
  <c r="AL47" i="14"/>
  <c r="AD39" i="18"/>
  <c r="AN40" i="14" s="1"/>
  <c r="AL40" i="14"/>
  <c r="AD42" i="18"/>
  <c r="AN43" i="14" s="1"/>
  <c r="AL43" i="14"/>
  <c r="AD44" i="18"/>
  <c r="AN45" i="14" s="1"/>
  <c r="AL45" i="14"/>
  <c r="AD43" i="18"/>
  <c r="AN44" i="14" s="1"/>
  <c r="AL44" i="14"/>
  <c r="AD37" i="18"/>
  <c r="AN38" i="14" s="1"/>
  <c r="AL38" i="14"/>
  <c r="AD35" i="18"/>
  <c r="AN36" i="14" s="1"/>
  <c r="AL36" i="14"/>
  <c r="AD30" i="18"/>
  <c r="AN31" i="14" s="1"/>
  <c r="AL31" i="14"/>
  <c r="AD28" i="18"/>
  <c r="AN29" i="14" s="1"/>
  <c r="AL29" i="14"/>
  <c r="AD29" i="18"/>
  <c r="AN30" i="14" s="1"/>
  <c r="AL30" i="14"/>
  <c r="AD33" i="18"/>
  <c r="AN34" i="14" s="1"/>
  <c r="AL34" i="14"/>
  <c r="AD32" i="18"/>
  <c r="AN33" i="14" s="1"/>
  <c r="AL33" i="14"/>
  <c r="AD31" i="18"/>
  <c r="AN32" i="14" s="1"/>
  <c r="AL32" i="14"/>
  <c r="AD17" i="18"/>
  <c r="AN18" i="14" s="1"/>
  <c r="AL18" i="14"/>
  <c r="AD18" i="18"/>
  <c r="AN19" i="14" s="1"/>
  <c r="AL19" i="14"/>
  <c r="AD23" i="18"/>
  <c r="AN24" i="14" s="1"/>
  <c r="AL24" i="14"/>
  <c r="AD22" i="18"/>
  <c r="AN23" i="14" s="1"/>
  <c r="AL23" i="14"/>
  <c r="AD26" i="18"/>
  <c r="AN27" i="14" s="1"/>
  <c r="AL27" i="14"/>
  <c r="AD27" i="18"/>
  <c r="AN28" i="14" s="1"/>
  <c r="AL28" i="14"/>
  <c r="AD15" i="18"/>
  <c r="AN16" i="14" s="1"/>
  <c r="AD24" i="18"/>
  <c r="AN25" i="14" s="1"/>
  <c r="AL25" i="14"/>
  <c r="AD16" i="18"/>
  <c r="AN17" i="14" s="1"/>
  <c r="AL17" i="14"/>
  <c r="AD14" i="18"/>
  <c r="AN15" i="14" s="1"/>
  <c r="AL15" i="14"/>
  <c r="AD13" i="18"/>
  <c r="AN14" i="14" s="1"/>
  <c r="AL14" i="14"/>
  <c r="AD12" i="18"/>
  <c r="AN13" i="14" s="1"/>
  <c r="AL13" i="14"/>
  <c r="AD11" i="18"/>
  <c r="AN12" i="14" s="1"/>
  <c r="AL12" i="14"/>
  <c r="U10" i="18"/>
  <c r="T7" i="25"/>
  <c r="AL56" i="14" l="1"/>
  <c r="AL75" i="14"/>
  <c r="AL62" i="14"/>
  <c r="AL144" i="14"/>
  <c r="U45" i="18"/>
  <c r="AL22" i="14"/>
  <c r="I78" i="18"/>
  <c r="U78" i="18" s="1"/>
  <c r="I159" i="18"/>
  <c r="U159" i="18" s="1"/>
  <c r="AL204" i="14"/>
  <c r="AD10" i="18"/>
  <c r="AN11" i="14" s="1"/>
  <c r="AL11" i="14"/>
  <c r="V7" i="25"/>
  <c r="A2" i="12"/>
  <c r="A5" i="12"/>
  <c r="A36" i="11"/>
  <c r="F7" i="25" s="1"/>
  <c r="AL46" i="14" l="1"/>
  <c r="AD45" i="18"/>
  <c r="AN46" i="14" s="1"/>
  <c r="AD159" i="18"/>
  <c r="AN160" i="14" s="1"/>
  <c r="AL160" i="14"/>
  <c r="AD78" i="18"/>
  <c r="AN79" i="14" s="1"/>
  <c r="AL79" i="14"/>
  <c r="F8" i="25"/>
  <c r="B7" i="25"/>
  <c r="K4" i="25" s="1"/>
  <c r="X7" i="25"/>
  <c r="S506" i="18"/>
  <c r="Q506" i="18"/>
  <c r="P506" i="18"/>
  <c r="O506" i="18"/>
  <c r="N506" i="18"/>
  <c r="BK27" i="17"/>
  <c r="F9" i="25" l="1"/>
  <c r="C7" i="25"/>
  <c r="AH7" i="25" s="1"/>
  <c r="Y7" i="25" s="1"/>
  <c r="B8" i="25"/>
  <c r="A3" i="25"/>
  <c r="AD8" i="25"/>
  <c r="AD9" i="25"/>
  <c r="AD10" i="25"/>
  <c r="AD11" i="25"/>
  <c r="AD12" i="25"/>
  <c r="AD13" i="25"/>
  <c r="AD14" i="25"/>
  <c r="AD15" i="25"/>
  <c r="AD16" i="25"/>
  <c r="AD17" i="25"/>
  <c r="AD18" i="25"/>
  <c r="AD19" i="25"/>
  <c r="AD20" i="25"/>
  <c r="AD21" i="25"/>
  <c r="AD22" i="25"/>
  <c r="AD23" i="25"/>
  <c r="AD24" i="25"/>
  <c r="AD25" i="25"/>
  <c r="AD26" i="25"/>
  <c r="AD27" i="25"/>
  <c r="AD28" i="25"/>
  <c r="AD29" i="25"/>
  <c r="AD30" i="25"/>
  <c r="AD31" i="25"/>
  <c r="AD32" i="25"/>
  <c r="AD33" i="25"/>
  <c r="AD34" i="25"/>
  <c r="AD35" i="25"/>
  <c r="AD36" i="25"/>
  <c r="AD37" i="25"/>
  <c r="AD38" i="25"/>
  <c r="AD39" i="25"/>
  <c r="AD40" i="25"/>
  <c r="AD41" i="25"/>
  <c r="AD42" i="25"/>
  <c r="AD43" i="25"/>
  <c r="AD44" i="25"/>
  <c r="AD45" i="25"/>
  <c r="AD46" i="25"/>
  <c r="AD47" i="25"/>
  <c r="AD48" i="25"/>
  <c r="AD49" i="25"/>
  <c r="AD50" i="25"/>
  <c r="AD51" i="25"/>
  <c r="AD52" i="25"/>
  <c r="AD53" i="25"/>
  <c r="AD54" i="25"/>
  <c r="AD55" i="25"/>
  <c r="AD56" i="25"/>
  <c r="AD57" i="25"/>
  <c r="AD58" i="25"/>
  <c r="AD59" i="25"/>
  <c r="AD60" i="25"/>
  <c r="AD61" i="25"/>
  <c r="AD62" i="25"/>
  <c r="AD63" i="25"/>
  <c r="AD64" i="25"/>
  <c r="AD65" i="25"/>
  <c r="AD66" i="25"/>
  <c r="AD7" i="25"/>
  <c r="C3" i="17"/>
  <c r="C133" i="17" l="1"/>
  <c r="C134" i="17"/>
  <c r="C125" i="17"/>
  <c r="C126" i="17"/>
  <c r="C130" i="17"/>
  <c r="C128" i="17"/>
  <c r="C131" i="17"/>
  <c r="C129" i="17"/>
  <c r="C132" i="17"/>
  <c r="C127" i="17"/>
  <c r="C120" i="17"/>
  <c r="C121" i="17"/>
  <c r="C122" i="17"/>
  <c r="C123" i="17"/>
  <c r="C124" i="17"/>
  <c r="F10" i="25"/>
  <c r="C52" i="17" a="1"/>
  <c r="C52" i="17" s="1"/>
  <c r="C21" i="17" a="1"/>
  <c r="C21" i="17" s="1"/>
  <c r="C45" i="17" a="1"/>
  <c r="C45" i="17" s="1"/>
  <c r="C56" i="17" a="1"/>
  <c r="C56" i="17" s="1"/>
  <c r="C50" i="17" a="1"/>
  <c r="C50" i="17" s="1"/>
  <c r="C22" i="17" a="1"/>
  <c r="C22" i="17" s="1"/>
  <c r="C51" i="17" a="1"/>
  <c r="C51" i="17" s="1"/>
  <c r="C53" i="17" a="1"/>
  <c r="C53" i="17" s="1"/>
  <c r="C24" i="17" a="1"/>
  <c r="C24" i="17" s="1"/>
  <c r="C55" i="17" a="1"/>
  <c r="C55" i="17" s="1"/>
  <c r="C54" i="17" a="1"/>
  <c r="C54" i="17" s="1"/>
  <c r="C26" i="17" a="1"/>
  <c r="C26" i="17" s="1"/>
  <c r="C31" i="17" a="1"/>
  <c r="C31" i="17" s="1"/>
  <c r="C23" i="17" a="1"/>
  <c r="C23" i="17" s="1"/>
  <c r="C49" i="17" a="1"/>
  <c r="C49" i="17" s="1"/>
  <c r="B9" i="25"/>
  <c r="C8" i="25"/>
  <c r="AH8" i="25" s="1"/>
  <c r="T8" i="25" s="1"/>
  <c r="A4" i="25"/>
  <c r="U7" i="25"/>
  <c r="K7" i="25" s="1"/>
  <c r="W7" i="25"/>
  <c r="C79" i="17"/>
  <c r="AD5" i="25"/>
  <c r="C95" i="17"/>
  <c r="D3" i="17"/>
  <c r="C61" i="17"/>
  <c r="C63" i="17"/>
  <c r="C67" i="17"/>
  <c r="C83" i="17"/>
  <c r="C99" i="17"/>
  <c r="C60" i="17"/>
  <c r="C71" i="17"/>
  <c r="C87" i="17"/>
  <c r="C75" i="17"/>
  <c r="C91" i="17"/>
  <c r="C65" i="17"/>
  <c r="C69" i="17"/>
  <c r="C73" i="17"/>
  <c r="C77" i="17"/>
  <c r="C81" i="17"/>
  <c r="C85" i="17"/>
  <c r="C89" i="17"/>
  <c r="C93" i="17"/>
  <c r="C97" i="17"/>
  <c r="C101" i="17"/>
  <c r="C105" i="17"/>
  <c r="C109" i="17"/>
  <c r="C113" i="17"/>
  <c r="C117" i="17"/>
  <c r="C135" i="17"/>
  <c r="C62" i="17"/>
  <c r="C66" i="17"/>
  <c r="C70" i="17"/>
  <c r="C74" i="17"/>
  <c r="C78" i="17"/>
  <c r="C82" i="17"/>
  <c r="C86" i="17"/>
  <c r="C90" i="17"/>
  <c r="C94" i="17"/>
  <c r="C98" i="17"/>
  <c r="C102" i="17"/>
  <c r="C106" i="17"/>
  <c r="C110" i="17"/>
  <c r="C114" i="17"/>
  <c r="C118" i="17"/>
  <c r="Q3" i="21"/>
  <c r="C3" i="4"/>
  <c r="C103" i="17"/>
  <c r="C107" i="17"/>
  <c r="C111" i="17"/>
  <c r="C115" i="17"/>
  <c r="C119" i="17"/>
  <c r="C64" i="17"/>
  <c r="C68" i="17"/>
  <c r="C72" i="17"/>
  <c r="C76" i="17"/>
  <c r="C80" i="17"/>
  <c r="C84" i="17"/>
  <c r="C88" i="17"/>
  <c r="C92" i="17"/>
  <c r="C96" i="17"/>
  <c r="C100" i="17"/>
  <c r="C104" i="17"/>
  <c r="C108" i="17"/>
  <c r="C112" i="17"/>
  <c r="C116" i="17"/>
  <c r="Q13" i="21" l="1"/>
  <c r="Q11" i="21"/>
  <c r="Q9" i="21"/>
  <c r="Q8" i="21"/>
  <c r="Q14" i="21"/>
  <c r="Q12" i="21"/>
  <c r="Q10" i="21"/>
  <c r="D131" i="17"/>
  <c r="D132" i="17"/>
  <c r="D130" i="17"/>
  <c r="D133" i="17"/>
  <c r="D126" i="17"/>
  <c r="D128" i="17"/>
  <c r="D129" i="17"/>
  <c r="D124" i="17"/>
  <c r="D121" i="17"/>
  <c r="D123" i="17"/>
  <c r="D120" i="17"/>
  <c r="D134" i="17"/>
  <c r="D122" i="17"/>
  <c r="D125" i="17"/>
  <c r="D127" i="17"/>
  <c r="D94" i="17"/>
  <c r="Q4" i="21"/>
  <c r="Q7" i="21"/>
  <c r="Q5" i="21"/>
  <c r="Q6" i="21"/>
  <c r="D115" i="17"/>
  <c r="D119" i="17"/>
  <c r="D95" i="17"/>
  <c r="F11" i="25"/>
  <c r="D62" i="17"/>
  <c r="D78" i="17"/>
  <c r="D65" i="17"/>
  <c r="D79" i="17"/>
  <c r="D24" i="17" a="1"/>
  <c r="D24" i="17" s="1"/>
  <c r="D22" i="17" a="1"/>
  <c r="D22" i="17" s="1"/>
  <c r="D31" i="17" a="1"/>
  <c r="D31" i="17" s="1"/>
  <c r="D50" i="17" a="1"/>
  <c r="D50" i="17" s="1"/>
  <c r="D26" i="17" a="1"/>
  <c r="D26" i="17" s="1"/>
  <c r="D53" i="17" a="1"/>
  <c r="D53" i="17" s="1"/>
  <c r="D21" i="17" a="1"/>
  <c r="D21" i="17" s="1"/>
  <c r="D55" i="17" a="1"/>
  <c r="D55" i="17" s="1"/>
  <c r="D51" i="17" a="1"/>
  <c r="D51" i="17" s="1"/>
  <c r="D52" i="17" a="1"/>
  <c r="D52" i="17" s="1"/>
  <c r="D56" i="17" a="1"/>
  <c r="D56" i="17" s="1"/>
  <c r="D23" i="17" a="1"/>
  <c r="D23" i="17" s="1"/>
  <c r="D54" i="17" a="1"/>
  <c r="D54" i="17" s="1"/>
  <c r="D49" i="17" a="1"/>
  <c r="D49" i="17" s="1"/>
  <c r="D45" i="17" a="1"/>
  <c r="D45" i="17" s="1"/>
  <c r="Z7" i="25"/>
  <c r="V8" i="25"/>
  <c r="Y8" i="25"/>
  <c r="B10" i="25"/>
  <c r="C9" i="25"/>
  <c r="AH9" i="25" s="1"/>
  <c r="T9" i="25" s="1"/>
  <c r="D70" i="17"/>
  <c r="D102" i="17"/>
  <c r="D86" i="17"/>
  <c r="D66" i="17"/>
  <c r="D71" i="17"/>
  <c r="D87" i="17"/>
  <c r="D103" i="17"/>
  <c r="D74" i="17"/>
  <c r="D82" i="17"/>
  <c r="D90" i="17"/>
  <c r="D98" i="17"/>
  <c r="D107" i="17"/>
  <c r="D61" i="17"/>
  <c r="D75" i="17"/>
  <c r="D83" i="17"/>
  <c r="D91" i="17"/>
  <c r="D99" i="17"/>
  <c r="D111" i="17"/>
  <c r="D64" i="17"/>
  <c r="D72" i="17"/>
  <c r="D80" i="17"/>
  <c r="D88" i="17"/>
  <c r="D96" i="17"/>
  <c r="D104" i="17"/>
  <c r="D112" i="17"/>
  <c r="D68" i="17"/>
  <c r="D76" i="17"/>
  <c r="D84" i="17"/>
  <c r="D92" i="17"/>
  <c r="D100" i="17"/>
  <c r="D108" i="17"/>
  <c r="D116" i="17"/>
  <c r="D67" i="17"/>
  <c r="D63" i="17"/>
  <c r="D69" i="17"/>
  <c r="D73" i="17"/>
  <c r="D77" i="17"/>
  <c r="D81" i="17"/>
  <c r="D85" i="17"/>
  <c r="D89" i="17"/>
  <c r="D93" i="17"/>
  <c r="D97" i="17"/>
  <c r="D101" i="17"/>
  <c r="D105" i="17"/>
  <c r="D109" i="17"/>
  <c r="D113" i="17"/>
  <c r="D117" i="17"/>
  <c r="D135" i="17"/>
  <c r="D3" i="4"/>
  <c r="D106" i="17"/>
  <c r="D110" i="17"/>
  <c r="D114" i="17"/>
  <c r="D118" i="17"/>
  <c r="D60" i="17"/>
  <c r="E3" i="17"/>
  <c r="R3" i="21"/>
  <c r="R13" i="21" l="1"/>
  <c r="R11" i="21"/>
  <c r="R9" i="21"/>
  <c r="R8" i="21"/>
  <c r="R14" i="21"/>
  <c r="R12" i="21"/>
  <c r="R10" i="21"/>
  <c r="E132" i="17"/>
  <c r="E128" i="17"/>
  <c r="E133" i="17"/>
  <c r="E129" i="17"/>
  <c r="E134" i="17"/>
  <c r="E130" i="17"/>
  <c r="E125" i="17"/>
  <c r="E126" i="17"/>
  <c r="E131" i="17"/>
  <c r="E127" i="17"/>
  <c r="E121" i="17"/>
  <c r="E124" i="17"/>
  <c r="E120" i="17"/>
  <c r="E122" i="17"/>
  <c r="E123" i="17"/>
  <c r="R4" i="21"/>
  <c r="R5" i="21"/>
  <c r="R7" i="21"/>
  <c r="R6" i="21"/>
  <c r="F12" i="25"/>
  <c r="E21" i="17" a="1"/>
  <c r="E21" i="17" s="1"/>
  <c r="E24" i="17" a="1"/>
  <c r="E24" i="17" s="1"/>
  <c r="E51" i="17" a="1"/>
  <c r="E51" i="17" s="1"/>
  <c r="E23" i="17" a="1"/>
  <c r="E23" i="17" s="1"/>
  <c r="E45" i="17" a="1"/>
  <c r="E45" i="17" s="1"/>
  <c r="E55" i="17" a="1"/>
  <c r="E55" i="17" s="1"/>
  <c r="E26" i="17" a="1"/>
  <c r="E26" i="17" s="1"/>
  <c r="E31" i="17" a="1"/>
  <c r="E31" i="17" s="1"/>
  <c r="E54" i="17" a="1"/>
  <c r="E54" i="17" s="1"/>
  <c r="E49" i="17" a="1"/>
  <c r="E49" i="17" s="1"/>
  <c r="E52" i="17" a="1"/>
  <c r="E52" i="17" s="1"/>
  <c r="E56" i="17" a="1"/>
  <c r="E56" i="17" s="1"/>
  <c r="E22" i="17" a="1"/>
  <c r="E22" i="17" s="1"/>
  <c r="E50" i="17" a="1"/>
  <c r="E50" i="17" s="1"/>
  <c r="E53" i="17" a="1"/>
  <c r="E53" i="17" s="1"/>
  <c r="X8" i="25"/>
  <c r="V9" i="25"/>
  <c r="Y9" i="25"/>
  <c r="B11" i="25"/>
  <c r="C10" i="25"/>
  <c r="AH10" i="25" s="1"/>
  <c r="T10" i="25" s="1"/>
  <c r="E3" i="4"/>
  <c r="E64" i="17"/>
  <c r="E84" i="17"/>
  <c r="E63" i="17"/>
  <c r="E67" i="17"/>
  <c r="E71" i="17"/>
  <c r="E75" i="17"/>
  <c r="E79" i="17"/>
  <c r="E83" i="17"/>
  <c r="E87" i="17"/>
  <c r="E91" i="17"/>
  <c r="E95" i="17"/>
  <c r="E99" i="17"/>
  <c r="E103" i="17"/>
  <c r="E107" i="17"/>
  <c r="E111" i="17"/>
  <c r="E116" i="17"/>
  <c r="E60" i="17"/>
  <c r="E72" i="17"/>
  <c r="E80" i="17"/>
  <c r="E92" i="17"/>
  <c r="E100" i="17"/>
  <c r="E108" i="17"/>
  <c r="E118" i="17"/>
  <c r="E61" i="17"/>
  <c r="E65" i="17"/>
  <c r="E69" i="17"/>
  <c r="E73" i="17"/>
  <c r="E77" i="17"/>
  <c r="E81" i="17"/>
  <c r="E85" i="17"/>
  <c r="E89" i="17"/>
  <c r="E93" i="17"/>
  <c r="E97" i="17"/>
  <c r="E101" i="17"/>
  <c r="E105" i="17"/>
  <c r="E109" i="17"/>
  <c r="E113" i="17"/>
  <c r="E68" i="17"/>
  <c r="E76" i="17"/>
  <c r="E88" i="17"/>
  <c r="E96" i="17"/>
  <c r="E104" i="17"/>
  <c r="E112" i="17"/>
  <c r="E62" i="17"/>
  <c r="E66" i="17"/>
  <c r="E70" i="17"/>
  <c r="E74" i="17"/>
  <c r="E78" i="17"/>
  <c r="E82" i="17"/>
  <c r="E86" i="17"/>
  <c r="E90" i="17"/>
  <c r="E94" i="17"/>
  <c r="E98" i="17"/>
  <c r="E102" i="17"/>
  <c r="E106" i="17"/>
  <c r="E110" i="17"/>
  <c r="E114" i="17"/>
  <c r="E135" i="17"/>
  <c r="E117" i="17"/>
  <c r="E115" i="17"/>
  <c r="E119" i="17"/>
  <c r="F3" i="17"/>
  <c r="S3" i="21"/>
  <c r="E3" i="21"/>
  <c r="S13" i="21" l="1"/>
  <c r="S11" i="21"/>
  <c r="S9" i="21"/>
  <c r="S14" i="21"/>
  <c r="S12" i="21"/>
  <c r="S10" i="21"/>
  <c r="S8" i="21"/>
  <c r="F125" i="17"/>
  <c r="F130" i="17"/>
  <c r="F126" i="17"/>
  <c r="F131" i="17"/>
  <c r="F127" i="17"/>
  <c r="F133" i="17"/>
  <c r="F129" i="17"/>
  <c r="F134" i="17"/>
  <c r="F128" i="17"/>
  <c r="F121" i="17"/>
  <c r="F122" i="17"/>
  <c r="F120" i="17"/>
  <c r="F123" i="17"/>
  <c r="F132" i="17"/>
  <c r="F124" i="17"/>
  <c r="F119" i="17"/>
  <c r="S4" i="21"/>
  <c r="S7" i="21"/>
  <c r="S5" i="21"/>
  <c r="S6" i="21"/>
  <c r="F60" i="17"/>
  <c r="F21" i="17" a="1"/>
  <c r="F21" i="17" s="1"/>
  <c r="F26" i="17" a="1"/>
  <c r="F26" i="17" s="1"/>
  <c r="F24" i="17" a="1"/>
  <c r="F24" i="17" s="1"/>
  <c r="F22" i="17" a="1"/>
  <c r="F22" i="17" s="1"/>
  <c r="F50" i="17" a="1"/>
  <c r="F50" i="17" s="1"/>
  <c r="F52" i="17" a="1"/>
  <c r="F52" i="17" s="1"/>
  <c r="F55" i="17" a="1"/>
  <c r="F55" i="17" s="1"/>
  <c r="F45" i="17" a="1"/>
  <c r="F45" i="17" s="1"/>
  <c r="F51" i="17" a="1"/>
  <c r="F51" i="17" s="1"/>
  <c r="F49" i="17" a="1"/>
  <c r="F49" i="17" s="1"/>
  <c r="F23" i="17" a="1"/>
  <c r="F23" i="17" s="1"/>
  <c r="F54" i="17" a="1"/>
  <c r="F54" i="17" s="1"/>
  <c r="F56" i="17" a="1"/>
  <c r="F56" i="17" s="1"/>
  <c r="F31" i="17" a="1"/>
  <c r="F31" i="17" s="1"/>
  <c r="F53" i="17" a="1"/>
  <c r="F53" i="17" s="1"/>
  <c r="F63" i="17"/>
  <c r="F71" i="17"/>
  <c r="F75" i="17"/>
  <c r="F64" i="17"/>
  <c r="F79" i="17"/>
  <c r="F103" i="17"/>
  <c r="V10" i="25"/>
  <c r="Y10" i="25"/>
  <c r="X9" i="25"/>
  <c r="B12" i="25"/>
  <c r="C11" i="25"/>
  <c r="AH11" i="25" s="1"/>
  <c r="T11" i="25" s="1"/>
  <c r="F95" i="17"/>
  <c r="F67" i="17"/>
  <c r="F87" i="17"/>
  <c r="F118" i="17"/>
  <c r="F111" i="17"/>
  <c r="F82" i="17"/>
  <c r="F98" i="17"/>
  <c r="F68" i="17"/>
  <c r="F76" i="17"/>
  <c r="F90" i="17"/>
  <c r="F106" i="17"/>
  <c r="F114" i="17"/>
  <c r="F61" i="17"/>
  <c r="F69" i="17"/>
  <c r="F77" i="17"/>
  <c r="F91" i="17"/>
  <c r="F107" i="17"/>
  <c r="F115" i="17"/>
  <c r="T3" i="21"/>
  <c r="F72" i="17"/>
  <c r="F65" i="17"/>
  <c r="F73" i="17"/>
  <c r="F83" i="17"/>
  <c r="F99" i="17"/>
  <c r="F62" i="17"/>
  <c r="F66" i="17"/>
  <c r="F70" i="17"/>
  <c r="F74" i="17"/>
  <c r="F78" i="17"/>
  <c r="F86" i="17"/>
  <c r="F94" i="17"/>
  <c r="F102" i="17"/>
  <c r="F110" i="17"/>
  <c r="G3" i="17"/>
  <c r="G3" i="4" s="1"/>
  <c r="F80" i="17"/>
  <c r="F84" i="17"/>
  <c r="F88" i="17"/>
  <c r="F92" i="17"/>
  <c r="F96" i="17"/>
  <c r="F100" i="17"/>
  <c r="F104" i="17"/>
  <c r="F108" i="17"/>
  <c r="F112" i="17"/>
  <c r="F116" i="17"/>
  <c r="F3" i="4"/>
  <c r="F81" i="17"/>
  <c r="F85" i="17"/>
  <c r="F89" i="17"/>
  <c r="F93" i="17"/>
  <c r="F97" i="17"/>
  <c r="F101" i="17"/>
  <c r="F105" i="17"/>
  <c r="F109" i="17"/>
  <c r="F113" i="17"/>
  <c r="F117" i="17"/>
  <c r="F135" i="17"/>
  <c r="F3" i="21"/>
  <c r="K3" i="21"/>
  <c r="AG523" i="14"/>
  <c r="T14" i="21" l="1"/>
  <c r="T12" i="21"/>
  <c r="T10" i="21"/>
  <c r="T8" i="21"/>
  <c r="T11" i="21"/>
  <c r="T13" i="21"/>
  <c r="T9" i="21"/>
  <c r="G134" i="17"/>
  <c r="G125" i="17"/>
  <c r="G126" i="17"/>
  <c r="G127" i="17"/>
  <c r="G131" i="17"/>
  <c r="G129" i="17"/>
  <c r="G132" i="17"/>
  <c r="G133" i="17"/>
  <c r="G120" i="17"/>
  <c r="G123" i="17"/>
  <c r="G121" i="17"/>
  <c r="G130" i="17"/>
  <c r="G122" i="17"/>
  <c r="G124" i="17"/>
  <c r="G128" i="17"/>
  <c r="G100" i="17"/>
  <c r="T4" i="21"/>
  <c r="T6" i="21"/>
  <c r="T5" i="21"/>
  <c r="T7" i="21"/>
  <c r="X10" i="25"/>
  <c r="G92" i="17"/>
  <c r="G68" i="17"/>
  <c r="G69" i="17"/>
  <c r="G23" i="17" a="1"/>
  <c r="G23" i="17" s="1"/>
  <c r="G21" i="17" a="1"/>
  <c r="G21" i="17" s="1"/>
  <c r="G26" i="17" a="1"/>
  <c r="G26" i="17" s="1"/>
  <c r="G49" i="17" a="1"/>
  <c r="G49" i="17" s="1"/>
  <c r="G24" i="17" a="1"/>
  <c r="G24" i="17" s="1"/>
  <c r="G50" i="17" a="1"/>
  <c r="G50" i="17" s="1"/>
  <c r="G52" i="17" a="1"/>
  <c r="G52" i="17" s="1"/>
  <c r="G22" i="17" a="1"/>
  <c r="G22" i="17" s="1"/>
  <c r="G51" i="17" a="1"/>
  <c r="G51" i="17" s="1"/>
  <c r="G56" i="17" a="1"/>
  <c r="G56" i="17" s="1"/>
  <c r="G53" i="17" a="1"/>
  <c r="G53" i="17" s="1"/>
  <c r="G45" i="17" a="1"/>
  <c r="G45" i="17" s="1"/>
  <c r="G31" i="17" a="1"/>
  <c r="G31" i="17" s="1"/>
  <c r="G54" i="17" a="1"/>
  <c r="G54" i="17" s="1"/>
  <c r="G55" i="17" a="1"/>
  <c r="G55" i="17" s="1"/>
  <c r="G64" i="17"/>
  <c r="G73" i="17"/>
  <c r="G105" i="17"/>
  <c r="G77" i="17"/>
  <c r="G109" i="17"/>
  <c r="G96" i="17"/>
  <c r="G91" i="17"/>
  <c r="G84" i="17"/>
  <c r="G118" i="17"/>
  <c r="G113" i="17"/>
  <c r="G88" i="17"/>
  <c r="G135" i="17"/>
  <c r="V11" i="25"/>
  <c r="B13" i="25"/>
  <c r="C12" i="25"/>
  <c r="AH12" i="25" s="1"/>
  <c r="U3" i="21"/>
  <c r="G61" i="17"/>
  <c r="G65" i="17"/>
  <c r="G70" i="17"/>
  <c r="G74" i="17"/>
  <c r="G78" i="17"/>
  <c r="G81" i="17"/>
  <c r="G85" i="17"/>
  <c r="G89" i="17"/>
  <c r="G93" i="17"/>
  <c r="G97" i="17"/>
  <c r="G102" i="17"/>
  <c r="G106" i="17"/>
  <c r="G110" i="17"/>
  <c r="G114" i="17"/>
  <c r="G117" i="17"/>
  <c r="G62" i="17"/>
  <c r="G66" i="17"/>
  <c r="G71" i="17"/>
  <c r="G75" i="17"/>
  <c r="G80" i="17"/>
  <c r="G82" i="17"/>
  <c r="G86" i="17"/>
  <c r="G90" i="17"/>
  <c r="G94" i="17"/>
  <c r="G98" i="17"/>
  <c r="G103" i="17"/>
  <c r="G107" i="17"/>
  <c r="G111" i="17"/>
  <c r="G115" i="17"/>
  <c r="G119" i="17"/>
  <c r="G60" i="17"/>
  <c r="G63" i="17"/>
  <c r="G67" i="17"/>
  <c r="G72" i="17"/>
  <c r="G76" i="17"/>
  <c r="G79" i="17"/>
  <c r="G83" i="17"/>
  <c r="G87" i="17"/>
  <c r="G101" i="17"/>
  <c r="G95" i="17"/>
  <c r="G99" i="17"/>
  <c r="G104" i="17"/>
  <c r="G108" i="17"/>
  <c r="G112" i="17"/>
  <c r="G116" i="17"/>
  <c r="H3" i="17"/>
  <c r="G3" i="21"/>
  <c r="L3" i="21"/>
  <c r="U14" i="21" l="1"/>
  <c r="U12" i="21"/>
  <c r="U10" i="21"/>
  <c r="U8" i="21"/>
  <c r="U13" i="21"/>
  <c r="U11" i="21"/>
  <c r="U9" i="21"/>
  <c r="H131" i="17"/>
  <c r="H132" i="17"/>
  <c r="H130" i="17"/>
  <c r="H133" i="17"/>
  <c r="H126" i="17"/>
  <c r="H134" i="17"/>
  <c r="H127" i="17"/>
  <c r="H129" i="17"/>
  <c r="H123" i="17"/>
  <c r="H125" i="17"/>
  <c r="H124" i="17"/>
  <c r="H122" i="17"/>
  <c r="H128" i="17"/>
  <c r="H121" i="17"/>
  <c r="H120" i="17"/>
  <c r="U4" i="21"/>
  <c r="U6" i="21"/>
  <c r="U7" i="21"/>
  <c r="U5" i="21"/>
  <c r="X11" i="25"/>
  <c r="H88" i="17"/>
  <c r="H23" i="17" a="1"/>
  <c r="H23" i="17" s="1"/>
  <c r="H45" i="17" a="1"/>
  <c r="H45" i="17" s="1"/>
  <c r="H50" i="17" a="1"/>
  <c r="H50" i="17" s="1"/>
  <c r="H24" i="17" a="1"/>
  <c r="H24" i="17" s="1"/>
  <c r="H22" i="17" a="1"/>
  <c r="H22" i="17" s="1"/>
  <c r="H31" i="17" a="1"/>
  <c r="H31" i="17" s="1"/>
  <c r="H54" i="17" a="1"/>
  <c r="H54" i="17" s="1"/>
  <c r="H49" i="17" a="1"/>
  <c r="H49" i="17" s="1"/>
  <c r="H53" i="17" a="1"/>
  <c r="H53" i="17" s="1"/>
  <c r="H21" i="17" a="1"/>
  <c r="H21" i="17" s="1"/>
  <c r="H26" i="17" a="1"/>
  <c r="H26" i="17" s="1"/>
  <c r="H55" i="17" a="1"/>
  <c r="H55" i="17" s="1"/>
  <c r="H51" i="17" a="1"/>
  <c r="H51" i="17" s="1"/>
  <c r="H52" i="17" a="1"/>
  <c r="H52" i="17" s="1"/>
  <c r="H56" i="17" a="1"/>
  <c r="H56" i="17" s="1"/>
  <c r="H109" i="17"/>
  <c r="T12" i="25"/>
  <c r="V12" i="25" s="1"/>
  <c r="H60" i="17"/>
  <c r="B14" i="25"/>
  <c r="C13" i="25"/>
  <c r="AH13" i="25" s="1"/>
  <c r="H72" i="17"/>
  <c r="H76" i="17"/>
  <c r="H92" i="17"/>
  <c r="H118" i="17"/>
  <c r="H64" i="17"/>
  <c r="H96" i="17"/>
  <c r="H80" i="17"/>
  <c r="H68" i="17"/>
  <c r="H84" i="17"/>
  <c r="H101" i="17"/>
  <c r="H65" i="17"/>
  <c r="H77" i="17"/>
  <c r="H81" i="17"/>
  <c r="H85" i="17"/>
  <c r="H89" i="17"/>
  <c r="H93" i="17"/>
  <c r="H97" i="17"/>
  <c r="H102" i="17"/>
  <c r="H110" i="17"/>
  <c r="V3" i="21"/>
  <c r="H69" i="17"/>
  <c r="H62" i="17"/>
  <c r="H70" i="17"/>
  <c r="H74" i="17"/>
  <c r="H78" i="17"/>
  <c r="H86" i="17"/>
  <c r="H94" i="17"/>
  <c r="H105" i="17"/>
  <c r="H113" i="17"/>
  <c r="H61" i="17"/>
  <c r="H73" i="17"/>
  <c r="H66" i="17"/>
  <c r="H82" i="17"/>
  <c r="H90" i="17"/>
  <c r="H98" i="17"/>
  <c r="H63" i="17"/>
  <c r="H67" i="17"/>
  <c r="H71" i="17"/>
  <c r="H75" i="17"/>
  <c r="H79" i="17"/>
  <c r="H83" i="17"/>
  <c r="H87" i="17"/>
  <c r="H91" i="17"/>
  <c r="H95" i="17"/>
  <c r="H99" i="17"/>
  <c r="H106" i="17"/>
  <c r="H114" i="17"/>
  <c r="H103" i="17"/>
  <c r="H107" i="17"/>
  <c r="H111" i="17"/>
  <c r="H115" i="17"/>
  <c r="H135" i="17"/>
  <c r="H100" i="17"/>
  <c r="H104" i="17"/>
  <c r="H108" i="17"/>
  <c r="H112" i="17"/>
  <c r="H116" i="17"/>
  <c r="H117" i="17"/>
  <c r="H3" i="4"/>
  <c r="H119" i="17"/>
  <c r="I3" i="17"/>
  <c r="H3" i="21"/>
  <c r="M3" i="21"/>
  <c r="V14" i="21" l="1"/>
  <c r="V12" i="21"/>
  <c r="V10" i="21"/>
  <c r="V8" i="21"/>
  <c r="V13" i="21"/>
  <c r="V11" i="21"/>
  <c r="V9" i="21"/>
  <c r="I133" i="17"/>
  <c r="I129" i="17"/>
  <c r="I134" i="17"/>
  <c r="I130" i="17"/>
  <c r="I126" i="17"/>
  <c r="I131" i="17"/>
  <c r="I127" i="17"/>
  <c r="I132" i="17"/>
  <c r="I128" i="17"/>
  <c r="I125" i="17"/>
  <c r="I120" i="17"/>
  <c r="I122" i="17"/>
  <c r="I121" i="17"/>
  <c r="I123" i="17"/>
  <c r="I124" i="17"/>
  <c r="V4" i="21"/>
  <c r="V6" i="21"/>
  <c r="V7" i="21"/>
  <c r="V5" i="21"/>
  <c r="X12" i="25"/>
  <c r="I118" i="17"/>
  <c r="I23" i="17" a="1"/>
  <c r="I23" i="17" s="1"/>
  <c r="I45" i="17" a="1"/>
  <c r="I45" i="17" s="1"/>
  <c r="I21" i="17" a="1"/>
  <c r="I21" i="17" s="1"/>
  <c r="I51" i="17" a="1"/>
  <c r="I51" i="17" s="1"/>
  <c r="I31" i="17" a="1"/>
  <c r="I31" i="17" s="1"/>
  <c r="I54" i="17" a="1"/>
  <c r="I54" i="17" s="1"/>
  <c r="I56" i="17" a="1"/>
  <c r="I56" i="17" s="1"/>
  <c r="I53" i="17" a="1"/>
  <c r="I53" i="17" s="1"/>
  <c r="I24" i="17" a="1"/>
  <c r="I24" i="17" s="1"/>
  <c r="I26" i="17" a="1"/>
  <c r="I26" i="17" s="1"/>
  <c r="I55" i="17" a="1"/>
  <c r="I55" i="17" s="1"/>
  <c r="I49" i="17" a="1"/>
  <c r="I49" i="17" s="1"/>
  <c r="I52" i="17" a="1"/>
  <c r="I52" i="17" s="1"/>
  <c r="I22" i="17" a="1"/>
  <c r="I22" i="17" s="1"/>
  <c r="I50" i="17" a="1"/>
  <c r="I50" i="17" s="1"/>
  <c r="T13" i="25"/>
  <c r="V13" i="25" s="1"/>
  <c r="I94" i="17"/>
  <c r="I62" i="17"/>
  <c r="I67" i="17"/>
  <c r="I83" i="17"/>
  <c r="B15" i="25"/>
  <c r="C14" i="25"/>
  <c r="AH14" i="25" s="1"/>
  <c r="T14" i="25" s="1"/>
  <c r="I73" i="17"/>
  <c r="I89" i="17"/>
  <c r="I78" i="17"/>
  <c r="I102" i="17"/>
  <c r="I70" i="17"/>
  <c r="I81" i="17"/>
  <c r="I63" i="17"/>
  <c r="I69" i="17"/>
  <c r="I74" i="17"/>
  <c r="I79" i="17"/>
  <c r="I85" i="17"/>
  <c r="I90" i="17"/>
  <c r="I95" i="17"/>
  <c r="I104" i="17"/>
  <c r="I65" i="17"/>
  <c r="I75" i="17"/>
  <c r="I86" i="17"/>
  <c r="I91" i="17"/>
  <c r="I97" i="17"/>
  <c r="I108" i="17"/>
  <c r="I61" i="17"/>
  <c r="I66" i="17"/>
  <c r="I71" i="17"/>
  <c r="I77" i="17"/>
  <c r="I82" i="17"/>
  <c r="I87" i="17"/>
  <c r="I93" i="17"/>
  <c r="I98" i="17"/>
  <c r="I109" i="17"/>
  <c r="I100" i="17"/>
  <c r="I112" i="17"/>
  <c r="I105" i="17"/>
  <c r="I60" i="17"/>
  <c r="I64" i="17"/>
  <c r="I68" i="17"/>
  <c r="I72" i="17"/>
  <c r="I76" i="17"/>
  <c r="I80" i="17"/>
  <c r="I84" i="17"/>
  <c r="I88" i="17"/>
  <c r="I92" i="17"/>
  <c r="I96" i="17"/>
  <c r="I101" i="17"/>
  <c r="I106" i="17"/>
  <c r="I113" i="17"/>
  <c r="I110" i="17"/>
  <c r="I116" i="17"/>
  <c r="I99" i="17"/>
  <c r="I103" i="17"/>
  <c r="I107" i="17"/>
  <c r="I111" i="17"/>
  <c r="I117" i="17"/>
  <c r="I114" i="17"/>
  <c r="I115" i="17"/>
  <c r="I119" i="17"/>
  <c r="I3" i="4"/>
  <c r="I135" i="17"/>
  <c r="W3" i="21"/>
  <c r="J3" i="17"/>
  <c r="I3" i="21"/>
  <c r="N3" i="21"/>
  <c r="AJ523" i="14"/>
  <c r="AI523" i="14"/>
  <c r="AD523" i="14"/>
  <c r="AC523" i="14"/>
  <c r="AA523" i="14"/>
  <c r="AK26" i="4"/>
  <c r="AL26" i="4"/>
  <c r="AM26" i="4"/>
  <c r="AN26" i="4"/>
  <c r="AO26" i="4"/>
  <c r="AP26" i="4"/>
  <c r="AQ26" i="4"/>
  <c r="AR26" i="4"/>
  <c r="AS26" i="4"/>
  <c r="AT26" i="4"/>
  <c r="AU26" i="4"/>
  <c r="AV26" i="4"/>
  <c r="AW26" i="4"/>
  <c r="AX26" i="4"/>
  <c r="AY26" i="4"/>
  <c r="AZ26" i="4"/>
  <c r="BA26" i="4"/>
  <c r="BB26" i="4"/>
  <c r="BC26" i="4"/>
  <c r="BD26" i="4"/>
  <c r="BE26" i="4"/>
  <c r="BF26" i="4"/>
  <c r="BG26" i="4"/>
  <c r="BH26" i="4"/>
  <c r="BI26" i="4"/>
  <c r="BJ26" i="4"/>
  <c r="W14" i="21" l="1"/>
  <c r="W12" i="21"/>
  <c r="W10" i="21"/>
  <c r="W13" i="21"/>
  <c r="W11" i="21"/>
  <c r="W9" i="21"/>
  <c r="W8" i="21"/>
  <c r="J125" i="17"/>
  <c r="J130" i="17"/>
  <c r="J126" i="17"/>
  <c r="J131" i="17"/>
  <c r="J127" i="17"/>
  <c r="J132" i="17"/>
  <c r="J128" i="17"/>
  <c r="J134" i="17"/>
  <c r="J122" i="17"/>
  <c r="J123" i="17"/>
  <c r="J133" i="17"/>
  <c r="J124" i="17"/>
  <c r="J121" i="17"/>
  <c r="J129" i="17"/>
  <c r="J120" i="17"/>
  <c r="W4" i="21"/>
  <c r="W6" i="21"/>
  <c r="W7" i="21"/>
  <c r="W5" i="21"/>
  <c r="X13" i="25"/>
  <c r="J60" i="17"/>
  <c r="J22" i="17" a="1"/>
  <c r="J22" i="17" s="1"/>
  <c r="J24" i="17" a="1"/>
  <c r="J24" i="17" s="1"/>
  <c r="J21" i="17" a="1"/>
  <c r="J21" i="17" s="1"/>
  <c r="J56" i="17" a="1"/>
  <c r="J56" i="17" s="1"/>
  <c r="J31" i="17" a="1"/>
  <c r="J31" i="17" s="1"/>
  <c r="J45" i="17" a="1"/>
  <c r="J45" i="17" s="1"/>
  <c r="J55" i="17" a="1"/>
  <c r="J55" i="17" s="1"/>
  <c r="J50" i="17" a="1"/>
  <c r="J50" i="17" s="1"/>
  <c r="J53" i="17" a="1"/>
  <c r="J53" i="17" s="1"/>
  <c r="J52" i="17" a="1"/>
  <c r="J52" i="17" s="1"/>
  <c r="J54" i="17" a="1"/>
  <c r="J54" i="17" s="1"/>
  <c r="J26" i="17" a="1"/>
  <c r="J26" i="17" s="1"/>
  <c r="J51" i="17" a="1"/>
  <c r="J51" i="17" s="1"/>
  <c r="J23" i="17" a="1"/>
  <c r="J23" i="17" s="1"/>
  <c r="J49" i="17" a="1"/>
  <c r="J49" i="17" s="1"/>
  <c r="J68" i="17"/>
  <c r="B16" i="25"/>
  <c r="C15" i="25"/>
  <c r="AH15" i="25" s="1"/>
  <c r="V14" i="25"/>
  <c r="J101" i="17"/>
  <c r="J78" i="17"/>
  <c r="J61" i="17"/>
  <c r="J94" i="17"/>
  <c r="J64" i="17"/>
  <c r="J63" i="17"/>
  <c r="J67" i="17"/>
  <c r="J74" i="17"/>
  <c r="J90" i="17"/>
  <c r="J65" i="17"/>
  <c r="J70" i="17"/>
  <c r="J82" i="17"/>
  <c r="J106" i="17"/>
  <c r="J62" i="17"/>
  <c r="J66" i="17"/>
  <c r="J71" i="17"/>
  <c r="J86" i="17"/>
  <c r="J69" i="17"/>
  <c r="J73" i="17"/>
  <c r="J77" i="17"/>
  <c r="J81" i="17"/>
  <c r="J85" i="17"/>
  <c r="J89" i="17"/>
  <c r="J93" i="17"/>
  <c r="X3" i="21"/>
  <c r="J75" i="17"/>
  <c r="J79" i="17"/>
  <c r="J83" i="17"/>
  <c r="J87" i="17"/>
  <c r="J91" i="17"/>
  <c r="J96" i="17"/>
  <c r="J115" i="17"/>
  <c r="J72" i="17"/>
  <c r="J76" i="17"/>
  <c r="J80" i="17"/>
  <c r="J84" i="17"/>
  <c r="J88" i="17"/>
  <c r="J92" i="17"/>
  <c r="J97" i="17"/>
  <c r="J98" i="17"/>
  <c r="J102" i="17"/>
  <c r="J107" i="17"/>
  <c r="J119" i="17"/>
  <c r="J95" i="17"/>
  <c r="J99" i="17"/>
  <c r="J103" i="17"/>
  <c r="J109" i="17"/>
  <c r="J100" i="17"/>
  <c r="J105" i="17"/>
  <c r="J111" i="17"/>
  <c r="J104" i="17"/>
  <c r="J108" i="17"/>
  <c r="J112" i="17"/>
  <c r="J116" i="17"/>
  <c r="J113" i="17"/>
  <c r="J117" i="17"/>
  <c r="J135" i="17"/>
  <c r="J110" i="17"/>
  <c r="J114" i="17"/>
  <c r="J118" i="17"/>
  <c r="K3" i="17"/>
  <c r="J3" i="4"/>
  <c r="O3" i="21"/>
  <c r="X13" i="21" l="1"/>
  <c r="X11" i="21"/>
  <c r="X9" i="21"/>
  <c r="X12" i="21"/>
  <c r="X8" i="21"/>
  <c r="X14" i="21"/>
  <c r="X10" i="21"/>
  <c r="K125" i="17"/>
  <c r="K126" i="17"/>
  <c r="K127" i="17"/>
  <c r="K130" i="17"/>
  <c r="K128" i="17"/>
  <c r="K132" i="17"/>
  <c r="K133" i="17"/>
  <c r="K134" i="17"/>
  <c r="K120" i="17"/>
  <c r="K129" i="17"/>
  <c r="K131" i="17"/>
  <c r="K121" i="17"/>
  <c r="K122" i="17"/>
  <c r="K123" i="17"/>
  <c r="K124" i="17"/>
  <c r="X4" i="21"/>
  <c r="X5" i="21"/>
  <c r="X7" i="21"/>
  <c r="X6" i="21"/>
  <c r="K67" i="17"/>
  <c r="K22" i="17" a="1"/>
  <c r="K22" i="17" s="1"/>
  <c r="K31" i="17" a="1"/>
  <c r="K31" i="17" s="1"/>
  <c r="K49" i="17" a="1"/>
  <c r="K49" i="17" s="1"/>
  <c r="K23" i="17" a="1"/>
  <c r="K23" i="17" s="1"/>
  <c r="K21" i="17" a="1"/>
  <c r="K21" i="17" s="1"/>
  <c r="K26" i="17" a="1"/>
  <c r="K26" i="17" s="1"/>
  <c r="K51" i="17" a="1"/>
  <c r="K51" i="17" s="1"/>
  <c r="K53" i="17" a="1"/>
  <c r="K53" i="17" s="1"/>
  <c r="K56" i="17" a="1"/>
  <c r="K56" i="17" s="1"/>
  <c r="K52" i="17" a="1"/>
  <c r="K52" i="17" s="1"/>
  <c r="K50" i="17" a="1"/>
  <c r="K50" i="17" s="1"/>
  <c r="K45" i="17" a="1"/>
  <c r="K45" i="17" s="1"/>
  <c r="K55" i="17" a="1"/>
  <c r="K55" i="17" s="1"/>
  <c r="K24" i="17" a="1"/>
  <c r="K24" i="17" s="1"/>
  <c r="K54" i="17" a="1"/>
  <c r="K54" i="17" s="1"/>
  <c r="K61" i="17"/>
  <c r="T15" i="25"/>
  <c r="V15" i="25" s="1"/>
  <c r="K84" i="17"/>
  <c r="X14" i="25"/>
  <c r="K76" i="17"/>
  <c r="B17" i="25"/>
  <c r="C16" i="25"/>
  <c r="AH16" i="25" s="1"/>
  <c r="T16" i="25" s="1"/>
  <c r="K119" i="17"/>
  <c r="K72" i="17"/>
  <c r="K89" i="17"/>
  <c r="K94" i="17"/>
  <c r="K63" i="17"/>
  <c r="K80" i="17"/>
  <c r="K102" i="17"/>
  <c r="K62" i="17"/>
  <c r="K66" i="17"/>
  <c r="K71" i="17"/>
  <c r="K75" i="17"/>
  <c r="K79" i="17"/>
  <c r="K83" i="17"/>
  <c r="K87" i="17"/>
  <c r="K93" i="17"/>
  <c r="K100" i="17"/>
  <c r="K115" i="17"/>
  <c r="K68" i="17"/>
  <c r="K64" i="17"/>
  <c r="K69" i="17"/>
  <c r="K73" i="17"/>
  <c r="K77" i="17"/>
  <c r="K81" i="17"/>
  <c r="K85" i="17"/>
  <c r="K91" i="17"/>
  <c r="K95" i="17"/>
  <c r="K108" i="17"/>
  <c r="K60" i="17"/>
  <c r="K65" i="17"/>
  <c r="K70" i="17"/>
  <c r="K74" i="17"/>
  <c r="K78" i="17"/>
  <c r="K82" i="17"/>
  <c r="K86" i="17"/>
  <c r="K90" i="17"/>
  <c r="K99" i="17"/>
  <c r="K110" i="17"/>
  <c r="K88" i="17"/>
  <c r="K92" i="17"/>
  <c r="K96" i="17"/>
  <c r="K104" i="17"/>
  <c r="K3" i="4"/>
  <c r="K98" i="17"/>
  <c r="K103" i="17"/>
  <c r="K114" i="17"/>
  <c r="K97" i="17"/>
  <c r="K101" i="17"/>
  <c r="K106" i="17"/>
  <c r="K111" i="17"/>
  <c r="K116" i="17"/>
  <c r="K107" i="17"/>
  <c r="K112" i="17"/>
  <c r="K118" i="17"/>
  <c r="K105" i="17"/>
  <c r="K109" i="17"/>
  <c r="K113" i="17"/>
  <c r="K117" i="17"/>
  <c r="K135" i="17"/>
  <c r="L3" i="17"/>
  <c r="Y3" i="21"/>
  <c r="D26" i="4"/>
  <c r="E26" i="4"/>
  <c r="F26" i="4"/>
  <c r="G26" i="4"/>
  <c r="H26" i="4"/>
  <c r="I26" i="4"/>
  <c r="J26" i="4"/>
  <c r="K26" i="4"/>
  <c r="L26" i="4"/>
  <c r="M26" i="4"/>
  <c r="N26" i="4"/>
  <c r="O26" i="4"/>
  <c r="P26" i="4"/>
  <c r="Q26" i="4"/>
  <c r="R26" i="4"/>
  <c r="S26" i="4"/>
  <c r="T26" i="4"/>
  <c r="U26" i="4"/>
  <c r="V26" i="4"/>
  <c r="W26" i="4"/>
  <c r="X26" i="4"/>
  <c r="Y26" i="4"/>
  <c r="Z26" i="4"/>
  <c r="AA26" i="4"/>
  <c r="AB26" i="4"/>
  <c r="AC26" i="4"/>
  <c r="AD26" i="4"/>
  <c r="AE26" i="4"/>
  <c r="AF26" i="4"/>
  <c r="AG26" i="4"/>
  <c r="AH26" i="4"/>
  <c r="AI26" i="4"/>
  <c r="AJ26" i="4"/>
  <c r="C26" i="4"/>
  <c r="I203" i="23"/>
  <c r="I202" i="23"/>
  <c r="I201" i="23"/>
  <c r="I200" i="23"/>
  <c r="I199" i="23"/>
  <c r="I198" i="23"/>
  <c r="I197" i="23"/>
  <c r="I196" i="23"/>
  <c r="I195" i="23"/>
  <c r="I194" i="23"/>
  <c r="I193" i="23"/>
  <c r="I192" i="23"/>
  <c r="I191" i="23"/>
  <c r="I190" i="23"/>
  <c r="I189" i="23"/>
  <c r="I188" i="23"/>
  <c r="I187" i="23"/>
  <c r="I186" i="23"/>
  <c r="I185" i="23"/>
  <c r="I184" i="23"/>
  <c r="I183" i="23"/>
  <c r="I182" i="23"/>
  <c r="I181" i="23"/>
  <c r="I180" i="23"/>
  <c r="I179" i="23"/>
  <c r="I178" i="23"/>
  <c r="I177" i="23"/>
  <c r="I176" i="23"/>
  <c r="I175" i="23"/>
  <c r="I174" i="23"/>
  <c r="I173" i="23"/>
  <c r="I172" i="23"/>
  <c r="I171" i="23"/>
  <c r="I170" i="23"/>
  <c r="I169" i="23"/>
  <c r="I168" i="23"/>
  <c r="I167" i="23"/>
  <c r="I166" i="23"/>
  <c r="I165" i="23"/>
  <c r="I164" i="23"/>
  <c r="I163" i="23"/>
  <c r="I162" i="23"/>
  <c r="I161" i="23"/>
  <c r="I160" i="23"/>
  <c r="I159" i="23"/>
  <c r="I158" i="23"/>
  <c r="I157" i="23"/>
  <c r="I156" i="23"/>
  <c r="I155" i="23"/>
  <c r="I154" i="23"/>
  <c r="I153" i="23"/>
  <c r="I152" i="23"/>
  <c r="I151" i="23"/>
  <c r="I150" i="23"/>
  <c r="I149" i="23"/>
  <c r="I148" i="23"/>
  <c r="I147" i="23"/>
  <c r="I146" i="23"/>
  <c r="I145" i="23"/>
  <c r="I144" i="23"/>
  <c r="I143" i="23"/>
  <c r="I142" i="23"/>
  <c r="I141" i="23"/>
  <c r="I140" i="23"/>
  <c r="I139" i="23"/>
  <c r="I138" i="23"/>
  <c r="I137" i="23"/>
  <c r="I136" i="23"/>
  <c r="I135" i="23"/>
  <c r="I134" i="23"/>
  <c r="I133" i="23"/>
  <c r="I132" i="23"/>
  <c r="I131" i="23"/>
  <c r="I130" i="23"/>
  <c r="I129" i="23"/>
  <c r="I128" i="23"/>
  <c r="I127" i="23"/>
  <c r="I126" i="23"/>
  <c r="I125" i="23"/>
  <c r="I124" i="23"/>
  <c r="I123" i="23"/>
  <c r="I122" i="23"/>
  <c r="I121" i="23"/>
  <c r="I120" i="23"/>
  <c r="I119" i="23"/>
  <c r="I118" i="23"/>
  <c r="I117" i="23"/>
  <c r="I116" i="23"/>
  <c r="I115" i="23"/>
  <c r="I114" i="23"/>
  <c r="I113" i="23"/>
  <c r="I112" i="23"/>
  <c r="I111" i="23"/>
  <c r="I110" i="23"/>
  <c r="I109" i="23"/>
  <c r="I108" i="23"/>
  <c r="I107" i="23"/>
  <c r="I106" i="23"/>
  <c r="I105" i="23"/>
  <c r="I104" i="23"/>
  <c r="I103" i="23"/>
  <c r="I102" i="23"/>
  <c r="I101" i="23"/>
  <c r="I100" i="23"/>
  <c r="I99" i="23"/>
  <c r="I98" i="23"/>
  <c r="I97" i="23"/>
  <c r="I96" i="23"/>
  <c r="I95" i="23"/>
  <c r="I94" i="23"/>
  <c r="I93" i="23"/>
  <c r="I92" i="23"/>
  <c r="I91" i="23"/>
  <c r="I90" i="23"/>
  <c r="I89" i="23"/>
  <c r="I88" i="23"/>
  <c r="I87" i="23"/>
  <c r="I86" i="23"/>
  <c r="I85" i="23"/>
  <c r="I84" i="23"/>
  <c r="I83" i="23"/>
  <c r="I82" i="23"/>
  <c r="I81" i="23"/>
  <c r="I80" i="23"/>
  <c r="I79" i="23"/>
  <c r="I78" i="23"/>
  <c r="I77" i="23"/>
  <c r="I76" i="23"/>
  <c r="I75" i="23"/>
  <c r="I74" i="23"/>
  <c r="I73" i="23"/>
  <c r="I72" i="23"/>
  <c r="I71" i="23"/>
  <c r="I70" i="23"/>
  <c r="I69" i="23"/>
  <c r="I68" i="23"/>
  <c r="I67" i="23"/>
  <c r="I66" i="23"/>
  <c r="I65" i="23"/>
  <c r="I64" i="23"/>
  <c r="I63" i="23"/>
  <c r="I62" i="23"/>
  <c r="I61" i="23"/>
  <c r="I60" i="23"/>
  <c r="I59" i="23"/>
  <c r="I58" i="23"/>
  <c r="I57" i="23"/>
  <c r="I56" i="23"/>
  <c r="I55" i="23"/>
  <c r="I54" i="23"/>
  <c r="I53" i="23"/>
  <c r="I52" i="23"/>
  <c r="I51" i="23"/>
  <c r="I50" i="23"/>
  <c r="I49" i="23"/>
  <c r="I48" i="23"/>
  <c r="I47" i="23"/>
  <c r="I46" i="23"/>
  <c r="I45" i="23"/>
  <c r="I44" i="23"/>
  <c r="I43" i="23"/>
  <c r="I42" i="23"/>
  <c r="I41" i="23"/>
  <c r="I40" i="23"/>
  <c r="I39" i="23"/>
  <c r="I38" i="23"/>
  <c r="I37" i="23"/>
  <c r="I36" i="23"/>
  <c r="I35" i="23"/>
  <c r="I34" i="23"/>
  <c r="I33" i="23"/>
  <c r="I32" i="23"/>
  <c r="I31" i="23"/>
  <c r="I30" i="23"/>
  <c r="I29" i="23"/>
  <c r="I28" i="23"/>
  <c r="I27" i="23"/>
  <c r="I26" i="23"/>
  <c r="I25" i="23"/>
  <c r="I24" i="23"/>
  <c r="I23" i="23"/>
  <c r="I22" i="23"/>
  <c r="I21" i="23"/>
  <c r="I20" i="23"/>
  <c r="I19" i="23"/>
  <c r="I18" i="23"/>
  <c r="I17" i="23"/>
  <c r="I16" i="23"/>
  <c r="I15" i="23"/>
  <c r="I14" i="23"/>
  <c r="I13" i="23"/>
  <c r="I12" i="23"/>
  <c r="I11" i="23"/>
  <c r="I10" i="23"/>
  <c r="I9" i="23"/>
  <c r="I8" i="23"/>
  <c r="I7" i="23"/>
  <c r="I6" i="23"/>
  <c r="I5" i="23"/>
  <c r="I4" i="23"/>
  <c r="Y13" i="21" l="1"/>
  <c r="Y11" i="21"/>
  <c r="Y9" i="21"/>
  <c r="Y14" i="21"/>
  <c r="Y12" i="21"/>
  <c r="Y10" i="21"/>
  <c r="Y8" i="21"/>
  <c r="L132" i="17"/>
  <c r="L125" i="17"/>
  <c r="L133" i="17"/>
  <c r="L126" i="17"/>
  <c r="L130" i="17"/>
  <c r="L134" i="17"/>
  <c r="L127" i="17"/>
  <c r="L121" i="17"/>
  <c r="L128" i="17"/>
  <c r="L124" i="17"/>
  <c r="L131" i="17"/>
  <c r="L123" i="17"/>
  <c r="L122" i="17"/>
  <c r="L129" i="17"/>
  <c r="L120" i="17"/>
  <c r="Y4" i="21"/>
  <c r="Y7" i="21"/>
  <c r="Y5" i="21"/>
  <c r="Y6" i="21"/>
  <c r="X15" i="25"/>
  <c r="L61" i="17"/>
  <c r="L24" i="17" a="1"/>
  <c r="L24" i="17" s="1"/>
  <c r="L22" i="17" a="1"/>
  <c r="L22" i="17" s="1"/>
  <c r="L31" i="17" a="1"/>
  <c r="L31" i="17" s="1"/>
  <c r="L50" i="17" a="1"/>
  <c r="L50" i="17" s="1"/>
  <c r="L49" i="17" a="1"/>
  <c r="L49" i="17" s="1"/>
  <c r="L21" i="17" a="1"/>
  <c r="L21" i="17" s="1"/>
  <c r="L51" i="17" a="1"/>
  <c r="L51" i="17" s="1"/>
  <c r="L53" i="17" a="1"/>
  <c r="L53" i="17" s="1"/>
  <c r="L23" i="17" a="1"/>
  <c r="L23" i="17" s="1"/>
  <c r="L26" i="17" a="1"/>
  <c r="L26" i="17" s="1"/>
  <c r="L54" i="17" a="1"/>
  <c r="L54" i="17" s="1"/>
  <c r="L56" i="17" a="1"/>
  <c r="L56" i="17" s="1"/>
  <c r="L52" i="17" a="1"/>
  <c r="L52" i="17" s="1"/>
  <c r="L45" i="17" a="1"/>
  <c r="L45" i="17" s="1"/>
  <c r="L55" i="17" a="1"/>
  <c r="L55" i="17" s="1"/>
  <c r="L65" i="17"/>
  <c r="L73" i="17"/>
  <c r="L86" i="17"/>
  <c r="V16" i="25"/>
  <c r="Y16" i="25"/>
  <c r="L77" i="17"/>
  <c r="L62" i="17"/>
  <c r="L85" i="17"/>
  <c r="B18" i="25"/>
  <c r="C17" i="25"/>
  <c r="AH17" i="25" s="1"/>
  <c r="T17" i="25" s="1"/>
  <c r="L116" i="17"/>
  <c r="L69" i="17"/>
  <c r="L78" i="17"/>
  <c r="L89" i="17"/>
  <c r="L70" i="17"/>
  <c r="L81" i="17"/>
  <c r="L97" i="17"/>
  <c r="L66" i="17"/>
  <c r="L74" i="17"/>
  <c r="L82" i="17"/>
  <c r="L90" i="17"/>
  <c r="L98" i="17"/>
  <c r="L93" i="17"/>
  <c r="L104" i="17"/>
  <c r="L94" i="17"/>
  <c r="L102" i="17"/>
  <c r="L67" i="17"/>
  <c r="L71" i="17"/>
  <c r="L75" i="17"/>
  <c r="L79" i="17"/>
  <c r="L83" i="17"/>
  <c r="L87" i="17"/>
  <c r="L91" i="17"/>
  <c r="L95" i="17"/>
  <c r="L99" i="17"/>
  <c r="L108" i="17"/>
  <c r="L63" i="17"/>
  <c r="L60" i="17"/>
  <c r="L64" i="17"/>
  <c r="L68" i="17"/>
  <c r="L72" i="17"/>
  <c r="L76" i="17"/>
  <c r="L80" i="17"/>
  <c r="L84" i="17"/>
  <c r="L88" i="17"/>
  <c r="L92" i="17"/>
  <c r="L96" i="17"/>
  <c r="L100" i="17"/>
  <c r="L112" i="17"/>
  <c r="L101" i="17"/>
  <c r="L105" i="17"/>
  <c r="L109" i="17"/>
  <c r="L114" i="17"/>
  <c r="L106" i="17"/>
  <c r="L110" i="17"/>
  <c r="L117" i="17"/>
  <c r="L103" i="17"/>
  <c r="L107" i="17"/>
  <c r="L111" i="17"/>
  <c r="L113" i="17"/>
  <c r="L118" i="17"/>
  <c r="L119" i="17"/>
  <c r="L135" i="17"/>
  <c r="L3" i="4"/>
  <c r="L115" i="17"/>
  <c r="M3" i="17"/>
  <c r="Z3" i="21"/>
  <c r="BK26" i="4"/>
  <c r="A1" i="23"/>
  <c r="Z13" i="21" l="1"/>
  <c r="Z11" i="21"/>
  <c r="Z9" i="21"/>
  <c r="Z14" i="21"/>
  <c r="Z12" i="21"/>
  <c r="Z10" i="21"/>
  <c r="Z8" i="21"/>
  <c r="M134" i="17"/>
  <c r="M125" i="17"/>
  <c r="M131" i="17"/>
  <c r="M127" i="17"/>
  <c r="M132" i="17"/>
  <c r="M128" i="17"/>
  <c r="M133" i="17"/>
  <c r="M129" i="17"/>
  <c r="M130" i="17"/>
  <c r="M120" i="17"/>
  <c r="M123" i="17"/>
  <c r="M121" i="17"/>
  <c r="M122" i="17"/>
  <c r="M124" i="17"/>
  <c r="M126" i="17"/>
  <c r="M99" i="17"/>
  <c r="Z4" i="21"/>
  <c r="Z7" i="21"/>
  <c r="Z5" i="21"/>
  <c r="Z6" i="21"/>
  <c r="M91" i="17"/>
  <c r="M86" i="17"/>
  <c r="M21" i="17" a="1"/>
  <c r="M21" i="17" s="1"/>
  <c r="M24" i="17" a="1"/>
  <c r="M24" i="17" s="1"/>
  <c r="M51" i="17" a="1"/>
  <c r="M51" i="17" s="1"/>
  <c r="M23" i="17" a="1"/>
  <c r="M23" i="17" s="1"/>
  <c r="M45" i="17" a="1"/>
  <c r="M45" i="17" s="1"/>
  <c r="M55" i="17" a="1"/>
  <c r="M55" i="17" s="1"/>
  <c r="M49" i="17" a="1"/>
  <c r="M49" i="17" s="1"/>
  <c r="M50" i="17" a="1"/>
  <c r="M50" i="17" s="1"/>
  <c r="M54" i="17" a="1"/>
  <c r="M54" i="17" s="1"/>
  <c r="M22" i="17" a="1"/>
  <c r="M22" i="17" s="1"/>
  <c r="M56" i="17" a="1"/>
  <c r="M56" i="17" s="1"/>
  <c r="M26" i="17" a="1"/>
  <c r="M26" i="17" s="1"/>
  <c r="M31" i="17" a="1"/>
  <c r="M31" i="17" s="1"/>
  <c r="M53" i="17" a="1"/>
  <c r="M53" i="17" s="1"/>
  <c r="M52" i="17" a="1"/>
  <c r="M52" i="17" s="1"/>
  <c r="M66" i="17"/>
  <c r="M108" i="17"/>
  <c r="M74" i="17"/>
  <c r="M78" i="17"/>
  <c r="M62" i="17"/>
  <c r="M82" i="17"/>
  <c r="V17" i="25"/>
  <c r="Y17" i="25"/>
  <c r="M70" i="17"/>
  <c r="B19" i="25"/>
  <c r="C18" i="25"/>
  <c r="AH18" i="25" s="1"/>
  <c r="T18" i="25" s="1"/>
  <c r="X16" i="25"/>
  <c r="M118" i="17"/>
  <c r="M60" i="17"/>
  <c r="M64" i="17"/>
  <c r="M68" i="17"/>
  <c r="M72" i="17"/>
  <c r="M76" i="17"/>
  <c r="M80" i="17"/>
  <c r="M84" i="17"/>
  <c r="M89" i="17"/>
  <c r="M95" i="17"/>
  <c r="M102" i="17"/>
  <c r="M115" i="17"/>
  <c r="M63" i="17"/>
  <c r="M67" i="17"/>
  <c r="M71" i="17"/>
  <c r="M75" i="17"/>
  <c r="M79" i="17"/>
  <c r="M83" i="17"/>
  <c r="M87" i="17"/>
  <c r="M94" i="17"/>
  <c r="M100" i="17"/>
  <c r="M109" i="17"/>
  <c r="M61" i="17"/>
  <c r="M65" i="17"/>
  <c r="M69" i="17"/>
  <c r="M73" i="17"/>
  <c r="M77" i="17"/>
  <c r="M81" i="17"/>
  <c r="M85" i="17"/>
  <c r="M90" i="17"/>
  <c r="M96" i="17"/>
  <c r="M105" i="17"/>
  <c r="M135" i="17"/>
  <c r="M88" i="17"/>
  <c r="M92" i="17"/>
  <c r="M98" i="17"/>
  <c r="M104" i="17"/>
  <c r="M111" i="17"/>
  <c r="M93" i="17"/>
  <c r="M97" i="17"/>
  <c r="M101" i="17"/>
  <c r="M106" i="17"/>
  <c r="M113" i="17"/>
  <c r="M116" i="17"/>
  <c r="AA3" i="21"/>
  <c r="M103" i="17"/>
  <c r="M107" i="17"/>
  <c r="M112" i="17"/>
  <c r="M117" i="17"/>
  <c r="M110" i="17"/>
  <c r="M114" i="17"/>
  <c r="M3" i="4"/>
  <c r="M119" i="17"/>
  <c r="N3" i="17"/>
  <c r="N71" i="17" s="1"/>
  <c r="H204" i="23"/>
  <c r="AA13" i="21" l="1"/>
  <c r="AA11" i="21"/>
  <c r="AA9" i="21"/>
  <c r="AA8" i="21"/>
  <c r="AA14" i="21"/>
  <c r="AA12" i="21"/>
  <c r="AA10" i="21"/>
  <c r="N130" i="17"/>
  <c r="N126" i="17"/>
  <c r="N131" i="17"/>
  <c r="N127" i="17"/>
  <c r="N132" i="17"/>
  <c r="N128" i="17"/>
  <c r="N133" i="17"/>
  <c r="N129" i="17"/>
  <c r="N125" i="17"/>
  <c r="N134" i="17"/>
  <c r="N123" i="17"/>
  <c r="N124" i="17"/>
  <c r="N120" i="17"/>
  <c r="N122" i="17"/>
  <c r="N121" i="17"/>
  <c r="AA4" i="21"/>
  <c r="AA7" i="21"/>
  <c r="AA5" i="21"/>
  <c r="AA6" i="21"/>
  <c r="X17" i="25"/>
  <c r="N67" i="17"/>
  <c r="N21" i="17" a="1"/>
  <c r="N21" i="17" s="1"/>
  <c r="N26" i="17" a="1"/>
  <c r="N26" i="17" s="1"/>
  <c r="N24" i="17" a="1"/>
  <c r="N24" i="17" s="1"/>
  <c r="N22" i="17" a="1"/>
  <c r="N22" i="17" s="1"/>
  <c r="N45" i="17" a="1"/>
  <c r="N45" i="17" s="1"/>
  <c r="N52" i="17" a="1"/>
  <c r="N52" i="17" s="1"/>
  <c r="N55" i="17" a="1"/>
  <c r="N55" i="17" s="1"/>
  <c r="N50" i="17" a="1"/>
  <c r="N50" i="17" s="1"/>
  <c r="N54" i="17" a="1"/>
  <c r="N54" i="17" s="1"/>
  <c r="N56" i="17" a="1"/>
  <c r="N56" i="17" s="1"/>
  <c r="N31" i="17" a="1"/>
  <c r="N31" i="17" s="1"/>
  <c r="N53" i="17" a="1"/>
  <c r="N53" i="17" s="1"/>
  <c r="N51" i="17" a="1"/>
  <c r="N51" i="17" s="1"/>
  <c r="N23" i="17" a="1"/>
  <c r="N23" i="17" s="1"/>
  <c r="N49" i="17" a="1"/>
  <c r="N49" i="17" s="1"/>
  <c r="C19" i="25"/>
  <c r="AH19" i="25" s="1"/>
  <c r="T19" i="25" s="1"/>
  <c r="B20" i="25"/>
  <c r="V18" i="25"/>
  <c r="Y18" i="25"/>
  <c r="N113" i="17"/>
  <c r="N82" i="17"/>
  <c r="N61" i="17"/>
  <c r="N62" i="17"/>
  <c r="N93" i="17"/>
  <c r="N65" i="17"/>
  <c r="N74" i="17"/>
  <c r="N101" i="17"/>
  <c r="N66" i="17"/>
  <c r="N79" i="17"/>
  <c r="N63" i="17"/>
  <c r="N69" i="17"/>
  <c r="N75" i="17"/>
  <c r="N85" i="17"/>
  <c r="N114" i="17"/>
  <c r="N70" i="17"/>
  <c r="N78" i="17"/>
  <c r="N90" i="17"/>
  <c r="N98" i="17"/>
  <c r="N109" i="17"/>
  <c r="N60" i="17"/>
  <c r="N64" i="17"/>
  <c r="N68" i="17"/>
  <c r="N72" i="17"/>
  <c r="N76" i="17"/>
  <c r="N80" i="17"/>
  <c r="N86" i="17"/>
  <c r="N94" i="17"/>
  <c r="N102" i="17"/>
  <c r="N117" i="17"/>
  <c r="N73" i="17"/>
  <c r="N77" i="17"/>
  <c r="N81" i="17"/>
  <c r="N89" i="17"/>
  <c r="N97" i="17"/>
  <c r="N106" i="17"/>
  <c r="N83" i="17"/>
  <c r="N87" i="17"/>
  <c r="N91" i="17"/>
  <c r="N95" i="17"/>
  <c r="N99" i="17"/>
  <c r="N103" i="17"/>
  <c r="N110" i="17"/>
  <c r="N119" i="17"/>
  <c r="N84" i="17"/>
  <c r="N88" i="17"/>
  <c r="N92" i="17"/>
  <c r="N96" i="17"/>
  <c r="N100" i="17"/>
  <c r="N105" i="17"/>
  <c r="N3" i="4"/>
  <c r="N107" i="17"/>
  <c r="N111" i="17"/>
  <c r="N115" i="17"/>
  <c r="N104" i="17"/>
  <c r="N108" i="17"/>
  <c r="N112" i="17"/>
  <c r="N116" i="17"/>
  <c r="N118" i="17"/>
  <c r="N135" i="17"/>
  <c r="O3" i="17"/>
  <c r="AB3" i="21"/>
  <c r="BK27" i="4"/>
  <c r="BK154" i="17"/>
  <c r="AB14" i="21" l="1"/>
  <c r="AB12" i="21"/>
  <c r="AB10" i="21"/>
  <c r="AB8" i="21"/>
  <c r="AB13" i="21"/>
  <c r="AB11" i="21"/>
  <c r="AB9" i="21"/>
  <c r="O126" i="17"/>
  <c r="O127" i="17"/>
  <c r="O130" i="17"/>
  <c r="O128" i="17"/>
  <c r="O131" i="17"/>
  <c r="O129" i="17"/>
  <c r="O133" i="17"/>
  <c r="O134" i="17"/>
  <c r="O125" i="17"/>
  <c r="O121" i="17"/>
  <c r="O122" i="17"/>
  <c r="O120" i="17"/>
  <c r="O123" i="17"/>
  <c r="O124" i="17"/>
  <c r="O132" i="17"/>
  <c r="AB4" i="21"/>
  <c r="AB6" i="21"/>
  <c r="AB7" i="21"/>
  <c r="AB5" i="21"/>
  <c r="X18" i="25"/>
  <c r="O77" i="17"/>
  <c r="O23" i="17" a="1"/>
  <c r="O23" i="17" s="1"/>
  <c r="O21" i="17" a="1"/>
  <c r="O21" i="17" s="1"/>
  <c r="O26" i="17" a="1"/>
  <c r="O26" i="17" s="1"/>
  <c r="O49" i="17" a="1"/>
  <c r="O49" i="17" s="1"/>
  <c r="O22" i="17" a="1"/>
  <c r="O22" i="17" s="1"/>
  <c r="O45" i="17" a="1"/>
  <c r="O45" i="17" s="1"/>
  <c r="O52" i="17" a="1"/>
  <c r="O52" i="17" s="1"/>
  <c r="O56" i="17" a="1"/>
  <c r="O56" i="17" s="1"/>
  <c r="O54" i="17" a="1"/>
  <c r="O54" i="17" s="1"/>
  <c r="O55" i="17" a="1"/>
  <c r="O55" i="17" s="1"/>
  <c r="O50" i="17" a="1"/>
  <c r="O50" i="17" s="1"/>
  <c r="O24" i="17" a="1"/>
  <c r="O24" i="17" s="1"/>
  <c r="O31" i="17" a="1"/>
  <c r="O31" i="17" s="1"/>
  <c r="O51" i="17" a="1"/>
  <c r="O51" i="17" s="1"/>
  <c r="O53" i="17" a="1"/>
  <c r="O53" i="17" s="1"/>
  <c r="B21" i="25"/>
  <c r="C20" i="25"/>
  <c r="AH20" i="25" s="1"/>
  <c r="T20" i="25" s="1"/>
  <c r="V19" i="25"/>
  <c r="Y19" i="25"/>
  <c r="O98" i="17"/>
  <c r="O64" i="17"/>
  <c r="O117" i="17"/>
  <c r="O62" i="17"/>
  <c r="O78" i="17"/>
  <c r="O119" i="17"/>
  <c r="O60" i="17"/>
  <c r="O70" i="17"/>
  <c r="O86" i="17"/>
  <c r="O69" i="17"/>
  <c r="O85" i="17"/>
  <c r="O61" i="17"/>
  <c r="O66" i="17"/>
  <c r="O74" i="17"/>
  <c r="O82" i="17"/>
  <c r="O92" i="17"/>
  <c r="O65" i="17"/>
  <c r="O73" i="17"/>
  <c r="O81" i="17"/>
  <c r="O91" i="17"/>
  <c r="O63" i="17"/>
  <c r="O67" i="17"/>
  <c r="O71" i="17"/>
  <c r="O75" i="17"/>
  <c r="O80" i="17"/>
  <c r="O83" i="17"/>
  <c r="O87" i="17"/>
  <c r="O97" i="17"/>
  <c r="O68" i="17"/>
  <c r="O72" i="17"/>
  <c r="O76" i="17"/>
  <c r="O79" i="17"/>
  <c r="O84" i="17"/>
  <c r="O88" i="17"/>
  <c r="O135" i="17"/>
  <c r="O89" i="17"/>
  <c r="O93" i="17"/>
  <c r="O105" i="17"/>
  <c r="O90" i="17"/>
  <c r="O94" i="17"/>
  <c r="O106" i="17"/>
  <c r="O95" i="17"/>
  <c r="O101" i="17"/>
  <c r="O110" i="17"/>
  <c r="O96" i="17"/>
  <c r="O102" i="17"/>
  <c r="O111" i="17"/>
  <c r="O99" i="17"/>
  <c r="O103" i="17"/>
  <c r="O107" i="17"/>
  <c r="O114" i="17"/>
  <c r="O100" i="17"/>
  <c r="O104" i="17"/>
  <c r="O109" i="17"/>
  <c r="O115" i="17"/>
  <c r="AC3" i="21"/>
  <c r="O108" i="17"/>
  <c r="O112" i="17"/>
  <c r="O116" i="17"/>
  <c r="O3" i="4"/>
  <c r="O113" i="17"/>
  <c r="O118" i="17"/>
  <c r="P3" i="17"/>
  <c r="AC14" i="21" l="1"/>
  <c r="AC12" i="21"/>
  <c r="AC10" i="21"/>
  <c r="AC8" i="21"/>
  <c r="AC13" i="21"/>
  <c r="AC11" i="21"/>
  <c r="AC9" i="21"/>
  <c r="P133" i="17"/>
  <c r="P126" i="17"/>
  <c r="P134" i="17"/>
  <c r="P130" i="17"/>
  <c r="P127" i="17"/>
  <c r="P128" i="17"/>
  <c r="P122" i="17"/>
  <c r="P129" i="17"/>
  <c r="P123" i="17"/>
  <c r="P131" i="17"/>
  <c r="P132" i="17"/>
  <c r="P125" i="17"/>
  <c r="P120" i="17"/>
  <c r="P124" i="17"/>
  <c r="P121" i="17"/>
  <c r="AC4" i="21"/>
  <c r="AC6" i="21"/>
  <c r="AC5" i="21"/>
  <c r="AC7" i="21"/>
  <c r="X19" i="25"/>
  <c r="P23" i="17" a="1"/>
  <c r="P23" i="17" s="1"/>
  <c r="P45" i="17" a="1"/>
  <c r="P45" i="17" s="1"/>
  <c r="P50" i="17" a="1"/>
  <c r="P50" i="17" s="1"/>
  <c r="P24" i="17" a="1"/>
  <c r="P24" i="17" s="1"/>
  <c r="P22" i="17" a="1"/>
  <c r="P22" i="17" s="1"/>
  <c r="P31" i="17" a="1"/>
  <c r="P31" i="17" s="1"/>
  <c r="P54" i="17" a="1"/>
  <c r="P54" i="17" s="1"/>
  <c r="P53" i="17" a="1"/>
  <c r="P53" i="17" s="1"/>
  <c r="P52" i="17" a="1"/>
  <c r="P52" i="17" s="1"/>
  <c r="P21" i="17" a="1"/>
  <c r="P21" i="17" s="1"/>
  <c r="P56" i="17" a="1"/>
  <c r="P56" i="17" s="1"/>
  <c r="P26" i="17" a="1"/>
  <c r="P26" i="17" s="1"/>
  <c r="P49" i="17" a="1"/>
  <c r="P49" i="17" s="1"/>
  <c r="P51" i="17" a="1"/>
  <c r="P51" i="17" s="1"/>
  <c r="P55" i="17" a="1"/>
  <c r="P55" i="17" s="1"/>
  <c r="V20" i="25"/>
  <c r="Y20" i="25"/>
  <c r="C21" i="25"/>
  <c r="AH21" i="25" s="1"/>
  <c r="T21" i="25" s="1"/>
  <c r="B22" i="25"/>
  <c r="P63" i="17"/>
  <c r="P67" i="17"/>
  <c r="AD3" i="21"/>
  <c r="P68" i="17"/>
  <c r="P62" i="17"/>
  <c r="P88" i="17"/>
  <c r="P84" i="17"/>
  <c r="P64" i="17"/>
  <c r="P75" i="17"/>
  <c r="P100" i="17"/>
  <c r="P60" i="17"/>
  <c r="P66" i="17"/>
  <c r="P76" i="17"/>
  <c r="P104" i="17"/>
  <c r="P61" i="17"/>
  <c r="P65" i="17"/>
  <c r="P71" i="17"/>
  <c r="P79" i="17"/>
  <c r="P92" i="17"/>
  <c r="P108" i="17"/>
  <c r="P72" i="17"/>
  <c r="P80" i="17"/>
  <c r="P96" i="17"/>
  <c r="P113" i="17"/>
  <c r="P83" i="17"/>
  <c r="P87" i="17"/>
  <c r="P91" i="17"/>
  <c r="P95" i="17"/>
  <c r="P99" i="17"/>
  <c r="P103" i="17"/>
  <c r="P107" i="17"/>
  <c r="P112" i="17"/>
  <c r="P69" i="17"/>
  <c r="P73" i="17"/>
  <c r="P77" i="17"/>
  <c r="P81" i="17"/>
  <c r="P85" i="17"/>
  <c r="P89" i="17"/>
  <c r="P93" i="17"/>
  <c r="P97" i="17"/>
  <c r="P101" i="17"/>
  <c r="P105" i="17"/>
  <c r="P109" i="17"/>
  <c r="P117" i="17"/>
  <c r="P70" i="17"/>
  <c r="P74" i="17"/>
  <c r="P78" i="17"/>
  <c r="P82" i="17"/>
  <c r="P86" i="17"/>
  <c r="P90" i="17"/>
  <c r="P94" i="17"/>
  <c r="P98" i="17"/>
  <c r="P102" i="17"/>
  <c r="P106" i="17"/>
  <c r="P110" i="17"/>
  <c r="P118" i="17"/>
  <c r="P114" i="17"/>
  <c r="P119" i="17"/>
  <c r="P111" i="17"/>
  <c r="P115" i="17"/>
  <c r="P135" i="17"/>
  <c r="P116" i="17"/>
  <c r="Q3" i="17"/>
  <c r="P3" i="4"/>
  <c r="AD14" i="21" l="1"/>
  <c r="AD12" i="21"/>
  <c r="AD10" i="21"/>
  <c r="AD8" i="21"/>
  <c r="AD13" i="21"/>
  <c r="AD11" i="21"/>
  <c r="AD9" i="21"/>
  <c r="Q125" i="17"/>
  <c r="Q130" i="17"/>
  <c r="Q126" i="17"/>
  <c r="Q132" i="17"/>
  <c r="Q128" i="17"/>
  <c r="Q133" i="17"/>
  <c r="Q129" i="17"/>
  <c r="Q134" i="17"/>
  <c r="Q120" i="17"/>
  <c r="Q121" i="17"/>
  <c r="Q122" i="17"/>
  <c r="Q127" i="17"/>
  <c r="Q124" i="17"/>
  <c r="Q123" i="17"/>
  <c r="Q131" i="17"/>
  <c r="Q69" i="17"/>
  <c r="AD4" i="21"/>
  <c r="AD6" i="21"/>
  <c r="AD7" i="21"/>
  <c r="AD5" i="21"/>
  <c r="Q98" i="17"/>
  <c r="Q135" i="17"/>
  <c r="Q102" i="17"/>
  <c r="Q64" i="17"/>
  <c r="Q23" i="17" a="1"/>
  <c r="Q23" i="17" s="1"/>
  <c r="Q45" i="17" a="1"/>
  <c r="Q45" i="17" s="1"/>
  <c r="Q21" i="17" a="1"/>
  <c r="Q21" i="17" s="1"/>
  <c r="Q51" i="17" a="1"/>
  <c r="Q51" i="17" s="1"/>
  <c r="Q26" i="17" a="1"/>
  <c r="Q26" i="17" s="1"/>
  <c r="Q50" i="17" a="1"/>
  <c r="Q50" i="17" s="1"/>
  <c r="Q22" i="17" a="1"/>
  <c r="Q22" i="17" s="1"/>
  <c r="Q54" i="17" a="1"/>
  <c r="Q54" i="17" s="1"/>
  <c r="Q24" i="17" a="1"/>
  <c r="Q24" i="17" s="1"/>
  <c r="Q31" i="17" a="1"/>
  <c r="Q31" i="17" s="1"/>
  <c r="Q49" i="17" a="1"/>
  <c r="Q49" i="17" s="1"/>
  <c r="Q55" i="17" a="1"/>
  <c r="Q55" i="17" s="1"/>
  <c r="Q52" i="17" a="1"/>
  <c r="Q52" i="17" s="1"/>
  <c r="Q53" i="17" a="1"/>
  <c r="Q53" i="17" s="1"/>
  <c r="Q56" i="17" a="1"/>
  <c r="Q56" i="17" s="1"/>
  <c r="Q74" i="17"/>
  <c r="Q60" i="17"/>
  <c r="Q80" i="17"/>
  <c r="Q65" i="17"/>
  <c r="Q81" i="17"/>
  <c r="Q62" i="17"/>
  <c r="Q70" i="17"/>
  <c r="Q86" i="17"/>
  <c r="Q61" i="17"/>
  <c r="Q66" i="17"/>
  <c r="Q76" i="17"/>
  <c r="Q88" i="17"/>
  <c r="Q63" i="17"/>
  <c r="Q68" i="17"/>
  <c r="Q73" i="17"/>
  <c r="Q78" i="17"/>
  <c r="Q85" i="17"/>
  <c r="Q94" i="17"/>
  <c r="Q110" i="17"/>
  <c r="AE3" i="21"/>
  <c r="Q72" i="17"/>
  <c r="Q77" i="17"/>
  <c r="Q82" i="17"/>
  <c r="Q93" i="17"/>
  <c r="Q106" i="17"/>
  <c r="Q3" i="4"/>
  <c r="Q84" i="17"/>
  <c r="Q92" i="17"/>
  <c r="Q100" i="17"/>
  <c r="Q114" i="17"/>
  <c r="Q89" i="17"/>
  <c r="Q97" i="17"/>
  <c r="Q104" i="17"/>
  <c r="Q116" i="17"/>
  <c r="Q90" i="17"/>
  <c r="Q96" i="17"/>
  <c r="Q101" i="17"/>
  <c r="Q109" i="17"/>
  <c r="Q117" i="17"/>
  <c r="X20" i="25"/>
  <c r="Q105" i="17"/>
  <c r="Q112" i="17"/>
  <c r="B23" i="25"/>
  <c r="C22" i="25"/>
  <c r="AH22" i="25" s="1"/>
  <c r="T22" i="25" s="1"/>
  <c r="V21" i="25"/>
  <c r="Y21" i="25"/>
  <c r="Q119" i="17"/>
  <c r="Q67" i="17"/>
  <c r="Q71" i="17"/>
  <c r="Q75" i="17"/>
  <c r="Q79" i="17"/>
  <c r="Q83" i="17"/>
  <c r="Q87" i="17"/>
  <c r="Q91" i="17"/>
  <c r="Q95" i="17"/>
  <c r="Q99" i="17"/>
  <c r="Q103" i="17"/>
  <c r="Q108" i="17"/>
  <c r="Q113" i="17"/>
  <c r="Q118" i="17"/>
  <c r="Q107" i="17"/>
  <c r="Q111" i="17"/>
  <c r="Q115" i="17"/>
  <c r="R3" i="17"/>
  <c r="AE14" i="21" l="1"/>
  <c r="AE12" i="21"/>
  <c r="AE10" i="21"/>
  <c r="AE8" i="21"/>
  <c r="AE9" i="21"/>
  <c r="AE13" i="21"/>
  <c r="AE11" i="21"/>
  <c r="R131" i="17"/>
  <c r="R127" i="17"/>
  <c r="R132" i="17"/>
  <c r="R128" i="17"/>
  <c r="R133" i="17"/>
  <c r="R129" i="17"/>
  <c r="R134" i="17"/>
  <c r="R125" i="17"/>
  <c r="R130" i="17"/>
  <c r="R126" i="17"/>
  <c r="R124" i="17"/>
  <c r="R120" i="17"/>
  <c r="R121" i="17"/>
  <c r="R122" i="17"/>
  <c r="R123" i="17"/>
  <c r="AE4" i="21"/>
  <c r="AE6" i="21"/>
  <c r="AE5" i="21"/>
  <c r="AE7" i="21"/>
  <c r="X21" i="25"/>
  <c r="R105" i="17"/>
  <c r="R22" i="17" a="1"/>
  <c r="R22" i="17" s="1"/>
  <c r="R24" i="17" a="1"/>
  <c r="R24" i="17" s="1"/>
  <c r="R56" i="17" a="1"/>
  <c r="R56" i="17" s="1"/>
  <c r="R26" i="17" a="1"/>
  <c r="R26" i="17" s="1"/>
  <c r="R50" i="17" a="1"/>
  <c r="R50" i="17" s="1"/>
  <c r="R49" i="17" a="1"/>
  <c r="R49" i="17" s="1"/>
  <c r="R51" i="17" a="1"/>
  <c r="R51" i="17" s="1"/>
  <c r="R55" i="17" a="1"/>
  <c r="R55" i="17" s="1"/>
  <c r="R52" i="17" a="1"/>
  <c r="R52" i="17" s="1"/>
  <c r="R21" i="17" a="1"/>
  <c r="R21" i="17" s="1"/>
  <c r="R54" i="17" a="1"/>
  <c r="R54" i="17" s="1"/>
  <c r="R45" i="17" a="1"/>
  <c r="R45" i="17" s="1"/>
  <c r="R31" i="17" a="1"/>
  <c r="R31" i="17" s="1"/>
  <c r="R23" i="17" a="1"/>
  <c r="R23" i="17" s="1"/>
  <c r="R53" i="17" a="1"/>
  <c r="R53" i="17" s="1"/>
  <c r="R70" i="17"/>
  <c r="R63" i="17"/>
  <c r="R71" i="17"/>
  <c r="R87" i="17"/>
  <c r="R62" i="17"/>
  <c r="R83" i="17"/>
  <c r="R64" i="17"/>
  <c r="R78" i="17"/>
  <c r="R95" i="17"/>
  <c r="R67" i="17"/>
  <c r="R79" i="17"/>
  <c r="R96" i="17"/>
  <c r="R60" i="17"/>
  <c r="R66" i="17"/>
  <c r="R75" i="17"/>
  <c r="R86" i="17"/>
  <c r="R101" i="17"/>
  <c r="R74" i="17"/>
  <c r="R82" i="17"/>
  <c r="R91" i="17"/>
  <c r="R107" i="17"/>
  <c r="V22" i="25"/>
  <c r="Y22" i="25"/>
  <c r="C23" i="25"/>
  <c r="AH23" i="25" s="1"/>
  <c r="T23" i="25" s="1"/>
  <c r="B24" i="25"/>
  <c r="R114" i="17"/>
  <c r="R90" i="17"/>
  <c r="R100" i="17"/>
  <c r="R119" i="17"/>
  <c r="R68" i="17"/>
  <c r="R76" i="17"/>
  <c r="R80" i="17"/>
  <c r="R84" i="17"/>
  <c r="R88" i="17"/>
  <c r="R92" i="17"/>
  <c r="R97" i="17"/>
  <c r="R103" i="17"/>
  <c r="R108" i="17"/>
  <c r="R61" i="17"/>
  <c r="R65" i="17"/>
  <c r="R69" i="17"/>
  <c r="R73" i="17"/>
  <c r="R77" i="17"/>
  <c r="R81" i="17"/>
  <c r="R85" i="17"/>
  <c r="R89" i="17"/>
  <c r="R93" i="17"/>
  <c r="R99" i="17"/>
  <c r="R104" i="17"/>
  <c r="R109" i="17"/>
  <c r="R72" i="17"/>
  <c r="R94" i="17"/>
  <c r="R98" i="17"/>
  <c r="R102" i="17"/>
  <c r="R106" i="17"/>
  <c r="R110" i="17"/>
  <c r="R111" i="17"/>
  <c r="R112" i="17"/>
  <c r="R3" i="4"/>
  <c r="R115" i="17"/>
  <c r="R116" i="17"/>
  <c r="R118" i="17"/>
  <c r="R113" i="17"/>
  <c r="R117" i="17"/>
  <c r="R135" i="17"/>
  <c r="S3" i="17"/>
  <c r="AF3" i="21"/>
  <c r="A1" i="8"/>
  <c r="A1" i="14"/>
  <c r="A1" i="18"/>
  <c r="AF8" i="21" l="1"/>
  <c r="AF13" i="21"/>
  <c r="AF11" i="21"/>
  <c r="AF9" i="21"/>
  <c r="AF12" i="21"/>
  <c r="AF14" i="21"/>
  <c r="AF10" i="21"/>
  <c r="S127" i="17"/>
  <c r="S130" i="17"/>
  <c r="S128" i="17"/>
  <c r="S131" i="17"/>
  <c r="S129" i="17"/>
  <c r="S132" i="17"/>
  <c r="S134" i="17"/>
  <c r="S125" i="17"/>
  <c r="S126" i="17"/>
  <c r="S122" i="17"/>
  <c r="S121" i="17"/>
  <c r="S123" i="17"/>
  <c r="S124" i="17"/>
  <c r="S133" i="17"/>
  <c r="S120" i="17"/>
  <c r="AF4" i="21"/>
  <c r="AF7" i="21"/>
  <c r="AF5" i="21"/>
  <c r="AF6" i="21"/>
  <c r="X22" i="25"/>
  <c r="S107" i="17"/>
  <c r="S22" i="17" a="1"/>
  <c r="S22" i="17" s="1"/>
  <c r="S31" i="17" a="1"/>
  <c r="S31" i="17" s="1"/>
  <c r="S49" i="17" a="1"/>
  <c r="S49" i="17" s="1"/>
  <c r="S23" i="17" a="1"/>
  <c r="S23" i="17" s="1"/>
  <c r="S21" i="17" a="1"/>
  <c r="S21" i="17" s="1"/>
  <c r="S26" i="17" a="1"/>
  <c r="S26" i="17" s="1"/>
  <c r="S53" i="17" a="1"/>
  <c r="S53" i="17" s="1"/>
  <c r="S56" i="17" a="1"/>
  <c r="S56" i="17" s="1"/>
  <c r="S52" i="17" a="1"/>
  <c r="S52" i="17" s="1"/>
  <c r="S51" i="17" a="1"/>
  <c r="S51" i="17" s="1"/>
  <c r="S50" i="17" a="1"/>
  <c r="S50" i="17" s="1"/>
  <c r="S54" i="17" a="1"/>
  <c r="S54" i="17" s="1"/>
  <c r="S45" i="17" a="1"/>
  <c r="S45" i="17" s="1"/>
  <c r="S55" i="17" a="1"/>
  <c r="S55" i="17" s="1"/>
  <c r="S24" i="17" a="1"/>
  <c r="S24" i="17" s="1"/>
  <c r="S106" i="17"/>
  <c r="S119" i="17"/>
  <c r="S76" i="17"/>
  <c r="S78" i="17"/>
  <c r="S61" i="17"/>
  <c r="S85" i="17"/>
  <c r="S92" i="17"/>
  <c r="S94" i="17"/>
  <c r="S70" i="17"/>
  <c r="S97" i="17"/>
  <c r="S66" i="17"/>
  <c r="S73" i="17"/>
  <c r="S101" i="17"/>
  <c r="S90" i="17"/>
  <c r="S63" i="17"/>
  <c r="S83" i="17"/>
  <c r="S116" i="17"/>
  <c r="S68" i="17"/>
  <c r="S88" i="17"/>
  <c r="S65" i="17"/>
  <c r="S69" i="17"/>
  <c r="S74" i="17"/>
  <c r="S79" i="17"/>
  <c r="S84" i="17"/>
  <c r="S89" i="17"/>
  <c r="S96" i="17"/>
  <c r="S104" i="17"/>
  <c r="S117" i="17"/>
  <c r="S62" i="17"/>
  <c r="S67" i="17"/>
  <c r="S72" i="17"/>
  <c r="S77" i="17"/>
  <c r="S81" i="17"/>
  <c r="S87" i="17"/>
  <c r="S93" i="17"/>
  <c r="S98" i="17"/>
  <c r="B25" i="25"/>
  <c r="C24" i="25"/>
  <c r="AH24" i="25" s="1"/>
  <c r="T24" i="25" s="1"/>
  <c r="V23" i="25"/>
  <c r="Y23" i="25"/>
  <c r="S135" i="17"/>
  <c r="S102" i="17"/>
  <c r="S110" i="17"/>
  <c r="S64" i="17"/>
  <c r="S60" i="17"/>
  <c r="S71" i="17"/>
  <c r="S75" i="17"/>
  <c r="S80" i="17"/>
  <c r="S82" i="17"/>
  <c r="S86" i="17"/>
  <c r="S91" i="17"/>
  <c r="S95" i="17"/>
  <c r="S100" i="17"/>
  <c r="S105" i="17"/>
  <c r="S112" i="17"/>
  <c r="S99" i="17"/>
  <c r="S103" i="17"/>
  <c r="S111" i="17"/>
  <c r="S114" i="17"/>
  <c r="S109" i="17"/>
  <c r="S115" i="17"/>
  <c r="S3" i="4"/>
  <c r="S108" i="17"/>
  <c r="S113" i="17"/>
  <c r="S118" i="17"/>
  <c r="AG3" i="21"/>
  <c r="T3" i="17"/>
  <c r="A1" i="21"/>
  <c r="AG13" i="21" l="1"/>
  <c r="AG11" i="21"/>
  <c r="AG9" i="21"/>
  <c r="AG14" i="21"/>
  <c r="AG12" i="21"/>
  <c r="AG10" i="21"/>
  <c r="AG8" i="21"/>
  <c r="T134" i="17"/>
  <c r="T127" i="17"/>
  <c r="T128" i="17"/>
  <c r="T129" i="17"/>
  <c r="T123" i="17"/>
  <c r="T124" i="17"/>
  <c r="T131" i="17"/>
  <c r="T132" i="17"/>
  <c r="T125" i="17"/>
  <c r="T133" i="17"/>
  <c r="T126" i="17"/>
  <c r="T122" i="17"/>
  <c r="T120" i="17"/>
  <c r="T121" i="17"/>
  <c r="T130" i="17"/>
  <c r="AG4" i="21"/>
  <c r="AG7" i="21"/>
  <c r="AG5" i="21"/>
  <c r="AG6" i="21"/>
  <c r="T24" i="17" a="1"/>
  <c r="T24" i="17" s="1"/>
  <c r="T22" i="17" a="1"/>
  <c r="T22" i="17" s="1"/>
  <c r="T31" i="17" a="1"/>
  <c r="T31" i="17" s="1"/>
  <c r="T50" i="17" a="1"/>
  <c r="T50" i="17" s="1"/>
  <c r="T23" i="17" a="1"/>
  <c r="T23" i="17" s="1"/>
  <c r="T53" i="17" a="1"/>
  <c r="T53" i="17" s="1"/>
  <c r="T49" i="17" a="1"/>
  <c r="T49" i="17" s="1"/>
  <c r="T55" i="17" a="1"/>
  <c r="T55" i="17" s="1"/>
  <c r="T51" i="17" a="1"/>
  <c r="T51" i="17" s="1"/>
  <c r="T52" i="17" a="1"/>
  <c r="T52" i="17" s="1"/>
  <c r="T21" i="17" a="1"/>
  <c r="T21" i="17" s="1"/>
  <c r="T54" i="17" a="1"/>
  <c r="T54" i="17" s="1"/>
  <c r="T56" i="17" a="1"/>
  <c r="T56" i="17" s="1"/>
  <c r="T45" i="17" a="1"/>
  <c r="T45" i="17" s="1"/>
  <c r="T26" i="17" a="1"/>
  <c r="T26" i="17" s="1"/>
  <c r="V24" i="25"/>
  <c r="Y24" i="25"/>
  <c r="B26" i="25"/>
  <c r="C25" i="25"/>
  <c r="AH25" i="25" s="1"/>
  <c r="T25" i="25" s="1"/>
  <c r="X23" i="25"/>
  <c r="T84" i="17"/>
  <c r="T65" i="17"/>
  <c r="T104" i="17"/>
  <c r="T64" i="17"/>
  <c r="T80" i="17"/>
  <c r="T100" i="17"/>
  <c r="T68" i="17"/>
  <c r="T92" i="17"/>
  <c r="T60" i="17"/>
  <c r="T76" i="17"/>
  <c r="T96" i="17"/>
  <c r="T61" i="17"/>
  <c r="T72" i="17"/>
  <c r="T88" i="17"/>
  <c r="AH3" i="21"/>
  <c r="T109" i="17"/>
  <c r="T63" i="17"/>
  <c r="T67" i="17"/>
  <c r="T71" i="17"/>
  <c r="T75" i="17"/>
  <c r="T79" i="17"/>
  <c r="T83" i="17"/>
  <c r="T87" i="17"/>
  <c r="T91" i="17"/>
  <c r="T95" i="17"/>
  <c r="T99" i="17"/>
  <c r="T103" i="17"/>
  <c r="T107" i="17"/>
  <c r="T116" i="17"/>
  <c r="T69" i="17"/>
  <c r="T73" i="17"/>
  <c r="T77" i="17"/>
  <c r="T81" i="17"/>
  <c r="T85" i="17"/>
  <c r="T89" i="17"/>
  <c r="T93" i="17"/>
  <c r="T97" i="17"/>
  <c r="T101" i="17"/>
  <c r="T105" i="17"/>
  <c r="T110" i="17"/>
  <c r="T62" i="17"/>
  <c r="T66" i="17"/>
  <c r="T70" i="17"/>
  <c r="T74" i="17"/>
  <c r="T78" i="17"/>
  <c r="T82" i="17"/>
  <c r="T86" i="17"/>
  <c r="T90" i="17"/>
  <c r="T94" i="17"/>
  <c r="T98" i="17"/>
  <c r="T102" i="17"/>
  <c r="T106" i="17"/>
  <c r="T111" i="17"/>
  <c r="T114" i="17"/>
  <c r="T108" i="17"/>
  <c r="T112" i="17"/>
  <c r="T117" i="17"/>
  <c r="T113" i="17"/>
  <c r="T118" i="17"/>
  <c r="T135" i="17"/>
  <c r="T115" i="17"/>
  <c r="T119" i="17"/>
  <c r="U3" i="17"/>
  <c r="T3" i="4"/>
  <c r="S34" i="21"/>
  <c r="T34" i="21"/>
  <c r="R34" i="21"/>
  <c r="Q34" i="21"/>
  <c r="AH13" i="21" l="1"/>
  <c r="AH11" i="21"/>
  <c r="AH9" i="21"/>
  <c r="AH14" i="21"/>
  <c r="AH12" i="21"/>
  <c r="AH10" i="21"/>
  <c r="AH8" i="21"/>
  <c r="U124" i="17"/>
  <c r="U125" i="17"/>
  <c r="U130" i="17"/>
  <c r="U126" i="17"/>
  <c r="U131" i="17"/>
  <c r="U127" i="17"/>
  <c r="U133" i="17"/>
  <c r="U129" i="17"/>
  <c r="U134" i="17"/>
  <c r="U121" i="17"/>
  <c r="U120" i="17"/>
  <c r="U122" i="17"/>
  <c r="U128" i="17"/>
  <c r="U123" i="17"/>
  <c r="U132" i="17"/>
  <c r="AH4" i="21"/>
  <c r="AH5" i="21"/>
  <c r="AH7" i="21"/>
  <c r="AH6" i="21"/>
  <c r="U68" i="17"/>
  <c r="U21" i="17" a="1"/>
  <c r="U21" i="17" s="1"/>
  <c r="U24" i="17" a="1"/>
  <c r="U24" i="17" s="1"/>
  <c r="U51" i="17" a="1"/>
  <c r="U51" i="17" s="1"/>
  <c r="U23" i="17" a="1"/>
  <c r="U23" i="17" s="1"/>
  <c r="U45" i="17" a="1"/>
  <c r="U45" i="17" s="1"/>
  <c r="U55" i="17" a="1"/>
  <c r="U55" i="17" s="1"/>
  <c r="U54" i="17" a="1"/>
  <c r="U54" i="17" s="1"/>
  <c r="U26" i="17" a="1"/>
  <c r="U26" i="17" s="1"/>
  <c r="U53" i="17" a="1"/>
  <c r="U53" i="17" s="1"/>
  <c r="U22" i="17" a="1"/>
  <c r="U22" i="17" s="1"/>
  <c r="U49" i="17" a="1"/>
  <c r="U49" i="17" s="1"/>
  <c r="U52" i="17" a="1"/>
  <c r="U52" i="17" s="1"/>
  <c r="U50" i="17" a="1"/>
  <c r="U50" i="17" s="1"/>
  <c r="U31" i="17" a="1"/>
  <c r="U31" i="17" s="1"/>
  <c r="U56" i="17" a="1"/>
  <c r="U56" i="17" s="1"/>
  <c r="U79" i="17"/>
  <c r="U90" i="17"/>
  <c r="U84" i="17"/>
  <c r="U63" i="17"/>
  <c r="X24" i="25"/>
  <c r="V25" i="25"/>
  <c r="Y25" i="25"/>
  <c r="B27" i="25"/>
  <c r="C26" i="25"/>
  <c r="AH26" i="25" s="1"/>
  <c r="T26" i="25" s="1"/>
  <c r="U94" i="17"/>
  <c r="U74" i="17"/>
  <c r="U99" i="17"/>
  <c r="U64" i="17"/>
  <c r="U70" i="17"/>
  <c r="U75" i="17"/>
  <c r="U80" i="17"/>
  <c r="U86" i="17"/>
  <c r="U91" i="17"/>
  <c r="U100" i="17"/>
  <c r="U60" i="17"/>
  <c r="U71" i="17"/>
  <c r="U82" i="17"/>
  <c r="U66" i="17"/>
  <c r="U76" i="17"/>
  <c r="U87" i="17"/>
  <c r="U104" i="17"/>
  <c r="U62" i="17"/>
  <c r="U67" i="17"/>
  <c r="U72" i="17"/>
  <c r="U78" i="17"/>
  <c r="U83" i="17"/>
  <c r="U88" i="17"/>
  <c r="U95" i="17"/>
  <c r="U107" i="17"/>
  <c r="U92" i="17"/>
  <c r="U96" i="17"/>
  <c r="U102" i="17"/>
  <c r="U112" i="17"/>
  <c r="U61" i="17"/>
  <c r="U65" i="17"/>
  <c r="U69" i="17"/>
  <c r="U73" i="17"/>
  <c r="U77" i="17"/>
  <c r="U81" i="17"/>
  <c r="U85" i="17"/>
  <c r="U89" i="17"/>
  <c r="U93" i="17"/>
  <c r="U98" i="17"/>
  <c r="U103" i="17"/>
  <c r="U116" i="17"/>
  <c r="U97" i="17"/>
  <c r="U101" i="17"/>
  <c r="U105" i="17"/>
  <c r="U3" i="4"/>
  <c r="U106" i="17"/>
  <c r="U110" i="17"/>
  <c r="U115" i="17"/>
  <c r="U119" i="17"/>
  <c r="U108" i="17"/>
  <c r="U113" i="17"/>
  <c r="U117" i="17"/>
  <c r="U135" i="17"/>
  <c r="AI3" i="21"/>
  <c r="U111" i="17"/>
  <c r="U109" i="17"/>
  <c r="U114" i="17"/>
  <c r="U118" i="17"/>
  <c r="V3" i="17"/>
  <c r="AI13" i="21" l="1"/>
  <c r="AI11" i="21"/>
  <c r="AI9" i="21"/>
  <c r="AI14" i="21"/>
  <c r="AI12" i="21"/>
  <c r="AI10" i="21"/>
  <c r="AI8" i="21"/>
  <c r="V132" i="17"/>
  <c r="V128" i="17"/>
  <c r="V133" i="17"/>
  <c r="V129" i="17"/>
  <c r="V134" i="17"/>
  <c r="V125" i="17"/>
  <c r="V130" i="17"/>
  <c r="V126" i="17"/>
  <c r="V131" i="17"/>
  <c r="V127" i="17"/>
  <c r="V121" i="17"/>
  <c r="V120" i="17"/>
  <c r="V124" i="17"/>
  <c r="V122" i="17"/>
  <c r="V123" i="17"/>
  <c r="AI4" i="21"/>
  <c r="AI7" i="21"/>
  <c r="AI5" i="21"/>
  <c r="AI6" i="21"/>
  <c r="V117" i="17"/>
  <c r="V21" i="17" a="1"/>
  <c r="V21" i="17" s="1"/>
  <c r="V26" i="17" a="1"/>
  <c r="V26" i="17" s="1"/>
  <c r="V22" i="17" a="1"/>
  <c r="V22" i="17" s="1"/>
  <c r="V31" i="17" a="1"/>
  <c r="V31" i="17" s="1"/>
  <c r="V49" i="17" a="1"/>
  <c r="V49" i="17" s="1"/>
  <c r="V51" i="17" a="1"/>
  <c r="V51" i="17" s="1"/>
  <c r="V52" i="17" a="1"/>
  <c r="V52" i="17" s="1"/>
  <c r="V23" i="17" a="1"/>
  <c r="V23" i="17" s="1"/>
  <c r="V55" i="17" a="1"/>
  <c r="V55" i="17" s="1"/>
  <c r="V45" i="17" a="1"/>
  <c r="V45" i="17" s="1"/>
  <c r="V56" i="17" a="1"/>
  <c r="V56" i="17" s="1"/>
  <c r="V53" i="17" a="1"/>
  <c r="V53" i="17" s="1"/>
  <c r="V24" i="17" a="1"/>
  <c r="V24" i="17" s="1"/>
  <c r="V50" i="17" a="1"/>
  <c r="V50" i="17" s="1"/>
  <c r="V54" i="17" a="1"/>
  <c r="V54" i="17" s="1"/>
  <c r="V77" i="17"/>
  <c r="V89" i="17"/>
  <c r="V61" i="17"/>
  <c r="V93" i="17"/>
  <c r="V73" i="17"/>
  <c r="V105" i="17"/>
  <c r="V109" i="17"/>
  <c r="C27" i="25"/>
  <c r="AH27" i="25" s="1"/>
  <c r="T27" i="25" s="1"/>
  <c r="B28" i="25"/>
  <c r="V65" i="17"/>
  <c r="V81" i="17"/>
  <c r="V97" i="17"/>
  <c r="V113" i="17"/>
  <c r="V69" i="17"/>
  <c r="V85" i="17"/>
  <c r="V101" i="17"/>
  <c r="X25" i="25"/>
  <c r="V26" i="25"/>
  <c r="Y26" i="25"/>
  <c r="V135" i="17"/>
  <c r="V62" i="17"/>
  <c r="V66" i="17"/>
  <c r="V70" i="17"/>
  <c r="V74" i="17"/>
  <c r="V78" i="17"/>
  <c r="V82" i="17"/>
  <c r="V86" i="17"/>
  <c r="V90" i="17"/>
  <c r="V94" i="17"/>
  <c r="V98" i="17"/>
  <c r="V102" i="17"/>
  <c r="V106" i="17"/>
  <c r="V110" i="17"/>
  <c r="V114" i="17"/>
  <c r="V118" i="17"/>
  <c r="V63" i="17"/>
  <c r="V67" i="17"/>
  <c r="V71" i="17"/>
  <c r="V75" i="17"/>
  <c r="V79" i="17"/>
  <c r="V83" i="17"/>
  <c r="V87" i="17"/>
  <c r="V91" i="17"/>
  <c r="V95" i="17"/>
  <c r="V99" i="17"/>
  <c r="V103" i="17"/>
  <c r="V107" i="17"/>
  <c r="V111" i="17"/>
  <c r="V115" i="17"/>
  <c r="V60" i="17"/>
  <c r="V64" i="17"/>
  <c r="V68" i="17"/>
  <c r="V72" i="17"/>
  <c r="V76" i="17"/>
  <c r="V80" i="17"/>
  <c r="V84" i="17"/>
  <c r="V88" i="17"/>
  <c r="V92" i="17"/>
  <c r="V96" i="17"/>
  <c r="V100" i="17"/>
  <c r="V104" i="17"/>
  <c r="V108" i="17"/>
  <c r="V112" i="17"/>
  <c r="V116" i="17"/>
  <c r="V119" i="17"/>
  <c r="V3" i="4"/>
  <c r="AJ3" i="21"/>
  <c r="W3" i="17"/>
  <c r="AJ14" i="21" l="1"/>
  <c r="AJ12" i="21"/>
  <c r="AJ10" i="21"/>
  <c r="AJ8" i="21"/>
  <c r="AJ11" i="21"/>
  <c r="AJ9" i="21"/>
  <c r="AJ13" i="21"/>
  <c r="W130" i="17"/>
  <c r="W128" i="17"/>
  <c r="W131" i="17"/>
  <c r="W132" i="17"/>
  <c r="W133" i="17"/>
  <c r="W125" i="17"/>
  <c r="W126" i="17"/>
  <c r="W129" i="17"/>
  <c r="W127" i="17"/>
  <c r="W123" i="17"/>
  <c r="W134" i="17"/>
  <c r="W124" i="17"/>
  <c r="W120" i="17"/>
  <c r="W122" i="17"/>
  <c r="W121" i="17"/>
  <c r="AJ4" i="21"/>
  <c r="AJ6" i="21"/>
  <c r="AJ5" i="21"/>
  <c r="AJ7" i="21"/>
  <c r="W106" i="17"/>
  <c r="W23" i="17" a="1"/>
  <c r="W23" i="17" s="1"/>
  <c r="W21" i="17" a="1"/>
  <c r="W21" i="17" s="1"/>
  <c r="W26" i="17" a="1"/>
  <c r="W26" i="17" s="1"/>
  <c r="W24" i="17" a="1"/>
  <c r="W24" i="17" s="1"/>
  <c r="W49" i="17" a="1"/>
  <c r="W49" i="17" s="1"/>
  <c r="W31" i="17" a="1"/>
  <c r="W31" i="17" s="1"/>
  <c r="W51" i="17" a="1"/>
  <c r="W51" i="17" s="1"/>
  <c r="W52" i="17" a="1"/>
  <c r="W52" i="17" s="1"/>
  <c r="W50" i="17" a="1"/>
  <c r="W50" i="17" s="1"/>
  <c r="W56" i="17" a="1"/>
  <c r="W56" i="17" s="1"/>
  <c r="W22" i="17" a="1"/>
  <c r="W22" i="17" s="1"/>
  <c r="W53" i="17" a="1"/>
  <c r="W53" i="17" s="1"/>
  <c r="W55" i="17" a="1"/>
  <c r="W55" i="17" s="1"/>
  <c r="W45" i="17" a="1"/>
  <c r="W45" i="17" s="1"/>
  <c r="W54" i="17" a="1"/>
  <c r="W54" i="17" s="1"/>
  <c r="W67" i="17"/>
  <c r="W70" i="17"/>
  <c r="W80" i="17"/>
  <c r="W75" i="17"/>
  <c r="W60" i="17"/>
  <c r="W86" i="17"/>
  <c r="V27" i="25"/>
  <c r="Y27" i="25"/>
  <c r="X26" i="25"/>
  <c r="B29" i="25"/>
  <c r="C28" i="25"/>
  <c r="AH28" i="25" s="1"/>
  <c r="T28" i="25" s="1"/>
  <c r="W64" i="17"/>
  <c r="W94" i="17"/>
  <c r="W71" i="17"/>
  <c r="W83" i="17"/>
  <c r="W65" i="17"/>
  <c r="W78" i="17"/>
  <c r="W102" i="17"/>
  <c r="W74" i="17"/>
  <c r="W82" i="17"/>
  <c r="W98" i="17"/>
  <c r="W90" i="17"/>
  <c r="W109" i="17"/>
  <c r="W116" i="17"/>
  <c r="W3" i="4"/>
  <c r="W87" i="17"/>
  <c r="W91" i="17"/>
  <c r="W95" i="17"/>
  <c r="W99" i="17"/>
  <c r="W103" i="17"/>
  <c r="W111" i="17"/>
  <c r="W110" i="17"/>
  <c r="W118" i="17"/>
  <c r="W61" i="17"/>
  <c r="W62" i="17"/>
  <c r="W66" i="17"/>
  <c r="W72" i="17"/>
  <c r="W76" i="17"/>
  <c r="W79" i="17"/>
  <c r="W84" i="17"/>
  <c r="W88" i="17"/>
  <c r="W92" i="17"/>
  <c r="W96" i="17"/>
  <c r="W100" i="17"/>
  <c r="W104" i="17"/>
  <c r="W107" i="17"/>
  <c r="W112" i="17"/>
  <c r="W68" i="17"/>
  <c r="W63" i="17"/>
  <c r="W69" i="17"/>
  <c r="W73" i="17"/>
  <c r="W77" i="17"/>
  <c r="W81" i="17"/>
  <c r="W85" i="17"/>
  <c r="W89" i="17"/>
  <c r="W93" i="17"/>
  <c r="W97" i="17"/>
  <c r="W101" i="17"/>
  <c r="W105" i="17"/>
  <c r="W108" i="17"/>
  <c r="W113" i="17"/>
  <c r="W135" i="17"/>
  <c r="W114" i="17"/>
  <c r="W117" i="17"/>
  <c r="W115" i="17"/>
  <c r="W119" i="17"/>
  <c r="AK3" i="21"/>
  <c r="X3" i="17"/>
  <c r="AG34" i="21"/>
  <c r="AK14" i="21" l="1"/>
  <c r="AK12" i="21"/>
  <c r="AK10" i="21"/>
  <c r="AK8" i="21"/>
  <c r="AK13" i="21"/>
  <c r="AK11" i="21"/>
  <c r="AK9" i="21"/>
  <c r="X130" i="17"/>
  <c r="X128" i="17"/>
  <c r="X129" i="17"/>
  <c r="X123" i="17"/>
  <c r="X132" i="17"/>
  <c r="X125" i="17"/>
  <c r="X133" i="17"/>
  <c r="X126" i="17"/>
  <c r="X134" i="17"/>
  <c r="X127" i="17"/>
  <c r="X131" i="17"/>
  <c r="X121" i="17"/>
  <c r="X124" i="17"/>
  <c r="X120" i="17"/>
  <c r="X122" i="17"/>
  <c r="AK4" i="21"/>
  <c r="AK6" i="21"/>
  <c r="AK7" i="21"/>
  <c r="AK5" i="21"/>
  <c r="X27" i="25"/>
  <c r="X23" i="17" a="1"/>
  <c r="X23" i="17" s="1"/>
  <c r="X45" i="17" a="1"/>
  <c r="X45" i="17" s="1"/>
  <c r="X50" i="17" a="1"/>
  <c r="X50" i="17" s="1"/>
  <c r="X22" i="17" a="1"/>
  <c r="X22" i="17" s="1"/>
  <c r="X31" i="17" a="1"/>
  <c r="X31" i="17" s="1"/>
  <c r="X24" i="17" a="1"/>
  <c r="X24" i="17" s="1"/>
  <c r="X54" i="17" a="1"/>
  <c r="X54" i="17" s="1"/>
  <c r="X49" i="17" a="1"/>
  <c r="X49" i="17" s="1"/>
  <c r="X21" i="17" a="1"/>
  <c r="X21" i="17" s="1"/>
  <c r="X53" i="17" a="1"/>
  <c r="X53" i="17" s="1"/>
  <c r="X26" i="17" a="1"/>
  <c r="X26" i="17" s="1"/>
  <c r="X51" i="17" a="1"/>
  <c r="X51" i="17" s="1"/>
  <c r="X56" i="17" a="1"/>
  <c r="X56" i="17" s="1"/>
  <c r="X55" i="17" a="1"/>
  <c r="X55" i="17" s="1"/>
  <c r="X52" i="17" a="1"/>
  <c r="X52" i="17" s="1"/>
  <c r="V28" i="25"/>
  <c r="Y28" i="25"/>
  <c r="B30" i="25"/>
  <c r="C29" i="25"/>
  <c r="AH29" i="25" s="1"/>
  <c r="T29" i="25" s="1"/>
  <c r="X95" i="17"/>
  <c r="X73" i="17"/>
  <c r="X79" i="17"/>
  <c r="X69" i="17"/>
  <c r="X61" i="17"/>
  <c r="X87" i="17"/>
  <c r="X66" i="17"/>
  <c r="X78" i="17"/>
  <c r="X62" i="17"/>
  <c r="X74" i="17"/>
  <c r="X91" i="17"/>
  <c r="X64" i="17"/>
  <c r="X70" i="17"/>
  <c r="X75" i="17"/>
  <c r="X81" i="17"/>
  <c r="X96" i="17"/>
  <c r="X60" i="17"/>
  <c r="X65" i="17"/>
  <c r="X71" i="17"/>
  <c r="X77" i="17"/>
  <c r="X83" i="17"/>
  <c r="X82" i="17"/>
  <c r="X90" i="17"/>
  <c r="X101" i="17"/>
  <c r="X105" i="17"/>
  <c r="X67" i="17"/>
  <c r="X63" i="17"/>
  <c r="X68" i="17"/>
  <c r="X72" i="17"/>
  <c r="X76" i="17"/>
  <c r="X80" i="17"/>
  <c r="X86" i="17"/>
  <c r="AL3" i="21"/>
  <c r="X84" i="17"/>
  <c r="X88" i="17"/>
  <c r="X92" i="17"/>
  <c r="X97" i="17"/>
  <c r="X111" i="17"/>
  <c r="X85" i="17"/>
  <c r="X89" i="17"/>
  <c r="X93" i="17"/>
  <c r="X99" i="17"/>
  <c r="X94" i="17"/>
  <c r="X98" i="17"/>
  <c r="X102" i="17"/>
  <c r="X106" i="17"/>
  <c r="X115" i="17"/>
  <c r="X103" i="17"/>
  <c r="X107" i="17"/>
  <c r="X119" i="17"/>
  <c r="X100" i="17"/>
  <c r="X104" i="17"/>
  <c r="X109" i="17"/>
  <c r="X108" i="17"/>
  <c r="X112" i="17"/>
  <c r="X116" i="17"/>
  <c r="X113" i="17"/>
  <c r="X117" i="17"/>
  <c r="X135" i="17"/>
  <c r="X110" i="17"/>
  <c r="X114" i="17"/>
  <c r="X118" i="17"/>
  <c r="X3" i="4"/>
  <c r="Y3" i="17"/>
  <c r="AH34" i="21"/>
  <c r="AL14" i="21" l="1"/>
  <c r="AL12" i="21"/>
  <c r="AL10" i="21"/>
  <c r="AL8" i="21"/>
  <c r="AL13" i="21"/>
  <c r="AL11" i="21"/>
  <c r="AL9" i="21"/>
  <c r="Y125" i="17"/>
  <c r="Y130" i="17"/>
  <c r="Y126" i="17"/>
  <c r="Y129" i="17"/>
  <c r="Y131" i="17"/>
  <c r="Y127" i="17"/>
  <c r="Y132" i="17"/>
  <c r="Y128" i="17"/>
  <c r="Y134" i="17"/>
  <c r="Y124" i="17"/>
  <c r="Y122" i="17"/>
  <c r="Y123" i="17"/>
  <c r="Y133" i="17"/>
  <c r="Y120" i="17"/>
  <c r="Y121" i="17"/>
  <c r="AL4" i="21"/>
  <c r="AL6" i="21"/>
  <c r="AL7" i="21"/>
  <c r="AL5" i="21"/>
  <c r="Y23" i="17" a="1"/>
  <c r="Y23" i="17" s="1"/>
  <c r="Y45" i="17" a="1"/>
  <c r="Y45" i="17" s="1"/>
  <c r="Y21" i="17" a="1"/>
  <c r="Y21" i="17" s="1"/>
  <c r="Y24" i="17" a="1"/>
  <c r="Y24" i="17" s="1"/>
  <c r="Y51" i="17" a="1"/>
  <c r="Y51" i="17" s="1"/>
  <c r="Y54" i="17" a="1"/>
  <c r="Y54" i="17" s="1"/>
  <c r="Y26" i="17" a="1"/>
  <c r="Y26" i="17" s="1"/>
  <c r="Y31" i="17" a="1"/>
  <c r="Y31" i="17" s="1"/>
  <c r="Y56" i="17" a="1"/>
  <c r="Y56" i="17" s="1"/>
  <c r="Y55" i="17" a="1"/>
  <c r="Y55" i="17" s="1"/>
  <c r="Y22" i="17" a="1"/>
  <c r="Y22" i="17" s="1"/>
  <c r="Y49" i="17" a="1"/>
  <c r="Y49" i="17" s="1"/>
  <c r="Y53" i="17" a="1"/>
  <c r="Y53" i="17" s="1"/>
  <c r="Y52" i="17" a="1"/>
  <c r="Y52" i="17" s="1"/>
  <c r="Y50" i="17" a="1"/>
  <c r="Y50" i="17" s="1"/>
  <c r="X28" i="25"/>
  <c r="V29" i="25"/>
  <c r="Y29" i="25"/>
  <c r="C30" i="25"/>
  <c r="AH30" i="25" s="1"/>
  <c r="T30" i="25" s="1"/>
  <c r="B31" i="25"/>
  <c r="Y100" i="17"/>
  <c r="Y119" i="17"/>
  <c r="Y66" i="17"/>
  <c r="Y72" i="17"/>
  <c r="Y77" i="17"/>
  <c r="Y62" i="17"/>
  <c r="Y82" i="17"/>
  <c r="Y63" i="17"/>
  <c r="Y68" i="17"/>
  <c r="Y73" i="17"/>
  <c r="Y78" i="17"/>
  <c r="Y85" i="17"/>
  <c r="Y60" i="17"/>
  <c r="Y64" i="17"/>
  <c r="Y69" i="17"/>
  <c r="Y74" i="17"/>
  <c r="Y80" i="17"/>
  <c r="Y86" i="17"/>
  <c r="Y61" i="17"/>
  <c r="Y65" i="17"/>
  <c r="Y70" i="17"/>
  <c r="Y76" i="17"/>
  <c r="Y81" i="17"/>
  <c r="Y94" i="17"/>
  <c r="Y91" i="17"/>
  <c r="Y3" i="4"/>
  <c r="Y87" i="17"/>
  <c r="Y95" i="17"/>
  <c r="Y67" i="17"/>
  <c r="Y71" i="17"/>
  <c r="Y75" i="17"/>
  <c r="Y79" i="17"/>
  <c r="Y83" i="17"/>
  <c r="Y90" i="17"/>
  <c r="Y99" i="17"/>
  <c r="Y84" i="17"/>
  <c r="Y88" i="17"/>
  <c r="Y92" i="17"/>
  <c r="Y96" i="17"/>
  <c r="Y105" i="17"/>
  <c r="Y89" i="17"/>
  <c r="Y93" i="17"/>
  <c r="Y98" i="17"/>
  <c r="Y111" i="17"/>
  <c r="Y97" i="17"/>
  <c r="Y101" i="17"/>
  <c r="Y106" i="17"/>
  <c r="Y114" i="17"/>
  <c r="Y102" i="17"/>
  <c r="Y107" i="17"/>
  <c r="Y115" i="17"/>
  <c r="Y103" i="17"/>
  <c r="Y110" i="17"/>
  <c r="Y118" i="17"/>
  <c r="Y104" i="17"/>
  <c r="Y108" i="17"/>
  <c r="Y112" i="17"/>
  <c r="Y116" i="17"/>
  <c r="Y109" i="17"/>
  <c r="Y113" i="17"/>
  <c r="Y117" i="17"/>
  <c r="Y135" i="17"/>
  <c r="AM3" i="21"/>
  <c r="Z3" i="17"/>
  <c r="AI34" i="21"/>
  <c r="AL522" i="14"/>
  <c r="AK522" i="14"/>
  <c r="AL521" i="14"/>
  <c r="AK521" i="14"/>
  <c r="AL520" i="14"/>
  <c r="AK520" i="14"/>
  <c r="AL519" i="14"/>
  <c r="AK519" i="14"/>
  <c r="AL518" i="14"/>
  <c r="AK518" i="14"/>
  <c r="AL517" i="14"/>
  <c r="AK517" i="14"/>
  <c r="AL516" i="14"/>
  <c r="AK516" i="14"/>
  <c r="AL515" i="14"/>
  <c r="AK515" i="14"/>
  <c r="AL514" i="14"/>
  <c r="AK514" i="14"/>
  <c r="AL513" i="14"/>
  <c r="AK513" i="14"/>
  <c r="AM14" i="21" l="1"/>
  <c r="AM12" i="21"/>
  <c r="AM10" i="21"/>
  <c r="AM8" i="21"/>
  <c r="AM13" i="21"/>
  <c r="AM11" i="21"/>
  <c r="AM9" i="21"/>
  <c r="Z133" i="17"/>
  <c r="Z134" i="17"/>
  <c r="Z124" i="17"/>
  <c r="Z130" i="17"/>
  <c r="Z126" i="17"/>
  <c r="Z131" i="17"/>
  <c r="Z127" i="17"/>
  <c r="Z132" i="17"/>
  <c r="Z128" i="17"/>
  <c r="Z129" i="17"/>
  <c r="Z120" i="17"/>
  <c r="Z121" i="17"/>
  <c r="Z122" i="17"/>
  <c r="Z125" i="17"/>
  <c r="Z123" i="17"/>
  <c r="AM4" i="21"/>
  <c r="AM6" i="21"/>
  <c r="AM7" i="21"/>
  <c r="AM5" i="21"/>
  <c r="Z22" i="17" a="1"/>
  <c r="Z22" i="17" s="1"/>
  <c r="Z24" i="17" a="1"/>
  <c r="Z24" i="17" s="1"/>
  <c r="Z55" i="17" a="1"/>
  <c r="Z55" i="17" s="1"/>
  <c r="Z23" i="17" a="1"/>
  <c r="Z23" i="17" s="1"/>
  <c r="Z45" i="17" a="1"/>
  <c r="Z45" i="17" s="1"/>
  <c r="Z50" i="17" a="1"/>
  <c r="Z50" i="17" s="1"/>
  <c r="Z54" i="17" a="1"/>
  <c r="Z54" i="17" s="1"/>
  <c r="Z31" i="17" a="1"/>
  <c r="Z31" i="17" s="1"/>
  <c r="Z26" i="17" a="1"/>
  <c r="Z26" i="17" s="1"/>
  <c r="Z49" i="17" a="1"/>
  <c r="Z49" i="17" s="1"/>
  <c r="Z53" i="17" a="1"/>
  <c r="Z53" i="17" s="1"/>
  <c r="Z51" i="17" a="1"/>
  <c r="Z51" i="17" s="1"/>
  <c r="Z56" i="17" a="1"/>
  <c r="Z56" i="17" s="1"/>
  <c r="Z21" i="17" a="1"/>
  <c r="Z21" i="17" s="1"/>
  <c r="Z52" i="17" a="1"/>
  <c r="Z52" i="17" s="1"/>
  <c r="C31" i="25"/>
  <c r="AH31" i="25" s="1"/>
  <c r="T31" i="25" s="1"/>
  <c r="B32" i="25"/>
  <c r="V30" i="25"/>
  <c r="Y30" i="25"/>
  <c r="Z63" i="17"/>
  <c r="X29" i="25"/>
  <c r="Z117" i="17"/>
  <c r="Z69" i="17"/>
  <c r="Z62" i="17"/>
  <c r="Z83" i="17"/>
  <c r="Z67" i="17"/>
  <c r="Z61" i="17"/>
  <c r="Z66" i="17"/>
  <c r="Z75" i="17"/>
  <c r="Z65" i="17"/>
  <c r="Z70" i="17"/>
  <c r="Z60" i="17"/>
  <c r="Z64" i="17"/>
  <c r="Z68" i="17"/>
  <c r="Z72" i="17"/>
  <c r="Z79" i="17"/>
  <c r="Z91" i="17"/>
  <c r="Z74" i="17"/>
  <c r="Z80" i="17"/>
  <c r="Z101" i="17"/>
  <c r="Z71" i="17"/>
  <c r="Z76" i="17"/>
  <c r="Z88" i="17"/>
  <c r="Z84" i="17"/>
  <c r="Z92" i="17"/>
  <c r="Z87" i="17"/>
  <c r="Z96" i="17"/>
  <c r="Z73" i="17"/>
  <c r="Z77" i="17"/>
  <c r="Z81" i="17"/>
  <c r="Z85" i="17"/>
  <c r="Z89" i="17"/>
  <c r="Z93" i="17"/>
  <c r="Z97" i="17"/>
  <c r="Z105" i="17"/>
  <c r="Z78" i="17"/>
  <c r="Z82" i="17"/>
  <c r="Z86" i="17"/>
  <c r="Z90" i="17"/>
  <c r="Z94" i="17"/>
  <c r="Z99" i="17"/>
  <c r="Z107" i="17"/>
  <c r="Z95" i="17"/>
  <c r="Z100" i="17"/>
  <c r="Z3" i="4"/>
  <c r="Z98" i="17"/>
  <c r="Z102" i="17"/>
  <c r="Z108" i="17"/>
  <c r="Z103" i="17"/>
  <c r="Z113" i="17"/>
  <c r="Z104" i="17"/>
  <c r="Z109" i="17"/>
  <c r="Z106" i="17"/>
  <c r="Z110" i="17"/>
  <c r="Z114" i="17"/>
  <c r="Z118" i="17"/>
  <c r="Z111" i="17"/>
  <c r="Z115" i="17"/>
  <c r="Z112" i="17"/>
  <c r="Z116" i="17"/>
  <c r="Z135" i="17"/>
  <c r="Z119" i="17"/>
  <c r="AN3" i="21"/>
  <c r="AA3" i="17"/>
  <c r="AJ34" i="21"/>
  <c r="AK523" i="14"/>
  <c r="AL523" i="14"/>
  <c r="AN13" i="21" l="1"/>
  <c r="AN11" i="21"/>
  <c r="AN9" i="21"/>
  <c r="AN8" i="21"/>
  <c r="AN10" i="21"/>
  <c r="AN14" i="21"/>
  <c r="AN12" i="21"/>
  <c r="AA131" i="17"/>
  <c r="AA132" i="17"/>
  <c r="AA133" i="17"/>
  <c r="AA124" i="17"/>
  <c r="AA134" i="17"/>
  <c r="AA126" i="17"/>
  <c r="AA129" i="17"/>
  <c r="AA127" i="17"/>
  <c r="AA130" i="17"/>
  <c r="AA128" i="17"/>
  <c r="AA120" i="17"/>
  <c r="AA125" i="17"/>
  <c r="AA121" i="17"/>
  <c r="AA123" i="17"/>
  <c r="AA122" i="17"/>
  <c r="AN4" i="21"/>
  <c r="AN7" i="21"/>
  <c r="AN5" i="21"/>
  <c r="AN6" i="21"/>
  <c r="AA24" i="17" a="1"/>
  <c r="AA24" i="17" s="1"/>
  <c r="AA22" i="17" a="1"/>
  <c r="AA22" i="17" s="1"/>
  <c r="AA31" i="17" a="1"/>
  <c r="AA31" i="17" s="1"/>
  <c r="AA49" i="17" a="1"/>
  <c r="AA49" i="17" s="1"/>
  <c r="AA23" i="17" a="1"/>
  <c r="AA23" i="17" s="1"/>
  <c r="AA21" i="17" a="1"/>
  <c r="AA21" i="17" s="1"/>
  <c r="AA26" i="17" a="1"/>
  <c r="AA26" i="17" s="1"/>
  <c r="AA45" i="17" a="1"/>
  <c r="AA45" i="17" s="1"/>
  <c r="AA50" i="17" a="1"/>
  <c r="AA50" i="17" s="1"/>
  <c r="AA53" i="17" a="1"/>
  <c r="AA53" i="17" s="1"/>
  <c r="AA56" i="17" a="1"/>
  <c r="AA56" i="17" s="1"/>
  <c r="AA52" i="17" a="1"/>
  <c r="AA52" i="17" s="1"/>
  <c r="AA51" i="17" a="1"/>
  <c r="AA51" i="17" s="1"/>
  <c r="AA55" i="17" a="1"/>
  <c r="AA55" i="17" s="1"/>
  <c r="AA54" i="17" a="1"/>
  <c r="AA54" i="17" s="1"/>
  <c r="V31" i="25"/>
  <c r="Y31" i="25"/>
  <c r="X30" i="25"/>
  <c r="C32" i="25"/>
  <c r="AH32" i="25" s="1"/>
  <c r="T32" i="25" s="1"/>
  <c r="B33" i="25"/>
  <c r="AA60" i="17"/>
  <c r="AA119" i="17"/>
  <c r="AA61" i="17"/>
  <c r="AA70" i="17"/>
  <c r="AA75" i="17"/>
  <c r="AA63" i="17"/>
  <c r="AA81" i="17"/>
  <c r="AA64" i="17"/>
  <c r="AA91" i="17"/>
  <c r="AA71" i="17"/>
  <c r="AA77" i="17"/>
  <c r="AA83" i="17"/>
  <c r="AA95" i="17"/>
  <c r="AA68" i="17"/>
  <c r="AA65" i="17"/>
  <c r="AA73" i="17"/>
  <c r="AA78" i="17"/>
  <c r="AA85" i="17"/>
  <c r="AA99" i="17"/>
  <c r="AA67" i="17"/>
  <c r="AA62" i="17"/>
  <c r="AA69" i="17"/>
  <c r="AA74" i="17"/>
  <c r="AA79" i="17"/>
  <c r="AA87" i="17"/>
  <c r="AA111" i="17"/>
  <c r="AA82" i="17"/>
  <c r="AA86" i="17"/>
  <c r="AA92" i="17"/>
  <c r="AA103" i="17"/>
  <c r="AA66" i="17"/>
  <c r="AA72" i="17"/>
  <c r="AA76" i="17"/>
  <c r="AA80" i="17"/>
  <c r="AA84" i="17"/>
  <c r="AA88" i="17"/>
  <c r="AA96" i="17"/>
  <c r="AA113" i="17"/>
  <c r="AA100" i="17"/>
  <c r="AA104" i="17"/>
  <c r="AA108" i="17"/>
  <c r="AA114" i="17"/>
  <c r="AA89" i="17"/>
  <c r="AA93" i="17"/>
  <c r="AA97" i="17"/>
  <c r="AA101" i="17"/>
  <c r="AA105" i="17"/>
  <c r="AA109" i="17"/>
  <c r="AA116" i="17"/>
  <c r="AA90" i="17"/>
  <c r="AA94" i="17"/>
  <c r="AA98" i="17"/>
  <c r="AA102" i="17"/>
  <c r="AA106" i="17"/>
  <c r="AA110" i="17"/>
  <c r="AA3" i="4"/>
  <c r="AA115" i="17"/>
  <c r="AA107" i="17"/>
  <c r="AA112" i="17"/>
  <c r="AA117" i="17"/>
  <c r="AO3" i="21"/>
  <c r="AA135" i="17"/>
  <c r="AA118" i="17"/>
  <c r="AB3" i="17"/>
  <c r="C1" i="17"/>
  <c r="AO13" i="21" l="1"/>
  <c r="AO11" i="21"/>
  <c r="AO9" i="21"/>
  <c r="AO14" i="21"/>
  <c r="AO12" i="21"/>
  <c r="AO10" i="21"/>
  <c r="AO8" i="21"/>
  <c r="AB129" i="17"/>
  <c r="AB123" i="17"/>
  <c r="AB130" i="17"/>
  <c r="AB131" i="17"/>
  <c r="AB133" i="17"/>
  <c r="AB126" i="17"/>
  <c r="AB134" i="17"/>
  <c r="AB127" i="17"/>
  <c r="AB128" i="17"/>
  <c r="AB120" i="17"/>
  <c r="AB125" i="17"/>
  <c r="AB124" i="17"/>
  <c r="AB121" i="17"/>
  <c r="AB132" i="17"/>
  <c r="AB122" i="17"/>
  <c r="AO4" i="21"/>
  <c r="AO7" i="21"/>
  <c r="AO5" i="21"/>
  <c r="AO6" i="21"/>
  <c r="AB24" i="17" a="1"/>
  <c r="AB24" i="17" s="1"/>
  <c r="AB22" i="17" a="1"/>
  <c r="AB22" i="17" s="1"/>
  <c r="AB31" i="17" a="1"/>
  <c r="AB31" i="17" s="1"/>
  <c r="AB50" i="17" a="1"/>
  <c r="AB50" i="17" s="1"/>
  <c r="AB45" i="17" a="1"/>
  <c r="AB45" i="17" s="1"/>
  <c r="AB53" i="17" a="1"/>
  <c r="AB53" i="17" s="1"/>
  <c r="AB51" i="17" a="1"/>
  <c r="AB51" i="17" s="1"/>
  <c r="AB52" i="17" a="1"/>
  <c r="AB52" i="17" s="1"/>
  <c r="AB23" i="17" a="1"/>
  <c r="AB23" i="17" s="1"/>
  <c r="AB54" i="17" a="1"/>
  <c r="AB54" i="17" s="1"/>
  <c r="AB56" i="17" a="1"/>
  <c r="AB56" i="17" s="1"/>
  <c r="AB26" i="17" a="1"/>
  <c r="AB26" i="17" s="1"/>
  <c r="AB49" i="17" a="1"/>
  <c r="AB49" i="17" s="1"/>
  <c r="AB21" i="17" a="1"/>
  <c r="AB21" i="17" s="1"/>
  <c r="AB55" i="17" a="1"/>
  <c r="AB55" i="17" s="1"/>
  <c r="X31" i="25"/>
  <c r="C33" i="25"/>
  <c r="AH33" i="25" s="1"/>
  <c r="T33" i="25" s="1"/>
  <c r="B34" i="25"/>
  <c r="AB68" i="17"/>
  <c r="V32" i="25"/>
  <c r="Y32" i="25"/>
  <c r="AB74" i="17"/>
  <c r="AB85" i="17"/>
  <c r="AB61" i="17"/>
  <c r="AB63" i="17"/>
  <c r="AB69" i="17"/>
  <c r="AB75" i="17"/>
  <c r="AB67" i="17"/>
  <c r="AB64" i="17"/>
  <c r="AB70" i="17"/>
  <c r="AB78" i="17"/>
  <c r="AB60" i="17"/>
  <c r="AB65" i="17"/>
  <c r="AB73" i="17"/>
  <c r="AB83" i="17"/>
  <c r="AB92" i="17"/>
  <c r="AB79" i="17"/>
  <c r="AB90" i="17"/>
  <c r="AB62" i="17"/>
  <c r="AB66" i="17"/>
  <c r="AB71" i="17"/>
  <c r="AB77" i="17"/>
  <c r="AP3" i="21"/>
  <c r="AB72" i="17"/>
  <c r="AB76" i="17"/>
  <c r="AB81" i="17"/>
  <c r="AB86" i="17"/>
  <c r="AB97" i="17"/>
  <c r="AB82" i="17"/>
  <c r="AB87" i="17"/>
  <c r="AB98" i="17"/>
  <c r="AB80" i="17"/>
  <c r="AB84" i="17"/>
  <c r="AB88" i="17"/>
  <c r="AB93" i="17"/>
  <c r="AB102" i="17"/>
  <c r="AB89" i="17"/>
  <c r="AB94" i="17"/>
  <c r="AB108" i="17"/>
  <c r="AB91" i="17"/>
  <c r="AB95" i="17"/>
  <c r="AB99" i="17"/>
  <c r="AB103" i="17"/>
  <c r="AB112" i="17"/>
  <c r="AB96" i="17"/>
  <c r="AB100" i="17"/>
  <c r="AB104" i="17"/>
  <c r="AB116" i="17"/>
  <c r="AB101" i="17"/>
  <c r="AB107" i="17"/>
  <c r="AB105" i="17"/>
  <c r="AB109" i="17"/>
  <c r="AB113" i="17"/>
  <c r="AB117" i="17"/>
  <c r="AB135" i="17"/>
  <c r="AB106" i="17"/>
  <c r="AB110" i="17"/>
  <c r="AB114" i="17"/>
  <c r="AB118" i="17"/>
  <c r="AB3" i="4"/>
  <c r="AB111" i="17"/>
  <c r="AB115" i="17"/>
  <c r="AB119" i="17"/>
  <c r="AC3" i="17"/>
  <c r="X523" i="14"/>
  <c r="W523" i="14"/>
  <c r="U523" i="14"/>
  <c r="R523" i="14"/>
  <c r="Q523" i="14"/>
  <c r="O523" i="14"/>
  <c r="AK7" i="14"/>
  <c r="AK8" i="14"/>
  <c r="AP13" i="21" l="1"/>
  <c r="AP11" i="21"/>
  <c r="AP9" i="21"/>
  <c r="AP14" i="21"/>
  <c r="AP12" i="21"/>
  <c r="AP10" i="21"/>
  <c r="AP8" i="21"/>
  <c r="AC130" i="17"/>
  <c r="AC126" i="17"/>
  <c r="AC129" i="17"/>
  <c r="AC131" i="17"/>
  <c r="AC127" i="17"/>
  <c r="AC132" i="17"/>
  <c r="AC128" i="17"/>
  <c r="AC133" i="17"/>
  <c r="AC124" i="17"/>
  <c r="AC125" i="17"/>
  <c r="AC123" i="17"/>
  <c r="AC134" i="17"/>
  <c r="AC122" i="17"/>
  <c r="AC120" i="17"/>
  <c r="AC121" i="17"/>
  <c r="AP4" i="21"/>
  <c r="AP7" i="21"/>
  <c r="AP5" i="21"/>
  <c r="AP6" i="21"/>
  <c r="AC21" i="17" a="1"/>
  <c r="AC21" i="17" s="1"/>
  <c r="AC24" i="17" a="1"/>
  <c r="AC24" i="17" s="1"/>
  <c r="AC51" i="17" a="1"/>
  <c r="AC51" i="17" s="1"/>
  <c r="AC23" i="17" a="1"/>
  <c r="AC23" i="17" s="1"/>
  <c r="AC45" i="17" a="1"/>
  <c r="AC45" i="17" s="1"/>
  <c r="AC26" i="17" a="1"/>
  <c r="AC26" i="17" s="1"/>
  <c r="AC55" i="17" a="1"/>
  <c r="AC55" i="17" s="1"/>
  <c r="AC50" i="17" a="1"/>
  <c r="AC50" i="17" s="1"/>
  <c r="AC22" i="17" a="1"/>
  <c r="AC22" i="17" s="1"/>
  <c r="AC49" i="17" a="1"/>
  <c r="AC49" i="17" s="1"/>
  <c r="AC54" i="17" a="1"/>
  <c r="AC54" i="17" s="1"/>
  <c r="AC31" i="17" a="1"/>
  <c r="AC31" i="17" s="1"/>
  <c r="AC53" i="17" a="1"/>
  <c r="AC53" i="17" s="1"/>
  <c r="AC52" i="17" a="1"/>
  <c r="AC52" i="17" s="1"/>
  <c r="AC56" i="17" a="1"/>
  <c r="AC56" i="17" s="1"/>
  <c r="B35" i="25"/>
  <c r="C34" i="25"/>
  <c r="AH34" i="25" s="1"/>
  <c r="T34" i="25" s="1"/>
  <c r="AC79" i="17"/>
  <c r="Y33" i="25"/>
  <c r="V33" i="25"/>
  <c r="AC112" i="17"/>
  <c r="X32" i="25"/>
  <c r="AC108" i="17"/>
  <c r="AC60" i="17"/>
  <c r="AC76" i="17"/>
  <c r="AC64" i="17"/>
  <c r="AC92" i="17"/>
  <c r="AC72" i="17"/>
  <c r="AC96" i="17"/>
  <c r="AC68" i="17"/>
  <c r="AC87" i="17"/>
  <c r="AC3" i="4"/>
  <c r="AC104" i="17"/>
  <c r="AC83" i="17"/>
  <c r="AC100" i="17"/>
  <c r="AC119" i="17"/>
  <c r="AC61" i="17"/>
  <c r="AC65" i="17"/>
  <c r="AC69" i="17"/>
  <c r="AC73" i="17"/>
  <c r="AC77" i="17"/>
  <c r="AC80" i="17"/>
  <c r="AC84" i="17"/>
  <c r="AC88" i="17"/>
  <c r="AC93" i="17"/>
  <c r="AC97" i="17"/>
  <c r="AC101" i="17"/>
  <c r="AC105" i="17"/>
  <c r="AC109" i="17"/>
  <c r="AC114" i="17"/>
  <c r="AC135" i="17"/>
  <c r="AC62" i="17"/>
  <c r="AC66" i="17"/>
  <c r="AC70" i="17"/>
  <c r="AC74" i="17"/>
  <c r="AC78" i="17"/>
  <c r="AC81" i="17"/>
  <c r="AC85" i="17"/>
  <c r="AC90" i="17"/>
  <c r="AC94" i="17"/>
  <c r="AC98" i="17"/>
  <c r="AC102" i="17"/>
  <c r="AC106" i="17"/>
  <c r="AC110" i="17"/>
  <c r="AC115" i="17"/>
  <c r="AC63" i="17"/>
  <c r="AC67" i="17"/>
  <c r="AC71" i="17"/>
  <c r="AC75" i="17"/>
  <c r="AC89" i="17"/>
  <c r="AC82" i="17"/>
  <c r="AC86" i="17"/>
  <c r="AC91" i="17"/>
  <c r="AC95" i="17"/>
  <c r="AC99" i="17"/>
  <c r="AC103" i="17"/>
  <c r="AC107" i="17"/>
  <c r="AC111" i="17"/>
  <c r="AC117" i="17"/>
  <c r="AC113" i="17"/>
  <c r="AC118" i="17"/>
  <c r="AQ3" i="21"/>
  <c r="AC116" i="17"/>
  <c r="AD3" i="17"/>
  <c r="AK507" i="14"/>
  <c r="A1" i="22"/>
  <c r="E6" i="18"/>
  <c r="E8" i="18"/>
  <c r="E9" i="18"/>
  <c r="E512" i="18"/>
  <c r="E513" i="18"/>
  <c r="E514" i="18"/>
  <c r="E515" i="18"/>
  <c r="E516" i="18"/>
  <c r="E517" i="18"/>
  <c r="E518" i="18"/>
  <c r="E519" i="18"/>
  <c r="E520" i="18"/>
  <c r="E521" i="18"/>
  <c r="C7" i="14"/>
  <c r="AC7" i="18"/>
  <c r="AM8" i="14" s="1"/>
  <c r="C513" i="14"/>
  <c r="L512" i="18"/>
  <c r="AM513" i="14" s="1"/>
  <c r="B7" i="14"/>
  <c r="L523" i="14"/>
  <c r="K523" i="14"/>
  <c r="I523" i="14"/>
  <c r="C522" i="14"/>
  <c r="B522" i="14"/>
  <c r="C521" i="14"/>
  <c r="B521" i="14"/>
  <c r="C520" i="14"/>
  <c r="B520" i="14"/>
  <c r="C519" i="14"/>
  <c r="B519" i="14"/>
  <c r="C518" i="14"/>
  <c r="B518" i="14"/>
  <c r="C517" i="14"/>
  <c r="B517" i="14"/>
  <c r="C516" i="14"/>
  <c r="B516" i="14"/>
  <c r="C515" i="14"/>
  <c r="B515" i="14"/>
  <c r="C514" i="14"/>
  <c r="B514" i="14"/>
  <c r="B513" i="14"/>
  <c r="D506" i="18"/>
  <c r="K522" i="18"/>
  <c r="J522" i="18"/>
  <c r="I522" i="18"/>
  <c r="H522" i="18"/>
  <c r="G522" i="18"/>
  <c r="F522" i="18"/>
  <c r="D522" i="18"/>
  <c r="C522" i="18"/>
  <c r="L521" i="18"/>
  <c r="AM522" i="14" s="1"/>
  <c r="L520" i="18"/>
  <c r="AM521" i="14" s="1"/>
  <c r="L519" i="18"/>
  <c r="L518" i="18"/>
  <c r="AM519" i="14" s="1"/>
  <c r="L517" i="18"/>
  <c r="AM518" i="14" s="1"/>
  <c r="L516" i="18"/>
  <c r="L515" i="18"/>
  <c r="L514" i="18"/>
  <c r="AM515" i="14" s="1"/>
  <c r="L513" i="18"/>
  <c r="AM514" i="14" s="1"/>
  <c r="BK153" i="17"/>
  <c r="C8" i="4"/>
  <c r="BK8" i="17"/>
  <c r="BK10" i="17"/>
  <c r="BK13" i="17" s="1"/>
  <c r="BK12" i="17"/>
  <c r="AB506" i="18"/>
  <c r="AA506" i="18"/>
  <c r="Z506" i="18"/>
  <c r="T506" i="18"/>
  <c r="A1" i="12"/>
  <c r="G4" i="8"/>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F91" i="8"/>
  <c r="AO507" i="14"/>
  <c r="AP507" i="14"/>
  <c r="AQ507" i="14"/>
  <c r="BK43" i="17"/>
  <c r="BK44" i="17"/>
  <c r="C1" i="4"/>
  <c r="C12" i="4"/>
  <c r="C13" i="4" s="1"/>
  <c r="AQ13" i="21" l="1"/>
  <c r="AQ11" i="21"/>
  <c r="AQ9" i="21"/>
  <c r="AQ8" i="21"/>
  <c r="AQ14" i="21"/>
  <c r="AQ12" i="21"/>
  <c r="AQ10" i="21"/>
  <c r="J9" i="18"/>
  <c r="L9" i="18" s="1"/>
  <c r="J8" i="18"/>
  <c r="L8" i="18" s="1"/>
  <c r="J6" i="18"/>
  <c r="L6" i="18" s="1"/>
  <c r="C20" i="17" a="1"/>
  <c r="C20" i="17" s="1"/>
  <c r="C150" i="17"/>
  <c r="D150" i="17"/>
  <c r="E150" i="17"/>
  <c r="F150" i="17"/>
  <c r="G150" i="17"/>
  <c r="H150" i="17"/>
  <c r="I150" i="17"/>
  <c r="J150" i="17"/>
  <c r="K150" i="17"/>
  <c r="L150" i="17"/>
  <c r="M150" i="17"/>
  <c r="N150" i="17"/>
  <c r="O150" i="17"/>
  <c r="P150" i="17"/>
  <c r="Q150" i="17"/>
  <c r="R150" i="17"/>
  <c r="S150" i="17"/>
  <c r="T150" i="17"/>
  <c r="U150" i="17"/>
  <c r="V150" i="17"/>
  <c r="W150" i="17"/>
  <c r="X150" i="17"/>
  <c r="Y150" i="17"/>
  <c r="Z150" i="17"/>
  <c r="AA150" i="17"/>
  <c r="AB150" i="17"/>
  <c r="AD150" i="17"/>
  <c r="AD134" i="17"/>
  <c r="AD129" i="17"/>
  <c r="AD124" i="17"/>
  <c r="AD125" i="17"/>
  <c r="AD131" i="17"/>
  <c r="AD127" i="17"/>
  <c r="AD132" i="17"/>
  <c r="AD128" i="17"/>
  <c r="AD133" i="17"/>
  <c r="AD120" i="17"/>
  <c r="AD121" i="17"/>
  <c r="AD123" i="17"/>
  <c r="AD126" i="17"/>
  <c r="AD122" i="17"/>
  <c r="AD130" i="17"/>
  <c r="AC150" i="17"/>
  <c r="AQ4" i="21"/>
  <c r="AQ7" i="21"/>
  <c r="AQ5" i="21"/>
  <c r="AQ6" i="21"/>
  <c r="P144" i="17"/>
  <c r="I143" i="17"/>
  <c r="S149" i="17"/>
  <c r="F144" i="17"/>
  <c r="T148" i="17"/>
  <c r="N138" i="17"/>
  <c r="L140" i="17"/>
  <c r="M138" i="17"/>
  <c r="AD87" i="17"/>
  <c r="AD21" i="17" a="1"/>
  <c r="AD21" i="17" s="1"/>
  <c r="AD26" i="17" a="1"/>
  <c r="AD26" i="17" s="1"/>
  <c r="AD48" i="17" a="1"/>
  <c r="AD48" i="17" s="1"/>
  <c r="AD22" i="17" a="1"/>
  <c r="AD22" i="17" s="1"/>
  <c r="AD52" i="17" a="1"/>
  <c r="AD52" i="17" s="1"/>
  <c r="AD55" i="17" a="1"/>
  <c r="AD55" i="17" s="1"/>
  <c r="AD31" i="17" a="1"/>
  <c r="AD31" i="17" s="1"/>
  <c r="AD45" i="17" a="1"/>
  <c r="AD45" i="17" s="1"/>
  <c r="AD23" i="17" a="1"/>
  <c r="AD23" i="17" s="1"/>
  <c r="AD51" i="17" a="1"/>
  <c r="AD51" i="17" s="1"/>
  <c r="AD53" i="17" a="1"/>
  <c r="AD53" i="17" s="1"/>
  <c r="AD56" i="17" a="1"/>
  <c r="AD56" i="17" s="1"/>
  <c r="AD54" i="17" a="1"/>
  <c r="AD54" i="17" s="1"/>
  <c r="AD49" i="17" a="1"/>
  <c r="AD49" i="17" s="1"/>
  <c r="AD50" i="17" a="1"/>
  <c r="AD50" i="17" s="1"/>
  <c r="AD24" i="17" a="1"/>
  <c r="AD24" i="17" s="1"/>
  <c r="H30" i="17" a="1"/>
  <c r="H30" i="17" s="1"/>
  <c r="H32" i="17" s="1"/>
  <c r="P30" i="17" a="1"/>
  <c r="P30" i="17" s="1"/>
  <c r="P32" i="17" s="1"/>
  <c r="X30" i="17" a="1"/>
  <c r="X30" i="17" s="1"/>
  <c r="X32" i="17" s="1"/>
  <c r="I30" i="17" a="1"/>
  <c r="I30" i="17" s="1"/>
  <c r="I32" i="17" s="1"/>
  <c r="Q30" i="17" a="1"/>
  <c r="Q30" i="17" s="1"/>
  <c r="Q32" i="17" s="1"/>
  <c r="Y30" i="17" a="1"/>
  <c r="Y30" i="17" s="1"/>
  <c r="Y32" i="17" s="1"/>
  <c r="J30" i="17" a="1"/>
  <c r="J30" i="17" s="1"/>
  <c r="J32" i="17" s="1"/>
  <c r="R30" i="17" a="1"/>
  <c r="R30" i="17" s="1"/>
  <c r="R32" i="17" s="1"/>
  <c r="Z30" i="17" a="1"/>
  <c r="Z30" i="17" s="1"/>
  <c r="Z32" i="17" s="1"/>
  <c r="K30" i="17" a="1"/>
  <c r="K30" i="17" s="1"/>
  <c r="K32" i="17" s="1"/>
  <c r="S30" i="17" a="1"/>
  <c r="S30" i="17" s="1"/>
  <c r="S32" i="17" s="1"/>
  <c r="AA30" i="17" a="1"/>
  <c r="AA30" i="17" s="1"/>
  <c r="AA32" i="17" s="1"/>
  <c r="D30" i="17" a="1"/>
  <c r="D30" i="17" s="1"/>
  <c r="D32" i="17" s="1"/>
  <c r="L30" i="17" a="1"/>
  <c r="L30" i="17" s="1"/>
  <c r="L32" i="17" s="1"/>
  <c r="T30" i="17" a="1"/>
  <c r="T30" i="17" s="1"/>
  <c r="T32" i="17" s="1"/>
  <c r="E30" i="17" a="1"/>
  <c r="E30" i="17" s="1"/>
  <c r="E32" i="17" s="1"/>
  <c r="M30" i="17" a="1"/>
  <c r="M30" i="17" s="1"/>
  <c r="M32" i="17" s="1"/>
  <c r="U30" i="17" a="1"/>
  <c r="U30" i="17" s="1"/>
  <c r="U32" i="17" s="1"/>
  <c r="AB30" i="17" a="1"/>
  <c r="AB30" i="17" s="1"/>
  <c r="AB32" i="17" s="1"/>
  <c r="F30" i="17" a="1"/>
  <c r="F30" i="17" s="1"/>
  <c r="F32" i="17" s="1"/>
  <c r="N30" i="17" a="1"/>
  <c r="N30" i="17" s="1"/>
  <c r="N32" i="17" s="1"/>
  <c r="V30" i="17" a="1"/>
  <c r="V30" i="17" s="1"/>
  <c r="V32" i="17" s="1"/>
  <c r="AC30" i="17" a="1"/>
  <c r="AC30" i="17" s="1"/>
  <c r="AC32" i="17" s="1"/>
  <c r="G30" i="17" a="1"/>
  <c r="G30" i="17" s="1"/>
  <c r="G32" i="17" s="1"/>
  <c r="O30" i="17" a="1"/>
  <c r="O30" i="17" s="1"/>
  <c r="O32" i="17" s="1"/>
  <c r="W30" i="17" a="1"/>
  <c r="W30" i="17" s="1"/>
  <c r="W32" i="17" s="1"/>
  <c r="AD30" i="17" a="1"/>
  <c r="AD30" i="17" s="1"/>
  <c r="C30" i="17" a="1"/>
  <c r="C30" i="17" s="1"/>
  <c r="D20" i="17" a="1"/>
  <c r="D20" i="17" s="1"/>
  <c r="L20" i="17" a="1"/>
  <c r="L20" i="17" s="1"/>
  <c r="T20" i="17" a="1"/>
  <c r="T20" i="17" s="1"/>
  <c r="AB20" i="17" a="1"/>
  <c r="AB20" i="17" s="1"/>
  <c r="E20" i="17" a="1"/>
  <c r="E20" i="17" s="1"/>
  <c r="M20" i="17" a="1"/>
  <c r="M20" i="17" s="1"/>
  <c r="U20" i="17" a="1"/>
  <c r="U20" i="17" s="1"/>
  <c r="AC20" i="17" a="1"/>
  <c r="AC20" i="17" s="1"/>
  <c r="F20" i="17" a="1"/>
  <c r="F20" i="17" s="1"/>
  <c r="N20" i="17" a="1"/>
  <c r="N20" i="17" s="1"/>
  <c r="V20" i="17" a="1"/>
  <c r="V20" i="17" s="1"/>
  <c r="AD20" i="17" a="1"/>
  <c r="AD20" i="17" s="1"/>
  <c r="G20" i="17" a="1"/>
  <c r="G20" i="17" s="1"/>
  <c r="O20" i="17" a="1"/>
  <c r="O20" i="17" s="1"/>
  <c r="W20" i="17" a="1"/>
  <c r="W20" i="17" s="1"/>
  <c r="H20" i="17" a="1"/>
  <c r="H20" i="17" s="1"/>
  <c r="P20" i="17" a="1"/>
  <c r="P20" i="17" s="1"/>
  <c r="X20" i="17" a="1"/>
  <c r="X20" i="17" s="1"/>
  <c r="I20" i="17" a="1"/>
  <c r="I20" i="17" s="1"/>
  <c r="Q20" i="17" a="1"/>
  <c r="Q20" i="17" s="1"/>
  <c r="Y20" i="17" a="1"/>
  <c r="Y20" i="17" s="1"/>
  <c r="J20" i="17" a="1"/>
  <c r="J20" i="17" s="1"/>
  <c r="R20" i="17" a="1"/>
  <c r="R20" i="17" s="1"/>
  <c r="Z20" i="17" a="1"/>
  <c r="Z20" i="17" s="1"/>
  <c r="K20" i="17" a="1"/>
  <c r="K20" i="17" s="1"/>
  <c r="S20" i="17" a="1"/>
  <c r="S20" i="17" s="1"/>
  <c r="AA20" i="17" a="1"/>
  <c r="AA20" i="17" s="1"/>
  <c r="O149" i="17"/>
  <c r="V140" i="17"/>
  <c r="O144" i="17"/>
  <c r="C146" i="17"/>
  <c r="W145" i="17"/>
  <c r="C139" i="17"/>
  <c r="H148" i="17"/>
  <c r="J148" i="17"/>
  <c r="T138" i="17"/>
  <c r="F146" i="17"/>
  <c r="M151" i="17"/>
  <c r="C151" i="17"/>
  <c r="E145" i="17"/>
  <c r="R139" i="17"/>
  <c r="AD74" i="17"/>
  <c r="AD63" i="17"/>
  <c r="AD81" i="17"/>
  <c r="AD69" i="17"/>
  <c r="AD62" i="17"/>
  <c r="AD70" i="17"/>
  <c r="X33" i="25"/>
  <c r="C35" i="25"/>
  <c r="AH35" i="25" s="1"/>
  <c r="T35" i="25" s="1"/>
  <c r="B36" i="25"/>
  <c r="AD99" i="17"/>
  <c r="AD65" i="17"/>
  <c r="AD75" i="17"/>
  <c r="V34" i="25"/>
  <c r="Y34" i="25"/>
  <c r="AD67" i="17"/>
  <c r="AD73" i="17"/>
  <c r="AD78" i="17"/>
  <c r="AD83" i="17"/>
  <c r="AD94" i="17"/>
  <c r="AD79" i="17"/>
  <c r="AD85" i="17"/>
  <c r="AD61" i="17"/>
  <c r="AD66" i="17"/>
  <c r="AD71" i="17"/>
  <c r="AD77" i="17"/>
  <c r="AD82" i="17"/>
  <c r="AD89" i="17"/>
  <c r="AD98" i="17"/>
  <c r="AD60" i="17"/>
  <c r="AD64" i="17"/>
  <c r="AD68" i="17"/>
  <c r="AD72" i="17"/>
  <c r="AD76" i="17"/>
  <c r="AD80" i="17"/>
  <c r="AD84" i="17"/>
  <c r="AD91" i="17"/>
  <c r="AD106" i="17"/>
  <c r="AD88" i="17"/>
  <c r="AD95" i="17"/>
  <c r="AD86" i="17"/>
  <c r="AD90" i="17"/>
  <c r="AR3" i="21"/>
  <c r="AD103" i="17"/>
  <c r="AD3" i="4"/>
  <c r="AD92" i="17"/>
  <c r="AD96" i="17"/>
  <c r="AD100" i="17"/>
  <c r="AD112" i="17"/>
  <c r="AD93" i="17"/>
  <c r="AD97" i="17"/>
  <c r="AD102" i="17"/>
  <c r="AD115" i="17"/>
  <c r="AD101" i="17"/>
  <c r="AD107" i="17"/>
  <c r="AD116" i="17"/>
  <c r="AD108" i="17"/>
  <c r="AD104" i="17"/>
  <c r="AD111" i="17"/>
  <c r="AD119" i="17"/>
  <c r="AD105" i="17"/>
  <c r="AD109" i="17"/>
  <c r="AD113" i="17"/>
  <c r="AD117" i="17"/>
  <c r="AD135" i="17"/>
  <c r="AD110" i="17"/>
  <c r="AD114" i="17"/>
  <c r="AD118" i="17"/>
  <c r="AE3" i="17"/>
  <c r="W144" i="17"/>
  <c r="D151" i="17"/>
  <c r="V138" i="17"/>
  <c r="I144" i="17"/>
  <c r="W147" i="17"/>
  <c r="H146" i="17"/>
  <c r="J147" i="17"/>
  <c r="L147" i="17"/>
  <c r="X142" i="17"/>
  <c r="F145" i="17"/>
  <c r="Q149" i="17"/>
  <c r="O148" i="17"/>
  <c r="Q141" i="17"/>
  <c r="O143" i="17"/>
  <c r="C144" i="17"/>
  <c r="D146" i="17"/>
  <c r="O142" i="17"/>
  <c r="F138" i="17"/>
  <c r="O147" i="17"/>
  <c r="G142" i="17"/>
  <c r="L144" i="17"/>
  <c r="U147" i="17"/>
  <c r="Q140" i="17"/>
  <c r="W140" i="17"/>
  <c r="H139" i="17"/>
  <c r="V142" i="17"/>
  <c r="W148" i="17"/>
  <c r="I138" i="17"/>
  <c r="Q148" i="17"/>
  <c r="X140" i="17"/>
  <c r="E138" i="17"/>
  <c r="G147" i="17"/>
  <c r="W141" i="17"/>
  <c r="D143" i="17"/>
  <c r="Y146" i="17"/>
  <c r="U139" i="17"/>
  <c r="Y138" i="17"/>
  <c r="N151" i="17"/>
  <c r="V141" i="17"/>
  <c r="J138" i="17"/>
  <c r="M142" i="17"/>
  <c r="G143" i="17"/>
  <c r="G91" i="8"/>
  <c r="G146" i="17"/>
  <c r="K140" i="17"/>
  <c r="T141" i="17"/>
  <c r="Y145" i="17"/>
  <c r="X138" i="17"/>
  <c r="X149" i="17"/>
  <c r="J149" i="17"/>
  <c r="M516" i="18"/>
  <c r="AN517" i="14" s="1"/>
  <c r="AM517" i="14"/>
  <c r="M520" i="18"/>
  <c r="AN521" i="14" s="1"/>
  <c r="M515" i="18"/>
  <c r="AN516" i="14" s="1"/>
  <c r="AM516" i="14"/>
  <c r="M519" i="18"/>
  <c r="AN520" i="14" s="1"/>
  <c r="AM520" i="14"/>
  <c r="M517" i="18"/>
  <c r="AN518" i="14" s="1"/>
  <c r="M521" i="18"/>
  <c r="AN522" i="14" s="1"/>
  <c r="F140" i="17"/>
  <c r="T145" i="17"/>
  <c r="L138" i="17"/>
  <c r="S151" i="17"/>
  <c r="W146" i="17"/>
  <c r="G144" i="17"/>
  <c r="C140" i="17"/>
  <c r="L148" i="17"/>
  <c r="D144" i="17"/>
  <c r="L141" i="17"/>
  <c r="I151" i="17"/>
  <c r="Q147" i="17"/>
  <c r="U145" i="17"/>
  <c r="Y143" i="17"/>
  <c r="E143" i="17"/>
  <c r="I142" i="17"/>
  <c r="I141" i="17"/>
  <c r="M140" i="17"/>
  <c r="Q139" i="17"/>
  <c r="W151" i="17"/>
  <c r="C149" i="17"/>
  <c r="K147" i="17"/>
  <c r="K145" i="17"/>
  <c r="S143" i="17"/>
  <c r="C142" i="17"/>
  <c r="G140" i="17"/>
  <c r="Q138" i="17"/>
  <c r="P149" i="17"/>
  <c r="P147" i="17"/>
  <c r="X145" i="17"/>
  <c r="H144" i="17"/>
  <c r="H142" i="17"/>
  <c r="P140" i="17"/>
  <c r="W138" i="17"/>
  <c r="F151" i="17"/>
  <c r="F149" i="17"/>
  <c r="F148" i="17"/>
  <c r="V146" i="17"/>
  <c r="V145" i="17"/>
  <c r="V144" i="17"/>
  <c r="R143" i="17"/>
  <c r="R142" i="17"/>
  <c r="R141" i="17"/>
  <c r="N140" i="17"/>
  <c r="N139" i="17"/>
  <c r="H138" i="17"/>
  <c r="D138" i="17"/>
  <c r="K149" i="17"/>
  <c r="G148" i="17"/>
  <c r="O145" i="17"/>
  <c r="W142" i="17"/>
  <c r="O141" i="17"/>
  <c r="U138" i="17"/>
  <c r="T149" i="17"/>
  <c r="D147" i="17"/>
  <c r="L145" i="17"/>
  <c r="T142" i="17"/>
  <c r="D140" i="17"/>
  <c r="R138" i="17"/>
  <c r="I149" i="17"/>
  <c r="M148" i="17"/>
  <c r="Q146" i="17"/>
  <c r="Y144" i="17"/>
  <c r="O138" i="17"/>
  <c r="K138" i="17"/>
  <c r="G138" i="17"/>
  <c r="C138" i="17"/>
  <c r="O151" i="17"/>
  <c r="G149" i="17"/>
  <c r="S147" i="17"/>
  <c r="O146" i="17"/>
  <c r="G145" i="17"/>
  <c r="W143" i="17"/>
  <c r="K142" i="17"/>
  <c r="C141" i="17"/>
  <c r="S139" i="17"/>
  <c r="T151" i="17"/>
  <c r="L149" i="17"/>
  <c r="D148" i="17"/>
  <c r="T146" i="17"/>
  <c r="D145" i="17"/>
  <c r="T143" i="17"/>
  <c r="L142" i="17"/>
  <c r="D141" i="17"/>
  <c r="T139" i="17"/>
  <c r="Y151" i="17"/>
  <c r="Y149" i="17"/>
  <c r="E149" i="17"/>
  <c r="I148" i="17"/>
  <c r="I147" i="17"/>
  <c r="M146" i="17"/>
  <c r="Q145" i="17"/>
  <c r="Q144" i="17"/>
  <c r="U143" i="17"/>
  <c r="Y142" i="17"/>
  <c r="Y141" i="17"/>
  <c r="E141" i="17"/>
  <c r="I140" i="17"/>
  <c r="I139" i="17"/>
  <c r="K151" i="17"/>
  <c r="S148" i="17"/>
  <c r="S146" i="17"/>
  <c r="C145" i="17"/>
  <c r="K143" i="17"/>
  <c r="K141" i="17"/>
  <c r="W139" i="17"/>
  <c r="X151" i="17"/>
  <c r="X148" i="17"/>
  <c r="H147" i="17"/>
  <c r="P145" i="17"/>
  <c r="P143" i="17"/>
  <c r="X141" i="17"/>
  <c r="H140" i="17"/>
  <c r="V151" i="17"/>
  <c r="V149" i="17"/>
  <c r="V148" i="17"/>
  <c r="R147" i="17"/>
  <c r="R146" i="17"/>
  <c r="R145" i="17"/>
  <c r="N144" i="17"/>
  <c r="N143" i="17"/>
  <c r="N142" i="17"/>
  <c r="J141" i="17"/>
  <c r="J140" i="17"/>
  <c r="J139" i="17"/>
  <c r="S140" i="17"/>
  <c r="K139" i="17"/>
  <c r="L151" i="17"/>
  <c r="D149" i="17"/>
  <c r="T147" i="17"/>
  <c r="L146" i="17"/>
  <c r="T144" i="17"/>
  <c r="L143" i="17"/>
  <c r="D142" i="17"/>
  <c r="T140" i="17"/>
  <c r="L139" i="17"/>
  <c r="Q151" i="17"/>
  <c r="U149" i="17"/>
  <c r="Y148" i="17"/>
  <c r="Y147" i="17"/>
  <c r="E147" i="17"/>
  <c r="I146" i="17"/>
  <c r="I145" i="17"/>
  <c r="M144" i="17"/>
  <c r="Q143" i="17"/>
  <c r="Q142" i="17"/>
  <c r="U141" i="17"/>
  <c r="Y140" i="17"/>
  <c r="Y139" i="17"/>
  <c r="E139" i="17"/>
  <c r="G151" i="17"/>
  <c r="C148" i="17"/>
  <c r="K146" i="17"/>
  <c r="S144" i="17"/>
  <c r="S142" i="17"/>
  <c r="G141" i="17"/>
  <c r="O139" i="17"/>
  <c r="H151" i="17"/>
  <c r="P148" i="17"/>
  <c r="X146" i="17"/>
  <c r="X144" i="17"/>
  <c r="H143" i="17"/>
  <c r="P141" i="17"/>
  <c r="P139" i="17"/>
  <c r="R151" i="17"/>
  <c r="R149" i="17"/>
  <c r="N148" i="17"/>
  <c r="N147" i="17"/>
  <c r="N146" i="17"/>
  <c r="J145" i="17"/>
  <c r="J144" i="17"/>
  <c r="J143" i="17"/>
  <c r="F142" i="17"/>
  <c r="F141" i="17"/>
  <c r="M514" i="18"/>
  <c r="AN515" i="14" s="1"/>
  <c r="M518" i="18"/>
  <c r="AN519" i="14" s="1"/>
  <c r="F139" i="17"/>
  <c r="V139" i="17"/>
  <c r="R140" i="17"/>
  <c r="N141" i="17"/>
  <c r="J142" i="17"/>
  <c r="F143" i="17"/>
  <c r="V143" i="17"/>
  <c r="R144" i="17"/>
  <c r="N145" i="17"/>
  <c r="J146" i="17"/>
  <c r="F147" i="17"/>
  <c r="V147" i="17"/>
  <c r="R148" i="17"/>
  <c r="N149" i="17"/>
  <c r="J151" i="17"/>
  <c r="S138" i="17"/>
  <c r="X139" i="17"/>
  <c r="H141" i="17"/>
  <c r="P142" i="17"/>
  <c r="X143" i="17"/>
  <c r="H145" i="17"/>
  <c r="P146" i="17"/>
  <c r="X147" i="17"/>
  <c r="H149" i="17"/>
  <c r="P151" i="17"/>
  <c r="G139" i="17"/>
  <c r="O140" i="17"/>
  <c r="S141" i="17"/>
  <c r="C143" i="17"/>
  <c r="K144" i="17"/>
  <c r="S145" i="17"/>
  <c r="C147" i="17"/>
  <c r="K148" i="17"/>
  <c r="W149" i="17"/>
  <c r="P138" i="17"/>
  <c r="M139" i="17"/>
  <c r="E140" i="17"/>
  <c r="U140" i="17"/>
  <c r="M141" i="17"/>
  <c r="E142" i="17"/>
  <c r="U142" i="17"/>
  <c r="M143" i="17"/>
  <c r="E144" i="17"/>
  <c r="U144" i="17"/>
  <c r="M145" i="17"/>
  <c r="E146" i="17"/>
  <c r="U146" i="17"/>
  <c r="M147" i="17"/>
  <c r="E148" i="17"/>
  <c r="U148" i="17"/>
  <c r="M149" i="17"/>
  <c r="E151" i="17"/>
  <c r="U151" i="17"/>
  <c r="D139" i="17"/>
  <c r="E522" i="18"/>
  <c r="H616" i="22"/>
  <c r="M512" i="18"/>
  <c r="AN513" i="14" s="1"/>
  <c r="S136" i="17"/>
  <c r="S24" i="4" s="1"/>
  <c r="Q136" i="17"/>
  <c r="Q24" i="4" s="1"/>
  <c r="AB139" i="17"/>
  <c r="AA140" i="17"/>
  <c r="Z141" i="17"/>
  <c r="AB143" i="17"/>
  <c r="AA144" i="17"/>
  <c r="Z145" i="17"/>
  <c r="AB147" i="17"/>
  <c r="AA148" i="17"/>
  <c r="Z149" i="17"/>
  <c r="Z138" i="17"/>
  <c r="AB140" i="17"/>
  <c r="AA141" i="17"/>
  <c r="Z142" i="17"/>
  <c r="AB144" i="17"/>
  <c r="AA145" i="17"/>
  <c r="Z146" i="17"/>
  <c r="AB148" i="17"/>
  <c r="AA149" i="17"/>
  <c r="Z151" i="17"/>
  <c r="AA138" i="17"/>
  <c r="Z139" i="17"/>
  <c r="AB141" i="17"/>
  <c r="AA142" i="17"/>
  <c r="Z143" i="17"/>
  <c r="AB145" i="17"/>
  <c r="AA146" i="17"/>
  <c r="Z147" i="17"/>
  <c r="AB149" i="17"/>
  <c r="AA151" i="17"/>
  <c r="AB138" i="17"/>
  <c r="AA139" i="17"/>
  <c r="Z140" i="17"/>
  <c r="AB142" i="17"/>
  <c r="AA143" i="17"/>
  <c r="Z144" i="17"/>
  <c r="AB146" i="17"/>
  <c r="AA147" i="17"/>
  <c r="Z148" i="17"/>
  <c r="AB151" i="17"/>
  <c r="M513" i="18"/>
  <c r="AN514" i="14" s="1"/>
  <c r="L522" i="18"/>
  <c r="C136" i="17"/>
  <c r="C24" i="4" s="1"/>
  <c r="I136" i="17"/>
  <c r="I24" i="4" s="1"/>
  <c r="L136" i="17"/>
  <c r="L24" i="4" s="1"/>
  <c r="K136" i="17"/>
  <c r="K24" i="4" s="1"/>
  <c r="N136" i="17"/>
  <c r="N24" i="4" s="1"/>
  <c r="M136" i="17"/>
  <c r="M24" i="4" s="1"/>
  <c r="AA136" i="17"/>
  <c r="AA24" i="4" s="1"/>
  <c r="X136" i="17"/>
  <c r="X24" i="4" s="1"/>
  <c r="U136" i="17"/>
  <c r="U24" i="4" s="1"/>
  <c r="V136" i="17"/>
  <c r="V24" i="4" s="1"/>
  <c r="Y136" i="17"/>
  <c r="Y24" i="4" s="1"/>
  <c r="T136" i="17"/>
  <c r="T24" i="4" s="1"/>
  <c r="P136" i="17"/>
  <c r="P24" i="4" s="1"/>
  <c r="R136" i="17"/>
  <c r="R24" i="4" s="1"/>
  <c r="D136" i="17"/>
  <c r="D24" i="4" s="1"/>
  <c r="G136" i="17"/>
  <c r="G24" i="4" s="1"/>
  <c r="O136" i="17"/>
  <c r="O24" i="4" s="1"/>
  <c r="W136" i="17"/>
  <c r="W24" i="4" s="1"/>
  <c r="H136" i="17"/>
  <c r="H24" i="4" s="1"/>
  <c r="J136" i="17"/>
  <c r="J24" i="4" s="1"/>
  <c r="Z136" i="17"/>
  <c r="Z24" i="4" s="1"/>
  <c r="E136" i="17"/>
  <c r="E24" i="4" s="1"/>
  <c r="F136" i="17"/>
  <c r="F24" i="4" s="1"/>
  <c r="E506" i="18"/>
  <c r="C507" i="14"/>
  <c r="C523" i="14"/>
  <c r="BK4" i="4"/>
  <c r="AE85" i="17" l="1"/>
  <c r="AR14" i="21"/>
  <c r="AR12" i="21"/>
  <c r="AR10" i="21"/>
  <c r="AR8" i="21"/>
  <c r="AR9" i="21"/>
  <c r="AR11" i="21"/>
  <c r="AR13" i="21"/>
  <c r="C48" i="17" a="1"/>
  <c r="C48" i="17" s="1"/>
  <c r="D48" i="17" a="1"/>
  <c r="D48" i="17" s="1"/>
  <c r="E48" i="17" a="1"/>
  <c r="E48" i="17" s="1"/>
  <c r="F48" i="17" a="1"/>
  <c r="F48" i="17" s="1"/>
  <c r="G48" i="17" a="1"/>
  <c r="G48" i="17" s="1"/>
  <c r="H48" i="17" a="1"/>
  <c r="H48" i="17" s="1"/>
  <c r="I48" i="17" a="1"/>
  <c r="I48" i="17" s="1"/>
  <c r="J48" i="17" a="1"/>
  <c r="J48" i="17" s="1"/>
  <c r="K48" i="17" a="1"/>
  <c r="K48" i="17" s="1"/>
  <c r="L48" i="17" a="1"/>
  <c r="L48" i="17" s="1"/>
  <c r="M48" i="17" a="1"/>
  <c r="M48" i="17" s="1"/>
  <c r="N48" i="17" a="1"/>
  <c r="N48" i="17" s="1"/>
  <c r="O48" i="17" a="1"/>
  <c r="O48" i="17" s="1"/>
  <c r="P48" i="17" a="1"/>
  <c r="P48" i="17" s="1"/>
  <c r="Q48" i="17" a="1"/>
  <c r="Q48" i="17" s="1"/>
  <c r="R48" i="17" a="1"/>
  <c r="R48" i="17" s="1"/>
  <c r="S48" i="17" a="1"/>
  <c r="S48" i="17" s="1"/>
  <c r="T48" i="17" a="1"/>
  <c r="T48" i="17" s="1"/>
  <c r="U48" i="17" a="1"/>
  <c r="U48" i="17" s="1"/>
  <c r="V48" i="17" a="1"/>
  <c r="V48" i="17" s="1"/>
  <c r="W48" i="17" a="1"/>
  <c r="W48" i="17" s="1"/>
  <c r="X48" i="17" a="1"/>
  <c r="X48" i="17" s="1"/>
  <c r="Y48" i="17" a="1"/>
  <c r="Y48" i="17" s="1"/>
  <c r="Z48" i="17" a="1"/>
  <c r="Z48" i="17" s="1"/>
  <c r="AA48" i="17" a="1"/>
  <c r="AA48" i="17" s="1"/>
  <c r="AB48" i="17" a="1"/>
  <c r="AB48" i="17" s="1"/>
  <c r="AC48" i="17" a="1"/>
  <c r="AC48" i="17" s="1"/>
  <c r="V506" i="18"/>
  <c r="H9" i="18"/>
  <c r="I9" i="18" s="1"/>
  <c r="F9" i="18"/>
  <c r="H8" i="18"/>
  <c r="I8" i="18" s="1"/>
  <c r="F8" i="18"/>
  <c r="H7" i="18"/>
  <c r="I7" i="18" s="1"/>
  <c r="F7" i="18"/>
  <c r="AE132" i="17"/>
  <c r="AE133" i="17"/>
  <c r="AE134" i="17"/>
  <c r="AE125" i="17"/>
  <c r="AE129" i="17"/>
  <c r="AE127" i="17"/>
  <c r="AE130" i="17"/>
  <c r="AE128" i="17"/>
  <c r="AE131" i="17"/>
  <c r="AE121" i="17"/>
  <c r="AE126" i="17"/>
  <c r="AE120" i="17"/>
  <c r="AE122" i="17"/>
  <c r="AE123" i="17"/>
  <c r="AE124" i="17"/>
  <c r="AE76" i="17"/>
  <c r="AE150" i="17"/>
  <c r="AR4" i="21"/>
  <c r="AR6" i="21"/>
  <c r="AR7" i="21"/>
  <c r="AR5" i="21"/>
  <c r="AE91" i="17"/>
  <c r="AE74" i="17"/>
  <c r="AD32" i="17"/>
  <c r="AS3" i="21"/>
  <c r="AE23" i="17" a="1"/>
  <c r="AE23" i="17" s="1"/>
  <c r="AE21" i="17" a="1"/>
  <c r="AE21" i="17" s="1"/>
  <c r="AE26" i="17" a="1"/>
  <c r="AE26" i="17" s="1"/>
  <c r="AE24" i="17" a="1"/>
  <c r="AE24" i="17" s="1"/>
  <c r="AE49" i="17" a="1"/>
  <c r="AE49" i="17" s="1"/>
  <c r="AE52" i="17" a="1"/>
  <c r="AE52" i="17" s="1"/>
  <c r="AE56" i="17" a="1"/>
  <c r="AE56" i="17" s="1"/>
  <c r="AE55" i="17" a="1"/>
  <c r="AE55" i="17" s="1"/>
  <c r="AE45" i="17" a="1"/>
  <c r="AE45" i="17" s="1"/>
  <c r="AE48" i="17" a="1"/>
  <c r="AE48" i="17" s="1"/>
  <c r="AE50" i="17" a="1"/>
  <c r="AE50" i="17" s="1"/>
  <c r="AE51" i="17" a="1"/>
  <c r="AE51" i="17" s="1"/>
  <c r="AE31" i="17" a="1"/>
  <c r="AE31" i="17" s="1"/>
  <c r="AE22" i="17" a="1"/>
  <c r="AE22" i="17" s="1"/>
  <c r="AE54" i="17" a="1"/>
  <c r="AE54" i="17" s="1"/>
  <c r="AE53" i="17" a="1"/>
  <c r="AE53" i="17" s="1"/>
  <c r="AE30" i="17" a="1"/>
  <c r="AE30" i="17" s="1"/>
  <c r="AE80" i="17"/>
  <c r="AE20" i="17" a="1"/>
  <c r="AE20" i="17" s="1"/>
  <c r="AE65" i="17"/>
  <c r="AE95" i="17"/>
  <c r="AE68" i="17"/>
  <c r="AE67" i="17"/>
  <c r="AE61" i="17"/>
  <c r="AE72" i="17"/>
  <c r="AE82" i="17"/>
  <c r="AE99" i="17"/>
  <c r="AE63" i="17"/>
  <c r="AE70" i="17"/>
  <c r="AE78" i="17"/>
  <c r="AE87" i="17"/>
  <c r="AE108" i="17"/>
  <c r="AE64" i="17"/>
  <c r="AE60" i="17"/>
  <c r="AE71" i="17"/>
  <c r="AE75" i="17"/>
  <c r="AE79" i="17"/>
  <c r="AE83" i="17"/>
  <c r="AE90" i="17"/>
  <c r="AE96" i="17"/>
  <c r="AE110" i="17"/>
  <c r="AE62" i="17"/>
  <c r="AE66" i="17"/>
  <c r="AE69" i="17"/>
  <c r="AE73" i="17"/>
  <c r="AE77" i="17"/>
  <c r="AE81" i="17"/>
  <c r="AE86" i="17"/>
  <c r="AE92" i="17"/>
  <c r="AE105" i="17"/>
  <c r="AE84" i="17"/>
  <c r="AE88" i="17"/>
  <c r="AE94" i="17"/>
  <c r="AE101" i="17"/>
  <c r="AE114" i="17"/>
  <c r="AE89" i="17"/>
  <c r="AE93" i="17"/>
  <c r="AE98" i="17"/>
  <c r="AE106" i="17"/>
  <c r="AE115" i="17"/>
  <c r="AE97" i="17"/>
  <c r="AE103" i="17"/>
  <c r="AE109" i="17"/>
  <c r="AE117" i="17"/>
  <c r="AE102" i="17"/>
  <c r="AE111" i="17"/>
  <c r="AE113" i="17"/>
  <c r="AE119" i="17"/>
  <c r="AE135" i="17"/>
  <c r="AE100" i="17"/>
  <c r="AE104" i="17"/>
  <c r="AE107" i="17"/>
  <c r="AE112" i="17"/>
  <c r="AE118" i="17"/>
  <c r="X34" i="25"/>
  <c r="B37" i="25"/>
  <c r="C36" i="25"/>
  <c r="AH36" i="25" s="1"/>
  <c r="T36" i="25" s="1"/>
  <c r="V35" i="25"/>
  <c r="Y35" i="25"/>
  <c r="AE3" i="4"/>
  <c r="AE116" i="17"/>
  <c r="AF3" i="17"/>
  <c r="AM523" i="14"/>
  <c r="AB136" i="17"/>
  <c r="AB24" i="4" s="1"/>
  <c r="O152" i="17"/>
  <c r="O25" i="4" s="1"/>
  <c r="T152" i="17"/>
  <c r="T25" i="4" s="1"/>
  <c r="I152" i="17"/>
  <c r="I25" i="4" s="1"/>
  <c r="Y152" i="17"/>
  <c r="Y25" i="4" s="1"/>
  <c r="D152" i="17"/>
  <c r="D25" i="4" s="1"/>
  <c r="L152" i="17"/>
  <c r="L25" i="4" s="1"/>
  <c r="W152" i="17"/>
  <c r="W25" i="4" s="1"/>
  <c r="M152" i="17"/>
  <c r="M25" i="4" s="1"/>
  <c r="G152" i="17"/>
  <c r="G25" i="4" s="1"/>
  <c r="Q152" i="17"/>
  <c r="Q25" i="4" s="1"/>
  <c r="C152" i="17"/>
  <c r="C25" i="4" s="1"/>
  <c r="K152" i="17"/>
  <c r="K25" i="4" s="1"/>
  <c r="R152" i="17"/>
  <c r="R25" i="4" s="1"/>
  <c r="V152" i="17"/>
  <c r="V25" i="4" s="1"/>
  <c r="AN523" i="14"/>
  <c r="H152" i="17"/>
  <c r="H25" i="4" s="1"/>
  <c r="W506" i="18"/>
  <c r="AC6" i="18"/>
  <c r="AC8" i="18"/>
  <c r="AM9" i="14" s="1"/>
  <c r="AC9" i="18"/>
  <c r="AM10" i="14" s="1"/>
  <c r="X152" i="17"/>
  <c r="X25" i="4" s="1"/>
  <c r="S152" i="17"/>
  <c r="S25" i="4" s="1"/>
  <c r="U152" i="17"/>
  <c r="U25" i="4" s="1"/>
  <c r="E152" i="17"/>
  <c r="E25" i="4" s="1"/>
  <c r="P152" i="17"/>
  <c r="P25" i="4" s="1"/>
  <c r="J152" i="17"/>
  <c r="J25" i="4" s="1"/>
  <c r="F152" i="17"/>
  <c r="F25" i="4" s="1"/>
  <c r="N152" i="17"/>
  <c r="N25" i="4" s="1"/>
  <c r="M522" i="18"/>
  <c r="Z152" i="17"/>
  <c r="Z25" i="4" s="1"/>
  <c r="AA152" i="17"/>
  <c r="AA25" i="4" s="1"/>
  <c r="AB152" i="17"/>
  <c r="AB25" i="4" s="1"/>
  <c r="AS14" i="21" l="1"/>
  <c r="AS12" i="21"/>
  <c r="AS10" i="21"/>
  <c r="AS8" i="21"/>
  <c r="AS13" i="21"/>
  <c r="AS11" i="21"/>
  <c r="AS9" i="21"/>
  <c r="F6" i="18"/>
  <c r="H6" i="18"/>
  <c r="I6" i="18" s="1"/>
  <c r="AF130" i="17"/>
  <c r="AF131" i="17"/>
  <c r="AF132" i="17"/>
  <c r="AF129" i="17"/>
  <c r="AF125" i="17"/>
  <c r="AF134" i="17"/>
  <c r="AF127" i="17"/>
  <c r="AF128" i="17"/>
  <c r="AF126" i="17"/>
  <c r="AF120" i="17"/>
  <c r="AF124" i="17"/>
  <c r="AF121" i="17"/>
  <c r="AF133" i="17"/>
  <c r="AF122" i="17"/>
  <c r="AF123" i="17"/>
  <c r="AF150" i="17"/>
  <c r="AS4" i="21"/>
  <c r="AS6" i="21"/>
  <c r="AS5" i="21"/>
  <c r="AS7" i="21"/>
  <c r="AF65" i="17"/>
  <c r="AF23" i="17" a="1"/>
  <c r="AF23" i="17" s="1"/>
  <c r="AF45" i="17" a="1"/>
  <c r="AF45" i="17" s="1"/>
  <c r="AF50" i="17" a="1"/>
  <c r="AF50" i="17" s="1"/>
  <c r="AF22" i="17" a="1"/>
  <c r="AF22" i="17" s="1"/>
  <c r="AF31" i="17" a="1"/>
  <c r="AF31" i="17" s="1"/>
  <c r="AF21" i="17" a="1"/>
  <c r="AF21" i="17" s="1"/>
  <c r="AF51" i="17" a="1"/>
  <c r="AF51" i="17" s="1"/>
  <c r="AF54" i="17" a="1"/>
  <c r="AF54" i="17" s="1"/>
  <c r="AF26" i="17" a="1"/>
  <c r="AF26" i="17" s="1"/>
  <c r="AF53" i="17" a="1"/>
  <c r="AF53" i="17" s="1"/>
  <c r="AF24" i="17" a="1"/>
  <c r="AF24" i="17" s="1"/>
  <c r="AF55" i="17" a="1"/>
  <c r="AF55" i="17" s="1"/>
  <c r="AF52" i="17" a="1"/>
  <c r="AF52" i="17" s="1"/>
  <c r="AF48" i="17" a="1"/>
  <c r="AF48" i="17" s="1"/>
  <c r="AF49" i="17" a="1"/>
  <c r="AF49" i="17" s="1"/>
  <c r="AF56" i="17" a="1"/>
  <c r="AF56" i="17" s="1"/>
  <c r="AF20" i="17" a="1"/>
  <c r="AF20" i="17" s="1"/>
  <c r="AF30" i="17" a="1"/>
  <c r="AF30" i="17" s="1"/>
  <c r="AE32" i="17"/>
  <c r="AF71" i="17"/>
  <c r="AF82" i="17"/>
  <c r="X35" i="25"/>
  <c r="V36" i="25"/>
  <c r="Y36" i="25"/>
  <c r="AF91" i="17"/>
  <c r="C37" i="25"/>
  <c r="AH37" i="25" s="1"/>
  <c r="T37" i="25" s="1"/>
  <c r="B38" i="25"/>
  <c r="AF88" i="17"/>
  <c r="AF74" i="17"/>
  <c r="AF100" i="17"/>
  <c r="AF62" i="17"/>
  <c r="AF79" i="17"/>
  <c r="AF66" i="17"/>
  <c r="AF75" i="17"/>
  <c r="AF83" i="17"/>
  <c r="AF111" i="17"/>
  <c r="AF61" i="17"/>
  <c r="AF70" i="17"/>
  <c r="AF78" i="17"/>
  <c r="AF96" i="17"/>
  <c r="AF67" i="17"/>
  <c r="AF63" i="17"/>
  <c r="AF68" i="17"/>
  <c r="AF72" i="17"/>
  <c r="AF76" i="17"/>
  <c r="AF80" i="17"/>
  <c r="AF84" i="17"/>
  <c r="AF92" i="17"/>
  <c r="AF116" i="17"/>
  <c r="AF60" i="17"/>
  <c r="AF64" i="17"/>
  <c r="AF69" i="17"/>
  <c r="AF73" i="17"/>
  <c r="AF77" i="17"/>
  <c r="AF81" i="17"/>
  <c r="AF87" i="17"/>
  <c r="AF85" i="17"/>
  <c r="AF89" i="17"/>
  <c r="AF94" i="17"/>
  <c r="AF103" i="17"/>
  <c r="AF119" i="17"/>
  <c r="AF86" i="17"/>
  <c r="AF90" i="17"/>
  <c r="AF95" i="17"/>
  <c r="AF104" i="17"/>
  <c r="AF93" i="17"/>
  <c r="AF99" i="17"/>
  <c r="AF108" i="17"/>
  <c r="AF97" i="17"/>
  <c r="AF101" i="17"/>
  <c r="AF106" i="17"/>
  <c r="AF112" i="17"/>
  <c r="AF98" i="17"/>
  <c r="AF102" i="17"/>
  <c r="AF107" i="17"/>
  <c r="AF115" i="17"/>
  <c r="AF105" i="17"/>
  <c r="AF109" i="17"/>
  <c r="AF113" i="17"/>
  <c r="AF117" i="17"/>
  <c r="AF3" i="4"/>
  <c r="AF110" i="17"/>
  <c r="AF114" i="17"/>
  <c r="AF118" i="17"/>
  <c r="AF135" i="17"/>
  <c r="AT3" i="21"/>
  <c r="AG3" i="17"/>
  <c r="AC136" i="17"/>
  <c r="AC24" i="4" s="1"/>
  <c r="AC138" i="17"/>
  <c r="AC142" i="17"/>
  <c r="AC151" i="17"/>
  <c r="AC146" i="17"/>
  <c r="AC140" i="17"/>
  <c r="AC148" i="17"/>
  <c r="AC139" i="17"/>
  <c r="AC143" i="17"/>
  <c r="AC147" i="17"/>
  <c r="AC141" i="17"/>
  <c r="AC145" i="17"/>
  <c r="AC149" i="17"/>
  <c r="AC144" i="17"/>
  <c r="U9" i="18"/>
  <c r="U7" i="18"/>
  <c r="AL8" i="14" s="1"/>
  <c r="U8" i="18"/>
  <c r="AL9" i="14" s="1"/>
  <c r="AM7" i="14"/>
  <c r="AC506" i="18"/>
  <c r="AT14" i="21" l="1"/>
  <c r="AT12" i="21"/>
  <c r="AT10" i="21"/>
  <c r="AT8" i="21"/>
  <c r="AT13" i="21"/>
  <c r="AT11" i="21"/>
  <c r="AT9" i="21"/>
  <c r="AG150" i="17"/>
  <c r="AG131" i="17"/>
  <c r="AG127" i="17"/>
  <c r="AG132" i="17"/>
  <c r="AG128" i="17"/>
  <c r="AG133" i="17"/>
  <c r="AG134" i="17"/>
  <c r="AG124" i="17"/>
  <c r="AG125" i="17"/>
  <c r="AG130" i="17"/>
  <c r="AG129" i="17"/>
  <c r="AG126" i="17"/>
  <c r="AG120" i="17"/>
  <c r="AG121" i="17"/>
  <c r="AG123" i="17"/>
  <c r="AG122" i="17"/>
  <c r="AT4" i="21"/>
  <c r="AT6" i="21"/>
  <c r="AT7" i="21"/>
  <c r="AT5" i="21"/>
  <c r="AD9" i="18"/>
  <c r="AN10" i="14" s="1"/>
  <c r="AL10" i="14"/>
  <c r="AF32" i="17"/>
  <c r="AG66" i="17"/>
  <c r="AG23" i="17" a="1"/>
  <c r="AG23" i="17" s="1"/>
  <c r="AG45" i="17" a="1"/>
  <c r="AG45" i="17" s="1"/>
  <c r="AG21" i="17" a="1"/>
  <c r="AG21" i="17" s="1"/>
  <c r="AG24" i="17" a="1"/>
  <c r="AG24" i="17" s="1"/>
  <c r="AG51" i="17" a="1"/>
  <c r="AG51" i="17" s="1"/>
  <c r="AG49" i="17" a="1"/>
  <c r="AG49" i="17" s="1"/>
  <c r="AG54" i="17" a="1"/>
  <c r="AG54" i="17" s="1"/>
  <c r="AG53" i="17" a="1"/>
  <c r="AG53" i="17" s="1"/>
  <c r="AG56" i="17" a="1"/>
  <c r="AG56" i="17" s="1"/>
  <c r="AG55" i="17" a="1"/>
  <c r="AG55" i="17" s="1"/>
  <c r="AG50" i="17" a="1"/>
  <c r="AG50" i="17" s="1"/>
  <c r="AG52" i="17" a="1"/>
  <c r="AG52" i="17" s="1"/>
  <c r="AG26" i="17" a="1"/>
  <c r="AG26" i="17" s="1"/>
  <c r="AG31" i="17" a="1"/>
  <c r="AG31" i="17" s="1"/>
  <c r="AG48" i="17" a="1"/>
  <c r="AG48" i="17" s="1"/>
  <c r="AG22" i="17" a="1"/>
  <c r="AG22" i="17" s="1"/>
  <c r="AG30" i="17" a="1"/>
  <c r="AG30" i="17" s="1"/>
  <c r="AG20" i="17" a="1"/>
  <c r="AG20" i="17" s="1"/>
  <c r="E35" i="17" a="1"/>
  <c r="E35" i="17" s="1"/>
  <c r="M35" i="17" a="1"/>
  <c r="M35" i="17" s="1"/>
  <c r="U35" i="17" a="1"/>
  <c r="U35" i="17" s="1"/>
  <c r="AC35" i="17" a="1"/>
  <c r="AC35" i="17" s="1"/>
  <c r="F35" i="17" a="1"/>
  <c r="F35" i="17" s="1"/>
  <c r="N35" i="17" a="1"/>
  <c r="N35" i="17" s="1"/>
  <c r="V35" i="17" a="1"/>
  <c r="V35" i="17" s="1"/>
  <c r="AD35" i="17" a="1"/>
  <c r="AD35" i="17" s="1"/>
  <c r="G35" i="17" a="1"/>
  <c r="G35" i="17" s="1"/>
  <c r="O35" i="17" a="1"/>
  <c r="O35" i="17" s="1"/>
  <c r="W35" i="17" a="1"/>
  <c r="W35" i="17" s="1"/>
  <c r="AE35" i="17" a="1"/>
  <c r="AE35" i="17" s="1"/>
  <c r="H35" i="17" a="1"/>
  <c r="H35" i="17" s="1"/>
  <c r="P35" i="17" a="1"/>
  <c r="P35" i="17" s="1"/>
  <c r="X35" i="17" a="1"/>
  <c r="X35" i="17" s="1"/>
  <c r="AF35" i="17" a="1"/>
  <c r="AF35" i="17" s="1"/>
  <c r="I35" i="17" a="1"/>
  <c r="I35" i="17" s="1"/>
  <c r="Q35" i="17" a="1"/>
  <c r="Q35" i="17" s="1"/>
  <c r="Y35" i="17" a="1"/>
  <c r="Y35" i="17" s="1"/>
  <c r="AG35" i="17" a="1"/>
  <c r="AG35" i="17" s="1"/>
  <c r="J35" i="17" a="1"/>
  <c r="J35" i="17" s="1"/>
  <c r="R35" i="17" a="1"/>
  <c r="R35" i="17" s="1"/>
  <c r="Z35" i="17" a="1"/>
  <c r="Z35" i="17" s="1"/>
  <c r="K35" i="17" a="1"/>
  <c r="K35" i="17" s="1"/>
  <c r="S35" i="17" a="1"/>
  <c r="S35" i="17" s="1"/>
  <c r="AA35" i="17" a="1"/>
  <c r="AA35" i="17" s="1"/>
  <c r="D35" i="17" a="1"/>
  <c r="D35" i="17" s="1"/>
  <c r="L35" i="17" a="1"/>
  <c r="L35" i="17" s="1"/>
  <c r="T35" i="17" a="1"/>
  <c r="T35" i="17" s="1"/>
  <c r="AB35" i="17" a="1"/>
  <c r="AB35" i="17" s="1"/>
  <c r="C35" i="17" a="1"/>
  <c r="C35" i="17" s="1"/>
  <c r="G506" i="18"/>
  <c r="AG63" i="17"/>
  <c r="AG70" i="17"/>
  <c r="AG60" i="17"/>
  <c r="AG64" i="17"/>
  <c r="AG71" i="17"/>
  <c r="AG61" i="17"/>
  <c r="AG65" i="17"/>
  <c r="AG119" i="17"/>
  <c r="AG62" i="17"/>
  <c r="V37" i="25"/>
  <c r="Y37" i="25"/>
  <c r="B39" i="25"/>
  <c r="C38" i="25"/>
  <c r="AH38" i="25" s="1"/>
  <c r="T38" i="25" s="1"/>
  <c r="X36" i="25"/>
  <c r="AG88" i="17"/>
  <c r="AG67" i="17"/>
  <c r="AG75" i="17"/>
  <c r="AG69" i="17"/>
  <c r="AG89" i="17"/>
  <c r="AG68" i="17"/>
  <c r="AG72" i="17"/>
  <c r="AG76" i="17"/>
  <c r="AG79" i="17"/>
  <c r="AG73" i="17"/>
  <c r="AG77" i="17"/>
  <c r="AG83" i="17"/>
  <c r="AG74" i="17"/>
  <c r="AG78" i="17"/>
  <c r="AG118" i="17"/>
  <c r="AG80" i="17"/>
  <c r="AG84" i="17"/>
  <c r="AG90" i="17"/>
  <c r="AG81" i="17"/>
  <c r="AG85" i="17"/>
  <c r="AG94" i="17"/>
  <c r="AG82" i="17"/>
  <c r="AG87" i="17"/>
  <c r="AG99" i="17"/>
  <c r="AG86" i="17"/>
  <c r="AG91" i="17"/>
  <c r="AG95" i="17"/>
  <c r="AG101" i="17"/>
  <c r="AG92" i="17"/>
  <c r="AG97" i="17"/>
  <c r="AG103" i="17"/>
  <c r="AG93" i="17"/>
  <c r="AG98" i="17"/>
  <c r="AG107" i="17"/>
  <c r="AG96" i="17"/>
  <c r="AG100" i="17"/>
  <c r="AG104" i="17"/>
  <c r="AG109" i="17"/>
  <c r="AG105" i="17"/>
  <c r="AG111" i="17"/>
  <c r="AG102" i="17"/>
  <c r="AG106" i="17"/>
  <c r="AG115" i="17"/>
  <c r="AG108" i="17"/>
  <c r="AG112" i="17"/>
  <c r="AG116" i="17"/>
  <c r="AG113" i="17"/>
  <c r="AG117" i="17"/>
  <c r="AG135" i="17"/>
  <c r="AG3" i="4"/>
  <c r="AG110" i="17"/>
  <c r="AG114" i="17"/>
  <c r="AH3" i="17"/>
  <c r="AU3" i="21"/>
  <c r="AD136" i="17"/>
  <c r="AD24" i="4" s="1"/>
  <c r="AD140" i="17"/>
  <c r="AD138" i="17"/>
  <c r="AD151" i="17"/>
  <c r="AD144" i="17"/>
  <c r="AD141" i="17"/>
  <c r="AD145" i="17"/>
  <c r="AD149" i="17"/>
  <c r="AD139" i="17"/>
  <c r="AD143" i="17"/>
  <c r="AD147" i="17"/>
  <c r="AD142" i="17"/>
  <c r="AD146" i="17"/>
  <c r="AD148" i="17"/>
  <c r="AC152" i="17"/>
  <c r="AC25" i="4" s="1"/>
  <c r="U6" i="18"/>
  <c r="AD6" i="18" s="1"/>
  <c r="AD8" i="18"/>
  <c r="AN9" i="14" s="1"/>
  <c r="AD7" i="18"/>
  <c r="AN8" i="14" s="1"/>
  <c r="AM507" i="14"/>
  <c r="AU14" i="21" l="1"/>
  <c r="AU12" i="21"/>
  <c r="AU10" i="21"/>
  <c r="AU9" i="21"/>
  <c r="AU13" i="21"/>
  <c r="AU11" i="21"/>
  <c r="AU8" i="21"/>
  <c r="AH124" i="17"/>
  <c r="AH125" i="17"/>
  <c r="AH130" i="17"/>
  <c r="AH126" i="17"/>
  <c r="AH132" i="17"/>
  <c r="AH128" i="17"/>
  <c r="AH133" i="17"/>
  <c r="AH134" i="17"/>
  <c r="AH129" i="17"/>
  <c r="AH120" i="17"/>
  <c r="AH127" i="17"/>
  <c r="AH121" i="17"/>
  <c r="AH122" i="17"/>
  <c r="AH123" i="17"/>
  <c r="AH131" i="17"/>
  <c r="AH150" i="17"/>
  <c r="AU4" i="21"/>
  <c r="AU6" i="21"/>
  <c r="AU7" i="21"/>
  <c r="AU5" i="21"/>
  <c r="AL7" i="14"/>
  <c r="AH35" i="17" a="1"/>
  <c r="AH35" i="17" s="1"/>
  <c r="AH22" i="17" a="1"/>
  <c r="AH22" i="17" s="1"/>
  <c r="AH48" i="17" a="1"/>
  <c r="AH48" i="17" s="1"/>
  <c r="AH31" i="17" a="1"/>
  <c r="AH31" i="17" s="1"/>
  <c r="AH21" i="17" a="1"/>
  <c r="AH21" i="17" s="1"/>
  <c r="AH49" i="17" a="1"/>
  <c r="AH49" i="17" s="1"/>
  <c r="AH51" i="17" a="1"/>
  <c r="AH51" i="17" s="1"/>
  <c r="AH23" i="17" a="1"/>
  <c r="AH23" i="17" s="1"/>
  <c r="AH50" i="17" a="1"/>
  <c r="AH50" i="17" s="1"/>
  <c r="AH55" i="17" a="1"/>
  <c r="AH55" i="17" s="1"/>
  <c r="AH24" i="17" a="1"/>
  <c r="AH24" i="17" s="1"/>
  <c r="AH45" i="17" a="1"/>
  <c r="AH45" i="17" s="1"/>
  <c r="AH26" i="17" a="1"/>
  <c r="AH26" i="17" s="1"/>
  <c r="AH52" i="17" a="1"/>
  <c r="AH52" i="17" s="1"/>
  <c r="AH54" i="17" a="1"/>
  <c r="AH54" i="17" s="1"/>
  <c r="AH53" i="17" a="1"/>
  <c r="AH53" i="17" s="1"/>
  <c r="AH56" i="17" a="1"/>
  <c r="AH56" i="17" s="1"/>
  <c r="AH30" i="17" a="1"/>
  <c r="AH30" i="17" s="1"/>
  <c r="AH20" i="17" a="1"/>
  <c r="AH20" i="17" s="1"/>
  <c r="AG32" i="17"/>
  <c r="V38" i="25"/>
  <c r="Y38" i="25"/>
  <c r="X37" i="25"/>
  <c r="B40" i="25"/>
  <c r="C39" i="25"/>
  <c r="AH39" i="25" s="1"/>
  <c r="T39" i="25" s="1"/>
  <c r="AH68" i="17"/>
  <c r="AH79" i="17"/>
  <c r="AH85" i="17"/>
  <c r="AH62" i="17"/>
  <c r="AH63" i="17"/>
  <c r="AH96" i="17"/>
  <c r="AH72" i="17"/>
  <c r="AH105" i="17"/>
  <c r="AH66" i="17"/>
  <c r="AH74" i="17"/>
  <c r="AH86" i="17"/>
  <c r="AH113" i="17"/>
  <c r="AH60" i="17"/>
  <c r="AH67" i="17"/>
  <c r="AH78" i="17"/>
  <c r="AH91" i="17"/>
  <c r="AH71" i="17"/>
  <c r="AH76" i="17"/>
  <c r="AH83" i="17"/>
  <c r="AH90" i="17"/>
  <c r="AH104" i="17"/>
  <c r="AH64" i="17"/>
  <c r="AH70" i="17"/>
  <c r="AH75" i="17"/>
  <c r="AH81" i="17"/>
  <c r="AH89" i="17"/>
  <c r="AH99" i="17"/>
  <c r="AH116" i="17"/>
  <c r="AH61" i="17"/>
  <c r="AH65" i="17"/>
  <c r="AH69" i="17"/>
  <c r="AH73" i="17"/>
  <c r="AH77" i="17"/>
  <c r="AH82" i="17"/>
  <c r="AH87" i="17"/>
  <c r="AH93" i="17"/>
  <c r="AH100" i="17"/>
  <c r="AH108" i="17"/>
  <c r="AH95" i="17"/>
  <c r="AH101" i="17"/>
  <c r="AH112" i="17"/>
  <c r="AH135" i="17"/>
  <c r="AH80" i="17"/>
  <c r="AH84" i="17"/>
  <c r="AH88" i="17"/>
  <c r="AH92" i="17"/>
  <c r="AH97" i="17"/>
  <c r="AH103" i="17"/>
  <c r="AH109" i="17"/>
  <c r="AH117" i="17"/>
  <c r="AH107" i="17"/>
  <c r="AH111" i="17"/>
  <c r="AH115" i="17"/>
  <c r="AH119" i="17"/>
  <c r="AV3" i="21"/>
  <c r="AH3" i="4"/>
  <c r="AH94" i="17"/>
  <c r="AH98" i="17"/>
  <c r="AH102" i="17"/>
  <c r="AH106" i="17"/>
  <c r="AH110" i="17"/>
  <c r="AH114" i="17"/>
  <c r="AH118" i="17"/>
  <c r="AI3" i="17"/>
  <c r="AE140" i="17"/>
  <c r="AE144" i="17"/>
  <c r="AE148" i="17"/>
  <c r="AE138" i="17"/>
  <c r="AE142" i="17"/>
  <c r="AE146" i="17"/>
  <c r="AE151" i="17"/>
  <c r="AE141" i="17"/>
  <c r="AE145" i="17"/>
  <c r="AE149" i="17"/>
  <c r="AE139" i="17"/>
  <c r="AE143" i="17"/>
  <c r="AE147" i="17"/>
  <c r="AD152" i="17"/>
  <c r="AD25" i="4" s="1"/>
  <c r="AE136" i="17"/>
  <c r="AE24" i="4" s="1"/>
  <c r="AN7" i="14"/>
  <c r="AV13" i="21" l="1"/>
  <c r="AV11" i="21"/>
  <c r="AV9" i="21"/>
  <c r="AV10" i="21"/>
  <c r="AV12" i="21"/>
  <c r="AV8" i="21"/>
  <c r="AV14" i="21"/>
  <c r="AI150" i="17"/>
  <c r="AI133" i="17"/>
  <c r="AI134" i="17"/>
  <c r="AI124" i="17"/>
  <c r="AI125" i="17"/>
  <c r="AI126" i="17"/>
  <c r="AI130" i="17"/>
  <c r="AI128" i="17"/>
  <c r="AI131" i="17"/>
  <c r="AI132" i="17"/>
  <c r="AI129" i="17"/>
  <c r="AI120" i="17"/>
  <c r="AI122" i="17"/>
  <c r="AI121" i="17"/>
  <c r="AI123" i="17"/>
  <c r="AI127" i="17"/>
  <c r="AV4" i="21"/>
  <c r="AV7" i="21"/>
  <c r="AV5" i="21"/>
  <c r="AV6" i="21"/>
  <c r="AH32" i="17"/>
  <c r="AI24" i="17" a="1"/>
  <c r="AI24" i="17" s="1"/>
  <c r="AI22" i="17" a="1"/>
  <c r="AI22" i="17" s="1"/>
  <c r="AI31" i="17" a="1"/>
  <c r="AI31" i="17" s="1"/>
  <c r="AI49" i="17" a="1"/>
  <c r="AI49" i="17" s="1"/>
  <c r="AI23" i="17" a="1"/>
  <c r="AI23" i="17" s="1"/>
  <c r="AI21" i="17" a="1"/>
  <c r="AI21" i="17" s="1"/>
  <c r="AI26" i="17" a="1"/>
  <c r="AI26" i="17" s="1"/>
  <c r="AI53" i="17" a="1"/>
  <c r="AI53" i="17" s="1"/>
  <c r="AI56" i="17" a="1"/>
  <c r="AI56" i="17" s="1"/>
  <c r="AI45" i="17" a="1"/>
  <c r="AI45" i="17" s="1"/>
  <c r="AI48" i="17" a="1"/>
  <c r="AI48" i="17" s="1"/>
  <c r="AI52" i="17" a="1"/>
  <c r="AI52" i="17" s="1"/>
  <c r="AI55" i="17" a="1"/>
  <c r="AI55" i="17" s="1"/>
  <c r="AI50" i="17" a="1"/>
  <c r="AI50" i="17" s="1"/>
  <c r="AI54" i="17" a="1"/>
  <c r="AI54" i="17" s="1"/>
  <c r="AI51" i="17" a="1"/>
  <c r="AI51" i="17" s="1"/>
  <c r="AI30" i="17" a="1"/>
  <c r="AI30" i="17" s="1"/>
  <c r="AI20" i="17" a="1"/>
  <c r="AI20" i="17" s="1"/>
  <c r="AI35" i="17" a="1"/>
  <c r="AI35" i="17" s="1"/>
  <c r="X38" i="25"/>
  <c r="V39" i="25"/>
  <c r="Y39" i="25"/>
  <c r="AI68" i="17"/>
  <c r="C40" i="25"/>
  <c r="AH40" i="25" s="1"/>
  <c r="T40" i="25" s="1"/>
  <c r="B41" i="25"/>
  <c r="AI103" i="17"/>
  <c r="AI80" i="17"/>
  <c r="AI62" i="17"/>
  <c r="AI60" i="17"/>
  <c r="AI65" i="17"/>
  <c r="AI73" i="17"/>
  <c r="AI61" i="17"/>
  <c r="AI66" i="17"/>
  <c r="AI74" i="17"/>
  <c r="AI64" i="17"/>
  <c r="AI69" i="17"/>
  <c r="AI85" i="17"/>
  <c r="AI70" i="17"/>
  <c r="AI76" i="17"/>
  <c r="AI95" i="17"/>
  <c r="AI72" i="17"/>
  <c r="AI77" i="17"/>
  <c r="AI63" i="17"/>
  <c r="AI67" i="17"/>
  <c r="AI71" i="17"/>
  <c r="AI75" i="17"/>
  <c r="AI78" i="17"/>
  <c r="AI82" i="17"/>
  <c r="AI89" i="17"/>
  <c r="AI90" i="17"/>
  <c r="AI84" i="17"/>
  <c r="AI100" i="17"/>
  <c r="AI79" i="17"/>
  <c r="AI81" i="17"/>
  <c r="AI86" i="17"/>
  <c r="AI3" i="4"/>
  <c r="AI91" i="17"/>
  <c r="AI111" i="17"/>
  <c r="AI83" i="17"/>
  <c r="AI87" i="17"/>
  <c r="AI94" i="17"/>
  <c r="AI97" i="17"/>
  <c r="AI117" i="17"/>
  <c r="AI88" i="17"/>
  <c r="AI93" i="17"/>
  <c r="AI99" i="17"/>
  <c r="AI104" i="17"/>
  <c r="AI135" i="17"/>
  <c r="AI98" i="17"/>
  <c r="AI107" i="17"/>
  <c r="AI108" i="17"/>
  <c r="AI112" i="17"/>
  <c r="AI116" i="17"/>
  <c r="AI92" i="17"/>
  <c r="AI96" i="17"/>
  <c r="AI101" i="17"/>
  <c r="AI105" i="17"/>
  <c r="AI109" i="17"/>
  <c r="AI113" i="17"/>
  <c r="AI118" i="17"/>
  <c r="AI102" i="17"/>
  <c r="AI106" i="17"/>
  <c r="AI110" i="17"/>
  <c r="AI114" i="17"/>
  <c r="AW3" i="21"/>
  <c r="AI115" i="17"/>
  <c r="AI119" i="17"/>
  <c r="AJ3" i="17"/>
  <c r="AF136" i="17"/>
  <c r="AF24" i="4" s="1"/>
  <c r="AF139" i="17"/>
  <c r="AF147" i="17"/>
  <c r="AF143" i="17"/>
  <c r="AF141" i="17"/>
  <c r="AF145" i="17"/>
  <c r="AF140" i="17"/>
  <c r="AF144" i="17"/>
  <c r="AF148" i="17"/>
  <c r="AF138" i="17"/>
  <c r="AF142" i="17"/>
  <c r="AF146" i="17"/>
  <c r="AF151" i="17"/>
  <c r="AF149" i="17"/>
  <c r="AE152" i="17"/>
  <c r="AE25" i="4" s="1"/>
  <c r="AW13" i="21" l="1"/>
  <c r="AW11" i="21"/>
  <c r="AW9" i="21"/>
  <c r="AW14" i="21"/>
  <c r="AW12" i="21"/>
  <c r="AW10" i="21"/>
  <c r="AW8" i="21"/>
  <c r="AJ150" i="17"/>
  <c r="AJ130" i="17"/>
  <c r="AJ131" i="17"/>
  <c r="AJ132" i="17"/>
  <c r="AJ125" i="17"/>
  <c r="AJ133" i="17"/>
  <c r="AJ126" i="17"/>
  <c r="AJ128" i="17"/>
  <c r="AJ122" i="17"/>
  <c r="AJ123" i="17"/>
  <c r="AJ129" i="17"/>
  <c r="AJ121" i="17"/>
  <c r="AJ124" i="17"/>
  <c r="AJ134" i="17"/>
  <c r="AJ127" i="17"/>
  <c r="AJ120" i="17"/>
  <c r="AW4" i="21"/>
  <c r="AW7" i="21"/>
  <c r="AW5" i="21"/>
  <c r="AW6" i="21"/>
  <c r="AI32" i="17"/>
  <c r="AJ64" i="17"/>
  <c r="AJ24" i="17" a="1"/>
  <c r="AJ24" i="17" s="1"/>
  <c r="AJ22" i="17" a="1"/>
  <c r="AJ22" i="17" s="1"/>
  <c r="AJ31" i="17" a="1"/>
  <c r="AJ31" i="17" s="1"/>
  <c r="AJ50" i="17" a="1"/>
  <c r="AJ50" i="17" s="1"/>
  <c r="AJ53" i="17" a="1"/>
  <c r="AJ53" i="17" s="1"/>
  <c r="AJ49" i="17" a="1"/>
  <c r="AJ49" i="17" s="1"/>
  <c r="AJ51" i="17" a="1"/>
  <c r="AJ51" i="17" s="1"/>
  <c r="AJ56" i="17" a="1"/>
  <c r="AJ56" i="17" s="1"/>
  <c r="AJ55" i="17" a="1"/>
  <c r="AJ55" i="17" s="1"/>
  <c r="AJ23" i="17" a="1"/>
  <c r="AJ23" i="17" s="1"/>
  <c r="AJ45" i="17" a="1"/>
  <c r="AJ45" i="17" s="1"/>
  <c r="AJ48" i="17" a="1"/>
  <c r="AJ48" i="17" s="1"/>
  <c r="AJ26" i="17" a="1"/>
  <c r="AJ26" i="17" s="1"/>
  <c r="AJ52" i="17" a="1"/>
  <c r="AJ52" i="17" s="1"/>
  <c r="AJ21" i="17" a="1"/>
  <c r="AJ21" i="17" s="1"/>
  <c r="AJ54" i="17" a="1"/>
  <c r="AJ54" i="17" s="1"/>
  <c r="AJ20" i="17" a="1"/>
  <c r="AJ20" i="17" s="1"/>
  <c r="AJ30" i="17" a="1"/>
  <c r="AJ30" i="17" s="1"/>
  <c r="AJ35" i="17" a="1"/>
  <c r="AJ35" i="17" s="1"/>
  <c r="AJ67" i="17"/>
  <c r="V40" i="25"/>
  <c r="Y40" i="25"/>
  <c r="AJ70" i="17"/>
  <c r="AJ62" i="17"/>
  <c r="AJ80" i="17"/>
  <c r="B42" i="25"/>
  <c r="C41" i="25"/>
  <c r="AH41" i="25" s="1"/>
  <c r="T41" i="25" s="1"/>
  <c r="X39" i="25"/>
  <c r="AJ60" i="17"/>
  <c r="AJ66" i="17"/>
  <c r="AJ77" i="17"/>
  <c r="AJ63" i="17"/>
  <c r="AJ68" i="17"/>
  <c r="AJ101" i="17"/>
  <c r="AJ100" i="17"/>
  <c r="AJ73" i="17"/>
  <c r="AJ93" i="17"/>
  <c r="AJ72" i="17"/>
  <c r="AJ81" i="17"/>
  <c r="AJ61" i="17"/>
  <c r="AJ65" i="17"/>
  <c r="AJ69" i="17"/>
  <c r="AJ74" i="17"/>
  <c r="AJ91" i="17"/>
  <c r="AJ86" i="17"/>
  <c r="AJ71" i="17"/>
  <c r="AJ76" i="17"/>
  <c r="AJ85" i="17"/>
  <c r="AX3" i="21"/>
  <c r="AJ78" i="17"/>
  <c r="AJ84" i="17"/>
  <c r="AJ89" i="17"/>
  <c r="AJ96" i="17"/>
  <c r="AJ110" i="17"/>
  <c r="AJ82" i="17"/>
  <c r="AJ88" i="17"/>
  <c r="AJ95" i="17"/>
  <c r="AJ109" i="17"/>
  <c r="AJ75" i="17"/>
  <c r="AJ79" i="17"/>
  <c r="AJ83" i="17"/>
  <c r="AJ87" i="17"/>
  <c r="AJ92" i="17"/>
  <c r="AJ97" i="17"/>
  <c r="AJ104" i="17"/>
  <c r="AJ117" i="17"/>
  <c r="AJ99" i="17"/>
  <c r="AJ105" i="17"/>
  <c r="AJ118" i="17"/>
  <c r="AJ90" i="17"/>
  <c r="AJ94" i="17"/>
  <c r="AJ98" i="17"/>
  <c r="AJ102" i="17"/>
  <c r="AJ106" i="17"/>
  <c r="AJ113" i="17"/>
  <c r="AJ135" i="17"/>
  <c r="AJ103" i="17"/>
  <c r="AJ108" i="17"/>
  <c r="AJ114" i="17"/>
  <c r="AJ107" i="17"/>
  <c r="AJ111" i="17"/>
  <c r="AJ115" i="17"/>
  <c r="AJ119" i="17"/>
  <c r="AJ3" i="4"/>
  <c r="AJ112" i="17"/>
  <c r="AJ116" i="17"/>
  <c r="AK3" i="17"/>
  <c r="AG136" i="17"/>
  <c r="AG24" i="4" s="1"/>
  <c r="AF152" i="17"/>
  <c r="AF25" i="4" s="1"/>
  <c r="AG139" i="17"/>
  <c r="AG143" i="17"/>
  <c r="AG147" i="17"/>
  <c r="AG149" i="17"/>
  <c r="AG138" i="17"/>
  <c r="AG142" i="17"/>
  <c r="AG146" i="17"/>
  <c r="AG151" i="17"/>
  <c r="AG140" i="17"/>
  <c r="AG144" i="17"/>
  <c r="AG148" i="17"/>
  <c r="AG141" i="17"/>
  <c r="AG145" i="17"/>
  <c r="BK12" i="4"/>
  <c r="BK11" i="4"/>
  <c r="BK8" i="4"/>
  <c r="AX13" i="21" l="1"/>
  <c r="AX11" i="21"/>
  <c r="AX9" i="21"/>
  <c r="AX14" i="21"/>
  <c r="AX12" i="21"/>
  <c r="AX10" i="21"/>
  <c r="AX8" i="21"/>
  <c r="AK150" i="17"/>
  <c r="AK132" i="17"/>
  <c r="AK128" i="17"/>
  <c r="AK133" i="17"/>
  <c r="AK134" i="17"/>
  <c r="AK129" i="17"/>
  <c r="AK125" i="17"/>
  <c r="AK130" i="17"/>
  <c r="AK126" i="17"/>
  <c r="AK131" i="17"/>
  <c r="AK127" i="17"/>
  <c r="AK124" i="17"/>
  <c r="AK121" i="17"/>
  <c r="AK120" i="17"/>
  <c r="AK122" i="17"/>
  <c r="AK123" i="17"/>
  <c r="AX4" i="21"/>
  <c r="AX5" i="21"/>
  <c r="AX7" i="21"/>
  <c r="AX6" i="21"/>
  <c r="AJ32" i="17"/>
  <c r="AK21" i="17" a="1"/>
  <c r="AK21" i="17" s="1"/>
  <c r="AK24" i="17" a="1"/>
  <c r="AK24" i="17" s="1"/>
  <c r="AK23" i="17" a="1"/>
  <c r="AK23" i="17" s="1"/>
  <c r="AK45" i="17" a="1"/>
  <c r="AK45" i="17" s="1"/>
  <c r="AK22" i="17" a="1"/>
  <c r="AK22" i="17" s="1"/>
  <c r="AK55" i="17" a="1"/>
  <c r="AK55" i="17" s="1"/>
  <c r="AK31" i="17" a="1"/>
  <c r="AK31" i="17" s="1"/>
  <c r="AK26" i="17" a="1"/>
  <c r="AK26" i="17" s="1"/>
  <c r="AK54" i="17" a="1"/>
  <c r="AK54" i="17" s="1"/>
  <c r="AK53" i="17" a="1"/>
  <c r="AK53" i="17" s="1"/>
  <c r="AK50" i="17" a="1"/>
  <c r="AK50" i="17" s="1"/>
  <c r="AK56" i="17" a="1"/>
  <c r="AK56" i="17" s="1"/>
  <c r="AK48" i="17" a="1"/>
  <c r="AK48" i="17" s="1"/>
  <c r="AK52" i="17" a="1"/>
  <c r="AK52" i="17" s="1"/>
  <c r="AK49" i="17" a="1"/>
  <c r="AK49" i="17" s="1"/>
  <c r="AK51" i="17" a="1"/>
  <c r="AK51" i="17" s="1"/>
  <c r="AK30" i="17" a="1"/>
  <c r="AK30" i="17" s="1"/>
  <c r="AK20" i="17" a="1"/>
  <c r="AK20" i="17" s="1"/>
  <c r="AK35" i="17" a="1"/>
  <c r="AK35" i="17" s="1"/>
  <c r="X40" i="25"/>
  <c r="V41" i="25"/>
  <c r="Y41" i="25"/>
  <c r="B43" i="25"/>
  <c r="C42" i="25"/>
  <c r="AH42" i="25" s="1"/>
  <c r="T42" i="25" s="1"/>
  <c r="AK87" i="17"/>
  <c r="AK67" i="17"/>
  <c r="AK65" i="17"/>
  <c r="AK77" i="17"/>
  <c r="AK81" i="17"/>
  <c r="AK61" i="17"/>
  <c r="AK72" i="17"/>
  <c r="AK98" i="17"/>
  <c r="AK60" i="17"/>
  <c r="AK71" i="17"/>
  <c r="AK88" i="17"/>
  <c r="AK64" i="17"/>
  <c r="AK69" i="17"/>
  <c r="AK76" i="17"/>
  <c r="AK3" i="4"/>
  <c r="AK63" i="17"/>
  <c r="AK68" i="17"/>
  <c r="AK73" i="17"/>
  <c r="AK82" i="17"/>
  <c r="AK103" i="17"/>
  <c r="AK62" i="17"/>
  <c r="AK66" i="17"/>
  <c r="AK70" i="17"/>
  <c r="AK74" i="17"/>
  <c r="AK78" i="17"/>
  <c r="AK83" i="17"/>
  <c r="AK91" i="17"/>
  <c r="AK112" i="17"/>
  <c r="AK75" i="17"/>
  <c r="AK79" i="17"/>
  <c r="AK86" i="17"/>
  <c r="AK92" i="17"/>
  <c r="AK94" i="17"/>
  <c r="AK99" i="17"/>
  <c r="AK104" i="17"/>
  <c r="AK114" i="17"/>
  <c r="AK80" i="17"/>
  <c r="AK84" i="17"/>
  <c r="AK90" i="17"/>
  <c r="AK95" i="17"/>
  <c r="AK100" i="17"/>
  <c r="AK107" i="17"/>
  <c r="AK119" i="17"/>
  <c r="AK96" i="17"/>
  <c r="AK102" i="17"/>
  <c r="AK108" i="17"/>
  <c r="AK85" i="17"/>
  <c r="AK89" i="17"/>
  <c r="AK93" i="17"/>
  <c r="AK97" i="17"/>
  <c r="AK101" i="17"/>
  <c r="AK105" i="17"/>
  <c r="AK110" i="17"/>
  <c r="AK115" i="17"/>
  <c r="AK106" i="17"/>
  <c r="AK111" i="17"/>
  <c r="AK116" i="17"/>
  <c r="AK118" i="17"/>
  <c r="AK109" i="17"/>
  <c r="AK113" i="17"/>
  <c r="AK117" i="17"/>
  <c r="AK135" i="17"/>
  <c r="AL3" i="17"/>
  <c r="AY3" i="21"/>
  <c r="AH136" i="17"/>
  <c r="AH24" i="4" s="1"/>
  <c r="AG152" i="17"/>
  <c r="AG25" i="4" s="1"/>
  <c r="AH141" i="17"/>
  <c r="AH145" i="17"/>
  <c r="AH149" i="17"/>
  <c r="AH139" i="17"/>
  <c r="AH143" i="17"/>
  <c r="AH147" i="17"/>
  <c r="AH138" i="17"/>
  <c r="AH142" i="17"/>
  <c r="AH146" i="17"/>
  <c r="AH151" i="17"/>
  <c r="AH140" i="17"/>
  <c r="AH144" i="17"/>
  <c r="AH148" i="17"/>
  <c r="AY13" i="21" l="1"/>
  <c r="AY11" i="21"/>
  <c r="AY9" i="21"/>
  <c r="AY14" i="21"/>
  <c r="AY12" i="21"/>
  <c r="AY10" i="21"/>
  <c r="AY8" i="21"/>
  <c r="AL150" i="17"/>
  <c r="AL124" i="17"/>
  <c r="AL125" i="17"/>
  <c r="AL130" i="17"/>
  <c r="AL126" i="17"/>
  <c r="AL131" i="17"/>
  <c r="AL127" i="17"/>
  <c r="AL133" i="17"/>
  <c r="AL134" i="17"/>
  <c r="AL129" i="17"/>
  <c r="AL121" i="17"/>
  <c r="AL122" i="17"/>
  <c r="AL123" i="17"/>
  <c r="AL120" i="17"/>
  <c r="AL132" i="17"/>
  <c r="AL128" i="17"/>
  <c r="AY4" i="21"/>
  <c r="AY7" i="21"/>
  <c r="AY5" i="21"/>
  <c r="AY6" i="21"/>
  <c r="AK32" i="17"/>
  <c r="AL67" i="17"/>
  <c r="AL21" i="17" a="1"/>
  <c r="AL21" i="17" s="1"/>
  <c r="AL26" i="17" a="1"/>
  <c r="AL26" i="17" s="1"/>
  <c r="AL48" i="17" a="1"/>
  <c r="AL48" i="17" s="1"/>
  <c r="AL22" i="17" a="1"/>
  <c r="AL22" i="17" s="1"/>
  <c r="AL50" i="17" a="1"/>
  <c r="AL50" i="17" s="1"/>
  <c r="AL52" i="17" a="1"/>
  <c r="AL52" i="17" s="1"/>
  <c r="AL55" i="17" a="1"/>
  <c r="AL55" i="17" s="1"/>
  <c r="AL24" i="17" a="1"/>
  <c r="AL24" i="17" s="1"/>
  <c r="AL51" i="17" a="1"/>
  <c r="AL51" i="17" s="1"/>
  <c r="AL54" i="17" a="1"/>
  <c r="AL54" i="17" s="1"/>
  <c r="AL49" i="17" a="1"/>
  <c r="AL49" i="17" s="1"/>
  <c r="AL31" i="17" a="1"/>
  <c r="AL31" i="17" s="1"/>
  <c r="AL53" i="17" a="1"/>
  <c r="AL53" i="17" s="1"/>
  <c r="AL23" i="17" a="1"/>
  <c r="AL23" i="17" s="1"/>
  <c r="AL56" i="17" a="1"/>
  <c r="AL56" i="17" s="1"/>
  <c r="AL45" i="17" a="1"/>
  <c r="AL45" i="17" s="1"/>
  <c r="AL20" i="17" a="1"/>
  <c r="AL20" i="17" s="1"/>
  <c r="AL30" i="17" a="1"/>
  <c r="AL30" i="17" s="1"/>
  <c r="AL35" i="17" a="1"/>
  <c r="AL35" i="17" s="1"/>
  <c r="AL61" i="17"/>
  <c r="AL70" i="17"/>
  <c r="AL78" i="17"/>
  <c r="AL62" i="17"/>
  <c r="AL89" i="17"/>
  <c r="V42" i="25"/>
  <c r="Y42" i="25"/>
  <c r="B44" i="25"/>
  <c r="C43" i="25"/>
  <c r="AH43" i="25" s="1"/>
  <c r="T43" i="25" s="1"/>
  <c r="AL64" i="17"/>
  <c r="AL72" i="17"/>
  <c r="AL99" i="17"/>
  <c r="AL60" i="17"/>
  <c r="AL66" i="17"/>
  <c r="AL75" i="17"/>
  <c r="X41" i="25"/>
  <c r="AL97" i="17"/>
  <c r="AL71" i="17"/>
  <c r="AL76" i="17"/>
  <c r="AL90" i="17"/>
  <c r="AL63" i="17"/>
  <c r="AL68" i="17"/>
  <c r="AL74" i="17"/>
  <c r="AL82" i="17"/>
  <c r="AL81" i="17"/>
  <c r="AL118" i="17"/>
  <c r="AL65" i="17"/>
  <c r="AL69" i="17"/>
  <c r="AL73" i="17"/>
  <c r="AL77" i="17"/>
  <c r="AL85" i="17"/>
  <c r="AL93" i="17"/>
  <c r="AL103" i="17"/>
  <c r="AL86" i="17"/>
  <c r="AL94" i="17"/>
  <c r="AL104" i="17"/>
  <c r="AL80" i="17"/>
  <c r="AL84" i="17"/>
  <c r="AL88" i="17"/>
  <c r="AL92" i="17"/>
  <c r="AL96" i="17"/>
  <c r="AL101" i="17"/>
  <c r="AZ3" i="21"/>
  <c r="AL79" i="17"/>
  <c r="AL83" i="17"/>
  <c r="AL87" i="17"/>
  <c r="AL91" i="17"/>
  <c r="AL95" i="17"/>
  <c r="AL100" i="17"/>
  <c r="AL105" i="17"/>
  <c r="AL98" i="17"/>
  <c r="AL102" i="17"/>
  <c r="AL110" i="17"/>
  <c r="AL106" i="17"/>
  <c r="AL111" i="17"/>
  <c r="AL119" i="17"/>
  <c r="AL107" i="17"/>
  <c r="AL114" i="17"/>
  <c r="AL3" i="4"/>
  <c r="AL109" i="17"/>
  <c r="AL115" i="17"/>
  <c r="AL108" i="17"/>
  <c r="AL112" i="17"/>
  <c r="AL116" i="17"/>
  <c r="AL113" i="17"/>
  <c r="AL117" i="17"/>
  <c r="AL135" i="17"/>
  <c r="AM3" i="17"/>
  <c r="AI136" i="17"/>
  <c r="AI24" i="4" s="1"/>
  <c r="AH152" i="17"/>
  <c r="AH25" i="4" s="1"/>
  <c r="AI144" i="17"/>
  <c r="AI140" i="17"/>
  <c r="AI148" i="17"/>
  <c r="AI138" i="17"/>
  <c r="AI142" i="17"/>
  <c r="AI151" i="17"/>
  <c r="AI141" i="17"/>
  <c r="AI145" i="17"/>
  <c r="AI149" i="17"/>
  <c r="AI139" i="17"/>
  <c r="AI143" i="17"/>
  <c r="AI147" i="17"/>
  <c r="AI146" i="17"/>
  <c r="AZ14" i="21" l="1"/>
  <c r="AZ12" i="21"/>
  <c r="AZ10" i="21"/>
  <c r="AZ8" i="21"/>
  <c r="AZ11" i="21"/>
  <c r="AZ13" i="21"/>
  <c r="AZ9" i="21"/>
  <c r="AM150" i="17"/>
  <c r="AM134" i="17"/>
  <c r="AM125" i="17"/>
  <c r="AM126" i="17"/>
  <c r="AM129" i="17"/>
  <c r="AM127" i="17"/>
  <c r="AM131" i="17"/>
  <c r="AM132" i="17"/>
  <c r="AM133" i="17"/>
  <c r="AM123" i="17"/>
  <c r="AM120" i="17"/>
  <c r="AM130" i="17"/>
  <c r="AM121" i="17"/>
  <c r="AM122" i="17"/>
  <c r="AM128" i="17"/>
  <c r="AM124" i="17"/>
  <c r="AZ4" i="21"/>
  <c r="AZ6" i="21"/>
  <c r="AZ7" i="21"/>
  <c r="AZ5" i="21"/>
  <c r="AL32" i="17"/>
  <c r="AM23" i="17" a="1"/>
  <c r="AM23" i="17" s="1"/>
  <c r="AM21" i="17" a="1"/>
  <c r="AM21" i="17" s="1"/>
  <c r="AM26" i="17" a="1"/>
  <c r="AM26" i="17" s="1"/>
  <c r="AM24" i="17" a="1"/>
  <c r="AM24" i="17" s="1"/>
  <c r="AM49" i="17" a="1"/>
  <c r="AM49" i="17" s="1"/>
  <c r="AM45" i="17" a="1"/>
  <c r="AM45" i="17" s="1"/>
  <c r="AM48" i="17" a="1"/>
  <c r="AM48" i="17" s="1"/>
  <c r="AM22" i="17" a="1"/>
  <c r="AM22" i="17" s="1"/>
  <c r="AM50" i="17" a="1"/>
  <c r="AM50" i="17" s="1"/>
  <c r="AM52" i="17" a="1"/>
  <c r="AM52" i="17" s="1"/>
  <c r="AM56" i="17" a="1"/>
  <c r="AM56" i="17" s="1"/>
  <c r="AM54" i="17" a="1"/>
  <c r="AM54" i="17" s="1"/>
  <c r="AM51" i="17" a="1"/>
  <c r="AM51" i="17" s="1"/>
  <c r="AM53" i="17" a="1"/>
  <c r="AM53" i="17" s="1"/>
  <c r="AM31" i="17" a="1"/>
  <c r="AM31" i="17" s="1"/>
  <c r="AM55" i="17" a="1"/>
  <c r="AM55" i="17" s="1"/>
  <c r="AM20" i="17" a="1"/>
  <c r="AM20" i="17" s="1"/>
  <c r="AM30" i="17" a="1"/>
  <c r="AM30" i="17" s="1"/>
  <c r="AM35" i="17" a="1"/>
  <c r="AM35" i="17" s="1"/>
  <c r="X42" i="25"/>
  <c r="Y43" i="25"/>
  <c r="V43" i="25"/>
  <c r="B45" i="25"/>
  <c r="C44" i="25"/>
  <c r="AH44" i="25" s="1"/>
  <c r="T44" i="25" s="1"/>
  <c r="AM69" i="17"/>
  <c r="AM67" i="17"/>
  <c r="AM84" i="17"/>
  <c r="AM71" i="17"/>
  <c r="AM60" i="17"/>
  <c r="AM82" i="17"/>
  <c r="AM63" i="17"/>
  <c r="AM76" i="17"/>
  <c r="AM92" i="17"/>
  <c r="AM64" i="17"/>
  <c r="AM77" i="17"/>
  <c r="AM93" i="17"/>
  <c r="AM61" i="17"/>
  <c r="AM65" i="17"/>
  <c r="AM72" i="17"/>
  <c r="AM78" i="17"/>
  <c r="AM86" i="17"/>
  <c r="AM100" i="17"/>
  <c r="AM68" i="17"/>
  <c r="AM62" i="17"/>
  <c r="AM66" i="17"/>
  <c r="AM73" i="17"/>
  <c r="AM81" i="17"/>
  <c r="AM88" i="17"/>
  <c r="AM102" i="17"/>
  <c r="AM70" i="17"/>
  <c r="AM74" i="17"/>
  <c r="AM80" i="17"/>
  <c r="AM85" i="17"/>
  <c r="AM89" i="17"/>
  <c r="AM97" i="17"/>
  <c r="AM112" i="17"/>
  <c r="AM90" i="17"/>
  <c r="AM96" i="17"/>
  <c r="AM107" i="17"/>
  <c r="AM75" i="17"/>
  <c r="AM79" i="17"/>
  <c r="AM83" i="17"/>
  <c r="AM87" i="17"/>
  <c r="AM91" i="17"/>
  <c r="AM95" i="17"/>
  <c r="AM99" i="17"/>
  <c r="AM106" i="17"/>
  <c r="AM118" i="17"/>
  <c r="AM94" i="17"/>
  <c r="AM98" i="17"/>
  <c r="AM103" i="17"/>
  <c r="AM113" i="17"/>
  <c r="AM117" i="17"/>
  <c r="AM104" i="17"/>
  <c r="AM108" i="17"/>
  <c r="AM114" i="17"/>
  <c r="AM101" i="17"/>
  <c r="AM105" i="17"/>
  <c r="AM109" i="17"/>
  <c r="AM116" i="17"/>
  <c r="AM135" i="17"/>
  <c r="AM111" i="17"/>
  <c r="AM110" i="17"/>
  <c r="AM115" i="17"/>
  <c r="AM119" i="17"/>
  <c r="AN3" i="17"/>
  <c r="BA3" i="21"/>
  <c r="AM3" i="4"/>
  <c r="AI152" i="17"/>
  <c r="AI25" i="4" s="1"/>
  <c r="AJ140" i="17"/>
  <c r="AJ144" i="17"/>
  <c r="AJ148" i="17"/>
  <c r="AJ138" i="17"/>
  <c r="AJ151" i="17"/>
  <c r="AJ139" i="17"/>
  <c r="AJ143" i="17"/>
  <c r="AJ147" i="17"/>
  <c r="AJ141" i="17"/>
  <c r="AJ145" i="17"/>
  <c r="AJ149" i="17"/>
  <c r="AJ142" i="17"/>
  <c r="AJ146" i="17"/>
  <c r="AJ136" i="17"/>
  <c r="AJ24" i="4" s="1"/>
  <c r="AW34" i="21"/>
  <c r="BA14" i="21" l="1"/>
  <c r="BA12" i="21"/>
  <c r="BA10" i="21"/>
  <c r="BA8" i="21"/>
  <c r="BA13" i="21"/>
  <c r="BA11" i="21"/>
  <c r="BA9" i="21"/>
  <c r="AN150" i="17"/>
  <c r="AN131" i="17"/>
  <c r="AN132" i="17"/>
  <c r="AN125" i="17"/>
  <c r="AN133" i="17"/>
  <c r="AN126" i="17"/>
  <c r="AN134" i="17"/>
  <c r="AN127" i="17"/>
  <c r="AN123" i="17"/>
  <c r="AN129" i="17"/>
  <c r="AN130" i="17"/>
  <c r="AN121" i="17"/>
  <c r="AN122" i="17"/>
  <c r="AN128" i="17"/>
  <c r="AN124" i="17"/>
  <c r="AN120" i="17"/>
  <c r="BA4" i="21"/>
  <c r="BA6" i="21"/>
  <c r="BA7" i="21"/>
  <c r="BA5" i="21"/>
  <c r="AM32" i="17"/>
  <c r="AN65" i="17"/>
  <c r="AN23" i="17" a="1"/>
  <c r="AN23" i="17" s="1"/>
  <c r="AN45" i="17" a="1"/>
  <c r="AN45" i="17" s="1"/>
  <c r="AN50" i="17" a="1"/>
  <c r="AN50" i="17" s="1"/>
  <c r="AN22" i="17" a="1"/>
  <c r="AN22" i="17" s="1"/>
  <c r="AN31" i="17" a="1"/>
  <c r="AN31" i="17" s="1"/>
  <c r="AN54" i="17" a="1"/>
  <c r="AN54" i="17" s="1"/>
  <c r="AN48" i="17" a="1"/>
  <c r="AN48" i="17" s="1"/>
  <c r="AN49" i="17" a="1"/>
  <c r="AN49" i="17" s="1"/>
  <c r="AN53" i="17" a="1"/>
  <c r="AN53" i="17" s="1"/>
  <c r="AN21" i="17" a="1"/>
  <c r="AN21" i="17" s="1"/>
  <c r="AN24" i="17" a="1"/>
  <c r="AN24" i="17" s="1"/>
  <c r="AN56" i="17" a="1"/>
  <c r="AN56" i="17" s="1"/>
  <c r="AN51" i="17" a="1"/>
  <c r="AN51" i="17" s="1"/>
  <c r="AN55" i="17" a="1"/>
  <c r="AN55" i="17" s="1"/>
  <c r="AN26" i="17" a="1"/>
  <c r="AN26" i="17" s="1"/>
  <c r="AN52" i="17" a="1"/>
  <c r="AN52" i="17" s="1"/>
  <c r="AN20" i="17" a="1"/>
  <c r="AN20" i="17" s="1"/>
  <c r="AN30" i="17" a="1"/>
  <c r="AN30" i="17" s="1"/>
  <c r="AN35" i="17" a="1"/>
  <c r="AN35" i="17" s="1"/>
  <c r="AN66" i="17"/>
  <c r="AN74" i="17"/>
  <c r="Y44" i="25"/>
  <c r="V44" i="25"/>
  <c r="AN73" i="17"/>
  <c r="B46" i="25"/>
  <c r="C45" i="25"/>
  <c r="AH45" i="25" s="1"/>
  <c r="T45" i="25" s="1"/>
  <c r="AN82" i="17"/>
  <c r="X43" i="25"/>
  <c r="AN70" i="17"/>
  <c r="AN62" i="17"/>
  <c r="AN81" i="17"/>
  <c r="AN61" i="17"/>
  <c r="AN69" i="17"/>
  <c r="AN109" i="17"/>
  <c r="AN63" i="17"/>
  <c r="AN67" i="17"/>
  <c r="AN71" i="17"/>
  <c r="AN77" i="17"/>
  <c r="AN88" i="17"/>
  <c r="AN60" i="17"/>
  <c r="AN64" i="17"/>
  <c r="AN68" i="17"/>
  <c r="AN72" i="17"/>
  <c r="AN78" i="17"/>
  <c r="AN92" i="17"/>
  <c r="AN75" i="17"/>
  <c r="AN79" i="17"/>
  <c r="AN84" i="17"/>
  <c r="AN93" i="17"/>
  <c r="AN76" i="17"/>
  <c r="AN80" i="17"/>
  <c r="AN85" i="17"/>
  <c r="AN97" i="17"/>
  <c r="AN89" i="17"/>
  <c r="AN98" i="17"/>
  <c r="AN86" i="17"/>
  <c r="AN90" i="17"/>
  <c r="AN94" i="17"/>
  <c r="AN104" i="17"/>
  <c r="AN83" i="17"/>
  <c r="AN87" i="17"/>
  <c r="AN91" i="17"/>
  <c r="AN96" i="17"/>
  <c r="BB3" i="21"/>
  <c r="AN95" i="17"/>
  <c r="AN100" i="17"/>
  <c r="AN105" i="17"/>
  <c r="AN110" i="17"/>
  <c r="AN101" i="17"/>
  <c r="AN106" i="17"/>
  <c r="AN114" i="17"/>
  <c r="AN102" i="17"/>
  <c r="AN108" i="17"/>
  <c r="AN115" i="17"/>
  <c r="AN99" i="17"/>
  <c r="AN103" i="17"/>
  <c r="AN107" i="17"/>
  <c r="AN111" i="17"/>
  <c r="AN119" i="17"/>
  <c r="AN118" i="17"/>
  <c r="AN112" i="17"/>
  <c r="AN116" i="17"/>
  <c r="AN113" i="17"/>
  <c r="AN117" i="17"/>
  <c r="AN135" i="17"/>
  <c r="AO3" i="17"/>
  <c r="AN3" i="4"/>
  <c r="AK136" i="17"/>
  <c r="AK24" i="4" s="1"/>
  <c r="AX34" i="21"/>
  <c r="AK139" i="17"/>
  <c r="AK143" i="17"/>
  <c r="AK141" i="17"/>
  <c r="AK145" i="17"/>
  <c r="AK138" i="17"/>
  <c r="AK142" i="17"/>
  <c r="AK146" i="17"/>
  <c r="AK151" i="17"/>
  <c r="AK140" i="17"/>
  <c r="AK144" i="17"/>
  <c r="AK148" i="17"/>
  <c r="AK147" i="17"/>
  <c r="AK149" i="17"/>
  <c r="AJ152" i="17"/>
  <c r="AJ25" i="4" s="1"/>
  <c r="BK42" i="17"/>
  <c r="BB14" i="21" l="1"/>
  <c r="BB12" i="21"/>
  <c r="BB10" i="21"/>
  <c r="BB8" i="21"/>
  <c r="BB13" i="21"/>
  <c r="BB11" i="21"/>
  <c r="BB9" i="21"/>
  <c r="AO150" i="17"/>
  <c r="AO133" i="17"/>
  <c r="AO134" i="17"/>
  <c r="AO124" i="17"/>
  <c r="AO130" i="17"/>
  <c r="AO126" i="17"/>
  <c r="AO131" i="17"/>
  <c r="AO127" i="17"/>
  <c r="AO129" i="17"/>
  <c r="AO132" i="17"/>
  <c r="AO128" i="17"/>
  <c r="AO120" i="17"/>
  <c r="AO121" i="17"/>
  <c r="AO122" i="17"/>
  <c r="AO123" i="17"/>
  <c r="AO125" i="17"/>
  <c r="BB4" i="21"/>
  <c r="BB6" i="21"/>
  <c r="BB7" i="21"/>
  <c r="BB5" i="21"/>
  <c r="X44" i="25"/>
  <c r="AN32" i="17"/>
  <c r="AO23" i="17" a="1"/>
  <c r="AO23" i="17" s="1"/>
  <c r="AO45" i="17" a="1"/>
  <c r="AO45" i="17" s="1"/>
  <c r="AO21" i="17" a="1"/>
  <c r="AO21" i="17" s="1"/>
  <c r="AO24" i="17" a="1"/>
  <c r="AO24" i="17" s="1"/>
  <c r="AO51" i="17" a="1"/>
  <c r="AO51" i="17" s="1"/>
  <c r="AO54" i="17" a="1"/>
  <c r="AO54" i="17" s="1"/>
  <c r="AO26" i="17" a="1"/>
  <c r="AO26" i="17" s="1"/>
  <c r="AO52" i="17" a="1"/>
  <c r="AO52" i="17" s="1"/>
  <c r="AO22" i="17" a="1"/>
  <c r="AO22" i="17" s="1"/>
  <c r="AO50" i="17" a="1"/>
  <c r="AO50" i="17" s="1"/>
  <c r="AO49" i="17" a="1"/>
  <c r="AO49" i="17" s="1"/>
  <c r="AO53" i="17" a="1"/>
  <c r="AO53" i="17" s="1"/>
  <c r="AO56" i="17" a="1"/>
  <c r="AO56" i="17" s="1"/>
  <c r="AO31" i="17" a="1"/>
  <c r="AO31" i="17" s="1"/>
  <c r="AO48" i="17" a="1"/>
  <c r="AO48" i="17" s="1"/>
  <c r="AO55" i="17" a="1"/>
  <c r="AO55" i="17" s="1"/>
  <c r="AO20" i="17" a="1"/>
  <c r="AO20" i="17" s="1"/>
  <c r="AO30" i="17" a="1"/>
  <c r="AO30" i="17" s="1"/>
  <c r="AO35" i="17" a="1"/>
  <c r="AO35" i="17" s="1"/>
  <c r="V45" i="25"/>
  <c r="Y45" i="25"/>
  <c r="C46" i="25"/>
  <c r="AH46" i="25" s="1"/>
  <c r="T46" i="25" s="1"/>
  <c r="B47" i="25"/>
  <c r="AO72" i="17"/>
  <c r="AO112" i="17"/>
  <c r="AO73" i="17"/>
  <c r="AO64" i="17"/>
  <c r="AO80" i="17"/>
  <c r="AO65" i="17"/>
  <c r="AO81" i="17"/>
  <c r="AO60" i="17"/>
  <c r="AO68" i="17"/>
  <c r="AO76" i="17"/>
  <c r="AO86" i="17"/>
  <c r="AO61" i="17"/>
  <c r="AO69" i="17"/>
  <c r="AO77" i="17"/>
  <c r="AO87" i="17"/>
  <c r="AO62" i="17"/>
  <c r="AO66" i="17"/>
  <c r="AO70" i="17"/>
  <c r="AO74" i="17"/>
  <c r="AO78" i="17"/>
  <c r="AO82" i="17"/>
  <c r="AO97" i="17"/>
  <c r="AO63" i="17"/>
  <c r="AO67" i="17"/>
  <c r="AO71" i="17"/>
  <c r="AO75" i="17"/>
  <c r="AO79" i="17"/>
  <c r="AO83" i="17"/>
  <c r="AO98" i="17"/>
  <c r="AO84" i="17"/>
  <c r="AO91" i="17"/>
  <c r="AO104" i="17"/>
  <c r="AO85" i="17"/>
  <c r="AO93" i="17"/>
  <c r="AO105" i="17"/>
  <c r="AO89" i="17"/>
  <c r="AO94" i="17"/>
  <c r="AO99" i="17"/>
  <c r="AO117" i="17"/>
  <c r="AO90" i="17"/>
  <c r="AO95" i="17"/>
  <c r="AO101" i="17"/>
  <c r="BC3" i="21"/>
  <c r="AO88" i="17"/>
  <c r="AO92" i="17"/>
  <c r="AO96" i="17"/>
  <c r="AO100" i="17"/>
  <c r="AO109" i="17"/>
  <c r="AO102" i="17"/>
  <c r="AO107" i="17"/>
  <c r="AO113" i="17"/>
  <c r="AO135" i="17"/>
  <c r="AO103" i="17"/>
  <c r="AO108" i="17"/>
  <c r="AO116" i="17"/>
  <c r="AO106" i="17"/>
  <c r="AO110" i="17"/>
  <c r="AO114" i="17"/>
  <c r="AO118" i="17"/>
  <c r="AO111" i="17"/>
  <c r="AO115" i="17"/>
  <c r="AO119" i="17"/>
  <c r="AP3" i="17"/>
  <c r="AO3" i="4"/>
  <c r="AK152" i="17"/>
  <c r="AK25" i="4" s="1"/>
  <c r="AL136" i="17"/>
  <c r="AL24" i="4" s="1"/>
  <c r="AY34" i="21"/>
  <c r="AL138" i="17"/>
  <c r="AL145" i="17"/>
  <c r="AL148" i="17"/>
  <c r="AL140" i="17"/>
  <c r="AL151" i="17"/>
  <c r="AL146" i="17"/>
  <c r="AL149" i="17"/>
  <c r="AL143" i="17"/>
  <c r="AL147" i="17"/>
  <c r="AL139" i="17"/>
  <c r="AL142" i="17"/>
  <c r="AL144" i="17"/>
  <c r="AL141" i="17"/>
  <c r="BC14" i="21" l="1"/>
  <c r="BC12" i="21"/>
  <c r="BC10" i="21"/>
  <c r="BC9" i="21"/>
  <c r="BC13" i="21"/>
  <c r="BC11" i="21"/>
  <c r="BC8" i="21"/>
  <c r="AP125" i="17"/>
  <c r="AP130" i="17"/>
  <c r="AP126" i="17"/>
  <c r="AP129" i="17"/>
  <c r="AP131" i="17"/>
  <c r="AP127" i="17"/>
  <c r="AP132" i="17"/>
  <c r="AP128" i="17"/>
  <c r="AP134" i="17"/>
  <c r="AP124" i="17"/>
  <c r="AP122" i="17"/>
  <c r="AP133" i="17"/>
  <c r="AP123" i="17"/>
  <c r="AP121" i="17"/>
  <c r="AP120" i="17"/>
  <c r="AP135" i="17"/>
  <c r="AP150" i="17"/>
  <c r="BC4" i="21"/>
  <c r="BC6" i="21"/>
  <c r="BC5" i="21"/>
  <c r="BC7" i="21"/>
  <c r="AP67" i="17"/>
  <c r="AP78" i="17"/>
  <c r="AP80" i="17"/>
  <c r="AP65" i="17"/>
  <c r="AP68" i="17"/>
  <c r="AP83" i="17"/>
  <c r="AP69" i="17"/>
  <c r="AP86" i="17"/>
  <c r="AP60" i="17"/>
  <c r="AP71" i="17"/>
  <c r="AP89" i="17"/>
  <c r="AP61" i="17"/>
  <c r="AP72" i="17"/>
  <c r="AP108" i="17"/>
  <c r="AP63" i="17"/>
  <c r="AP74" i="17"/>
  <c r="AP64" i="17"/>
  <c r="AP76" i="17"/>
  <c r="AO32" i="17"/>
  <c r="AP22" i="17" a="1"/>
  <c r="AP22" i="17" s="1"/>
  <c r="AP48" i="17" a="1"/>
  <c r="AP48" i="17" s="1"/>
  <c r="AP23" i="17" a="1"/>
  <c r="AP23" i="17" s="1"/>
  <c r="AP26" i="17" a="1"/>
  <c r="AP26" i="17" s="1"/>
  <c r="AP45" i="17" a="1"/>
  <c r="AP45" i="17" s="1"/>
  <c r="AP51" i="17" a="1"/>
  <c r="AP51" i="17" s="1"/>
  <c r="AP31" i="17" a="1"/>
  <c r="AP31" i="17" s="1"/>
  <c r="AP55" i="17" a="1"/>
  <c r="AP55" i="17" s="1"/>
  <c r="AP21" i="17" a="1"/>
  <c r="AP21" i="17" s="1"/>
  <c r="AP54" i="17" a="1"/>
  <c r="AP54" i="17" s="1"/>
  <c r="AP24" i="17" a="1"/>
  <c r="AP24" i="17" s="1"/>
  <c r="AP49" i="17" a="1"/>
  <c r="AP49" i="17" s="1"/>
  <c r="AP53" i="17" a="1"/>
  <c r="AP53" i="17" s="1"/>
  <c r="AP52" i="17" a="1"/>
  <c r="AP52" i="17" s="1"/>
  <c r="AP50" i="17" a="1"/>
  <c r="AP50" i="17" s="1"/>
  <c r="AP56" i="17" a="1"/>
  <c r="AP56" i="17" s="1"/>
  <c r="AP30" i="17" a="1"/>
  <c r="AP30" i="17" s="1"/>
  <c r="AP20" i="17" a="1"/>
  <c r="AP20" i="17" s="1"/>
  <c r="AP35" i="17" a="1"/>
  <c r="AP35" i="17" s="1"/>
  <c r="X45" i="25"/>
  <c r="B48" i="25"/>
  <c r="C47" i="25"/>
  <c r="AH47" i="25" s="1"/>
  <c r="T47" i="25" s="1"/>
  <c r="V46" i="25"/>
  <c r="Y46" i="25"/>
  <c r="AP94" i="17"/>
  <c r="AP62" i="17"/>
  <c r="AP66" i="17"/>
  <c r="AP70" i="17"/>
  <c r="AP75" i="17"/>
  <c r="AP82" i="17"/>
  <c r="AP79" i="17"/>
  <c r="AP84" i="17"/>
  <c r="AP97" i="17"/>
  <c r="AP88" i="17"/>
  <c r="AP105" i="17"/>
  <c r="AP73" i="17"/>
  <c r="AP77" i="17"/>
  <c r="AP81" i="17"/>
  <c r="AP85" i="17"/>
  <c r="AP92" i="17"/>
  <c r="AP98" i="17"/>
  <c r="AP111" i="17"/>
  <c r="AP93" i="17"/>
  <c r="AP101" i="17"/>
  <c r="AP119" i="17"/>
  <c r="AP90" i="17"/>
  <c r="AP96" i="17"/>
  <c r="AP102" i="17"/>
  <c r="AP113" i="17"/>
  <c r="AP100" i="17"/>
  <c r="AP106" i="17"/>
  <c r="AP115" i="17"/>
  <c r="AP87" i="17"/>
  <c r="AP91" i="17"/>
  <c r="AP95" i="17"/>
  <c r="AP99" i="17"/>
  <c r="AP104" i="17"/>
  <c r="AP109" i="17"/>
  <c r="AP116" i="17"/>
  <c r="AP103" i="17"/>
  <c r="AP107" i="17"/>
  <c r="AP112" i="17"/>
  <c r="AP117" i="17"/>
  <c r="AP3" i="4"/>
  <c r="AP110" i="17"/>
  <c r="AP114" i="17"/>
  <c r="AP118" i="17"/>
  <c r="AQ3" i="17"/>
  <c r="BD3" i="21"/>
  <c r="AM136" i="17"/>
  <c r="AM24" i="4" s="1"/>
  <c r="AZ34" i="21"/>
  <c r="AM147" i="17"/>
  <c r="AM146" i="17"/>
  <c r="AM140" i="17"/>
  <c r="AM145" i="17"/>
  <c r="AM139" i="17"/>
  <c r="AM149" i="17"/>
  <c r="AM151" i="17"/>
  <c r="AM143" i="17"/>
  <c r="AM148" i="17"/>
  <c r="AM138" i="17"/>
  <c r="AM141" i="17"/>
  <c r="AM144" i="17"/>
  <c r="AM142" i="17"/>
  <c r="AL152" i="17"/>
  <c r="AL25" i="4" s="1"/>
  <c r="BD13" i="21" l="1"/>
  <c r="BD11" i="21"/>
  <c r="BD9" i="21"/>
  <c r="BD12" i="21"/>
  <c r="BD14" i="21"/>
  <c r="BD10" i="21"/>
  <c r="BD8" i="21"/>
  <c r="AQ125" i="17"/>
  <c r="AQ124" i="17"/>
  <c r="AQ126" i="17"/>
  <c r="AQ129" i="17"/>
  <c r="AQ127" i="17"/>
  <c r="AQ130" i="17"/>
  <c r="AQ128" i="17"/>
  <c r="AQ132" i="17"/>
  <c r="AQ133" i="17"/>
  <c r="AQ134" i="17"/>
  <c r="AQ131" i="17"/>
  <c r="AQ120" i="17"/>
  <c r="AQ121" i="17"/>
  <c r="AQ122" i="17"/>
  <c r="AQ123" i="17"/>
  <c r="AQ135" i="17"/>
  <c r="AQ150" i="17"/>
  <c r="BD4" i="21"/>
  <c r="BD7" i="21"/>
  <c r="BD6" i="21"/>
  <c r="BD5" i="21"/>
  <c r="X46" i="25"/>
  <c r="AP32" i="17"/>
  <c r="AQ24" i="17" a="1"/>
  <c r="AQ24" i="17" s="1"/>
  <c r="AQ22" i="17" a="1"/>
  <c r="AQ22" i="17" s="1"/>
  <c r="AQ31" i="17" a="1"/>
  <c r="AQ31" i="17" s="1"/>
  <c r="AQ49" i="17" a="1"/>
  <c r="AQ49" i="17" s="1"/>
  <c r="AQ23" i="17" a="1"/>
  <c r="AQ23" i="17" s="1"/>
  <c r="AQ21" i="17" a="1"/>
  <c r="AQ21" i="17" s="1"/>
  <c r="AQ26" i="17" a="1"/>
  <c r="AQ26" i="17" s="1"/>
  <c r="AQ53" i="17" a="1"/>
  <c r="AQ53" i="17" s="1"/>
  <c r="AQ56" i="17" a="1"/>
  <c r="AQ56" i="17" s="1"/>
  <c r="AQ52" i="17" a="1"/>
  <c r="AQ52" i="17" s="1"/>
  <c r="AQ48" i="17" a="1"/>
  <c r="AQ48" i="17" s="1"/>
  <c r="AQ50" i="17" a="1"/>
  <c r="AQ50" i="17" s="1"/>
  <c r="AQ55" i="17" a="1"/>
  <c r="AQ55" i="17" s="1"/>
  <c r="AQ54" i="17" a="1"/>
  <c r="AQ54" i="17" s="1"/>
  <c r="AQ51" i="17" a="1"/>
  <c r="AQ51" i="17" s="1"/>
  <c r="AQ45" i="17" a="1"/>
  <c r="AQ45" i="17" s="1"/>
  <c r="AQ30" i="17" a="1"/>
  <c r="AQ30" i="17" s="1"/>
  <c r="AQ20" i="17" a="1"/>
  <c r="AQ20" i="17" s="1"/>
  <c r="AQ35" i="17" a="1"/>
  <c r="AQ35" i="17" s="1"/>
  <c r="Y47" i="25"/>
  <c r="V47" i="25"/>
  <c r="B49" i="25"/>
  <c r="C48" i="25"/>
  <c r="AH48" i="25" s="1"/>
  <c r="T48" i="25" s="1"/>
  <c r="AQ75" i="17"/>
  <c r="AQ63" i="17"/>
  <c r="AQ64" i="17"/>
  <c r="AQ78" i="17"/>
  <c r="AQ68" i="17"/>
  <c r="AQ60" i="17"/>
  <c r="AQ87" i="17"/>
  <c r="AQ62" i="17"/>
  <c r="AQ70" i="17"/>
  <c r="AQ91" i="17"/>
  <c r="AQ61" i="17"/>
  <c r="AQ66" i="17"/>
  <c r="AQ72" i="17"/>
  <c r="AQ80" i="17"/>
  <c r="AQ92" i="17"/>
  <c r="AQ67" i="17"/>
  <c r="AQ74" i="17"/>
  <c r="AQ82" i="17"/>
  <c r="AQ100" i="17"/>
  <c r="AQ71" i="17"/>
  <c r="AQ76" i="17"/>
  <c r="AQ86" i="17"/>
  <c r="AQ99" i="17"/>
  <c r="AQ65" i="17"/>
  <c r="AQ69" i="17"/>
  <c r="AQ73" i="17"/>
  <c r="AQ79" i="17"/>
  <c r="AQ83" i="17"/>
  <c r="AQ88" i="17"/>
  <c r="AQ95" i="17"/>
  <c r="AQ106" i="17"/>
  <c r="AQ84" i="17"/>
  <c r="AQ89" i="17"/>
  <c r="AQ96" i="17"/>
  <c r="AQ108" i="17"/>
  <c r="AQ77" i="17"/>
  <c r="AQ81" i="17"/>
  <c r="AQ85" i="17"/>
  <c r="AQ90" i="17"/>
  <c r="AQ93" i="17"/>
  <c r="AQ97" i="17"/>
  <c r="AQ102" i="17"/>
  <c r="AQ114" i="17"/>
  <c r="AQ94" i="17"/>
  <c r="AQ98" i="17"/>
  <c r="AQ103" i="17"/>
  <c r="AQ115" i="17"/>
  <c r="AQ101" i="17"/>
  <c r="AQ105" i="17"/>
  <c r="AQ110" i="17"/>
  <c r="AQ119" i="17"/>
  <c r="AQ104" i="17"/>
  <c r="AQ109" i="17"/>
  <c r="AQ116" i="17"/>
  <c r="AQ111" i="17"/>
  <c r="AQ113" i="17"/>
  <c r="AQ118" i="17"/>
  <c r="AQ107" i="17"/>
  <c r="AQ112" i="17"/>
  <c r="AQ117" i="17"/>
  <c r="AR3" i="17"/>
  <c r="BE3" i="21"/>
  <c r="AQ3" i="4"/>
  <c r="AM152" i="17"/>
  <c r="AM25" i="4" s="1"/>
  <c r="AN136" i="17"/>
  <c r="AN24" i="4" s="1"/>
  <c r="AN140" i="17"/>
  <c r="AN138" i="17"/>
  <c r="AN141" i="17"/>
  <c r="AN146" i="17"/>
  <c r="AN139" i="17"/>
  <c r="AN148" i="17"/>
  <c r="AN145" i="17"/>
  <c r="AN143" i="17"/>
  <c r="AN149" i="17"/>
  <c r="AN142" i="17"/>
  <c r="AN144" i="17"/>
  <c r="AN147" i="17"/>
  <c r="AN151" i="17"/>
  <c r="BE13" i="21" l="1"/>
  <c r="BE11" i="21"/>
  <c r="BE9" i="21"/>
  <c r="BE14" i="21"/>
  <c r="BE12" i="21"/>
  <c r="BE10" i="21"/>
  <c r="BE8" i="21"/>
  <c r="AR132" i="17"/>
  <c r="AR125" i="17"/>
  <c r="AR133" i="17"/>
  <c r="AR126" i="17"/>
  <c r="AR134" i="17"/>
  <c r="AR127" i="17"/>
  <c r="AR121" i="17"/>
  <c r="AR128" i="17"/>
  <c r="AR122" i="17"/>
  <c r="AR129" i="17"/>
  <c r="AR130" i="17"/>
  <c r="AR131" i="17"/>
  <c r="AR124" i="17"/>
  <c r="AR120" i="17"/>
  <c r="AR123" i="17"/>
  <c r="AR79" i="17"/>
  <c r="AR150" i="17"/>
  <c r="BE4" i="21"/>
  <c r="BE7" i="21"/>
  <c r="BE5" i="21"/>
  <c r="BE6" i="21"/>
  <c r="AQ32" i="17"/>
  <c r="AR69" i="17"/>
  <c r="AR76" i="17"/>
  <c r="AR24" i="17" a="1"/>
  <c r="AR24" i="17" s="1"/>
  <c r="AR22" i="17" a="1"/>
  <c r="AR22" i="17" s="1"/>
  <c r="AR31" i="17" a="1"/>
  <c r="AR31" i="17" s="1"/>
  <c r="AR50" i="17" a="1"/>
  <c r="AR50" i="17" s="1"/>
  <c r="AR49" i="17" a="1"/>
  <c r="AR49" i="17" s="1"/>
  <c r="AR23" i="17" a="1"/>
  <c r="AR23" i="17" s="1"/>
  <c r="AR26" i="17" a="1"/>
  <c r="AR26" i="17" s="1"/>
  <c r="AR53" i="17" a="1"/>
  <c r="AR53" i="17" s="1"/>
  <c r="AR21" i="17" a="1"/>
  <c r="AR21" i="17" s="1"/>
  <c r="AR56" i="17" a="1"/>
  <c r="AR56" i="17" s="1"/>
  <c r="AR52" i="17" a="1"/>
  <c r="AR52" i="17" s="1"/>
  <c r="AR54" i="17" a="1"/>
  <c r="AR54" i="17" s="1"/>
  <c r="AR51" i="17" a="1"/>
  <c r="AR51" i="17" s="1"/>
  <c r="AR48" i="17" a="1"/>
  <c r="AR48" i="17" s="1"/>
  <c r="AR55" i="17" a="1"/>
  <c r="AR55" i="17" s="1"/>
  <c r="AR45" i="17" a="1"/>
  <c r="AR45" i="17" s="1"/>
  <c r="AR20" i="17" a="1"/>
  <c r="AR20" i="17" s="1"/>
  <c r="AR30" i="17" a="1"/>
  <c r="AR30" i="17" s="1"/>
  <c r="AR35" i="17" a="1"/>
  <c r="AR35" i="17" s="1"/>
  <c r="AR63" i="17"/>
  <c r="AR62" i="17"/>
  <c r="AR67" i="17"/>
  <c r="AR75" i="17"/>
  <c r="AR60" i="17"/>
  <c r="AR65" i="17"/>
  <c r="AR70" i="17"/>
  <c r="AR82" i="17"/>
  <c r="AR61" i="17"/>
  <c r="AR66" i="17"/>
  <c r="AR71" i="17"/>
  <c r="AR74" i="17"/>
  <c r="V48" i="25"/>
  <c r="Y48" i="25"/>
  <c r="B50" i="25"/>
  <c r="C49" i="25"/>
  <c r="AH49" i="25" s="1"/>
  <c r="T49" i="25" s="1"/>
  <c r="X47" i="25"/>
  <c r="AR94" i="17"/>
  <c r="AR117" i="17"/>
  <c r="AR64" i="17"/>
  <c r="AR68" i="17"/>
  <c r="AR72" i="17"/>
  <c r="AR78" i="17"/>
  <c r="AR87" i="17"/>
  <c r="AR86" i="17"/>
  <c r="AR73" i="17"/>
  <c r="AR77" i="17"/>
  <c r="AR83" i="17"/>
  <c r="AR96" i="17"/>
  <c r="AR135" i="17"/>
  <c r="AR80" i="17"/>
  <c r="AR84" i="17"/>
  <c r="AR90" i="17"/>
  <c r="AR101" i="17"/>
  <c r="AR81" i="17"/>
  <c r="AR85" i="17"/>
  <c r="AR91" i="17"/>
  <c r="AR103" i="17"/>
  <c r="AR88" i="17"/>
  <c r="AR92" i="17"/>
  <c r="AR97" i="17"/>
  <c r="AR110" i="17"/>
  <c r="AR89" i="17"/>
  <c r="AR93" i="17"/>
  <c r="AR98" i="17"/>
  <c r="AR111" i="17"/>
  <c r="AR95" i="17"/>
  <c r="AR99" i="17"/>
  <c r="AR105" i="17"/>
  <c r="AR115" i="17"/>
  <c r="AR100" i="17"/>
  <c r="AR106" i="17"/>
  <c r="BF3" i="21"/>
  <c r="AR102" i="17"/>
  <c r="AR107" i="17"/>
  <c r="AR113" i="17"/>
  <c r="AR118" i="17"/>
  <c r="AR109" i="17"/>
  <c r="AR114" i="17"/>
  <c r="AR119" i="17"/>
  <c r="AR104" i="17"/>
  <c r="AR108" i="17"/>
  <c r="AR112" i="17"/>
  <c r="AR116" i="17"/>
  <c r="AS3" i="17"/>
  <c r="AR3" i="4"/>
  <c r="AO136" i="17"/>
  <c r="AO24" i="4" s="1"/>
  <c r="AN152" i="17"/>
  <c r="AN25" i="4" s="1"/>
  <c r="AO149" i="17"/>
  <c r="AO144" i="17"/>
  <c r="AO147" i="17"/>
  <c r="AO151" i="17"/>
  <c r="AO139" i="17"/>
  <c r="AO141" i="17"/>
  <c r="AO140" i="17"/>
  <c r="AO143" i="17"/>
  <c r="AO146" i="17"/>
  <c r="AO142" i="17"/>
  <c r="AO138" i="17"/>
  <c r="AO148" i="17"/>
  <c r="AO145" i="17"/>
  <c r="BF13" i="21" l="1"/>
  <c r="BF11" i="21"/>
  <c r="BF9" i="21"/>
  <c r="BF14" i="21"/>
  <c r="BF12" i="21"/>
  <c r="BF10" i="21"/>
  <c r="BF8" i="21"/>
  <c r="AS150" i="17"/>
  <c r="AS134" i="17"/>
  <c r="AS124" i="17"/>
  <c r="AS125" i="17"/>
  <c r="AS131" i="17"/>
  <c r="AS127" i="17"/>
  <c r="AS129" i="17"/>
  <c r="AS132" i="17"/>
  <c r="AS128" i="17"/>
  <c r="AS133" i="17"/>
  <c r="AS130" i="17"/>
  <c r="AS123" i="17"/>
  <c r="AS120" i="17"/>
  <c r="AS121" i="17"/>
  <c r="AS122" i="17"/>
  <c r="AS126" i="17"/>
  <c r="BF4" i="21"/>
  <c r="BF7" i="21"/>
  <c r="BF5" i="21"/>
  <c r="BF6" i="21"/>
  <c r="AR32" i="17"/>
  <c r="AS110" i="17"/>
  <c r="AS21" i="17" a="1"/>
  <c r="AS21" i="17" s="1"/>
  <c r="AS24" i="17" a="1"/>
  <c r="AS24" i="17" s="1"/>
  <c r="AS23" i="17" a="1"/>
  <c r="AS23" i="17" s="1"/>
  <c r="AS45" i="17" a="1"/>
  <c r="AS45" i="17" s="1"/>
  <c r="AS55" i="17" a="1"/>
  <c r="AS55" i="17" s="1"/>
  <c r="AS49" i="17" a="1"/>
  <c r="AS49" i="17" s="1"/>
  <c r="AS48" i="17" a="1"/>
  <c r="AS48" i="17" s="1"/>
  <c r="AS50" i="17" a="1"/>
  <c r="AS50" i="17" s="1"/>
  <c r="AS54" i="17" a="1"/>
  <c r="AS54" i="17" s="1"/>
  <c r="AS31" i="17" a="1"/>
  <c r="AS31" i="17" s="1"/>
  <c r="AS56" i="17" a="1"/>
  <c r="AS56" i="17" s="1"/>
  <c r="AS26" i="17" a="1"/>
  <c r="AS26" i="17" s="1"/>
  <c r="AS52" i="17" a="1"/>
  <c r="AS52" i="17" s="1"/>
  <c r="AS51" i="17" a="1"/>
  <c r="AS51" i="17" s="1"/>
  <c r="AS22" i="17" a="1"/>
  <c r="AS22" i="17" s="1"/>
  <c r="AS53" i="17" a="1"/>
  <c r="AS53" i="17" s="1"/>
  <c r="AS20" i="17" a="1"/>
  <c r="AS20" i="17" s="1"/>
  <c r="AS30" i="17" a="1"/>
  <c r="AS30" i="17" s="1"/>
  <c r="AS35" i="17" a="1"/>
  <c r="AS35" i="17" s="1"/>
  <c r="AS66" i="17"/>
  <c r="AS85" i="17"/>
  <c r="AS61" i="17"/>
  <c r="AS74" i="17"/>
  <c r="AS63" i="17"/>
  <c r="AS70" i="17"/>
  <c r="AS78" i="17"/>
  <c r="AS105" i="17"/>
  <c r="AS65" i="17"/>
  <c r="AS73" i="17"/>
  <c r="AS81" i="17"/>
  <c r="AS62" i="17"/>
  <c r="AS69" i="17"/>
  <c r="AS77" i="17"/>
  <c r="AS93" i="17"/>
  <c r="AS67" i="17"/>
  <c r="AS71" i="17"/>
  <c r="AS75" i="17"/>
  <c r="AS79" i="17"/>
  <c r="AS83" i="17"/>
  <c r="AS89" i="17"/>
  <c r="AS97" i="17"/>
  <c r="AS115" i="17"/>
  <c r="AS60" i="17"/>
  <c r="AS64" i="17"/>
  <c r="AS68" i="17"/>
  <c r="AS72" i="17"/>
  <c r="AS76" i="17"/>
  <c r="AS80" i="17"/>
  <c r="AS84" i="17"/>
  <c r="AS92" i="17"/>
  <c r="AS101" i="17"/>
  <c r="AS82" i="17"/>
  <c r="AS88" i="17"/>
  <c r="AS96" i="17"/>
  <c r="AS117" i="17"/>
  <c r="AS86" i="17"/>
  <c r="AS90" i="17"/>
  <c r="AS94" i="17"/>
  <c r="AS98" i="17"/>
  <c r="AS102" i="17"/>
  <c r="AS106" i="17"/>
  <c r="AS111" i="17"/>
  <c r="AS118" i="17"/>
  <c r="X48" i="25"/>
  <c r="AS87" i="17"/>
  <c r="AS91" i="17"/>
  <c r="AS95" i="17"/>
  <c r="AS99" i="17"/>
  <c r="AS103" i="17"/>
  <c r="AS107" i="17"/>
  <c r="AS113" i="17"/>
  <c r="V49" i="25"/>
  <c r="Y49" i="25"/>
  <c r="AS100" i="17"/>
  <c r="AS104" i="17"/>
  <c r="AS109" i="17"/>
  <c r="AS114" i="17"/>
  <c r="C50" i="25"/>
  <c r="AH50" i="25" s="1"/>
  <c r="T50" i="25" s="1"/>
  <c r="B51" i="25"/>
  <c r="AS108" i="17"/>
  <c r="AS112" i="17"/>
  <c r="AS116" i="17"/>
  <c r="AS135" i="17"/>
  <c r="AS119" i="17"/>
  <c r="AL57" i="17"/>
  <c r="AL22" i="4" s="1"/>
  <c r="AN57" i="17"/>
  <c r="AN22" i="4" s="1"/>
  <c r="AM57" i="17"/>
  <c r="AM22" i="4" s="1"/>
  <c r="BG3" i="21"/>
  <c r="AT3" i="17"/>
  <c r="AS3" i="4"/>
  <c r="AO57" i="17"/>
  <c r="AO22" i="4" s="1"/>
  <c r="AO152" i="17"/>
  <c r="AO25" i="4" s="1"/>
  <c r="AP136" i="17"/>
  <c r="AP24" i="4" s="1"/>
  <c r="AP142" i="17"/>
  <c r="AP147" i="17"/>
  <c r="AP145" i="17"/>
  <c r="AP151" i="17"/>
  <c r="AP149" i="17"/>
  <c r="AP146" i="17"/>
  <c r="AP140" i="17"/>
  <c r="AP143" i="17"/>
  <c r="AP144" i="17"/>
  <c r="AP148" i="17"/>
  <c r="AP138" i="17"/>
  <c r="AP139" i="17"/>
  <c r="AP141" i="17"/>
  <c r="BG13" i="21" l="1"/>
  <c r="BG11" i="21"/>
  <c r="BG9" i="21"/>
  <c r="BG8" i="21"/>
  <c r="BG14" i="21"/>
  <c r="BG12" i="21"/>
  <c r="BG10" i="21"/>
  <c r="AT150" i="17"/>
  <c r="AT130" i="17"/>
  <c r="AT126" i="17"/>
  <c r="AT131" i="17"/>
  <c r="AT127" i="17"/>
  <c r="AT132" i="17"/>
  <c r="AT128" i="17"/>
  <c r="AT133" i="17"/>
  <c r="AT134" i="17"/>
  <c r="AT129" i="17"/>
  <c r="AT124" i="17"/>
  <c r="AT125" i="17"/>
  <c r="AT123" i="17"/>
  <c r="AT122" i="17"/>
  <c r="AT120" i="17"/>
  <c r="AT121" i="17"/>
  <c r="BG4" i="21"/>
  <c r="BG7" i="21"/>
  <c r="BG5" i="21"/>
  <c r="BG6" i="21"/>
  <c r="AS32" i="17"/>
  <c r="AT119" i="17"/>
  <c r="AT21" i="17" a="1"/>
  <c r="AT21" i="17" s="1"/>
  <c r="AT26" i="17" a="1"/>
  <c r="AT26" i="17" s="1"/>
  <c r="AT48" i="17" a="1"/>
  <c r="AT48" i="17" s="1"/>
  <c r="AT22" i="17" a="1"/>
  <c r="AT22" i="17" s="1"/>
  <c r="AT24" i="17" a="1"/>
  <c r="AT24" i="17" s="1"/>
  <c r="AT52" i="17" a="1"/>
  <c r="AT52" i="17" s="1"/>
  <c r="AT55" i="17" a="1"/>
  <c r="AT55" i="17" s="1"/>
  <c r="AT51" i="17" a="1"/>
  <c r="AT51" i="17" s="1"/>
  <c r="AT45" i="17" a="1"/>
  <c r="AT45" i="17" s="1"/>
  <c r="AT53" i="17" a="1"/>
  <c r="AT53" i="17" s="1"/>
  <c r="AT31" i="17" a="1"/>
  <c r="AT31" i="17" s="1"/>
  <c r="AT56" i="17" a="1"/>
  <c r="AT56" i="17" s="1"/>
  <c r="AT23" i="17" a="1"/>
  <c r="AT23" i="17" s="1"/>
  <c r="AT49" i="17" a="1"/>
  <c r="AT49" i="17" s="1"/>
  <c r="AT54" i="17" a="1"/>
  <c r="AT54" i="17" s="1"/>
  <c r="AT50" i="17" a="1"/>
  <c r="AT50" i="17" s="1"/>
  <c r="AT20" i="17" a="1"/>
  <c r="AT20" i="17" s="1"/>
  <c r="AT30" i="17" a="1"/>
  <c r="AT30" i="17" s="1"/>
  <c r="AT35" i="17" a="1"/>
  <c r="AT35" i="17" s="1"/>
  <c r="AT75" i="17"/>
  <c r="AT74" i="17"/>
  <c r="AT65" i="17"/>
  <c r="AT86" i="17"/>
  <c r="AT64" i="17"/>
  <c r="AT85" i="17"/>
  <c r="AT61" i="17"/>
  <c r="AT70" i="17"/>
  <c r="AT81" i="17"/>
  <c r="AT95" i="17"/>
  <c r="AT60" i="17"/>
  <c r="AT69" i="17"/>
  <c r="AT79" i="17"/>
  <c r="AT93" i="17"/>
  <c r="AT62" i="17"/>
  <c r="AT66" i="17"/>
  <c r="AT71" i="17"/>
  <c r="AT77" i="17"/>
  <c r="AT82" i="17"/>
  <c r="AT89" i="17"/>
  <c r="AT100" i="17"/>
  <c r="AT63" i="17"/>
  <c r="AT67" i="17"/>
  <c r="AT73" i="17"/>
  <c r="AT78" i="17"/>
  <c r="AT83" i="17"/>
  <c r="AT90" i="17"/>
  <c r="AT103" i="17"/>
  <c r="AT68" i="17"/>
  <c r="AT72" i="17"/>
  <c r="AT76" i="17"/>
  <c r="AT80" i="17"/>
  <c r="AT84" i="17"/>
  <c r="AT88" i="17"/>
  <c r="AT92" i="17"/>
  <c r="AT99" i="17"/>
  <c r="AT111" i="17"/>
  <c r="AT87" i="17"/>
  <c r="AT91" i="17"/>
  <c r="AT96" i="17"/>
  <c r="AT104" i="17"/>
  <c r="AT108" i="17"/>
  <c r="AT97" i="17"/>
  <c r="AT101" i="17"/>
  <c r="AT105" i="17"/>
  <c r="AT115" i="17"/>
  <c r="AT94" i="17"/>
  <c r="AT98" i="17"/>
  <c r="AT102" i="17"/>
  <c r="AT107" i="17"/>
  <c r="V50" i="25"/>
  <c r="Y50" i="25"/>
  <c r="AT118" i="17"/>
  <c r="X49" i="25"/>
  <c r="B52" i="25"/>
  <c r="C51" i="25"/>
  <c r="AH51" i="25" s="1"/>
  <c r="T51" i="25" s="1"/>
  <c r="AT106" i="17"/>
  <c r="AT110" i="17"/>
  <c r="AT114" i="17"/>
  <c r="AT112" i="17"/>
  <c r="AT116" i="17"/>
  <c r="AT109" i="17"/>
  <c r="AT113" i="17"/>
  <c r="AT117" i="17"/>
  <c r="AT3" i="4"/>
  <c r="AT135" i="17"/>
  <c r="AU3" i="17"/>
  <c r="BH3" i="21"/>
  <c r="AP152" i="17"/>
  <c r="AP25" i="4" s="1"/>
  <c r="AQ136" i="17"/>
  <c r="AQ24" i="4" s="1"/>
  <c r="AQ140" i="17"/>
  <c r="AQ142" i="17"/>
  <c r="AQ143" i="17"/>
  <c r="AQ147" i="17"/>
  <c r="AQ145" i="17"/>
  <c r="AQ141" i="17"/>
  <c r="AQ139" i="17"/>
  <c r="AQ146" i="17"/>
  <c r="AQ149" i="17"/>
  <c r="AQ151" i="17"/>
  <c r="AQ138" i="17"/>
  <c r="AQ144" i="17"/>
  <c r="AQ148" i="17"/>
  <c r="AP57" i="17"/>
  <c r="AP22" i="4" s="1"/>
  <c r="BH14" i="21" l="1"/>
  <c r="BH12" i="21"/>
  <c r="BH10" i="21"/>
  <c r="BH8" i="21"/>
  <c r="BH9" i="21"/>
  <c r="BH13" i="21"/>
  <c r="BH11" i="21"/>
  <c r="AU150" i="17"/>
  <c r="AU126" i="17"/>
  <c r="AU129" i="17"/>
  <c r="AU127" i="17"/>
  <c r="AU130" i="17"/>
  <c r="AU128" i="17"/>
  <c r="AU131" i="17"/>
  <c r="AU133" i="17"/>
  <c r="AU134" i="17"/>
  <c r="AU125" i="17"/>
  <c r="AU121" i="17"/>
  <c r="AU122" i="17"/>
  <c r="AU123" i="17"/>
  <c r="AU124" i="17"/>
  <c r="AU120" i="17"/>
  <c r="AU132" i="17"/>
  <c r="BH4" i="21"/>
  <c r="BH6" i="21"/>
  <c r="BH7" i="21"/>
  <c r="BH5" i="21"/>
  <c r="AT32" i="17"/>
  <c r="AU116" i="17"/>
  <c r="AU23" i="17" a="1"/>
  <c r="AU23" i="17" s="1"/>
  <c r="AU21" i="17" a="1"/>
  <c r="AU21" i="17" s="1"/>
  <c r="AU26" i="17" a="1"/>
  <c r="AU26" i="17" s="1"/>
  <c r="AU49" i="17" a="1"/>
  <c r="AU49" i="17" s="1"/>
  <c r="AU31" i="17" a="1"/>
  <c r="AU31" i="17" s="1"/>
  <c r="AU24" i="17" a="1"/>
  <c r="AU24" i="17" s="1"/>
  <c r="AU52" i="17" a="1"/>
  <c r="AU52" i="17" s="1"/>
  <c r="AU45" i="17" a="1"/>
  <c r="AU45" i="17" s="1"/>
  <c r="AU56" i="17" a="1"/>
  <c r="AU56" i="17" s="1"/>
  <c r="AU22" i="17" a="1"/>
  <c r="AU22" i="17" s="1"/>
  <c r="AU53" i="17" a="1"/>
  <c r="AU53" i="17" s="1"/>
  <c r="AU48" i="17" a="1"/>
  <c r="AU48" i="17" s="1"/>
  <c r="AU50" i="17" a="1"/>
  <c r="AU50" i="17" s="1"/>
  <c r="AU55" i="17" a="1"/>
  <c r="AU55" i="17" s="1"/>
  <c r="AU54" i="17" a="1"/>
  <c r="AU54" i="17" s="1"/>
  <c r="AU51" i="17" a="1"/>
  <c r="AU51" i="17" s="1"/>
  <c r="AU20" i="17" a="1"/>
  <c r="AU20" i="17" s="1"/>
  <c r="AU30" i="17" a="1"/>
  <c r="AU30" i="17" s="1"/>
  <c r="AU35" i="17" a="1"/>
  <c r="AU35" i="17" s="1"/>
  <c r="AU60" i="17"/>
  <c r="AU64" i="17"/>
  <c r="AU67" i="17"/>
  <c r="AU72" i="17"/>
  <c r="AU76" i="17"/>
  <c r="AU80" i="17"/>
  <c r="AU92" i="17"/>
  <c r="AU63" i="17"/>
  <c r="AU68" i="17"/>
  <c r="AU71" i="17"/>
  <c r="AU75" i="17"/>
  <c r="AU78" i="17"/>
  <c r="AU85" i="17"/>
  <c r="AU61" i="17"/>
  <c r="AU65" i="17"/>
  <c r="AU69" i="17"/>
  <c r="AU73" i="17"/>
  <c r="AU77" i="17"/>
  <c r="AU81" i="17"/>
  <c r="AU96" i="17"/>
  <c r="AU62" i="17"/>
  <c r="AU66" i="17"/>
  <c r="AU70" i="17"/>
  <c r="AU74" i="17"/>
  <c r="AU79" i="17"/>
  <c r="AU84" i="17"/>
  <c r="AU101" i="17"/>
  <c r="AU86" i="17"/>
  <c r="AU82" i="17"/>
  <c r="AU100" i="17"/>
  <c r="AU105" i="17"/>
  <c r="AU108" i="17"/>
  <c r="AU89" i="17"/>
  <c r="AU83" i="17"/>
  <c r="AU90" i="17"/>
  <c r="AU97" i="17"/>
  <c r="AU113" i="17"/>
  <c r="AU94" i="17"/>
  <c r="AU102" i="17"/>
  <c r="AU114" i="17"/>
  <c r="AU88" i="17"/>
  <c r="AU93" i="17"/>
  <c r="AU98" i="17"/>
  <c r="AU106" i="17"/>
  <c r="X50" i="25"/>
  <c r="V51" i="25"/>
  <c r="Y51" i="25"/>
  <c r="AU103" i="17"/>
  <c r="AU109" i="17"/>
  <c r="AU118" i="17"/>
  <c r="C52" i="25"/>
  <c r="AH52" i="25" s="1"/>
  <c r="T52" i="25" s="1"/>
  <c r="B53" i="25"/>
  <c r="AU87" i="17"/>
  <c r="AU91" i="17"/>
  <c r="AU95" i="17"/>
  <c r="AU99" i="17"/>
  <c r="AU104" i="17"/>
  <c r="AU107" i="17"/>
  <c r="AU112" i="17"/>
  <c r="AU117" i="17"/>
  <c r="AU111" i="17"/>
  <c r="AU110" i="17"/>
  <c r="AU115" i="17"/>
  <c r="AU119" i="17"/>
  <c r="AU135" i="17"/>
  <c r="BI3" i="21"/>
  <c r="AV3" i="17"/>
  <c r="AU3" i="4"/>
  <c r="AQ57" i="17"/>
  <c r="AQ22" i="4" s="1"/>
  <c r="AQ152" i="17"/>
  <c r="AQ25" i="4" s="1"/>
  <c r="AR144" i="17"/>
  <c r="AR138" i="17"/>
  <c r="AR141" i="17"/>
  <c r="AR140" i="17"/>
  <c r="AR143" i="17"/>
  <c r="AR139" i="17"/>
  <c r="AR142" i="17"/>
  <c r="AR145" i="17"/>
  <c r="AR146" i="17"/>
  <c r="AR148" i="17"/>
  <c r="AR149" i="17"/>
  <c r="AR151" i="17"/>
  <c r="AR147" i="17"/>
  <c r="AR136" i="17"/>
  <c r="AR24" i="4" s="1"/>
  <c r="I57" i="17"/>
  <c r="I22" i="4" s="1"/>
  <c r="H57" i="17"/>
  <c r="H22" i="4" s="1"/>
  <c r="AB57" i="17"/>
  <c r="AB22" i="4" s="1"/>
  <c r="AE57" i="17"/>
  <c r="AE22" i="4" s="1"/>
  <c r="K57" i="17"/>
  <c r="K22" i="4" s="1"/>
  <c r="M57" i="17"/>
  <c r="M22" i="4" s="1"/>
  <c r="W57" i="17"/>
  <c r="W22" i="4" s="1"/>
  <c r="F57" i="17"/>
  <c r="F22" i="4" s="1"/>
  <c r="S57" i="17"/>
  <c r="S22" i="4" s="1"/>
  <c r="AG57" i="17"/>
  <c r="AG22" i="4" s="1"/>
  <c r="AF57" i="17"/>
  <c r="AF22" i="4" s="1"/>
  <c r="AC57" i="17"/>
  <c r="AC22" i="4" s="1"/>
  <c r="AH57" i="17"/>
  <c r="AH22" i="4" s="1"/>
  <c r="Y57" i="17"/>
  <c r="Y22" i="4" s="1"/>
  <c r="E57" i="17"/>
  <c r="E22" i="4" s="1"/>
  <c r="U57" i="17"/>
  <c r="U22" i="4" s="1"/>
  <c r="AJ57" i="17"/>
  <c r="AJ22" i="4" s="1"/>
  <c r="P57" i="17"/>
  <c r="P22" i="4" s="1"/>
  <c r="G57" i="17"/>
  <c r="G22" i="4" s="1"/>
  <c r="D57" i="17"/>
  <c r="D22" i="4" s="1"/>
  <c r="Q57" i="17"/>
  <c r="Q22" i="4" s="1"/>
  <c r="N57" i="17"/>
  <c r="N22" i="4" s="1"/>
  <c r="AA57" i="17"/>
  <c r="AA22" i="4" s="1"/>
  <c r="T57" i="17"/>
  <c r="T22" i="4" s="1"/>
  <c r="Z57" i="17"/>
  <c r="Z22" i="4" s="1"/>
  <c r="V57" i="17"/>
  <c r="V22" i="4" s="1"/>
  <c r="AI57" i="17"/>
  <c r="AI22" i="4" s="1"/>
  <c r="J57" i="17"/>
  <c r="J22" i="4" s="1"/>
  <c r="O57" i="17"/>
  <c r="O22" i="4" s="1"/>
  <c r="AK57" i="17"/>
  <c r="AK22" i="4" s="1"/>
  <c r="R57" i="17"/>
  <c r="R22" i="4" s="1"/>
  <c r="AD57" i="17"/>
  <c r="AD22" i="4" s="1"/>
  <c r="X57" i="17"/>
  <c r="X22" i="4" s="1"/>
  <c r="C57" i="17"/>
  <c r="C22" i="4" s="1"/>
  <c r="L57" i="17"/>
  <c r="L22" i="4" s="1"/>
  <c r="BI14" i="21" l="1"/>
  <c r="BI12" i="21"/>
  <c r="BI10" i="21"/>
  <c r="BI8" i="21"/>
  <c r="BI13" i="21"/>
  <c r="BI11" i="21"/>
  <c r="BI9" i="21"/>
  <c r="AV150" i="17"/>
  <c r="AV133" i="17"/>
  <c r="AV129" i="17"/>
  <c r="AV126" i="17"/>
  <c r="AV134" i="17"/>
  <c r="AV127" i="17"/>
  <c r="AV128" i="17"/>
  <c r="AV122" i="17"/>
  <c r="AV123" i="17"/>
  <c r="AV130" i="17"/>
  <c r="AV131" i="17"/>
  <c r="AV132" i="17"/>
  <c r="AV125" i="17"/>
  <c r="AV120" i="17"/>
  <c r="AV121" i="17"/>
  <c r="AV124" i="17"/>
  <c r="BI4" i="21"/>
  <c r="BI6" i="21"/>
  <c r="BI5" i="21"/>
  <c r="BI7" i="21"/>
  <c r="AU32" i="17"/>
  <c r="AV110" i="17"/>
  <c r="AV23" i="17" a="1"/>
  <c r="AV23" i="17" s="1"/>
  <c r="AV45" i="17" a="1"/>
  <c r="AV45" i="17" s="1"/>
  <c r="AV50" i="17" a="1"/>
  <c r="AV50" i="17" s="1"/>
  <c r="AV22" i="17" a="1"/>
  <c r="AV22" i="17" s="1"/>
  <c r="AV31" i="17" a="1"/>
  <c r="AV31" i="17" s="1"/>
  <c r="AV54" i="17" a="1"/>
  <c r="AV54" i="17" s="1"/>
  <c r="AV53" i="17" a="1"/>
  <c r="AV53" i="17" s="1"/>
  <c r="AV51" i="17" a="1"/>
  <c r="AV51" i="17" s="1"/>
  <c r="AV21" i="17" a="1"/>
  <c r="AV21" i="17" s="1"/>
  <c r="AV26" i="17" a="1"/>
  <c r="AV26" i="17" s="1"/>
  <c r="AV49" i="17" a="1"/>
  <c r="AV49" i="17" s="1"/>
  <c r="AV48" i="17" a="1"/>
  <c r="AV48" i="17" s="1"/>
  <c r="AV55" i="17" a="1"/>
  <c r="AV55" i="17" s="1"/>
  <c r="AV56" i="17" a="1"/>
  <c r="AV56" i="17" s="1"/>
  <c r="AV24" i="17" a="1"/>
  <c r="AV24" i="17" s="1"/>
  <c r="AV52" i="17" a="1"/>
  <c r="AV52" i="17" s="1"/>
  <c r="AV20" i="17" a="1"/>
  <c r="AV20" i="17" s="1"/>
  <c r="AV30" i="17" a="1"/>
  <c r="AV30" i="17" s="1"/>
  <c r="AV35" i="17" a="1"/>
  <c r="AV35" i="17" s="1"/>
  <c r="AV61" i="17"/>
  <c r="AV74" i="17"/>
  <c r="AV65" i="17"/>
  <c r="AV97" i="17"/>
  <c r="AV69" i="17"/>
  <c r="AV63" i="17"/>
  <c r="AV82" i="17"/>
  <c r="AV60" i="17"/>
  <c r="AV64" i="17"/>
  <c r="AV72" i="17"/>
  <c r="AV86" i="17"/>
  <c r="AV62" i="17"/>
  <c r="AV66" i="17"/>
  <c r="AV77" i="17"/>
  <c r="AV119" i="17"/>
  <c r="AV68" i="17"/>
  <c r="AV73" i="17"/>
  <c r="AV78" i="17"/>
  <c r="AV93" i="17"/>
  <c r="AV70" i="17"/>
  <c r="AV76" i="17"/>
  <c r="AV83" i="17"/>
  <c r="AV102" i="17"/>
  <c r="AV80" i="17"/>
  <c r="AV89" i="17"/>
  <c r="AV107" i="17"/>
  <c r="AV67" i="17"/>
  <c r="AV71" i="17"/>
  <c r="AV75" i="17"/>
  <c r="AV79" i="17"/>
  <c r="AV84" i="17"/>
  <c r="AV91" i="17"/>
  <c r="AV99" i="17"/>
  <c r="AV111" i="17"/>
  <c r="AV87" i="17"/>
  <c r="AV94" i="17"/>
  <c r="AV105" i="17"/>
  <c r="AV81" i="17"/>
  <c r="AV85" i="17"/>
  <c r="AV90" i="17"/>
  <c r="AV95" i="17"/>
  <c r="AV101" i="17"/>
  <c r="AV106" i="17"/>
  <c r="AV116" i="17"/>
  <c r="AV98" i="17"/>
  <c r="AV103" i="17"/>
  <c r="X51" i="25"/>
  <c r="AV114" i="17"/>
  <c r="B54" i="25"/>
  <c r="C53" i="25"/>
  <c r="AH53" i="25" s="1"/>
  <c r="T53" i="25" s="1"/>
  <c r="AV88" i="17"/>
  <c r="AV92" i="17"/>
  <c r="AV96" i="17"/>
  <c r="AV100" i="17"/>
  <c r="AV104" i="17"/>
  <c r="AV109" i="17"/>
  <c r="AV115" i="17"/>
  <c r="Y52" i="25"/>
  <c r="V52" i="25"/>
  <c r="AV118" i="17"/>
  <c r="AV108" i="17"/>
  <c r="AV112" i="17"/>
  <c r="AV135" i="17"/>
  <c r="AV113" i="17"/>
  <c r="AV117" i="17"/>
  <c r="BJ3" i="21"/>
  <c r="AW3" i="17"/>
  <c r="AV3" i="4"/>
  <c r="AS136" i="17"/>
  <c r="AS24" i="4" s="1"/>
  <c r="AR152" i="17"/>
  <c r="AR25" i="4" s="1"/>
  <c r="AS139" i="17"/>
  <c r="AS142" i="17"/>
  <c r="AS151" i="17"/>
  <c r="AS146" i="17"/>
  <c r="AS149" i="17"/>
  <c r="AS143" i="17"/>
  <c r="AS148" i="17"/>
  <c r="AS140" i="17"/>
  <c r="AS138" i="17"/>
  <c r="AS147" i="17"/>
  <c r="AS141" i="17"/>
  <c r="AS144" i="17"/>
  <c r="AS145" i="17"/>
  <c r="AR57" i="17"/>
  <c r="BJ14" i="21" l="1"/>
  <c r="BJ12" i="21"/>
  <c r="BJ10" i="21"/>
  <c r="BJ8" i="21"/>
  <c r="BJ13" i="21"/>
  <c r="BJ11" i="21"/>
  <c r="BJ9" i="21"/>
  <c r="AW150" i="17"/>
  <c r="AW124" i="17"/>
  <c r="AW125" i="17"/>
  <c r="AW130" i="17"/>
  <c r="AW126" i="17"/>
  <c r="AW132" i="17"/>
  <c r="AW128" i="17"/>
  <c r="AW133" i="17"/>
  <c r="AW134" i="17"/>
  <c r="AW120" i="17"/>
  <c r="AW121" i="17"/>
  <c r="AW122" i="17"/>
  <c r="AW127" i="17"/>
  <c r="AW123" i="17"/>
  <c r="AW129" i="17"/>
  <c r="AW131" i="17"/>
  <c r="BJ4" i="21"/>
  <c r="BJ6" i="21"/>
  <c r="BJ7" i="21"/>
  <c r="BJ5" i="21"/>
  <c r="AV32" i="17"/>
  <c r="AW95" i="17"/>
  <c r="AW23" i="17" a="1"/>
  <c r="AW23" i="17" s="1"/>
  <c r="AW45" i="17" a="1"/>
  <c r="AW45" i="17" s="1"/>
  <c r="AW21" i="17" a="1"/>
  <c r="AW21" i="17" s="1"/>
  <c r="AW24" i="17" a="1"/>
  <c r="AW24" i="17" s="1"/>
  <c r="AW48" i="17" a="1"/>
  <c r="AW48" i="17" s="1"/>
  <c r="AW50" i="17" a="1"/>
  <c r="AW50" i="17" s="1"/>
  <c r="AW51" i="17" a="1"/>
  <c r="AW51" i="17" s="1"/>
  <c r="AW31" i="17" a="1"/>
  <c r="AW31" i="17" s="1"/>
  <c r="AW54" i="17" a="1"/>
  <c r="AW54" i="17" s="1"/>
  <c r="AW22" i="17" a="1"/>
  <c r="AW22" i="17" s="1"/>
  <c r="AW53" i="17" a="1"/>
  <c r="AW53" i="17" s="1"/>
  <c r="AW56" i="17" a="1"/>
  <c r="AW56" i="17" s="1"/>
  <c r="AW52" i="17" a="1"/>
  <c r="AW52" i="17" s="1"/>
  <c r="AW26" i="17" a="1"/>
  <c r="AW26" i="17" s="1"/>
  <c r="AW55" i="17" a="1"/>
  <c r="AW55" i="17" s="1"/>
  <c r="AW49" i="17" a="1"/>
  <c r="AW49" i="17" s="1"/>
  <c r="AW20" i="17" a="1"/>
  <c r="AW20" i="17" s="1"/>
  <c r="AW30" i="17" a="1"/>
  <c r="AW30" i="17" s="1"/>
  <c r="AW35" i="17" a="1"/>
  <c r="AW35" i="17" s="1"/>
  <c r="AW74" i="17"/>
  <c r="AW87" i="17"/>
  <c r="AW61" i="17"/>
  <c r="AW99" i="17"/>
  <c r="AW67" i="17"/>
  <c r="AW66" i="17"/>
  <c r="AW83" i="17"/>
  <c r="AW62" i="17"/>
  <c r="AW75" i="17"/>
  <c r="AW104" i="17"/>
  <c r="AW63" i="17"/>
  <c r="AW70" i="17"/>
  <c r="AW78" i="17"/>
  <c r="AW91" i="17"/>
  <c r="AW109" i="17"/>
  <c r="AW65" i="17"/>
  <c r="AW71" i="17"/>
  <c r="AW79" i="17"/>
  <c r="AW110" i="17"/>
  <c r="X52" i="25"/>
  <c r="AW60" i="17"/>
  <c r="AW64" i="17"/>
  <c r="AW68" i="17"/>
  <c r="AW72" i="17"/>
  <c r="AW76" i="17"/>
  <c r="AW80" i="17"/>
  <c r="AW84" i="17"/>
  <c r="AW88" i="17"/>
  <c r="AW92" i="17"/>
  <c r="AW96" i="17"/>
  <c r="AW100" i="17"/>
  <c r="AW105" i="17"/>
  <c r="AW118" i="17"/>
  <c r="V53" i="25"/>
  <c r="Y53" i="25"/>
  <c r="AW69" i="17"/>
  <c r="AW73" i="17"/>
  <c r="AW77" i="17"/>
  <c r="AW81" i="17"/>
  <c r="AW85" i="17"/>
  <c r="AW89" i="17"/>
  <c r="AW93" i="17"/>
  <c r="AW97" i="17"/>
  <c r="AW101" i="17"/>
  <c r="AW107" i="17"/>
  <c r="AW135" i="17"/>
  <c r="B55" i="25"/>
  <c r="C54" i="25"/>
  <c r="AH54" i="25" s="1"/>
  <c r="T54" i="25" s="1"/>
  <c r="AW82" i="17"/>
  <c r="AW86" i="17"/>
  <c r="AW90" i="17"/>
  <c r="AW94" i="17"/>
  <c r="AW98" i="17"/>
  <c r="AW103" i="17"/>
  <c r="AW108" i="17"/>
  <c r="AW102" i="17"/>
  <c r="AW106" i="17"/>
  <c r="AW111" i="17"/>
  <c r="AW112" i="17"/>
  <c r="AW113" i="17"/>
  <c r="AW115" i="17"/>
  <c r="AW114" i="17"/>
  <c r="AW116" i="17"/>
  <c r="AW117" i="17"/>
  <c r="AW119" i="17"/>
  <c r="BK3" i="21"/>
  <c r="AX3" i="17"/>
  <c r="AW3" i="4"/>
  <c r="AR22" i="4"/>
  <c r="AT136" i="17"/>
  <c r="AT24" i="4" s="1"/>
  <c r="AS152" i="17"/>
  <c r="AS25" i="4" s="1"/>
  <c r="AT144" i="17"/>
  <c r="AT138" i="17"/>
  <c r="AT141" i="17"/>
  <c r="AT140" i="17"/>
  <c r="AT147" i="17"/>
  <c r="AT149" i="17"/>
  <c r="AT148" i="17"/>
  <c r="AT143" i="17"/>
  <c r="AT142" i="17"/>
  <c r="AT151" i="17"/>
  <c r="AT145" i="17"/>
  <c r="AT139" i="17"/>
  <c r="AT146" i="17"/>
  <c r="AS57" i="17"/>
  <c r="AS22" i="4" s="1"/>
  <c r="BK14" i="21" l="1"/>
  <c r="BK12" i="21"/>
  <c r="BK10" i="21"/>
  <c r="BK8" i="21"/>
  <c r="BK13" i="21"/>
  <c r="BK11" i="21"/>
  <c r="BK9" i="21"/>
  <c r="AX150" i="17"/>
  <c r="AX131" i="17"/>
  <c r="AX127" i="17"/>
  <c r="AX132" i="17"/>
  <c r="AX128" i="17"/>
  <c r="AX133" i="17"/>
  <c r="AX134" i="17"/>
  <c r="AX124" i="17"/>
  <c r="AX125" i="17"/>
  <c r="AX130" i="17"/>
  <c r="AX126" i="17"/>
  <c r="AX120" i="17"/>
  <c r="AX123" i="17"/>
  <c r="AX129" i="17"/>
  <c r="AX121" i="17"/>
  <c r="AX122" i="17"/>
  <c r="BK4" i="21"/>
  <c r="BK6" i="21"/>
  <c r="BK7" i="21"/>
  <c r="BK5" i="21"/>
  <c r="AX116" i="17"/>
  <c r="AX22" i="17" a="1"/>
  <c r="AX22" i="17" s="1"/>
  <c r="AX48" i="17" a="1"/>
  <c r="AX48" i="17" s="1"/>
  <c r="AX50" i="17" a="1"/>
  <c r="AX50" i="17" s="1"/>
  <c r="AX51" i="17" a="1"/>
  <c r="AX51" i="17" s="1"/>
  <c r="AX26" i="17" a="1"/>
  <c r="AX26" i="17" s="1"/>
  <c r="AX49" i="17" a="1"/>
  <c r="AX49" i="17" s="1"/>
  <c r="AX55" i="17" a="1"/>
  <c r="AX55" i="17" s="1"/>
  <c r="AX45" i="17" a="1"/>
  <c r="AX45" i="17" s="1"/>
  <c r="AX31" i="17" a="1"/>
  <c r="AX31" i="17" s="1"/>
  <c r="AX24" i="17" a="1"/>
  <c r="AX24" i="17" s="1"/>
  <c r="AX23" i="17" a="1"/>
  <c r="AX23" i="17" s="1"/>
  <c r="AX52" i="17" a="1"/>
  <c r="AX52" i="17" s="1"/>
  <c r="AX21" i="17" a="1"/>
  <c r="AX21" i="17" s="1"/>
  <c r="AX53" i="17" a="1"/>
  <c r="AX53" i="17" s="1"/>
  <c r="AX56" i="17" a="1"/>
  <c r="AX56" i="17" s="1"/>
  <c r="AX54" i="17" a="1"/>
  <c r="AX54" i="17" s="1"/>
  <c r="AX20" i="17" a="1"/>
  <c r="AX20" i="17" s="1"/>
  <c r="AX30" i="17" a="1"/>
  <c r="AX30" i="17" s="1"/>
  <c r="AX35" i="17" a="1"/>
  <c r="AX35" i="17" s="1"/>
  <c r="AW32" i="17"/>
  <c r="AX74" i="17"/>
  <c r="AX63" i="17"/>
  <c r="AX69" i="17"/>
  <c r="AX61" i="17"/>
  <c r="AX90" i="17"/>
  <c r="AX65" i="17"/>
  <c r="AX70" i="17"/>
  <c r="AX77" i="17"/>
  <c r="AX108" i="17"/>
  <c r="AX66" i="17"/>
  <c r="AX71" i="17"/>
  <c r="AX78" i="17"/>
  <c r="AX62" i="17"/>
  <c r="AX67" i="17"/>
  <c r="AX73" i="17"/>
  <c r="AX82" i="17"/>
  <c r="AX75" i="17"/>
  <c r="AX79" i="17"/>
  <c r="AX86" i="17"/>
  <c r="AX96" i="17"/>
  <c r="AX60" i="17"/>
  <c r="AX64" i="17"/>
  <c r="AX68" i="17"/>
  <c r="AX72" i="17"/>
  <c r="AX76" i="17"/>
  <c r="AX80" i="17"/>
  <c r="AX88" i="17"/>
  <c r="AX100" i="17"/>
  <c r="AX84" i="17"/>
  <c r="AX92" i="17"/>
  <c r="AX118" i="17"/>
  <c r="AX81" i="17"/>
  <c r="AX85" i="17"/>
  <c r="AX89" i="17"/>
  <c r="AX93" i="17"/>
  <c r="AX97" i="17"/>
  <c r="AX101" i="17"/>
  <c r="AX109" i="17"/>
  <c r="AX135" i="17"/>
  <c r="AX94" i="17"/>
  <c r="AX98" i="17"/>
  <c r="AX104" i="17"/>
  <c r="AX112" i="17"/>
  <c r="AX83" i="17"/>
  <c r="AX87" i="17"/>
  <c r="AX91" i="17"/>
  <c r="AX95" i="17"/>
  <c r="AX99" i="17"/>
  <c r="AX105" i="17"/>
  <c r="AX114" i="17"/>
  <c r="AX102" i="17"/>
  <c r="AX106" i="17"/>
  <c r="AX110" i="17"/>
  <c r="AX115" i="17"/>
  <c r="AX103" i="17"/>
  <c r="AX107" i="17"/>
  <c r="AX111" i="17"/>
  <c r="V54" i="25"/>
  <c r="Y54" i="25"/>
  <c r="X53" i="25"/>
  <c r="B56" i="25"/>
  <c r="C55" i="25"/>
  <c r="AH55" i="25" s="1"/>
  <c r="T55" i="25" s="1"/>
  <c r="AX117" i="17"/>
  <c r="AX113" i="17"/>
  <c r="AX119" i="17"/>
  <c r="BL3" i="21"/>
  <c r="AY3" i="17"/>
  <c r="AX3" i="4"/>
  <c r="AU138" i="17"/>
  <c r="AU141" i="17"/>
  <c r="AU149" i="17"/>
  <c r="AU139" i="17"/>
  <c r="AU148" i="17"/>
  <c r="AU142" i="17"/>
  <c r="AU146" i="17"/>
  <c r="AU145" i="17"/>
  <c r="AU151" i="17"/>
  <c r="AU147" i="17"/>
  <c r="AU144" i="17"/>
  <c r="AU140" i="17"/>
  <c r="AU143" i="17"/>
  <c r="AT152" i="17"/>
  <c r="AT25" i="4" s="1"/>
  <c r="AU136" i="17"/>
  <c r="AU24" i="4" s="1"/>
  <c r="AT57" i="17"/>
  <c r="AT22" i="4" s="1"/>
  <c r="BL13" i="21" l="1"/>
  <c r="BL11" i="21"/>
  <c r="BL9" i="21"/>
  <c r="BL10" i="21"/>
  <c r="BL8" i="21"/>
  <c r="BL14" i="21"/>
  <c r="BL12" i="21"/>
  <c r="AY150" i="17"/>
  <c r="AY129" i="17"/>
  <c r="AY127" i="17"/>
  <c r="AY130" i="17"/>
  <c r="AY128" i="17"/>
  <c r="AY131" i="17"/>
  <c r="AY132" i="17"/>
  <c r="AY134" i="17"/>
  <c r="AY124" i="17"/>
  <c r="AY125" i="17"/>
  <c r="AY126" i="17"/>
  <c r="AY122" i="17"/>
  <c r="AY123" i="17"/>
  <c r="AY133" i="17"/>
  <c r="AY120" i="17"/>
  <c r="AY121" i="17"/>
  <c r="BL4" i="21"/>
  <c r="BL5" i="21"/>
  <c r="BL7" i="21"/>
  <c r="BL6" i="21"/>
  <c r="AX32" i="17"/>
  <c r="AY22" i="17" a="1"/>
  <c r="AY22" i="17" s="1"/>
  <c r="AY31" i="17" a="1"/>
  <c r="AY31" i="17" s="1"/>
  <c r="AY49" i="17" a="1"/>
  <c r="AY49" i="17" s="1"/>
  <c r="AY23" i="17" a="1"/>
  <c r="AY23" i="17" s="1"/>
  <c r="AY21" i="17" a="1"/>
  <c r="AY21" i="17" s="1"/>
  <c r="AY26" i="17" a="1"/>
  <c r="AY26" i="17" s="1"/>
  <c r="AY53" i="17" a="1"/>
  <c r="AY53" i="17" s="1"/>
  <c r="AY48" i="17" a="1"/>
  <c r="AY48" i="17" s="1"/>
  <c r="AY56" i="17" a="1"/>
  <c r="AY56" i="17" s="1"/>
  <c r="AY52" i="17" a="1"/>
  <c r="AY52" i="17" s="1"/>
  <c r="AY54" i="17" a="1"/>
  <c r="AY54" i="17" s="1"/>
  <c r="AY45" i="17" a="1"/>
  <c r="AY45" i="17" s="1"/>
  <c r="AY50" i="17" a="1"/>
  <c r="AY50" i="17" s="1"/>
  <c r="AY55" i="17" a="1"/>
  <c r="AY55" i="17" s="1"/>
  <c r="AY51" i="17" a="1"/>
  <c r="AY51" i="17" s="1"/>
  <c r="AY24" i="17" a="1"/>
  <c r="AY24" i="17" s="1"/>
  <c r="AY30" i="17" a="1"/>
  <c r="AY30" i="17" s="1"/>
  <c r="AY20" i="17" a="1"/>
  <c r="AY20" i="17" s="1"/>
  <c r="AY35" i="17" a="1"/>
  <c r="AY35" i="17" s="1"/>
  <c r="X54" i="25"/>
  <c r="Y55" i="25"/>
  <c r="V55" i="25"/>
  <c r="AY118" i="17"/>
  <c r="B57" i="25"/>
  <c r="C56" i="25"/>
  <c r="AH56" i="25" s="1"/>
  <c r="T56" i="25" s="1"/>
  <c r="AY108" i="17"/>
  <c r="AY60" i="17"/>
  <c r="AY66" i="17"/>
  <c r="AY62" i="17"/>
  <c r="AY75" i="17"/>
  <c r="AY67" i="17"/>
  <c r="AY63" i="17"/>
  <c r="AY80" i="17"/>
  <c r="AY61" i="17"/>
  <c r="AY71" i="17"/>
  <c r="AY64" i="17"/>
  <c r="AY69" i="17"/>
  <c r="AY73" i="17"/>
  <c r="AY77" i="17"/>
  <c r="AY88" i="17"/>
  <c r="AY65" i="17"/>
  <c r="AY70" i="17"/>
  <c r="AY74" i="17"/>
  <c r="AY79" i="17"/>
  <c r="AY94" i="17"/>
  <c r="AY68" i="17"/>
  <c r="AY72" i="17"/>
  <c r="AY76" i="17"/>
  <c r="AY84" i="17"/>
  <c r="AY78" i="17"/>
  <c r="AY82" i="17"/>
  <c r="AY86" i="17"/>
  <c r="AY100" i="17"/>
  <c r="AY103" i="17"/>
  <c r="AY90" i="17"/>
  <c r="AY83" i="17"/>
  <c r="AY87" i="17"/>
  <c r="AY91" i="17"/>
  <c r="AY135" i="17"/>
  <c r="AY81" i="17"/>
  <c r="AY85" i="17"/>
  <c r="AY89" i="17"/>
  <c r="AY98" i="17"/>
  <c r="AY92" i="17"/>
  <c r="AY96" i="17"/>
  <c r="AY101" i="17"/>
  <c r="AY105" i="17"/>
  <c r="AY110" i="17"/>
  <c r="AY93" i="17"/>
  <c r="AY97" i="17"/>
  <c r="AY102" i="17"/>
  <c r="AY106" i="17"/>
  <c r="AY114" i="17"/>
  <c r="AY95" i="17"/>
  <c r="AY99" i="17"/>
  <c r="AY104" i="17"/>
  <c r="AY109" i="17"/>
  <c r="AY107" i="17"/>
  <c r="AY111" i="17"/>
  <c r="AY115" i="17"/>
  <c r="AY119" i="17"/>
  <c r="AY112" i="17"/>
  <c r="AY117" i="17"/>
  <c r="AY113" i="17"/>
  <c r="AY116" i="17"/>
  <c r="AZ3" i="17"/>
  <c r="BM3" i="21"/>
  <c r="AY3" i="4"/>
  <c r="AU152" i="17"/>
  <c r="AU25" i="4" s="1"/>
  <c r="AV143" i="17"/>
  <c r="AV148" i="17"/>
  <c r="AV146" i="17"/>
  <c r="AV142" i="17"/>
  <c r="AV138" i="17"/>
  <c r="AV147" i="17"/>
  <c r="AV144" i="17"/>
  <c r="AV151" i="17"/>
  <c r="AV145" i="17"/>
  <c r="AV139" i="17"/>
  <c r="AV141" i="17"/>
  <c r="AV149" i="17"/>
  <c r="AV140" i="17"/>
  <c r="AU57" i="17"/>
  <c r="AU22" i="4" s="1"/>
  <c r="AV136" i="17"/>
  <c r="AV24" i="4" s="1"/>
  <c r="BM13" i="21" l="1"/>
  <c r="BM11" i="21"/>
  <c r="BM9" i="21"/>
  <c r="BM14" i="21"/>
  <c r="BM12" i="21"/>
  <c r="BM10" i="21"/>
  <c r="BM8" i="21"/>
  <c r="AZ150" i="17"/>
  <c r="AZ134" i="17"/>
  <c r="AZ127" i="17"/>
  <c r="AZ128" i="17"/>
  <c r="AZ122" i="17"/>
  <c r="AZ123" i="17"/>
  <c r="AZ131" i="17"/>
  <c r="AZ132" i="17"/>
  <c r="AZ125" i="17"/>
  <c r="AZ133" i="17"/>
  <c r="AZ126" i="17"/>
  <c r="AZ124" i="17"/>
  <c r="AZ130" i="17"/>
  <c r="AZ129" i="17"/>
  <c r="AZ120" i="17"/>
  <c r="AZ121" i="17"/>
  <c r="BM4" i="21"/>
  <c r="BM7" i="21"/>
  <c r="BM5" i="21"/>
  <c r="BM6" i="21"/>
  <c r="AY32" i="17"/>
  <c r="AZ69" i="17"/>
  <c r="AZ24" i="17" a="1"/>
  <c r="AZ24" i="17" s="1"/>
  <c r="AZ22" i="17" a="1"/>
  <c r="AZ22" i="17" s="1"/>
  <c r="AZ31" i="17" a="1"/>
  <c r="AZ31" i="17" s="1"/>
  <c r="AZ50" i="17" a="1"/>
  <c r="AZ50" i="17" s="1"/>
  <c r="AZ21" i="17" a="1"/>
  <c r="AZ21" i="17" s="1"/>
  <c r="AZ45" i="17" a="1"/>
  <c r="AZ45" i="17" s="1"/>
  <c r="AZ53" i="17" a="1"/>
  <c r="AZ53" i="17" s="1"/>
  <c r="AZ49" i="17" a="1"/>
  <c r="AZ49" i="17" s="1"/>
  <c r="AZ54" i="17" a="1"/>
  <c r="AZ54" i="17" s="1"/>
  <c r="AZ51" i="17" a="1"/>
  <c r="AZ51" i="17" s="1"/>
  <c r="AZ55" i="17" a="1"/>
  <c r="AZ55" i="17" s="1"/>
  <c r="AZ26" i="17" a="1"/>
  <c r="AZ26" i="17" s="1"/>
  <c r="AZ48" i="17" a="1"/>
  <c r="AZ48" i="17" s="1"/>
  <c r="AZ56" i="17" a="1"/>
  <c r="AZ56" i="17" s="1"/>
  <c r="AZ23" i="17" a="1"/>
  <c r="AZ23" i="17" s="1"/>
  <c r="AZ52" i="17" a="1"/>
  <c r="AZ52" i="17" s="1"/>
  <c r="AZ20" i="17" a="1"/>
  <c r="AZ20" i="17" s="1"/>
  <c r="AZ30" i="17" a="1"/>
  <c r="AZ30" i="17" s="1"/>
  <c r="AZ35" i="17" a="1"/>
  <c r="AZ35" i="17" s="1"/>
  <c r="AZ79" i="17"/>
  <c r="AZ61" i="17"/>
  <c r="V56" i="25"/>
  <c r="Y56" i="25"/>
  <c r="B58" i="25"/>
  <c r="C57" i="25"/>
  <c r="AH57" i="25" s="1"/>
  <c r="T57" i="25" s="1"/>
  <c r="AZ114" i="17"/>
  <c r="X55" i="25"/>
  <c r="AZ90" i="17"/>
  <c r="AZ62" i="17"/>
  <c r="AZ73" i="17"/>
  <c r="AZ82" i="17"/>
  <c r="AZ135" i="17"/>
  <c r="AZ66" i="17"/>
  <c r="AZ74" i="17"/>
  <c r="AZ86" i="17"/>
  <c r="AZ67" i="17"/>
  <c r="AZ77" i="17"/>
  <c r="AZ113" i="17"/>
  <c r="AZ63" i="17"/>
  <c r="AZ71" i="17"/>
  <c r="AZ78" i="17"/>
  <c r="AZ118" i="17"/>
  <c r="AZ60" i="17"/>
  <c r="AZ65" i="17"/>
  <c r="AZ70" i="17"/>
  <c r="AZ75" i="17"/>
  <c r="AZ81" i="17"/>
  <c r="AZ94" i="17"/>
  <c r="AZ84" i="17"/>
  <c r="AZ100" i="17"/>
  <c r="AZ89" i="17"/>
  <c r="AZ101" i="17"/>
  <c r="AZ64" i="17"/>
  <c r="AZ68" i="17"/>
  <c r="AZ72" i="17"/>
  <c r="AZ76" i="17"/>
  <c r="AZ80" i="17"/>
  <c r="AZ85" i="17"/>
  <c r="AZ92" i="17"/>
  <c r="AZ105" i="17"/>
  <c r="AZ96" i="17"/>
  <c r="AZ106" i="17"/>
  <c r="AZ97" i="17"/>
  <c r="AZ102" i="17"/>
  <c r="AZ109" i="17"/>
  <c r="AZ117" i="17"/>
  <c r="AZ83" i="17"/>
  <c r="AZ88" i="17"/>
  <c r="AZ93" i="17"/>
  <c r="AZ98" i="17"/>
  <c r="AZ104" i="17"/>
  <c r="AZ110" i="17"/>
  <c r="BN3" i="21"/>
  <c r="AZ87" i="17"/>
  <c r="AZ91" i="17"/>
  <c r="AZ95" i="17"/>
  <c r="AZ99" i="17"/>
  <c r="AZ103" i="17"/>
  <c r="AZ107" i="17"/>
  <c r="AZ111" i="17"/>
  <c r="AZ115" i="17"/>
  <c r="AZ119" i="17"/>
  <c r="AZ108" i="17"/>
  <c r="AZ112" i="17"/>
  <c r="AZ116" i="17"/>
  <c r="BA3" i="17"/>
  <c r="AZ3" i="4"/>
  <c r="AW136" i="17"/>
  <c r="AW24" i="4" s="1"/>
  <c r="AW148" i="17"/>
  <c r="AW149" i="17"/>
  <c r="AW143" i="17"/>
  <c r="AW144" i="17"/>
  <c r="AW147" i="17"/>
  <c r="AW141" i="17"/>
  <c r="AW142" i="17"/>
  <c r="AW138" i="17"/>
  <c r="AW146" i="17"/>
  <c r="AW145" i="17"/>
  <c r="AW139" i="17"/>
  <c r="AW140" i="17"/>
  <c r="AW151" i="17"/>
  <c r="AV152" i="17"/>
  <c r="AV25" i="4" s="1"/>
  <c r="AV57" i="17"/>
  <c r="AV22" i="4" s="1"/>
  <c r="AN20" i="4"/>
  <c r="F20" i="4"/>
  <c r="E20" i="4"/>
  <c r="AS20" i="4"/>
  <c r="Y20" i="4"/>
  <c r="AU20" i="4"/>
  <c r="O20" i="4"/>
  <c r="G20" i="4"/>
  <c r="I20" i="4"/>
  <c r="AL20" i="4"/>
  <c r="AR20" i="4"/>
  <c r="P20" i="4"/>
  <c r="AB20" i="4"/>
  <c r="M20" i="4"/>
  <c r="V20" i="4"/>
  <c r="AE20" i="4"/>
  <c r="AP20" i="4"/>
  <c r="Z20" i="4"/>
  <c r="AM20" i="4"/>
  <c r="L20" i="4"/>
  <c r="AJ20" i="4"/>
  <c r="AK20" i="4"/>
  <c r="C32" i="17"/>
  <c r="C20" i="4" s="1"/>
  <c r="AI20" i="4"/>
  <c r="AH20" i="4"/>
  <c r="Q20" i="4"/>
  <c r="AF20" i="4"/>
  <c r="AG20" i="4"/>
  <c r="AO20" i="4"/>
  <c r="BN13" i="21" l="1"/>
  <c r="BN11" i="21"/>
  <c r="BN9" i="21"/>
  <c r="BN14" i="21"/>
  <c r="BN12" i="21"/>
  <c r="BN10" i="21"/>
  <c r="BN8" i="21"/>
  <c r="BA150" i="17"/>
  <c r="BA124" i="17"/>
  <c r="BA125" i="17"/>
  <c r="BA130" i="17"/>
  <c r="BA126" i="17"/>
  <c r="BA131" i="17"/>
  <c r="BA127" i="17"/>
  <c r="BA133" i="17"/>
  <c r="BA134" i="17"/>
  <c r="BA129" i="17"/>
  <c r="BA121" i="17"/>
  <c r="BA128" i="17"/>
  <c r="BA122" i="17"/>
  <c r="BA123" i="17"/>
  <c r="BA132" i="17"/>
  <c r="BA120" i="17"/>
  <c r="BN4" i="21"/>
  <c r="BN5" i="21"/>
  <c r="BN7" i="21"/>
  <c r="BN6" i="21"/>
  <c r="AZ32" i="17"/>
  <c r="BA88" i="17"/>
  <c r="BA21" i="17" a="1"/>
  <c r="BA21" i="17" s="1"/>
  <c r="BA24" i="17" a="1"/>
  <c r="BA24" i="17" s="1"/>
  <c r="BA23" i="17" a="1"/>
  <c r="BA23" i="17" s="1"/>
  <c r="BA45" i="17" a="1"/>
  <c r="BA45" i="17" s="1"/>
  <c r="BA55" i="17" a="1"/>
  <c r="BA55" i="17" s="1"/>
  <c r="BA54" i="17" a="1"/>
  <c r="BA54" i="17" s="1"/>
  <c r="BA52" i="17" a="1"/>
  <c r="BA52" i="17" s="1"/>
  <c r="BA22" i="17" a="1"/>
  <c r="BA22" i="17" s="1"/>
  <c r="BA50" i="17" a="1"/>
  <c r="BA50" i="17" s="1"/>
  <c r="BA53" i="17" a="1"/>
  <c r="BA53" i="17" s="1"/>
  <c r="BA26" i="17" a="1"/>
  <c r="BA26" i="17" s="1"/>
  <c r="BA48" i="17" a="1"/>
  <c r="BA48" i="17" s="1"/>
  <c r="BA49" i="17" a="1"/>
  <c r="BA49" i="17" s="1"/>
  <c r="BA31" i="17" a="1"/>
  <c r="BA31" i="17" s="1"/>
  <c r="BA51" i="17" a="1"/>
  <c r="BA51" i="17" s="1"/>
  <c r="BA56" i="17" a="1"/>
  <c r="BA56" i="17" s="1"/>
  <c r="BA20" i="17" a="1"/>
  <c r="BA20" i="17" s="1"/>
  <c r="BA30" i="17" a="1"/>
  <c r="BA30" i="17" s="1"/>
  <c r="BA35" i="17" a="1"/>
  <c r="BA35" i="17" s="1"/>
  <c r="BA71" i="17"/>
  <c r="BA75" i="17"/>
  <c r="BA83" i="17"/>
  <c r="BA84" i="17"/>
  <c r="BA62" i="17"/>
  <c r="BA63" i="17"/>
  <c r="BA61" i="17"/>
  <c r="BA68" i="17"/>
  <c r="BA79" i="17"/>
  <c r="BA100" i="17"/>
  <c r="BA60" i="17"/>
  <c r="BA67" i="17"/>
  <c r="BA76" i="17"/>
  <c r="B59" i="25"/>
  <c r="C58" i="25"/>
  <c r="AH58" i="25" s="1"/>
  <c r="T58" i="25" s="1"/>
  <c r="X56" i="25"/>
  <c r="BA96" i="17"/>
  <c r="BA64" i="17"/>
  <c r="BA72" i="17"/>
  <c r="BA80" i="17"/>
  <c r="BA92" i="17"/>
  <c r="BA65" i="17"/>
  <c r="BA69" i="17"/>
  <c r="BA73" i="17"/>
  <c r="BA77" i="17"/>
  <c r="BA81" i="17"/>
  <c r="BA85" i="17"/>
  <c r="BA89" i="17"/>
  <c r="BA93" i="17"/>
  <c r="BA104" i="17"/>
  <c r="BA66" i="17"/>
  <c r="BA70" i="17"/>
  <c r="BA74" i="17"/>
  <c r="BA78" i="17"/>
  <c r="BA82" i="17"/>
  <c r="BA86" i="17"/>
  <c r="BA90" i="17"/>
  <c r="BA95" i="17"/>
  <c r="BA112" i="17"/>
  <c r="BA87" i="17"/>
  <c r="BA91" i="17"/>
  <c r="BA119" i="17"/>
  <c r="BA97" i="17"/>
  <c r="BA101" i="17"/>
  <c r="BA106" i="17"/>
  <c r="BA116" i="17"/>
  <c r="BA94" i="17"/>
  <c r="BA98" i="17"/>
  <c r="BA102" i="17"/>
  <c r="BA107" i="17"/>
  <c r="BA99" i="17"/>
  <c r="BA103" i="17"/>
  <c r="BA108" i="17"/>
  <c r="BA105" i="17"/>
  <c r="BA109" i="17"/>
  <c r="BA113" i="17"/>
  <c r="BA117" i="17"/>
  <c r="BA135" i="17"/>
  <c r="BA110" i="17"/>
  <c r="BA114" i="17"/>
  <c r="BA118" i="17"/>
  <c r="BA111" i="17"/>
  <c r="BA115" i="17"/>
  <c r="BB3" i="17"/>
  <c r="BO3" i="21"/>
  <c r="BA3" i="4"/>
  <c r="R20" i="4"/>
  <c r="S20" i="4"/>
  <c r="T20" i="4"/>
  <c r="AX136" i="17"/>
  <c r="AX24" i="4" s="1"/>
  <c r="AW20" i="4"/>
  <c r="AW152" i="17"/>
  <c r="AW25" i="4" s="1"/>
  <c r="AX140" i="17"/>
  <c r="AX142" i="17"/>
  <c r="AX151" i="17"/>
  <c r="AX139" i="17"/>
  <c r="AX146" i="17"/>
  <c r="AX143" i="17"/>
  <c r="AX149" i="17"/>
  <c r="AX148" i="17"/>
  <c r="AX147" i="17"/>
  <c r="AX145" i="17"/>
  <c r="AX144" i="17"/>
  <c r="AX138" i="17"/>
  <c r="AX141" i="17"/>
  <c r="AW57" i="17"/>
  <c r="AW22" i="4" s="1"/>
  <c r="AA20" i="4"/>
  <c r="AQ20" i="4"/>
  <c r="X20" i="4"/>
  <c r="K20" i="4"/>
  <c r="W20" i="4"/>
  <c r="AD20" i="4"/>
  <c r="D20" i="4"/>
  <c r="AC20" i="4"/>
  <c r="AV20" i="4"/>
  <c r="N20" i="4"/>
  <c r="H20" i="4"/>
  <c r="AT20" i="4"/>
  <c r="J20" i="4"/>
  <c r="BO13" i="21" l="1"/>
  <c r="BO11" i="21"/>
  <c r="BO9" i="21"/>
  <c r="BO14" i="21"/>
  <c r="BO12" i="21"/>
  <c r="BO10" i="21"/>
  <c r="BO8" i="21"/>
  <c r="BB150" i="17"/>
  <c r="BB132" i="17"/>
  <c r="BB128" i="17"/>
  <c r="BB133" i="17"/>
  <c r="BB134" i="17"/>
  <c r="BB129" i="17"/>
  <c r="BB125" i="17"/>
  <c r="BB130" i="17"/>
  <c r="BB126" i="17"/>
  <c r="BB131" i="17"/>
  <c r="BB127" i="17"/>
  <c r="BB121" i="17"/>
  <c r="BB120" i="17"/>
  <c r="BB122" i="17"/>
  <c r="BB124" i="17"/>
  <c r="BB123" i="17"/>
  <c r="BO4" i="21"/>
  <c r="BO7" i="21"/>
  <c r="BO5" i="21"/>
  <c r="BO6" i="21"/>
  <c r="BA32" i="17"/>
  <c r="BB21" i="17" a="1"/>
  <c r="BB21" i="17" s="1"/>
  <c r="BB26" i="17" a="1"/>
  <c r="BB26" i="17" s="1"/>
  <c r="BB48" i="17" a="1"/>
  <c r="BB48" i="17" s="1"/>
  <c r="BB22" i="17" a="1"/>
  <c r="BB22" i="17" s="1"/>
  <c r="BB49" i="17" a="1"/>
  <c r="BB49" i="17" s="1"/>
  <c r="BB52" i="17" a="1"/>
  <c r="BB52" i="17" s="1"/>
  <c r="BB45" i="17" a="1"/>
  <c r="BB45" i="17" s="1"/>
  <c r="BB55" i="17" a="1"/>
  <c r="BB55" i="17" s="1"/>
  <c r="BB23" i="17" a="1"/>
  <c r="BB23" i="17" s="1"/>
  <c r="BB24" i="17" a="1"/>
  <c r="BB24" i="17" s="1"/>
  <c r="BB51" i="17" a="1"/>
  <c r="BB51" i="17" s="1"/>
  <c r="BB56" i="17" a="1"/>
  <c r="BB56" i="17" s="1"/>
  <c r="BB54" i="17" a="1"/>
  <c r="BB54" i="17" s="1"/>
  <c r="BB31" i="17" a="1"/>
  <c r="BB31" i="17" s="1"/>
  <c r="BB50" i="17" a="1"/>
  <c r="BB50" i="17" s="1"/>
  <c r="BB53" i="17" a="1"/>
  <c r="BB53" i="17" s="1"/>
  <c r="BB20" i="17" a="1"/>
  <c r="BB20" i="17" s="1"/>
  <c r="BB30" i="17" a="1"/>
  <c r="BB30" i="17" s="1"/>
  <c r="BB35" i="17" a="1"/>
  <c r="BB35" i="17" s="1"/>
  <c r="BB72" i="17"/>
  <c r="Y57" i="25"/>
  <c r="V57" i="25"/>
  <c r="Y58" i="25"/>
  <c r="V58" i="25"/>
  <c r="BB66" i="17"/>
  <c r="B60" i="25"/>
  <c r="C59" i="25"/>
  <c r="AH59" i="25" s="1"/>
  <c r="T59" i="25" s="1"/>
  <c r="BB67" i="17"/>
  <c r="BB60" i="17"/>
  <c r="BB71" i="17"/>
  <c r="BB62" i="17"/>
  <c r="BB78" i="17"/>
  <c r="BB63" i="17"/>
  <c r="BB68" i="17"/>
  <c r="BB76" i="17"/>
  <c r="BB64" i="17"/>
  <c r="BB70" i="17"/>
  <c r="BB115" i="17"/>
  <c r="BB61" i="17"/>
  <c r="BB65" i="17"/>
  <c r="BB69" i="17"/>
  <c r="BB73" i="17"/>
  <c r="BB82" i="17"/>
  <c r="BB74" i="17"/>
  <c r="BB105" i="17"/>
  <c r="BB86" i="17"/>
  <c r="BB77" i="17"/>
  <c r="BB89" i="17"/>
  <c r="BB81" i="17"/>
  <c r="BB93" i="17"/>
  <c r="BB85" i="17"/>
  <c r="BB97" i="17"/>
  <c r="BB90" i="17"/>
  <c r="BB94" i="17"/>
  <c r="BB98" i="17"/>
  <c r="BB107" i="17"/>
  <c r="BB75" i="17"/>
  <c r="BB79" i="17"/>
  <c r="BB83" i="17"/>
  <c r="BB87" i="17"/>
  <c r="BB91" i="17"/>
  <c r="BB95" i="17"/>
  <c r="BB100" i="17"/>
  <c r="BB112" i="17"/>
  <c r="BB80" i="17"/>
  <c r="BB84" i="17"/>
  <c r="BB88" i="17"/>
  <c r="BB92" i="17"/>
  <c r="BB96" i="17"/>
  <c r="BB101" i="17"/>
  <c r="BB3" i="4"/>
  <c r="BB99" i="17"/>
  <c r="BB104" i="17"/>
  <c r="BB111" i="17"/>
  <c r="BB119" i="17"/>
  <c r="BB103" i="17"/>
  <c r="BB108" i="17"/>
  <c r="BB116" i="17"/>
  <c r="BB102" i="17"/>
  <c r="BB106" i="17"/>
  <c r="BB110" i="17"/>
  <c r="BB114" i="17"/>
  <c r="BB118" i="17"/>
  <c r="BB109" i="17"/>
  <c r="BB113" i="17"/>
  <c r="BB117" i="17"/>
  <c r="BB135" i="17"/>
  <c r="BC3" i="17"/>
  <c r="BP3" i="21"/>
  <c r="U20" i="4"/>
  <c r="AX20" i="4"/>
  <c r="AY147" i="17"/>
  <c r="AY146" i="17"/>
  <c r="AY140" i="17"/>
  <c r="AY139" i="17"/>
  <c r="AY143" i="17"/>
  <c r="AY148" i="17"/>
  <c r="AY149" i="17"/>
  <c r="AY151" i="17"/>
  <c r="AY145" i="17"/>
  <c r="AY142" i="17"/>
  <c r="AY138" i="17"/>
  <c r="AY141" i="17"/>
  <c r="AY144" i="17"/>
  <c r="AX152" i="17"/>
  <c r="AX25" i="4" s="1"/>
  <c r="AX57" i="17"/>
  <c r="AX22" i="4" s="1"/>
  <c r="AY136" i="17"/>
  <c r="AY24" i="4" s="1"/>
  <c r="BP14" i="21" l="1"/>
  <c r="BP12" i="21"/>
  <c r="BP10" i="21"/>
  <c r="BP8" i="21"/>
  <c r="BP9" i="21"/>
  <c r="BP13" i="21"/>
  <c r="BP11" i="21"/>
  <c r="BC130" i="17"/>
  <c r="BC128" i="17"/>
  <c r="BC131" i="17"/>
  <c r="BC132" i="17"/>
  <c r="BC133" i="17"/>
  <c r="BC125" i="17"/>
  <c r="BC126" i="17"/>
  <c r="BC129" i="17"/>
  <c r="BC127" i="17"/>
  <c r="BC123" i="17"/>
  <c r="BC134" i="17"/>
  <c r="BC124" i="17"/>
  <c r="BC120" i="17"/>
  <c r="BC121" i="17"/>
  <c r="BC122" i="17"/>
  <c r="BC113" i="17"/>
  <c r="BC150" i="17"/>
  <c r="BP4" i="21"/>
  <c r="BP6" i="21"/>
  <c r="BP7" i="21"/>
  <c r="BP5" i="21"/>
  <c r="BC91" i="17"/>
  <c r="BC64" i="17"/>
  <c r="BC74" i="17"/>
  <c r="BC82" i="17"/>
  <c r="BC101" i="17"/>
  <c r="BC119" i="17"/>
  <c r="BC60" i="17"/>
  <c r="BC70" i="17"/>
  <c r="BC78" i="17"/>
  <c r="BC87" i="17"/>
  <c r="BC96" i="17"/>
  <c r="BC106" i="17"/>
  <c r="BC61" i="17"/>
  <c r="BC71" i="17"/>
  <c r="BC79" i="17"/>
  <c r="BC88" i="17"/>
  <c r="BC97" i="17"/>
  <c r="BC111" i="17"/>
  <c r="BC62" i="17"/>
  <c r="BC72" i="17"/>
  <c r="BC80" i="17"/>
  <c r="BC90" i="17"/>
  <c r="BC98" i="17"/>
  <c r="BC108" i="17"/>
  <c r="BB32" i="17"/>
  <c r="BC63" i="17"/>
  <c r="BC73" i="17"/>
  <c r="BC81" i="17"/>
  <c r="BC89" i="17"/>
  <c r="BC99" i="17"/>
  <c r="BC118" i="17"/>
  <c r="BC23" i="17" a="1"/>
  <c r="BC23" i="17" s="1"/>
  <c r="BC21" i="17" a="1"/>
  <c r="BC21" i="17" s="1"/>
  <c r="BC26" i="17" a="1"/>
  <c r="BC26" i="17" s="1"/>
  <c r="BC49" i="17" a="1"/>
  <c r="BC49" i="17" s="1"/>
  <c r="BC52" i="17" a="1"/>
  <c r="BC52" i="17" s="1"/>
  <c r="BC31" i="17" a="1"/>
  <c r="BC31" i="17" s="1"/>
  <c r="BC50" i="17" a="1"/>
  <c r="BC50" i="17" s="1"/>
  <c r="BC56" i="17" a="1"/>
  <c r="BC56" i="17" s="1"/>
  <c r="BC22" i="17" a="1"/>
  <c r="BC22" i="17" s="1"/>
  <c r="BC51" i="17" a="1"/>
  <c r="BC51" i="17" s="1"/>
  <c r="BC48" i="17" a="1"/>
  <c r="BC48" i="17" s="1"/>
  <c r="BC45" i="17" a="1"/>
  <c r="BC45" i="17" s="1"/>
  <c r="BC54" i="17" a="1"/>
  <c r="BC54" i="17" s="1"/>
  <c r="BC53" i="17" a="1"/>
  <c r="BC53" i="17" s="1"/>
  <c r="BC24" i="17" a="1"/>
  <c r="BC24" i="17" s="1"/>
  <c r="BC55" i="17" a="1"/>
  <c r="BC55" i="17" s="1"/>
  <c r="BC20" i="17" a="1"/>
  <c r="BC20" i="17" s="1"/>
  <c r="BC30" i="17" a="1"/>
  <c r="BC30" i="17" s="1"/>
  <c r="BC35" i="17" a="1"/>
  <c r="BC35" i="17" s="1"/>
  <c r="BC65" i="17"/>
  <c r="BC75" i="17"/>
  <c r="BC83" i="17"/>
  <c r="BC93" i="17"/>
  <c r="BC103" i="17"/>
  <c r="BC68" i="17"/>
  <c r="BC66" i="17"/>
  <c r="BC76" i="17"/>
  <c r="BC85" i="17"/>
  <c r="BC94" i="17"/>
  <c r="BC104" i="17"/>
  <c r="BC135" i="17"/>
  <c r="BC67" i="17"/>
  <c r="BC69" i="17"/>
  <c r="BC77" i="17"/>
  <c r="BC86" i="17"/>
  <c r="BC95" i="17"/>
  <c r="BC105" i="17"/>
  <c r="BC110" i="17"/>
  <c r="BC115" i="17"/>
  <c r="BC112" i="17"/>
  <c r="BC114" i="17"/>
  <c r="BC117" i="17"/>
  <c r="BC84" i="17"/>
  <c r="BC92" i="17"/>
  <c r="BC100" i="17"/>
  <c r="BC107" i="17"/>
  <c r="BC116" i="17"/>
  <c r="BC102" i="17"/>
  <c r="BC109" i="17"/>
  <c r="X58" i="25"/>
  <c r="V59" i="25"/>
  <c r="Y59" i="25"/>
  <c r="C60" i="25"/>
  <c r="AH60" i="25" s="1"/>
  <c r="T60" i="25" s="1"/>
  <c r="B61" i="25"/>
  <c r="X57" i="25"/>
  <c r="BQ3" i="21"/>
  <c r="BD3" i="17"/>
  <c r="BC3" i="4"/>
  <c r="AZ136" i="17"/>
  <c r="AZ24" i="4" s="1"/>
  <c r="AZ141" i="17"/>
  <c r="AZ149" i="17"/>
  <c r="AZ142" i="17"/>
  <c r="AZ138" i="17"/>
  <c r="AZ143" i="17"/>
  <c r="AZ151" i="17"/>
  <c r="AZ148" i="17"/>
  <c r="AZ145" i="17"/>
  <c r="AZ146" i="17"/>
  <c r="AZ147" i="17"/>
  <c r="AZ140" i="17"/>
  <c r="AZ144" i="17"/>
  <c r="AZ139" i="17"/>
  <c r="BM34" i="21"/>
  <c r="AY152" i="17"/>
  <c r="AY25" i="4" s="1"/>
  <c r="AY57" i="17"/>
  <c r="AY22" i="4" s="1"/>
  <c r="BQ14" i="21" l="1"/>
  <c r="BQ12" i="21"/>
  <c r="BQ10" i="21"/>
  <c r="BQ8" i="21"/>
  <c r="BQ13" i="21"/>
  <c r="BQ11" i="21"/>
  <c r="BQ9" i="21"/>
  <c r="BD128" i="17"/>
  <c r="BD123" i="17"/>
  <c r="BD130" i="17"/>
  <c r="BD129" i="17"/>
  <c r="BD132" i="17"/>
  <c r="BD125" i="17"/>
  <c r="BD133" i="17"/>
  <c r="BD126" i="17"/>
  <c r="BD134" i="17"/>
  <c r="BD127" i="17"/>
  <c r="BD120" i="17"/>
  <c r="BD122" i="17"/>
  <c r="BD121" i="17"/>
  <c r="BD131" i="17"/>
  <c r="BD124" i="17"/>
  <c r="BD150" i="17"/>
  <c r="BQ4" i="21"/>
  <c r="BQ6" i="21"/>
  <c r="BQ5" i="21"/>
  <c r="BQ7" i="21"/>
  <c r="X59" i="25"/>
  <c r="BD67" i="17"/>
  <c r="BD111" i="17"/>
  <c r="BD83" i="17"/>
  <c r="BD79" i="17"/>
  <c r="BC32" i="17"/>
  <c r="BD87" i="17"/>
  <c r="BD91" i="17"/>
  <c r="BD95" i="17"/>
  <c r="BD63" i="17"/>
  <c r="BD99" i="17"/>
  <c r="BD75" i="17"/>
  <c r="BD107" i="17"/>
  <c r="BD23" i="17" a="1"/>
  <c r="BD23" i="17" s="1"/>
  <c r="BD45" i="17" a="1"/>
  <c r="BD45" i="17" s="1"/>
  <c r="BD50" i="17" a="1"/>
  <c r="BD50" i="17" s="1"/>
  <c r="BD22" i="17" a="1"/>
  <c r="BD22" i="17" s="1"/>
  <c r="BD31" i="17" a="1"/>
  <c r="BD31" i="17" s="1"/>
  <c r="BD26" i="17" a="1"/>
  <c r="BD26" i="17" s="1"/>
  <c r="BD54" i="17" a="1"/>
  <c r="BD54" i="17" s="1"/>
  <c r="BD21" i="17" a="1"/>
  <c r="BD21" i="17" s="1"/>
  <c r="BD49" i="17" a="1"/>
  <c r="BD49" i="17" s="1"/>
  <c r="BD48" i="17" a="1"/>
  <c r="BD48" i="17" s="1"/>
  <c r="BD53" i="17" a="1"/>
  <c r="BD53" i="17" s="1"/>
  <c r="BD24" i="17" a="1"/>
  <c r="BD24" i="17" s="1"/>
  <c r="BD55" i="17" a="1"/>
  <c r="BD55" i="17" s="1"/>
  <c r="BD52" i="17" a="1"/>
  <c r="BD52" i="17" s="1"/>
  <c r="BD56" i="17" a="1"/>
  <c r="BD56" i="17" s="1"/>
  <c r="BD51" i="17" a="1"/>
  <c r="BD51" i="17" s="1"/>
  <c r="BD20" i="17" a="1"/>
  <c r="BD20" i="17" s="1"/>
  <c r="BD30" i="17" a="1"/>
  <c r="BD30" i="17" s="1"/>
  <c r="BD35" i="17" a="1"/>
  <c r="BD35" i="17" s="1"/>
  <c r="BD71" i="17"/>
  <c r="BD103" i="17"/>
  <c r="BD115" i="17"/>
  <c r="B62" i="25"/>
  <c r="C61" i="25"/>
  <c r="AH61" i="25" s="1"/>
  <c r="T61" i="25" s="1"/>
  <c r="V60" i="25"/>
  <c r="Y60" i="25"/>
  <c r="BD60" i="17"/>
  <c r="BD64" i="17"/>
  <c r="BD68" i="17"/>
  <c r="BD72" i="17"/>
  <c r="BD76" i="17"/>
  <c r="BD80" i="17"/>
  <c r="BD84" i="17"/>
  <c r="BD88" i="17"/>
  <c r="BD92" i="17"/>
  <c r="BD96" i="17"/>
  <c r="BD100" i="17"/>
  <c r="BD104" i="17"/>
  <c r="BD108" i="17"/>
  <c r="BD112" i="17"/>
  <c r="BD116" i="17"/>
  <c r="BD135" i="17"/>
  <c r="BD61" i="17"/>
  <c r="BD65" i="17"/>
  <c r="BD69" i="17"/>
  <c r="BD73" i="17"/>
  <c r="BD77" i="17"/>
  <c r="BD81" i="17"/>
  <c r="BD85" i="17"/>
  <c r="BD89" i="17"/>
  <c r="BD93" i="17"/>
  <c r="BD97" i="17"/>
  <c r="BD101" i="17"/>
  <c r="BD105" i="17"/>
  <c r="BD109" i="17"/>
  <c r="BD113" i="17"/>
  <c r="BD117" i="17"/>
  <c r="BD62" i="17"/>
  <c r="BD66" i="17"/>
  <c r="BD70" i="17"/>
  <c r="BD74" i="17"/>
  <c r="BD78" i="17"/>
  <c r="BD82" i="17"/>
  <c r="BD86" i="17"/>
  <c r="BD90" i="17"/>
  <c r="BD94" i="17"/>
  <c r="BD98" i="17"/>
  <c r="BD102" i="17"/>
  <c r="BD106" i="17"/>
  <c r="BD110" i="17"/>
  <c r="BD114" i="17"/>
  <c r="BD119" i="17"/>
  <c r="BD118" i="17"/>
  <c r="Y13" i="25"/>
  <c r="Y12" i="25"/>
  <c r="BR3" i="21"/>
  <c r="BE3" i="17"/>
  <c r="BD3" i="4"/>
  <c r="Y11" i="25"/>
  <c r="AZ20" i="4"/>
  <c r="AZ152" i="17"/>
  <c r="AZ25" i="4" s="1"/>
  <c r="BN34" i="21"/>
  <c r="BA146" i="17"/>
  <c r="BA147" i="17"/>
  <c r="BA139" i="17"/>
  <c r="BA142" i="17"/>
  <c r="BA151" i="17"/>
  <c r="BA145" i="17"/>
  <c r="BA140" i="17"/>
  <c r="BA138" i="17"/>
  <c r="BA144" i="17"/>
  <c r="BA149" i="17"/>
  <c r="BA143" i="17"/>
  <c r="BA148" i="17"/>
  <c r="BA141" i="17"/>
  <c r="AZ57" i="17"/>
  <c r="AZ22" i="4" s="1"/>
  <c r="BA136" i="17"/>
  <c r="BA24" i="4" s="1"/>
  <c r="AY20" i="4"/>
  <c r="BR14" i="21" l="1"/>
  <c r="BR12" i="21"/>
  <c r="BR10" i="21"/>
  <c r="BR8" i="21"/>
  <c r="BR13" i="21"/>
  <c r="BR11" i="21"/>
  <c r="BR9" i="21"/>
  <c r="BE125" i="17"/>
  <c r="BE130" i="17"/>
  <c r="BE126" i="17"/>
  <c r="BE131" i="17"/>
  <c r="BE127" i="17"/>
  <c r="BE132" i="17"/>
  <c r="BE128" i="17"/>
  <c r="BE129" i="17"/>
  <c r="BE134" i="17"/>
  <c r="BE124" i="17"/>
  <c r="BE122" i="17"/>
  <c r="BE123" i="17"/>
  <c r="BE133" i="17"/>
  <c r="BE121" i="17"/>
  <c r="BE120" i="17"/>
  <c r="BE77" i="17"/>
  <c r="BE150" i="17"/>
  <c r="BR4" i="21"/>
  <c r="BR6" i="21"/>
  <c r="BR7" i="21"/>
  <c r="BR5" i="21"/>
  <c r="BD32" i="17"/>
  <c r="BE66" i="17"/>
  <c r="BE79" i="17"/>
  <c r="BE61" i="17"/>
  <c r="BE67" i="17"/>
  <c r="BE71" i="17"/>
  <c r="BE73" i="17"/>
  <c r="BE118" i="17"/>
  <c r="BE23" i="17" a="1"/>
  <c r="BE23" i="17" s="1"/>
  <c r="BE45" i="17" a="1"/>
  <c r="BE45" i="17" s="1"/>
  <c r="BE21" i="17" a="1"/>
  <c r="BE21" i="17" s="1"/>
  <c r="BE24" i="17" a="1"/>
  <c r="BE24" i="17" s="1"/>
  <c r="BE22" i="17" a="1"/>
  <c r="BE22" i="17" s="1"/>
  <c r="BE51" i="17" a="1"/>
  <c r="BE51" i="17" s="1"/>
  <c r="BE26" i="17" a="1"/>
  <c r="BE26" i="17" s="1"/>
  <c r="BE54" i="17" a="1"/>
  <c r="BE54" i="17" s="1"/>
  <c r="BE49" i="17" a="1"/>
  <c r="BE49" i="17" s="1"/>
  <c r="BE52" i="17" a="1"/>
  <c r="BE52" i="17" s="1"/>
  <c r="BE56" i="17" a="1"/>
  <c r="BE56" i="17" s="1"/>
  <c r="BE31" i="17" a="1"/>
  <c r="BE31" i="17" s="1"/>
  <c r="BE55" i="17" a="1"/>
  <c r="BE55" i="17" s="1"/>
  <c r="BE50" i="17" a="1"/>
  <c r="BE50" i="17" s="1"/>
  <c r="BE48" i="17" a="1"/>
  <c r="BE48" i="17" s="1"/>
  <c r="BE53" i="17" a="1"/>
  <c r="BE53" i="17" s="1"/>
  <c r="BE20" i="17" a="1"/>
  <c r="BE20" i="17" s="1"/>
  <c r="BE30" i="17" a="1"/>
  <c r="BE30" i="17" s="1"/>
  <c r="BE35" i="17" a="1"/>
  <c r="BE35" i="17" s="1"/>
  <c r="BE62" i="17"/>
  <c r="BE94" i="17"/>
  <c r="BE65" i="17"/>
  <c r="BE102" i="17"/>
  <c r="BE70" i="17"/>
  <c r="BE83" i="17"/>
  <c r="BE63" i="17"/>
  <c r="BE69" i="17"/>
  <c r="BE74" i="17"/>
  <c r="BE85" i="17"/>
  <c r="BE60" i="17"/>
  <c r="BE64" i="17"/>
  <c r="BE68" i="17"/>
  <c r="BE72" i="17"/>
  <c r="BE78" i="17"/>
  <c r="BE88" i="17"/>
  <c r="BE75" i="17"/>
  <c r="BE82" i="17"/>
  <c r="BE90" i="17"/>
  <c r="BE106" i="17"/>
  <c r="BE76" i="17"/>
  <c r="BE81" i="17"/>
  <c r="BE86" i="17"/>
  <c r="BE95" i="17"/>
  <c r="BE80" i="17"/>
  <c r="BE84" i="17"/>
  <c r="BE89" i="17"/>
  <c r="BE98" i="17"/>
  <c r="BE87" i="17"/>
  <c r="BE91" i="17"/>
  <c r="BE105" i="17"/>
  <c r="BE93" i="17"/>
  <c r="BE99" i="17"/>
  <c r="BE110" i="17"/>
  <c r="BE92" i="17"/>
  <c r="BE96" i="17"/>
  <c r="BE101" i="17"/>
  <c r="BE115" i="17"/>
  <c r="BE114" i="17"/>
  <c r="V61" i="25"/>
  <c r="Y61" i="25"/>
  <c r="B63" i="25"/>
  <c r="C62" i="25"/>
  <c r="AH62" i="25" s="1"/>
  <c r="T62" i="25" s="1"/>
  <c r="BE97" i="17"/>
  <c r="BE100" i="17"/>
  <c r="BE107" i="17"/>
  <c r="BE119" i="17"/>
  <c r="X60" i="25"/>
  <c r="BE104" i="17"/>
  <c r="BE111" i="17"/>
  <c r="BE135" i="17"/>
  <c r="BE103" i="17"/>
  <c r="BE108" i="17"/>
  <c r="BE112" i="17"/>
  <c r="BE116" i="17"/>
  <c r="BE109" i="17"/>
  <c r="BE113" i="17"/>
  <c r="BE117" i="17"/>
  <c r="BS3" i="21"/>
  <c r="BF3" i="17"/>
  <c r="BE3" i="4"/>
  <c r="BA20" i="4"/>
  <c r="BB148" i="17"/>
  <c r="BB149" i="17"/>
  <c r="BB147" i="17"/>
  <c r="BB140" i="17"/>
  <c r="BB138" i="17"/>
  <c r="BB144" i="17"/>
  <c r="BB143" i="17"/>
  <c r="BB142" i="17"/>
  <c r="BB151" i="17"/>
  <c r="BB146" i="17"/>
  <c r="BB141" i="17"/>
  <c r="BB139" i="17"/>
  <c r="BB145" i="17"/>
  <c r="BO34" i="21"/>
  <c r="BA57" i="17"/>
  <c r="BA22" i="4" s="1"/>
  <c r="BB136" i="17"/>
  <c r="BB24" i="4" s="1"/>
  <c r="BA152" i="17"/>
  <c r="BA25" i="4" s="1"/>
  <c r="BS14" i="21" l="1"/>
  <c r="BS12" i="21"/>
  <c r="BS10" i="21"/>
  <c r="BS8" i="21"/>
  <c r="BS13" i="21"/>
  <c r="BS11" i="21"/>
  <c r="BS9" i="21"/>
  <c r="BF150" i="17"/>
  <c r="BF133" i="17"/>
  <c r="BF134" i="17"/>
  <c r="BF124" i="17"/>
  <c r="BF130" i="17"/>
  <c r="BF126" i="17"/>
  <c r="BF131" i="17"/>
  <c r="BF127" i="17"/>
  <c r="BF129" i="17"/>
  <c r="BF132" i="17"/>
  <c r="BF128" i="17"/>
  <c r="BF125" i="17"/>
  <c r="BF122" i="17"/>
  <c r="BF120" i="17"/>
  <c r="BF121" i="17"/>
  <c r="BF123" i="17"/>
  <c r="BS4" i="21"/>
  <c r="BS6" i="21"/>
  <c r="BS5" i="21"/>
  <c r="BS7" i="21"/>
  <c r="BF100" i="17"/>
  <c r="BF22" i="17" a="1"/>
  <c r="BF22" i="17" s="1"/>
  <c r="BF48" i="17" a="1"/>
  <c r="BF48" i="17" s="1"/>
  <c r="BF24" i="17" a="1"/>
  <c r="BF24" i="17" s="1"/>
  <c r="BF51" i="17" a="1"/>
  <c r="BF51" i="17" s="1"/>
  <c r="BF55" i="17" a="1"/>
  <c r="BF55" i="17" s="1"/>
  <c r="BF23" i="17" a="1"/>
  <c r="BF23" i="17" s="1"/>
  <c r="BF53" i="17" a="1"/>
  <c r="BF53" i="17" s="1"/>
  <c r="BF26" i="17" a="1"/>
  <c r="BF26" i="17" s="1"/>
  <c r="BF31" i="17" a="1"/>
  <c r="BF31" i="17" s="1"/>
  <c r="BF49" i="17" a="1"/>
  <c r="BF49" i="17" s="1"/>
  <c r="BF52" i="17" a="1"/>
  <c r="BF52" i="17" s="1"/>
  <c r="BF56" i="17" a="1"/>
  <c r="BF56" i="17" s="1"/>
  <c r="BF21" i="17" a="1"/>
  <c r="BF21" i="17" s="1"/>
  <c r="BF45" i="17" a="1"/>
  <c r="BF45" i="17" s="1"/>
  <c r="BF54" i="17" a="1"/>
  <c r="BF54" i="17" s="1"/>
  <c r="BF50" i="17" a="1"/>
  <c r="BF50" i="17" s="1"/>
  <c r="BF20" i="17" a="1"/>
  <c r="BF20" i="17" s="1"/>
  <c r="BF30" i="17" a="1"/>
  <c r="BF30" i="17" s="1"/>
  <c r="BF35" i="17" a="1"/>
  <c r="BF35" i="17" s="1"/>
  <c r="BE32" i="17"/>
  <c r="BF67" i="17"/>
  <c r="BF99" i="17"/>
  <c r="BF110" i="17"/>
  <c r="BF78" i="17"/>
  <c r="BF116" i="17"/>
  <c r="BF79" i="17"/>
  <c r="BF88" i="17"/>
  <c r="BF68" i="17"/>
  <c r="BF90" i="17"/>
  <c r="B64" i="25"/>
  <c r="C63" i="25"/>
  <c r="AH63" i="25" s="1"/>
  <c r="T63" i="25" s="1"/>
  <c r="X61" i="25"/>
  <c r="BF115" i="17"/>
  <c r="BF62" i="17"/>
  <c r="BF72" i="17"/>
  <c r="BF83" i="17"/>
  <c r="BF94" i="17"/>
  <c r="BF104" i="17"/>
  <c r="BF63" i="17"/>
  <c r="BF74" i="17"/>
  <c r="BF84" i="17"/>
  <c r="BF95" i="17"/>
  <c r="BF106" i="17"/>
  <c r="BF111" i="17"/>
  <c r="BF64" i="17"/>
  <c r="BF70" i="17"/>
  <c r="BF75" i="17"/>
  <c r="BF80" i="17"/>
  <c r="BF86" i="17"/>
  <c r="BF91" i="17"/>
  <c r="BF96" i="17"/>
  <c r="BF102" i="17"/>
  <c r="BF107" i="17"/>
  <c r="BF112" i="17"/>
  <c r="BF60" i="17"/>
  <c r="BF66" i="17"/>
  <c r="BF71" i="17"/>
  <c r="BF76" i="17"/>
  <c r="BF82" i="17"/>
  <c r="BF87" i="17"/>
  <c r="BF92" i="17"/>
  <c r="BF98" i="17"/>
  <c r="BF103" i="17"/>
  <c r="BF108" i="17"/>
  <c r="BF135" i="17"/>
  <c r="BF61" i="17"/>
  <c r="BF65" i="17"/>
  <c r="BF69" i="17"/>
  <c r="BF73" i="17"/>
  <c r="BF77" i="17"/>
  <c r="BF81" i="17"/>
  <c r="BF85" i="17"/>
  <c r="BF89" i="17"/>
  <c r="BF93" i="17"/>
  <c r="BF97" i="17"/>
  <c r="BF101" i="17"/>
  <c r="BF105" i="17"/>
  <c r="BF109" i="17"/>
  <c r="BF113" i="17"/>
  <c r="BF114" i="17"/>
  <c r="BF117" i="17"/>
  <c r="BF119" i="17"/>
  <c r="BF3" i="4"/>
  <c r="BF118" i="17"/>
  <c r="BG3" i="17"/>
  <c r="BT3" i="21"/>
  <c r="BC136" i="17"/>
  <c r="BC24" i="4" s="1"/>
  <c r="BB20" i="4"/>
  <c r="BP34" i="21"/>
  <c r="BB152" i="17"/>
  <c r="BB25" i="4" s="1"/>
  <c r="BB57" i="17"/>
  <c r="BB22" i="4" s="1"/>
  <c r="BC145" i="17"/>
  <c r="BC144" i="17"/>
  <c r="BC139" i="17"/>
  <c r="BC147" i="17"/>
  <c r="BC148" i="17"/>
  <c r="BC138" i="17"/>
  <c r="BC141" i="17"/>
  <c r="BC149" i="17"/>
  <c r="BC146" i="17"/>
  <c r="BC142" i="17"/>
  <c r="BC140" i="17"/>
  <c r="BC143" i="17"/>
  <c r="BC151" i="17"/>
  <c r="BT14" i="21" l="1"/>
  <c r="BT13" i="21"/>
  <c r="BT11" i="21"/>
  <c r="BT9" i="21"/>
  <c r="BT8" i="21"/>
  <c r="BT10" i="21"/>
  <c r="BT12" i="21"/>
  <c r="BG150" i="17"/>
  <c r="BG131" i="17"/>
  <c r="BG132" i="17"/>
  <c r="BG133" i="17"/>
  <c r="BG134" i="17"/>
  <c r="BG124" i="17"/>
  <c r="BG126" i="17"/>
  <c r="BG129" i="17"/>
  <c r="BG127" i="17"/>
  <c r="BG130" i="17"/>
  <c r="BG128" i="17"/>
  <c r="BG120" i="17"/>
  <c r="BG125" i="17"/>
  <c r="BG121" i="17"/>
  <c r="BG122" i="17"/>
  <c r="BG123" i="17"/>
  <c r="BT4" i="21"/>
  <c r="BT5" i="21"/>
  <c r="BT7" i="21"/>
  <c r="BT6" i="21"/>
  <c r="BF32" i="17"/>
  <c r="BG22" i="17" a="1"/>
  <c r="BG22" i="17" s="1"/>
  <c r="BG31" i="17" a="1"/>
  <c r="BG31" i="17" s="1"/>
  <c r="BG49" i="17" a="1"/>
  <c r="BG49" i="17" s="1"/>
  <c r="BG23" i="17" a="1"/>
  <c r="BG23" i="17" s="1"/>
  <c r="BG21" i="17" a="1"/>
  <c r="BG21" i="17" s="1"/>
  <c r="BG26" i="17" a="1"/>
  <c r="BG26" i="17" s="1"/>
  <c r="BG50" i="17" a="1"/>
  <c r="BG50" i="17" s="1"/>
  <c r="BG53" i="17" a="1"/>
  <c r="BG53" i="17" s="1"/>
  <c r="BG24" i="17" a="1"/>
  <c r="BG24" i="17" s="1"/>
  <c r="BG56" i="17" a="1"/>
  <c r="BG56" i="17" s="1"/>
  <c r="BG52" i="17" a="1"/>
  <c r="BG52" i="17" s="1"/>
  <c r="BG48" i="17" a="1"/>
  <c r="BG48" i="17" s="1"/>
  <c r="BG55" i="17" a="1"/>
  <c r="BG55" i="17" s="1"/>
  <c r="BG45" i="17" a="1"/>
  <c r="BG45" i="17" s="1"/>
  <c r="BG51" i="17" a="1"/>
  <c r="BG51" i="17" s="1"/>
  <c r="BG54" i="17" a="1"/>
  <c r="BG54" i="17" s="1"/>
  <c r="BG30" i="17" a="1"/>
  <c r="BG30" i="17" s="1"/>
  <c r="BG20" i="17" a="1"/>
  <c r="BG20" i="17" s="1"/>
  <c r="BG35" i="17" a="1"/>
  <c r="BG35" i="17" s="1"/>
  <c r="Y62" i="25"/>
  <c r="V62" i="25"/>
  <c r="Y63" i="25"/>
  <c r="V63" i="25"/>
  <c r="B65" i="25"/>
  <c r="C64" i="25"/>
  <c r="AH64" i="25" s="1"/>
  <c r="T64" i="25" s="1"/>
  <c r="BG118" i="17"/>
  <c r="BG78" i="17"/>
  <c r="BG111" i="17"/>
  <c r="BG62" i="17"/>
  <c r="BG71" i="17"/>
  <c r="BG60" i="17"/>
  <c r="BG66" i="17"/>
  <c r="BG75" i="17"/>
  <c r="BG85" i="17"/>
  <c r="BG61" i="17"/>
  <c r="BG67" i="17"/>
  <c r="BG76" i="17"/>
  <c r="BG91" i="17"/>
  <c r="BG63" i="17"/>
  <c r="BG72" i="17"/>
  <c r="BG80" i="17"/>
  <c r="BG68" i="17"/>
  <c r="BG64" i="17"/>
  <c r="BG69" i="17"/>
  <c r="BG73" i="17"/>
  <c r="BG77" i="17"/>
  <c r="BG81" i="17"/>
  <c r="BG86" i="17"/>
  <c r="BG94" i="17"/>
  <c r="BG65" i="17"/>
  <c r="BG70" i="17"/>
  <c r="BG74" i="17"/>
  <c r="BG79" i="17"/>
  <c r="BG82" i="17"/>
  <c r="BG87" i="17"/>
  <c r="BG95" i="17"/>
  <c r="BG83" i="17"/>
  <c r="BG89" i="17"/>
  <c r="BG102" i="17"/>
  <c r="BG84" i="17"/>
  <c r="BG88" i="17"/>
  <c r="BG92" i="17"/>
  <c r="BG96" i="17"/>
  <c r="BG90" i="17"/>
  <c r="BG93" i="17"/>
  <c r="BG98" i="17"/>
  <c r="BG97" i="17"/>
  <c r="BG101" i="17"/>
  <c r="BG105" i="17"/>
  <c r="BU3" i="21"/>
  <c r="BG99" i="17"/>
  <c r="BG103" i="17"/>
  <c r="BG109" i="17"/>
  <c r="BG100" i="17"/>
  <c r="BG104" i="17"/>
  <c r="BG114" i="17"/>
  <c r="BG106" i="17"/>
  <c r="BG110" i="17"/>
  <c r="BG115" i="17"/>
  <c r="BG119" i="17"/>
  <c r="BG107" i="17"/>
  <c r="BG112" i="17"/>
  <c r="BG117" i="17"/>
  <c r="BG108" i="17"/>
  <c r="BG113" i="17"/>
  <c r="BG116" i="17"/>
  <c r="BG135" i="17"/>
  <c r="BH3" i="17"/>
  <c r="BG3" i="4"/>
  <c r="BD136" i="17"/>
  <c r="BD24" i="4" s="1"/>
  <c r="BC152" i="17"/>
  <c r="BC25" i="4" s="1"/>
  <c r="BC20" i="4"/>
  <c r="BD147" i="17"/>
  <c r="BD138" i="17"/>
  <c r="BD144" i="17"/>
  <c r="BD146" i="17"/>
  <c r="BD140" i="17"/>
  <c r="BD149" i="17"/>
  <c r="BD143" i="17"/>
  <c r="BD142" i="17"/>
  <c r="BD151" i="17"/>
  <c r="BD139" i="17"/>
  <c r="BD145" i="17"/>
  <c r="BD148" i="17"/>
  <c r="BD141" i="17"/>
  <c r="BC57" i="17"/>
  <c r="BC22" i="4" s="1"/>
  <c r="BU13" i="21" l="1"/>
  <c r="BU11" i="21"/>
  <c r="BU9" i="21"/>
  <c r="BU14" i="21"/>
  <c r="BU12" i="21"/>
  <c r="BU10" i="21"/>
  <c r="BU8" i="21"/>
  <c r="BH150" i="17"/>
  <c r="BH123" i="17"/>
  <c r="BH130" i="17"/>
  <c r="BH129" i="17"/>
  <c r="BH131" i="17"/>
  <c r="BH133" i="17"/>
  <c r="BH126" i="17"/>
  <c r="BH134" i="17"/>
  <c r="BH127" i="17"/>
  <c r="BH128" i="17"/>
  <c r="BH125" i="17"/>
  <c r="BH120" i="17"/>
  <c r="BH122" i="17"/>
  <c r="BH124" i="17"/>
  <c r="BH121" i="17"/>
  <c r="BH132" i="17"/>
  <c r="BU4" i="21"/>
  <c r="BU7" i="21"/>
  <c r="BU5" i="21"/>
  <c r="BU6" i="21"/>
  <c r="BG32" i="17"/>
  <c r="BH24" i="17" a="1"/>
  <c r="BH24" i="17" s="1"/>
  <c r="BH22" i="17" a="1"/>
  <c r="BH22" i="17" s="1"/>
  <c r="BH31" i="17" a="1"/>
  <c r="BH31" i="17" s="1"/>
  <c r="BH50" i="17" a="1"/>
  <c r="BH50" i="17" s="1"/>
  <c r="BH48" i="17" a="1"/>
  <c r="BH48" i="17" s="1"/>
  <c r="BH53" i="17" a="1"/>
  <c r="BH53" i="17" s="1"/>
  <c r="BH45" i="17" a="1"/>
  <c r="BH45" i="17" s="1"/>
  <c r="BH23" i="17" a="1"/>
  <c r="BH23" i="17" s="1"/>
  <c r="BH52" i="17" a="1"/>
  <c r="BH52" i="17" s="1"/>
  <c r="BH21" i="17" a="1"/>
  <c r="BH21" i="17" s="1"/>
  <c r="BH55" i="17" a="1"/>
  <c r="BH55" i="17" s="1"/>
  <c r="BH49" i="17" a="1"/>
  <c r="BH49" i="17" s="1"/>
  <c r="BH56" i="17" a="1"/>
  <c r="BH56" i="17" s="1"/>
  <c r="BH54" i="17" a="1"/>
  <c r="BH54" i="17" s="1"/>
  <c r="BH26" i="17" a="1"/>
  <c r="BH26" i="17" s="1"/>
  <c r="BH51" i="17" a="1"/>
  <c r="BH51" i="17" s="1"/>
  <c r="BH30" i="17" a="1"/>
  <c r="BH30" i="17" s="1"/>
  <c r="BH20" i="17" a="1"/>
  <c r="BH20" i="17" s="1"/>
  <c r="BH35" i="17" a="1"/>
  <c r="BH35" i="17" s="1"/>
  <c r="Y64" i="25"/>
  <c r="V64" i="25"/>
  <c r="X62" i="25"/>
  <c r="X63" i="25"/>
  <c r="B66" i="25"/>
  <c r="C65" i="25"/>
  <c r="AH65" i="25" s="1"/>
  <c r="T65" i="25" s="1"/>
  <c r="BH67" i="17"/>
  <c r="BH93" i="17"/>
  <c r="BH86" i="17"/>
  <c r="BH62" i="17"/>
  <c r="BH74" i="17"/>
  <c r="BH63" i="17"/>
  <c r="BH75" i="17"/>
  <c r="BH68" i="17"/>
  <c r="BH64" i="17"/>
  <c r="BH70" i="17"/>
  <c r="BH78" i="17"/>
  <c r="BH118" i="17"/>
  <c r="BH60" i="17"/>
  <c r="BH66" i="17"/>
  <c r="BH71" i="17"/>
  <c r="BH79" i="17"/>
  <c r="BH61" i="17"/>
  <c r="BH65" i="17"/>
  <c r="BH69" i="17"/>
  <c r="BH73" i="17"/>
  <c r="BH77" i="17"/>
  <c r="BH85" i="17"/>
  <c r="BH103" i="17"/>
  <c r="BH105" i="17"/>
  <c r="BH72" i="17"/>
  <c r="BH76" i="17"/>
  <c r="BH81" i="17"/>
  <c r="BH94" i="17"/>
  <c r="BH117" i="17"/>
  <c r="BH89" i="17"/>
  <c r="BH98" i="17"/>
  <c r="BH109" i="17"/>
  <c r="BH82" i="17"/>
  <c r="BH90" i="17"/>
  <c r="BH99" i="17"/>
  <c r="BH110" i="17"/>
  <c r="BH83" i="17"/>
  <c r="BH87" i="17"/>
  <c r="BH91" i="17"/>
  <c r="BH95" i="17"/>
  <c r="BH101" i="17"/>
  <c r="BH106" i="17"/>
  <c r="BH113" i="17"/>
  <c r="BH80" i="17"/>
  <c r="BH84" i="17"/>
  <c r="BH88" i="17"/>
  <c r="BH92" i="17"/>
  <c r="BH97" i="17"/>
  <c r="BH102" i="17"/>
  <c r="BH107" i="17"/>
  <c r="BH114" i="17"/>
  <c r="BH96" i="17"/>
  <c r="BH100" i="17"/>
  <c r="BH104" i="17"/>
  <c r="BH108" i="17"/>
  <c r="BH112" i="17"/>
  <c r="BH116" i="17"/>
  <c r="BH111" i="17"/>
  <c r="BH115" i="17"/>
  <c r="BH119" i="17"/>
  <c r="BH135" i="17"/>
  <c r="BH3" i="4"/>
  <c r="BI3" i="17"/>
  <c r="BV3" i="21"/>
  <c r="BD57" i="17"/>
  <c r="BD22" i="4" s="1"/>
  <c r="BD20" i="4"/>
  <c r="BE144" i="17"/>
  <c r="BE145" i="17"/>
  <c r="BE140" i="17"/>
  <c r="BE148" i="17"/>
  <c r="BE143" i="17"/>
  <c r="BE138" i="17"/>
  <c r="BE146" i="17"/>
  <c r="BE139" i="17"/>
  <c r="BE142" i="17"/>
  <c r="BE151" i="17"/>
  <c r="BE147" i="17"/>
  <c r="BE141" i="17"/>
  <c r="BE149" i="17"/>
  <c r="BE136" i="17"/>
  <c r="BE24" i="4" s="1"/>
  <c r="BD152" i="17"/>
  <c r="BD25" i="4" s="1"/>
  <c r="BV13" i="21" l="1"/>
  <c r="BV11" i="21"/>
  <c r="BV9" i="21"/>
  <c r="BV14" i="21"/>
  <c r="BV12" i="21"/>
  <c r="BV10" i="21"/>
  <c r="BV8" i="21"/>
  <c r="BI150" i="17"/>
  <c r="BI130" i="17"/>
  <c r="BI126" i="17"/>
  <c r="BI131" i="17"/>
  <c r="BI127" i="17"/>
  <c r="BI132" i="17"/>
  <c r="BI128" i="17"/>
  <c r="BI129" i="17"/>
  <c r="BI133" i="17"/>
  <c r="BI124" i="17"/>
  <c r="BI125" i="17"/>
  <c r="BI134" i="17"/>
  <c r="BI123" i="17"/>
  <c r="BI122" i="17"/>
  <c r="BI120" i="17"/>
  <c r="BI121" i="17"/>
  <c r="I11" i="25"/>
  <c r="I10" i="25"/>
  <c r="H12" i="25"/>
  <c r="BV4" i="21"/>
  <c r="BV7" i="21"/>
  <c r="BV5" i="21"/>
  <c r="BV6" i="21"/>
  <c r="X64" i="25"/>
  <c r="BH32" i="17"/>
  <c r="BI135" i="17"/>
  <c r="BI21" i="17" a="1"/>
  <c r="BI21" i="17" s="1"/>
  <c r="BI24" i="17" a="1"/>
  <c r="BI24" i="17" s="1"/>
  <c r="BI23" i="17" a="1"/>
  <c r="BI23" i="17" s="1"/>
  <c r="BI45" i="17" a="1"/>
  <c r="BI45" i="17" s="1"/>
  <c r="BI31" i="17" a="1"/>
  <c r="BI31" i="17" s="1"/>
  <c r="BI55" i="17" a="1"/>
  <c r="BI55" i="17" s="1"/>
  <c r="BI22" i="17" a="1"/>
  <c r="BI22" i="17" s="1"/>
  <c r="BI48" i="17" a="1"/>
  <c r="BI48" i="17" s="1"/>
  <c r="BI50" i="17" a="1"/>
  <c r="BI50" i="17" s="1"/>
  <c r="BI49" i="17" a="1"/>
  <c r="BI49" i="17" s="1"/>
  <c r="BI54" i="17" a="1"/>
  <c r="BI54" i="17" s="1"/>
  <c r="BI26" i="17" a="1"/>
  <c r="BI26" i="17" s="1"/>
  <c r="BI51" i="17" a="1"/>
  <c r="BI51" i="17" s="1"/>
  <c r="BI52" i="17" a="1"/>
  <c r="BI52" i="17" s="1"/>
  <c r="BI56" i="17" a="1"/>
  <c r="BI56" i="17" s="1"/>
  <c r="BI53" i="17" a="1"/>
  <c r="BI53" i="17" s="1"/>
  <c r="BI30" i="17" a="1"/>
  <c r="BI30" i="17" s="1"/>
  <c r="BI20" i="17" a="1"/>
  <c r="BI20" i="17" s="1"/>
  <c r="BI35" i="17" a="1"/>
  <c r="BI35" i="17" s="1"/>
  <c r="BI69" i="17"/>
  <c r="H11" i="25"/>
  <c r="H10" i="25"/>
  <c r="H8" i="25"/>
  <c r="H9" i="25"/>
  <c r="V65" i="25"/>
  <c r="Y65" i="25"/>
  <c r="H7" i="25"/>
  <c r="C66" i="25"/>
  <c r="AH66" i="25" s="1"/>
  <c r="T66" i="25" s="1"/>
  <c r="BI84" i="17"/>
  <c r="BI80" i="17"/>
  <c r="BI65" i="17"/>
  <c r="BI68" i="17"/>
  <c r="BI86" i="17"/>
  <c r="BI76" i="17"/>
  <c r="BI60" i="17"/>
  <c r="BI74" i="17"/>
  <c r="BI62" i="17"/>
  <c r="BI73" i="17"/>
  <c r="BI81" i="17"/>
  <c r="BI92" i="17"/>
  <c r="BI90" i="17"/>
  <c r="BI64" i="17"/>
  <c r="BI70" i="17"/>
  <c r="BI78" i="17"/>
  <c r="BI85" i="17"/>
  <c r="BI97" i="17"/>
  <c r="BI61" i="17"/>
  <c r="BI66" i="17"/>
  <c r="BI72" i="17"/>
  <c r="BI77" i="17"/>
  <c r="BI82" i="17"/>
  <c r="BI88" i="17"/>
  <c r="BI103" i="17"/>
  <c r="BI63" i="17"/>
  <c r="BI67" i="17"/>
  <c r="BI71" i="17"/>
  <c r="BI75" i="17"/>
  <c r="BI79" i="17"/>
  <c r="BI83" i="17"/>
  <c r="BI87" i="17"/>
  <c r="BI91" i="17"/>
  <c r="BI96" i="17"/>
  <c r="BI102" i="17"/>
  <c r="BI112" i="17"/>
  <c r="BI89" i="17"/>
  <c r="BI93" i="17"/>
  <c r="BI98" i="17"/>
  <c r="BI107" i="17"/>
  <c r="BI94" i="17"/>
  <c r="BI100" i="17"/>
  <c r="BI108" i="17"/>
  <c r="BI95" i="17"/>
  <c r="BI99" i="17"/>
  <c r="BI104" i="17"/>
  <c r="BI116" i="17"/>
  <c r="BI101" i="17"/>
  <c r="BI105" i="17"/>
  <c r="BI109" i="17"/>
  <c r="BI113" i="17"/>
  <c r="BI117" i="17"/>
  <c r="BI106" i="17"/>
  <c r="BI110" i="17"/>
  <c r="BI114" i="17"/>
  <c r="BI118" i="17"/>
  <c r="BI111" i="17"/>
  <c r="BI115" i="17"/>
  <c r="BI119" i="17"/>
  <c r="BJ3" i="17"/>
  <c r="BW3" i="21"/>
  <c r="BI3" i="4"/>
  <c r="BE57" i="17"/>
  <c r="BE22" i="4" s="1"/>
  <c r="BF136" i="17"/>
  <c r="BF24" i="4" s="1"/>
  <c r="BE20" i="4"/>
  <c r="BE152" i="17"/>
  <c r="BE25" i="4" s="1"/>
  <c r="BF138" i="17"/>
  <c r="BF146" i="17"/>
  <c r="BF140" i="17"/>
  <c r="BF139" i="17"/>
  <c r="BF142" i="17"/>
  <c r="BF151" i="17"/>
  <c r="BF147" i="17"/>
  <c r="BF149" i="17"/>
  <c r="BF141" i="17"/>
  <c r="BF144" i="17"/>
  <c r="BF143" i="17"/>
  <c r="BF145" i="17"/>
  <c r="BF148" i="17"/>
  <c r="BW13" i="21" l="1"/>
  <c r="BW11" i="21"/>
  <c r="BW9" i="21"/>
  <c r="BW8" i="21"/>
  <c r="BW14" i="21"/>
  <c r="BW12" i="21"/>
  <c r="BW10" i="21"/>
  <c r="BJ150" i="17"/>
  <c r="BK150" i="17" s="1"/>
  <c r="BJ134" i="17"/>
  <c r="BK134" i="17" s="1"/>
  <c r="BJ124" i="17"/>
  <c r="BK124" i="17" s="1"/>
  <c r="BJ129" i="17"/>
  <c r="BK129" i="17" s="1"/>
  <c r="BJ125" i="17"/>
  <c r="BK125" i="17" s="1"/>
  <c r="BJ131" i="17"/>
  <c r="BK131" i="17" s="1"/>
  <c r="BJ127" i="17"/>
  <c r="BK127" i="17" s="1"/>
  <c r="BJ132" i="17"/>
  <c r="BK132" i="17" s="1"/>
  <c r="BJ128" i="17"/>
  <c r="BK128" i="17" s="1"/>
  <c r="BJ133" i="17"/>
  <c r="BK133" i="17" s="1"/>
  <c r="BJ123" i="17"/>
  <c r="BK123" i="17" s="1"/>
  <c r="BJ120" i="17"/>
  <c r="BK120" i="17" s="1"/>
  <c r="BJ126" i="17"/>
  <c r="BK126" i="17" s="1"/>
  <c r="BJ121" i="17"/>
  <c r="BK121" i="17" s="1"/>
  <c r="BJ122" i="17"/>
  <c r="BK122" i="17" s="1"/>
  <c r="BJ130" i="17"/>
  <c r="BK130" i="17" s="1"/>
  <c r="BW4" i="21"/>
  <c r="BW7" i="21"/>
  <c r="BW5" i="21"/>
  <c r="BW6" i="21"/>
  <c r="BI32" i="17"/>
  <c r="BJ88" i="17"/>
  <c r="BJ21" i="17" a="1"/>
  <c r="BJ21" i="17" s="1"/>
  <c r="BK21" i="17" s="1"/>
  <c r="BJ26" i="17" a="1"/>
  <c r="BJ26" i="17" s="1"/>
  <c r="BK26" i="17" s="1"/>
  <c r="BJ48" i="17" a="1"/>
  <c r="BJ48" i="17" s="1"/>
  <c r="BJ22" i="17" a="1"/>
  <c r="BJ22" i="17" s="1"/>
  <c r="BK22" i="17" s="1"/>
  <c r="BJ23" i="17" a="1"/>
  <c r="BJ23" i="17" s="1"/>
  <c r="BK23" i="17" s="1"/>
  <c r="BJ52" i="17" a="1"/>
  <c r="BJ52" i="17" s="1"/>
  <c r="BJ31" i="17" a="1"/>
  <c r="BJ31" i="17" s="1"/>
  <c r="BJ55" i="17" a="1"/>
  <c r="BJ55" i="17" s="1"/>
  <c r="BK55" i="17" s="1"/>
  <c r="BJ51" i="17" a="1"/>
  <c r="BJ51" i="17" s="1"/>
  <c r="BJ50" i="17" a="1"/>
  <c r="BJ50" i="17" s="1"/>
  <c r="BJ24" i="17" a="1"/>
  <c r="BJ24" i="17" s="1"/>
  <c r="BK24" i="17" s="1"/>
  <c r="BJ53" i="17" a="1"/>
  <c r="BJ53" i="17" s="1"/>
  <c r="BK53" i="17" s="1"/>
  <c r="BJ45" i="17" a="1"/>
  <c r="BJ45" i="17" s="1"/>
  <c r="BK45" i="17" s="1"/>
  <c r="BJ56" i="17" a="1"/>
  <c r="BJ56" i="17" s="1"/>
  <c r="BK56" i="17" s="1"/>
  <c r="BJ49" i="17" a="1"/>
  <c r="BJ49" i="17" s="1"/>
  <c r="BJ54" i="17" a="1"/>
  <c r="BJ54" i="17" s="1"/>
  <c r="BK54" i="17" s="1"/>
  <c r="BJ30" i="17" a="1"/>
  <c r="BJ30" i="17" s="1"/>
  <c r="BJ20" i="17" a="1"/>
  <c r="BJ20" i="17" s="1"/>
  <c r="BJ35" i="17" a="1"/>
  <c r="BJ35" i="17" s="1"/>
  <c r="BJ63" i="17"/>
  <c r="BJ64" i="17"/>
  <c r="BJ80" i="17"/>
  <c r="BJ79" i="17"/>
  <c r="BJ96" i="17"/>
  <c r="X65" i="25"/>
  <c r="BJ72" i="17"/>
  <c r="BJ98" i="17"/>
  <c r="M7" i="25"/>
  <c r="U8" i="25"/>
  <c r="U9" i="25" s="1"/>
  <c r="U10" i="25" s="1"/>
  <c r="U11" i="25" s="1"/>
  <c r="U12" i="25" s="1"/>
  <c r="U13" i="25" s="1"/>
  <c r="U14" i="25" s="1"/>
  <c r="U15" i="25" s="1"/>
  <c r="U16" i="25" s="1"/>
  <c r="U17" i="25" s="1"/>
  <c r="U18" i="25" s="1"/>
  <c r="U19" i="25" s="1"/>
  <c r="U20" i="25" s="1"/>
  <c r="U21" i="25" s="1"/>
  <c r="U22" i="25" s="1"/>
  <c r="U23" i="25" s="1"/>
  <c r="U24" i="25" s="1"/>
  <c r="U25" i="25" s="1"/>
  <c r="U26" i="25" s="1"/>
  <c r="U27" i="25" s="1"/>
  <c r="U28" i="25" s="1"/>
  <c r="U29" i="25" s="1"/>
  <c r="U30" i="25" s="1"/>
  <c r="U31" i="25" s="1"/>
  <c r="U32" i="25" s="1"/>
  <c r="U33" i="25" s="1"/>
  <c r="U34" i="25" s="1"/>
  <c r="U35" i="25" s="1"/>
  <c r="U36" i="25" s="1"/>
  <c r="U37" i="25" s="1"/>
  <c r="U38" i="25" s="1"/>
  <c r="U39" i="25" s="1"/>
  <c r="U40" i="25" s="1"/>
  <c r="U41" i="25" s="1"/>
  <c r="U42" i="25" s="1"/>
  <c r="U43" i="25" s="1"/>
  <c r="U44" i="25" s="1"/>
  <c r="U45" i="25" s="1"/>
  <c r="U46" i="25" s="1"/>
  <c r="U47" i="25" s="1"/>
  <c r="U48" i="25" s="1"/>
  <c r="U49" i="25" s="1"/>
  <c r="U50" i="25" s="1"/>
  <c r="U51" i="25" s="1"/>
  <c r="U52" i="25" s="1"/>
  <c r="U53" i="25" s="1"/>
  <c r="U54" i="25" s="1"/>
  <c r="U55" i="25" s="1"/>
  <c r="U56" i="25" s="1"/>
  <c r="U57" i="25" s="1"/>
  <c r="U58" i="25" s="1"/>
  <c r="U59" i="25" s="1"/>
  <c r="U60" i="25" s="1"/>
  <c r="U61" i="25" s="1"/>
  <c r="U62" i="25" s="1"/>
  <c r="U63" i="25" s="1"/>
  <c r="U64" i="25" s="1"/>
  <c r="U65" i="25" s="1"/>
  <c r="U66" i="25" s="1"/>
  <c r="BJ104" i="17"/>
  <c r="BJ71" i="17"/>
  <c r="BJ87" i="17"/>
  <c r="BJ111" i="17"/>
  <c r="BJ67" i="17"/>
  <c r="BJ75" i="17"/>
  <c r="BJ83" i="17"/>
  <c r="BJ91" i="17"/>
  <c r="BJ102" i="17"/>
  <c r="BJ60" i="17"/>
  <c r="BJ68" i="17"/>
  <c r="BJ76" i="17"/>
  <c r="BJ84" i="17"/>
  <c r="BJ92" i="17"/>
  <c r="BJ61" i="17"/>
  <c r="BJ65" i="17"/>
  <c r="BJ69" i="17"/>
  <c r="BJ73" i="17"/>
  <c r="BJ77" i="17"/>
  <c r="BJ81" i="17"/>
  <c r="BJ85" i="17"/>
  <c r="BJ89" i="17"/>
  <c r="BJ94" i="17"/>
  <c r="BJ99" i="17"/>
  <c r="BJ105" i="17"/>
  <c r="BJ62" i="17"/>
  <c r="BJ66" i="17"/>
  <c r="BJ70" i="17"/>
  <c r="BJ74" i="17"/>
  <c r="BJ78" i="17"/>
  <c r="BJ82" i="17"/>
  <c r="BJ86" i="17"/>
  <c r="BJ90" i="17"/>
  <c r="BJ95" i="17"/>
  <c r="BJ100" i="17"/>
  <c r="BJ110" i="17"/>
  <c r="BJ135" i="17"/>
  <c r="BJ115" i="17"/>
  <c r="BJ93" i="17"/>
  <c r="BJ97" i="17"/>
  <c r="BJ101" i="17"/>
  <c r="BJ106" i="17"/>
  <c r="BJ117" i="17"/>
  <c r="BJ103" i="17"/>
  <c r="BJ107" i="17"/>
  <c r="BJ113" i="17"/>
  <c r="BJ118" i="17"/>
  <c r="BJ109" i="17"/>
  <c r="BJ114" i="17"/>
  <c r="BJ119" i="17"/>
  <c r="BJ108" i="17"/>
  <c r="BJ112" i="17"/>
  <c r="BJ116" i="17"/>
  <c r="BJ3" i="4"/>
  <c r="BX3" i="21"/>
  <c r="BF20" i="4"/>
  <c r="BF57" i="17"/>
  <c r="BF22" i="4" s="1"/>
  <c r="BG140" i="17"/>
  <c r="BG143" i="17"/>
  <c r="BG142" i="17"/>
  <c r="BG147" i="17"/>
  <c r="BG139" i="17"/>
  <c r="BG151" i="17"/>
  <c r="BG144" i="17"/>
  <c r="BG146" i="17"/>
  <c r="BG138" i="17"/>
  <c r="BG141" i="17"/>
  <c r="BG149" i="17"/>
  <c r="BG148" i="17"/>
  <c r="BG145" i="17"/>
  <c r="BF152" i="17"/>
  <c r="BF25" i="4" s="1"/>
  <c r="BG136" i="17"/>
  <c r="BG24" i="4" s="1"/>
  <c r="BX14" i="21" l="1"/>
  <c r="BX12" i="21"/>
  <c r="BX10" i="21"/>
  <c r="BX8" i="21"/>
  <c r="BX9" i="21"/>
  <c r="BX11" i="21"/>
  <c r="BX13" i="21"/>
  <c r="BX6" i="21"/>
  <c r="BX7" i="21"/>
  <c r="BX5" i="21"/>
  <c r="BX4" i="21"/>
  <c r="D26" i="21"/>
  <c r="E26" i="21" s="1"/>
  <c r="D30" i="21"/>
  <c r="E30" i="21" s="1"/>
  <c r="D20" i="21"/>
  <c r="E20" i="21" s="1"/>
  <c r="D14" i="21"/>
  <c r="E14" i="21" s="1"/>
  <c r="D10" i="21"/>
  <c r="E10" i="21" s="1"/>
  <c r="D24" i="21"/>
  <c r="E24" i="21" s="1"/>
  <c r="D18" i="21"/>
  <c r="E18" i="21" s="1"/>
  <c r="D32" i="21"/>
  <c r="E32" i="21" s="1"/>
  <c r="D27" i="21"/>
  <c r="E27" i="21" s="1"/>
  <c r="D31" i="21"/>
  <c r="E31" i="21" s="1"/>
  <c r="D21" i="21"/>
  <c r="E21" i="21" s="1"/>
  <c r="D17" i="21"/>
  <c r="E17" i="21" s="1"/>
  <c r="D13" i="21"/>
  <c r="E13" i="21" s="1"/>
  <c r="D25" i="21"/>
  <c r="E25" i="21" s="1"/>
  <c r="D6" i="21"/>
  <c r="E6" i="21" s="1"/>
  <c r="D4" i="21"/>
  <c r="E4" i="21" s="1"/>
  <c r="D28" i="21"/>
  <c r="E28" i="21" s="1"/>
  <c r="D9" i="21"/>
  <c r="E9" i="21" s="1"/>
  <c r="D22" i="21"/>
  <c r="E22" i="21" s="1"/>
  <c r="D8" i="21"/>
  <c r="E8" i="21" s="1"/>
  <c r="D12" i="21"/>
  <c r="E12" i="21" s="1"/>
  <c r="D16" i="21"/>
  <c r="E16" i="21" s="1"/>
  <c r="D5" i="21"/>
  <c r="E5" i="21" s="1"/>
  <c r="D29" i="21"/>
  <c r="E29" i="21" s="1"/>
  <c r="D19" i="21"/>
  <c r="E19" i="21" s="1"/>
  <c r="D7" i="21"/>
  <c r="E7" i="21" s="1"/>
  <c r="D11" i="21"/>
  <c r="E11" i="21" s="1"/>
  <c r="D15" i="21"/>
  <c r="E15" i="21" s="1"/>
  <c r="D33" i="21"/>
  <c r="E33" i="21" s="1"/>
  <c r="D23" i="21"/>
  <c r="E23" i="21" s="1"/>
  <c r="BJ32" i="17"/>
  <c r="K8" i="25"/>
  <c r="M8" i="25" s="1"/>
  <c r="V66" i="25"/>
  <c r="Y66" i="25"/>
  <c r="BG20" i="4"/>
  <c r="BH145" i="17"/>
  <c r="BH141" i="17"/>
  <c r="BH149" i="17"/>
  <c r="BH142" i="17"/>
  <c r="BH147" i="17"/>
  <c r="BH140" i="17"/>
  <c r="BH138" i="17"/>
  <c r="BH143" i="17"/>
  <c r="BH139" i="17"/>
  <c r="BH151" i="17"/>
  <c r="BH144" i="17"/>
  <c r="BH146" i="17"/>
  <c r="BH148" i="17"/>
  <c r="BH136" i="17"/>
  <c r="BH24" i="4" s="1"/>
  <c r="BG152" i="17"/>
  <c r="BG25" i="4" s="1"/>
  <c r="BG57" i="17"/>
  <c r="BG22" i="4" s="1"/>
  <c r="AC26" i="25" l="1"/>
  <c r="AB26" i="25" s="1"/>
  <c r="V7" i="17" s="1"/>
  <c r="AC29" i="25"/>
  <c r="AC32" i="25"/>
  <c r="AB32" i="25" s="1"/>
  <c r="AB7" i="17" s="1"/>
  <c r="AC35" i="25"/>
  <c r="AB35" i="25" s="1"/>
  <c r="AE7" i="17" s="1"/>
  <c r="AC38" i="25"/>
  <c r="AB38" i="25" s="1"/>
  <c r="AH7" i="17" s="1"/>
  <c r="AC41" i="25"/>
  <c r="AB41" i="25" s="1"/>
  <c r="AK7" i="17" s="1"/>
  <c r="AC44" i="25"/>
  <c r="AB44" i="25" s="1"/>
  <c r="AN7" i="17" s="1"/>
  <c r="AC47" i="25"/>
  <c r="AB47" i="25" s="1"/>
  <c r="AQ7" i="17" s="1"/>
  <c r="AC50" i="25"/>
  <c r="AB50" i="25" s="1"/>
  <c r="AT7" i="17" s="1"/>
  <c r="AC53" i="25"/>
  <c r="AC56" i="25"/>
  <c r="AB56" i="25" s="1"/>
  <c r="AZ7" i="17" s="1"/>
  <c r="AC59" i="25"/>
  <c r="AC62" i="25"/>
  <c r="AC65" i="25"/>
  <c r="AB29" i="25"/>
  <c r="Y7" i="17" s="1"/>
  <c r="AB53" i="25"/>
  <c r="AW7" i="17" s="1"/>
  <c r="AC24" i="25"/>
  <c r="AC27" i="25"/>
  <c r="AB27" i="25" s="1"/>
  <c r="W7" i="17" s="1"/>
  <c r="AC30" i="25"/>
  <c r="AB30" i="25" s="1"/>
  <c r="AC33" i="25"/>
  <c r="AB33" i="25" s="1"/>
  <c r="AC36" i="25"/>
  <c r="AB36" i="25" s="1"/>
  <c r="AF7" i="17" s="1"/>
  <c r="AC39" i="25"/>
  <c r="AB39" i="25" s="1"/>
  <c r="AI7" i="17" s="1"/>
  <c r="AC42" i="25"/>
  <c r="AB42" i="25" s="1"/>
  <c r="AL7" i="17" s="1"/>
  <c r="AC45" i="25"/>
  <c r="AB45" i="25" s="1"/>
  <c r="AO7" i="17" s="1"/>
  <c r="AC51" i="25"/>
  <c r="AB51" i="25" s="1"/>
  <c r="AU7" i="17" s="1"/>
  <c r="AC54" i="25"/>
  <c r="AB54" i="25" s="1"/>
  <c r="AX7" i="17" s="1"/>
  <c r="AC57" i="25"/>
  <c r="AB57" i="25" s="1"/>
  <c r="BA7" i="17" s="1"/>
  <c r="AC60" i="25"/>
  <c r="AC63" i="25"/>
  <c r="D34" i="21"/>
  <c r="G27" i="21"/>
  <c r="G5" i="21"/>
  <c r="G28" i="21"/>
  <c r="G15" i="21"/>
  <c r="G14" i="21"/>
  <c r="G30" i="21"/>
  <c r="G10" i="21"/>
  <c r="G17" i="21"/>
  <c r="G23" i="21"/>
  <c r="G8" i="21"/>
  <c r="G9" i="21"/>
  <c r="G7" i="21"/>
  <c r="G12" i="21"/>
  <c r="G25" i="21"/>
  <c r="G24" i="21"/>
  <c r="U34" i="21"/>
  <c r="G22" i="21"/>
  <c r="G33" i="21"/>
  <c r="G20" i="21"/>
  <c r="G11" i="21"/>
  <c r="G13" i="21"/>
  <c r="G31" i="21"/>
  <c r="G26" i="21"/>
  <c r="G16" i="21"/>
  <c r="G32" i="21"/>
  <c r="G19" i="21"/>
  <c r="G18" i="21"/>
  <c r="G29" i="21"/>
  <c r="G6" i="21"/>
  <c r="G21" i="21"/>
  <c r="AC20" i="25"/>
  <c r="AB20" i="25" s="1"/>
  <c r="AC17" i="25"/>
  <c r="AC23" i="25"/>
  <c r="AC64" i="25"/>
  <c r="AC21" i="25"/>
  <c r="AB21" i="25" s="1"/>
  <c r="AC18" i="25"/>
  <c r="AC48" i="25"/>
  <c r="AB48" i="25" s="1"/>
  <c r="AC28" i="25"/>
  <c r="AC25" i="25"/>
  <c r="AC22" i="25"/>
  <c r="AC19" i="25"/>
  <c r="AC16" i="25"/>
  <c r="AC31" i="25"/>
  <c r="AC34" i="25"/>
  <c r="AC37" i="25"/>
  <c r="AC40" i="25"/>
  <c r="AC43" i="25"/>
  <c r="AC46" i="25"/>
  <c r="AB46" i="25" s="1"/>
  <c r="AC49" i="25"/>
  <c r="AC52" i="25"/>
  <c r="AC55" i="25"/>
  <c r="AC58" i="25"/>
  <c r="AC61" i="25"/>
  <c r="K9" i="25"/>
  <c r="M9" i="25" s="1"/>
  <c r="AC66" i="25"/>
  <c r="AB66" i="25" s="1"/>
  <c r="X66" i="25"/>
  <c r="BI136" i="17"/>
  <c r="BI24" i="4" s="1"/>
  <c r="BH20" i="4"/>
  <c r="BI139" i="17"/>
  <c r="BI142" i="17"/>
  <c r="BI151" i="17"/>
  <c r="BI149" i="17"/>
  <c r="BI143" i="17"/>
  <c r="BI146" i="17"/>
  <c r="BI140" i="17"/>
  <c r="BI141" i="17"/>
  <c r="BI138" i="17"/>
  <c r="BI144" i="17"/>
  <c r="BI147" i="17"/>
  <c r="BI148" i="17"/>
  <c r="BI145" i="17"/>
  <c r="BH152" i="17"/>
  <c r="BH25" i="4" s="1"/>
  <c r="BK135" i="17"/>
  <c r="BK117" i="17"/>
  <c r="BK116" i="17"/>
  <c r="BK115" i="17"/>
  <c r="BK114" i="17"/>
  <c r="BK113" i="17"/>
  <c r="BK119" i="17"/>
  <c r="BK118" i="17"/>
  <c r="BK112" i="17"/>
  <c r="BK111" i="17"/>
  <c r="BK110" i="17"/>
  <c r="BK109" i="17"/>
  <c r="BK108" i="17"/>
  <c r="BK107" i="17"/>
  <c r="BK106" i="17"/>
  <c r="BK105" i="17"/>
  <c r="BK104" i="17"/>
  <c r="BK103" i="17"/>
  <c r="BK102" i="17"/>
  <c r="BK101" i="17"/>
  <c r="BK100" i="17"/>
  <c r="BK99" i="17"/>
  <c r="BK98" i="17"/>
  <c r="BK97" i="17"/>
  <c r="BK96" i="17"/>
  <c r="BK95" i="17"/>
  <c r="BK94" i="17"/>
  <c r="BK93" i="17"/>
  <c r="BK92" i="17"/>
  <c r="BK91" i="17"/>
  <c r="BK90" i="17"/>
  <c r="BK89" i="17"/>
  <c r="BK88" i="17"/>
  <c r="BK87" i="17"/>
  <c r="BK86" i="17"/>
  <c r="BK85" i="17"/>
  <c r="BK84" i="17"/>
  <c r="BK83" i="17"/>
  <c r="BK82" i="17"/>
  <c r="BK81" i="17"/>
  <c r="BK80" i="17"/>
  <c r="BK79" i="17"/>
  <c r="BK78" i="17"/>
  <c r="BK77" i="17"/>
  <c r="BK76" i="17"/>
  <c r="BK75" i="17"/>
  <c r="BK74" i="17"/>
  <c r="BK73" i="17"/>
  <c r="BK72" i="17"/>
  <c r="BK71" i="17"/>
  <c r="BK70" i="17"/>
  <c r="BK69" i="17"/>
  <c r="BK68" i="17"/>
  <c r="BK67" i="17"/>
  <c r="BK66" i="17"/>
  <c r="BK65" i="17"/>
  <c r="BK64" i="17"/>
  <c r="BK63" i="17"/>
  <c r="BK62" i="17"/>
  <c r="BK61" i="17"/>
  <c r="BH57" i="17"/>
  <c r="BH22" i="4" s="1"/>
  <c r="AE7" i="4" l="1"/>
  <c r="AE14" i="4" s="1"/>
  <c r="AE15" i="4" s="1"/>
  <c r="AE14" i="17"/>
  <c r="AE15" i="17" s="1"/>
  <c r="AN7" i="4"/>
  <c r="AN14" i="4" s="1"/>
  <c r="AN15" i="4" s="1"/>
  <c r="AN14" i="17"/>
  <c r="AN15" i="17" s="1"/>
  <c r="AB60" i="25"/>
  <c r="BD7" i="17" s="1"/>
  <c r="BD7" i="4" s="1"/>
  <c r="BD14" i="4" s="1"/>
  <c r="BD15" i="4" s="1"/>
  <c r="AK7" i="4"/>
  <c r="AK14" i="4" s="1"/>
  <c r="AK15" i="4" s="1"/>
  <c r="AK14" i="17"/>
  <c r="AK15" i="17" s="1"/>
  <c r="AW7" i="4"/>
  <c r="AW14" i="4" s="1"/>
  <c r="AW15" i="4" s="1"/>
  <c r="AW14" i="17"/>
  <c r="AW15" i="17" s="1"/>
  <c r="AH7" i="4"/>
  <c r="AH14" i="4" s="1"/>
  <c r="AH15" i="4" s="1"/>
  <c r="AH14" i="17"/>
  <c r="AH15" i="17" s="1"/>
  <c r="V7" i="4"/>
  <c r="V14" i="4" s="1"/>
  <c r="V15" i="4" s="1"/>
  <c r="V14" i="17"/>
  <c r="V15" i="17" s="1"/>
  <c r="AQ7" i="4"/>
  <c r="AQ14" i="4" s="1"/>
  <c r="AQ15" i="4" s="1"/>
  <c r="AQ14" i="17"/>
  <c r="AQ15" i="17" s="1"/>
  <c r="AB14" i="17"/>
  <c r="AB15" i="17" s="1"/>
  <c r="AB7" i="4"/>
  <c r="AB14" i="4" s="1"/>
  <c r="AB15" i="4" s="1"/>
  <c r="Y7" i="4"/>
  <c r="Y14" i="4" s="1"/>
  <c r="Y15" i="4" s="1"/>
  <c r="Y14" i="17"/>
  <c r="Y15" i="17" s="1"/>
  <c r="AZ14" i="17"/>
  <c r="AZ15" i="17" s="1"/>
  <c r="AZ7" i="4"/>
  <c r="AZ14" i="4" s="1"/>
  <c r="AZ15" i="4" s="1"/>
  <c r="P7" i="17"/>
  <c r="P7" i="4" s="1"/>
  <c r="P14" i="4" s="1"/>
  <c r="P15" i="4" s="1"/>
  <c r="AT7" i="4"/>
  <c r="AT14" i="4" s="1"/>
  <c r="AT15" i="4" s="1"/>
  <c r="AT14" i="17"/>
  <c r="AT15" i="17" s="1"/>
  <c r="AO7" i="4"/>
  <c r="AO14" i="4" s="1"/>
  <c r="AO15" i="4" s="1"/>
  <c r="AO14" i="17"/>
  <c r="AO15" i="17" s="1"/>
  <c r="AL7" i="4"/>
  <c r="AL14" i="4" s="1"/>
  <c r="AL15" i="4" s="1"/>
  <c r="AL14" i="17"/>
  <c r="AL15" i="17" s="1"/>
  <c r="AI7" i="4"/>
  <c r="AI14" i="4" s="1"/>
  <c r="AI15" i="4" s="1"/>
  <c r="AI14" i="17"/>
  <c r="AI15" i="17" s="1"/>
  <c r="AF7" i="4"/>
  <c r="AF14" i="4" s="1"/>
  <c r="AF15" i="4" s="1"/>
  <c r="AF14" i="17"/>
  <c r="AF15" i="17" s="1"/>
  <c r="BA7" i="4"/>
  <c r="BA14" i="4" s="1"/>
  <c r="BA15" i="4" s="1"/>
  <c r="BA14" i="17"/>
  <c r="BA15" i="17" s="1"/>
  <c r="AX7" i="4"/>
  <c r="AX14" i="4" s="1"/>
  <c r="AX15" i="4" s="1"/>
  <c r="AX14" i="17"/>
  <c r="AX15" i="17" s="1"/>
  <c r="W14" i="17"/>
  <c r="W15" i="17" s="1"/>
  <c r="W7" i="4"/>
  <c r="W14" i="4" s="1"/>
  <c r="W15" i="4" s="1"/>
  <c r="AU7" i="4"/>
  <c r="AU14" i="4" s="1"/>
  <c r="AU15" i="4" s="1"/>
  <c r="AU14" i="17"/>
  <c r="AU15" i="17" s="1"/>
  <c r="AB52" i="25"/>
  <c r="AV7" i="17" s="1"/>
  <c r="AB49" i="25"/>
  <c r="AS7" i="17" s="1"/>
  <c r="AB43" i="25"/>
  <c r="AM7" i="17" s="1"/>
  <c r="AB58" i="25"/>
  <c r="BB7" i="17" s="1"/>
  <c r="AB55" i="25"/>
  <c r="P23" i="25" s="1"/>
  <c r="AK34" i="21"/>
  <c r="G4" i="21"/>
  <c r="F33" i="21"/>
  <c r="P33" i="25"/>
  <c r="P29" i="25"/>
  <c r="P31" i="25"/>
  <c r="P36" i="25"/>
  <c r="P20" i="25"/>
  <c r="P34" i="25"/>
  <c r="P28" i="25"/>
  <c r="P30" i="25"/>
  <c r="P37" i="25"/>
  <c r="P32" i="25"/>
  <c r="P35" i="25"/>
  <c r="K10" i="25"/>
  <c r="M10" i="25" s="1"/>
  <c r="BI20" i="4"/>
  <c r="BK31" i="17"/>
  <c r="BK51" i="17"/>
  <c r="BK35" i="17"/>
  <c r="BK49" i="17"/>
  <c r="BK50" i="17"/>
  <c r="BK52" i="17"/>
  <c r="F7" i="21"/>
  <c r="F11" i="21"/>
  <c r="F15" i="21"/>
  <c r="F19" i="21"/>
  <c r="F23" i="21"/>
  <c r="F27" i="21"/>
  <c r="F4" i="21"/>
  <c r="F8" i="21"/>
  <c r="F12" i="21"/>
  <c r="F16" i="21"/>
  <c r="F20" i="21"/>
  <c r="F24" i="21"/>
  <c r="F28" i="21"/>
  <c r="F5" i="21"/>
  <c r="F9" i="21"/>
  <c r="F13" i="21"/>
  <c r="F17" i="21"/>
  <c r="F21" i="21"/>
  <c r="F25" i="21"/>
  <c r="F29" i="21"/>
  <c r="F30" i="21"/>
  <c r="F6" i="21"/>
  <c r="F10" i="21"/>
  <c r="F14" i="21"/>
  <c r="F18" i="21"/>
  <c r="F22" i="21"/>
  <c r="F26" i="21"/>
  <c r="F31" i="21"/>
  <c r="F32" i="21"/>
  <c r="BJ136" i="17"/>
  <c r="BJ24" i="4" s="1"/>
  <c r="BK24" i="4" s="1"/>
  <c r="BK60" i="17"/>
  <c r="BK136" i="17" s="1"/>
  <c r="BJ139" i="17"/>
  <c r="BK139" i="17" s="1"/>
  <c r="BJ144" i="17"/>
  <c r="BK144" i="17" s="1"/>
  <c r="BJ140" i="17"/>
  <c r="BK140" i="17" s="1"/>
  <c r="BJ145" i="17"/>
  <c r="BK145" i="17" s="1"/>
  <c r="BJ138" i="17"/>
  <c r="BJ143" i="17"/>
  <c r="BK143" i="17" s="1"/>
  <c r="BJ146" i="17"/>
  <c r="BK146" i="17" s="1"/>
  <c r="BJ148" i="17"/>
  <c r="BK148" i="17" s="1"/>
  <c r="BJ149" i="17"/>
  <c r="BK149" i="17" s="1"/>
  <c r="BJ141" i="17"/>
  <c r="BK141" i="17" s="1"/>
  <c r="BJ147" i="17"/>
  <c r="BK147" i="17" s="1"/>
  <c r="BJ142" i="17"/>
  <c r="BK142" i="17" s="1"/>
  <c r="BJ151" i="17"/>
  <c r="BK151" i="17" s="1"/>
  <c r="BI152" i="17"/>
  <c r="BI25" i="4" s="1"/>
  <c r="BI57" i="17"/>
  <c r="BI22" i="4" s="1"/>
  <c r="BD14" i="17" l="1"/>
  <c r="BD15" i="17" s="1"/>
  <c r="P14" i="17"/>
  <c r="P15" i="17" s="1"/>
  <c r="P19" i="25"/>
  <c r="O19" i="25" s="1"/>
  <c r="P22" i="25"/>
  <c r="O22" i="25" s="1"/>
  <c r="P21" i="25"/>
  <c r="O21" i="25" s="1"/>
  <c r="P24" i="25"/>
  <c r="R24" i="25" s="1"/>
  <c r="AM7" i="4"/>
  <c r="AM14" i="4" s="1"/>
  <c r="AM15" i="4" s="1"/>
  <c r="AM14" i="17"/>
  <c r="AM15" i="17" s="1"/>
  <c r="AS7" i="4"/>
  <c r="AS14" i="4" s="1"/>
  <c r="AS15" i="4" s="1"/>
  <c r="AS14" i="17"/>
  <c r="AS15" i="17" s="1"/>
  <c r="BB7" i="4"/>
  <c r="BB14" i="4" s="1"/>
  <c r="BB15" i="4" s="1"/>
  <c r="BB14" i="17"/>
  <c r="BB15" i="17" s="1"/>
  <c r="AV7" i="4"/>
  <c r="AV14" i="4" s="1"/>
  <c r="AV15" i="4" s="1"/>
  <c r="AV14" i="17"/>
  <c r="AV15" i="17" s="1"/>
  <c r="AY7" i="17"/>
  <c r="V34" i="21"/>
  <c r="W34" i="21"/>
  <c r="BQ34" i="21"/>
  <c r="BA34" i="21"/>
  <c r="O37" i="25"/>
  <c r="R37" i="25"/>
  <c r="Q37" i="25"/>
  <c r="O34" i="25"/>
  <c r="R34" i="25"/>
  <c r="Q34" i="25"/>
  <c r="O31" i="25"/>
  <c r="R31" i="25"/>
  <c r="Q31" i="25"/>
  <c r="O35" i="25"/>
  <c r="R35" i="25"/>
  <c r="Q35" i="25"/>
  <c r="O28" i="25"/>
  <c r="R28" i="25"/>
  <c r="Q28" i="25"/>
  <c r="O23" i="25"/>
  <c r="R23" i="25"/>
  <c r="Q23" i="25"/>
  <c r="O29" i="25"/>
  <c r="R29" i="25"/>
  <c r="Q29" i="25"/>
  <c r="O30" i="25"/>
  <c r="R30" i="25"/>
  <c r="Q30" i="25"/>
  <c r="O36" i="25"/>
  <c r="Q36" i="25"/>
  <c r="R36" i="25"/>
  <c r="O33" i="25"/>
  <c r="R33" i="25"/>
  <c r="Q33" i="25"/>
  <c r="O32" i="25"/>
  <c r="Q32" i="25"/>
  <c r="R32" i="25"/>
  <c r="O20" i="25"/>
  <c r="R20" i="25"/>
  <c r="Q20" i="25"/>
  <c r="BE7" i="17"/>
  <c r="BE7" i="4" s="1"/>
  <c r="K11" i="25"/>
  <c r="M11" i="25" s="1"/>
  <c r="E34" i="21"/>
  <c r="G34" i="21"/>
  <c r="F34" i="21"/>
  <c r="BJ152" i="17"/>
  <c r="BJ25" i="4" s="1"/>
  <c r="BK25" i="4" s="1"/>
  <c r="BK138" i="17"/>
  <c r="BK152" i="17" s="1"/>
  <c r="J26" i="21"/>
  <c r="J10" i="21"/>
  <c r="J29" i="21"/>
  <c r="J13" i="21"/>
  <c r="J24" i="21"/>
  <c r="J8" i="21"/>
  <c r="J19" i="21"/>
  <c r="BJ20" i="4"/>
  <c r="BK20" i="4" s="1"/>
  <c r="BK30" i="17"/>
  <c r="BK32" i="17" s="1"/>
  <c r="J22" i="21"/>
  <c r="J6" i="21"/>
  <c r="J25" i="21"/>
  <c r="J9" i="21"/>
  <c r="J20" i="21"/>
  <c r="J4" i="21"/>
  <c r="J15" i="21"/>
  <c r="BK20" i="17"/>
  <c r="J32" i="21"/>
  <c r="J18" i="21"/>
  <c r="J30" i="21"/>
  <c r="J21" i="21"/>
  <c r="J5" i="21"/>
  <c r="J16" i="21"/>
  <c r="J27" i="21"/>
  <c r="J11" i="21"/>
  <c r="J31" i="21"/>
  <c r="J14" i="21"/>
  <c r="J33" i="21"/>
  <c r="J17" i="21"/>
  <c r="J28" i="21"/>
  <c r="J12" i="21"/>
  <c r="J23" i="21"/>
  <c r="J7" i="21"/>
  <c r="BJ57" i="17"/>
  <c r="BJ22" i="4" s="1"/>
  <c r="BK22" i="4" s="1"/>
  <c r="BK48" i="17"/>
  <c r="BK57" i="17" s="1"/>
  <c r="Q19" i="25" l="1"/>
  <c r="R19" i="25"/>
  <c r="O24" i="25"/>
  <c r="Q22" i="25"/>
  <c r="R22" i="25"/>
  <c r="R21" i="25"/>
  <c r="Q21" i="25"/>
  <c r="Q24" i="25"/>
  <c r="AY7" i="4"/>
  <c r="AY14" i="4" s="1"/>
  <c r="AY15" i="4" s="1"/>
  <c r="AY14" i="17"/>
  <c r="AY15" i="17" s="1"/>
  <c r="BE14" i="4"/>
  <c r="BE15" i="4" s="1"/>
  <c r="Z34" i="21"/>
  <c r="AM34" i="21"/>
  <c r="AL34" i="21"/>
  <c r="BE14" i="17"/>
  <c r="BE15" i="17" s="1"/>
  <c r="K12" i="25"/>
  <c r="M12" i="25" s="1"/>
  <c r="J34" i="21"/>
  <c r="AB23" i="25" l="1"/>
  <c r="S7" i="17" s="1"/>
  <c r="S7" i="4" s="1"/>
  <c r="BC7" i="17"/>
  <c r="P25" i="25"/>
  <c r="AB63" i="25"/>
  <c r="BG7" i="17" s="1"/>
  <c r="BG7" i="4" s="1"/>
  <c r="BG14" i="4" s="1"/>
  <c r="BG15" i="4" s="1"/>
  <c r="AB65" i="25"/>
  <c r="I12" i="25"/>
  <c r="AB64" i="25"/>
  <c r="P26" i="25" s="1"/>
  <c r="AB24" i="25"/>
  <c r="T7" i="17" s="1"/>
  <c r="T7" i="4" s="1"/>
  <c r="AB18" i="25"/>
  <c r="N7" i="17" s="1"/>
  <c r="AB17" i="25"/>
  <c r="M7" i="17" s="1"/>
  <c r="BS34" i="21"/>
  <c r="BC34" i="21"/>
  <c r="BR34" i="21"/>
  <c r="BB34" i="21"/>
  <c r="AP34" i="21"/>
  <c r="BJ7" i="17"/>
  <c r="BJ7" i="4" s="1"/>
  <c r="K13" i="25"/>
  <c r="M13" i="25" s="1"/>
  <c r="AC7" i="17"/>
  <c r="AC7" i="4" s="1"/>
  <c r="Y14" i="25"/>
  <c r="Y15" i="25"/>
  <c r="K18" i="21"/>
  <c r="L20" i="21"/>
  <c r="M26" i="21"/>
  <c r="M14" i="21"/>
  <c r="P34" i="21"/>
  <c r="K10" i="21"/>
  <c r="P8" i="21"/>
  <c r="L15" i="21"/>
  <c r="K17" i="21"/>
  <c r="P23" i="21"/>
  <c r="M29" i="21"/>
  <c r="K20" i="21"/>
  <c r="P6" i="21"/>
  <c r="P22" i="21"/>
  <c r="M8" i="21"/>
  <c r="M24" i="21"/>
  <c r="L10" i="21"/>
  <c r="K31" i="21"/>
  <c r="L11" i="21"/>
  <c r="K13" i="21"/>
  <c r="P11" i="21"/>
  <c r="M13" i="21"/>
  <c r="P13" i="21"/>
  <c r="P29" i="21"/>
  <c r="M15" i="21"/>
  <c r="M31" i="21"/>
  <c r="L17" i="21"/>
  <c r="L33" i="21"/>
  <c r="K19" i="21"/>
  <c r="P28" i="21"/>
  <c r="L30" i="21"/>
  <c r="K4" i="21"/>
  <c r="K6" i="21"/>
  <c r="L12" i="21"/>
  <c r="M30" i="21"/>
  <c r="M22" i="21"/>
  <c r="K26" i="21"/>
  <c r="P12" i="21"/>
  <c r="L23" i="21"/>
  <c r="K25" i="21"/>
  <c r="P31" i="21"/>
  <c r="K8" i="21"/>
  <c r="K24" i="21"/>
  <c r="P10" i="21"/>
  <c r="P26" i="21"/>
  <c r="M12" i="21"/>
  <c r="M28" i="21"/>
  <c r="L14" i="21"/>
  <c r="P16" i="21"/>
  <c r="L19" i="21"/>
  <c r="K21" i="21"/>
  <c r="P19" i="21"/>
  <c r="M21" i="21"/>
  <c r="P17" i="21"/>
  <c r="P33" i="21"/>
  <c r="M19" i="21"/>
  <c r="L5" i="21"/>
  <c r="L21" i="21"/>
  <c r="K7" i="21"/>
  <c r="M25" i="21"/>
  <c r="P32" i="21"/>
  <c r="M6" i="21"/>
  <c r="L4" i="21"/>
  <c r="L28" i="21"/>
  <c r="L16" i="21"/>
  <c r="L8" i="21"/>
  <c r="K30" i="21"/>
  <c r="P4" i="21"/>
  <c r="L31" i="21"/>
  <c r="P7" i="21"/>
  <c r="M9" i="21"/>
  <c r="K12" i="21"/>
  <c r="K28" i="21"/>
  <c r="P14" i="21"/>
  <c r="P30" i="21"/>
  <c r="M16" i="21"/>
  <c r="M32" i="21"/>
  <c r="L18" i="21"/>
  <c r="P20" i="21"/>
  <c r="L27" i="21"/>
  <c r="K29" i="21"/>
  <c r="P27" i="21"/>
  <c r="P5" i="21"/>
  <c r="P21" i="21"/>
  <c r="M7" i="21"/>
  <c r="M23" i="21"/>
  <c r="L9" i="21"/>
  <c r="L25" i="21"/>
  <c r="K11" i="21"/>
  <c r="M33" i="21"/>
  <c r="L22" i="21"/>
  <c r="M18" i="21"/>
  <c r="M10" i="21"/>
  <c r="K14" i="21"/>
  <c r="L32" i="21"/>
  <c r="L24" i="21"/>
  <c r="K22" i="21"/>
  <c r="L7" i="21"/>
  <c r="K9" i="21"/>
  <c r="P15" i="21"/>
  <c r="M17" i="21"/>
  <c r="K16" i="21"/>
  <c r="K32" i="21"/>
  <c r="P18" i="21"/>
  <c r="M4" i="21"/>
  <c r="M20" i="21"/>
  <c r="L6" i="21"/>
  <c r="K23" i="21"/>
  <c r="K27" i="21"/>
  <c r="K5" i="21"/>
  <c r="K33" i="21"/>
  <c r="M5" i="21"/>
  <c r="P9" i="21"/>
  <c r="P25" i="21"/>
  <c r="M11" i="21"/>
  <c r="M27" i="21"/>
  <c r="L13" i="21"/>
  <c r="L29" i="21"/>
  <c r="K15" i="21"/>
  <c r="P24" i="21"/>
  <c r="L26" i="21"/>
  <c r="Q25" i="25" l="1"/>
  <c r="O25" i="25"/>
  <c r="R25" i="25"/>
  <c r="BC7" i="4"/>
  <c r="BC14" i="4" s="1"/>
  <c r="BC15" i="4" s="1"/>
  <c r="BC14" i="17"/>
  <c r="BC15" i="17" s="1"/>
  <c r="BG14" i="17"/>
  <c r="BG15" i="17" s="1"/>
  <c r="BI7" i="17"/>
  <c r="P27" i="25"/>
  <c r="G12" i="25"/>
  <c r="Q26" i="25"/>
  <c r="O26" i="25"/>
  <c r="R26" i="25"/>
  <c r="N7" i="4"/>
  <c r="N14" i="4" s="1"/>
  <c r="N15" i="4" s="1"/>
  <c r="N14" i="17"/>
  <c r="N15" i="17" s="1"/>
  <c r="M7" i="4"/>
  <c r="M14" i="4" s="1"/>
  <c r="M15" i="4" s="1"/>
  <c r="M14" i="17"/>
  <c r="M15" i="17" s="1"/>
  <c r="BJ14" i="4"/>
  <c r="BJ15" i="4" s="1"/>
  <c r="S14" i="4"/>
  <c r="S15" i="4" s="1"/>
  <c r="AC14" i="4"/>
  <c r="AC15" i="4" s="1"/>
  <c r="T14" i="4"/>
  <c r="T15" i="4" s="1"/>
  <c r="I23" i="21"/>
  <c r="O23" i="21" s="1"/>
  <c r="H7" i="21"/>
  <c r="N7" i="21" s="1"/>
  <c r="AD34" i="21"/>
  <c r="H5" i="21"/>
  <c r="N5" i="21" s="1"/>
  <c r="I30" i="21"/>
  <c r="O30" i="21" s="1"/>
  <c r="AB34" i="21"/>
  <c r="H23" i="21"/>
  <c r="N23" i="21" s="1"/>
  <c r="H15" i="21"/>
  <c r="N15" i="21" s="1"/>
  <c r="H10" i="21"/>
  <c r="N10" i="21" s="1"/>
  <c r="I8" i="21"/>
  <c r="O8" i="21" s="1"/>
  <c r="H25" i="21"/>
  <c r="N25" i="21" s="1"/>
  <c r="H16" i="21"/>
  <c r="N16" i="21" s="1"/>
  <c r="I19" i="21"/>
  <c r="O19" i="21" s="1"/>
  <c r="I17" i="21"/>
  <c r="O17" i="21" s="1"/>
  <c r="I18" i="21"/>
  <c r="O18" i="21" s="1"/>
  <c r="H30" i="21"/>
  <c r="N30" i="21" s="1"/>
  <c r="I15" i="21"/>
  <c r="O15" i="21" s="1"/>
  <c r="I33" i="21"/>
  <c r="O33" i="21" s="1"/>
  <c r="I32" i="21"/>
  <c r="O32" i="21" s="1"/>
  <c r="I9" i="21"/>
  <c r="O9" i="21" s="1"/>
  <c r="H28" i="21"/>
  <c r="N28" i="21" s="1"/>
  <c r="AE34" i="21"/>
  <c r="I26" i="21"/>
  <c r="O26" i="21" s="1"/>
  <c r="I6" i="21"/>
  <c r="O6" i="21" s="1"/>
  <c r="H19" i="21"/>
  <c r="N19" i="21" s="1"/>
  <c r="H11" i="21"/>
  <c r="N11" i="21" s="1"/>
  <c r="H8" i="21"/>
  <c r="N8" i="21" s="1"/>
  <c r="I13" i="21"/>
  <c r="O13" i="21" s="1"/>
  <c r="I20" i="21"/>
  <c r="O20" i="21" s="1"/>
  <c r="H22" i="21"/>
  <c r="N22" i="21" s="1"/>
  <c r="I5" i="21"/>
  <c r="O5" i="21" s="1"/>
  <c r="I16" i="21"/>
  <c r="O16" i="21" s="1"/>
  <c r="I14" i="21"/>
  <c r="O14" i="21" s="1"/>
  <c r="H31" i="21"/>
  <c r="N31" i="21" s="1"/>
  <c r="H20" i="21"/>
  <c r="N20" i="21" s="1"/>
  <c r="I11" i="21"/>
  <c r="O11" i="21" s="1"/>
  <c r="I29" i="21"/>
  <c r="O29" i="21" s="1"/>
  <c r="I28" i="21"/>
  <c r="O28" i="21" s="1"/>
  <c r="H26" i="21"/>
  <c r="N26" i="21" s="1"/>
  <c r="I25" i="21"/>
  <c r="O25" i="21" s="1"/>
  <c r="AA34" i="21"/>
  <c r="H32" i="21"/>
  <c r="N32" i="21" s="1"/>
  <c r="H33" i="21"/>
  <c r="N33" i="21" s="1"/>
  <c r="H21" i="21"/>
  <c r="N21" i="21" s="1"/>
  <c r="H14" i="21"/>
  <c r="N14" i="21" s="1"/>
  <c r="I27" i="21"/>
  <c r="O27" i="21" s="1"/>
  <c r="AC34" i="21"/>
  <c r="I22" i="21"/>
  <c r="O22" i="21" s="1"/>
  <c r="H27" i="21"/>
  <c r="N27" i="21" s="1"/>
  <c r="H17" i="21"/>
  <c r="N17" i="21" s="1"/>
  <c r="H12" i="21"/>
  <c r="N12" i="21" s="1"/>
  <c r="I12" i="21"/>
  <c r="O12" i="21" s="1"/>
  <c r="AF34" i="21"/>
  <c r="H29" i="21"/>
  <c r="N29" i="21" s="1"/>
  <c r="H18" i="21"/>
  <c r="N18" i="21" s="1"/>
  <c r="I7" i="21"/>
  <c r="O7" i="21" s="1"/>
  <c r="I21" i="21"/>
  <c r="O21" i="21" s="1"/>
  <c r="I24" i="21"/>
  <c r="O24" i="21" s="1"/>
  <c r="H24" i="21"/>
  <c r="N24" i="21" s="1"/>
  <c r="I31" i="21"/>
  <c r="O31" i="21" s="1"/>
  <c r="I10" i="21"/>
  <c r="O10" i="21" s="1"/>
  <c r="H13" i="21"/>
  <c r="N13" i="21" s="1"/>
  <c r="H9" i="21"/>
  <c r="N9" i="21" s="1"/>
  <c r="H6" i="21"/>
  <c r="N6" i="21" s="1"/>
  <c r="BV34" i="21"/>
  <c r="BF34" i="21"/>
  <c r="T14" i="17"/>
  <c r="T15" i="17" s="1"/>
  <c r="BJ14" i="17"/>
  <c r="BJ15" i="17" s="1"/>
  <c r="AR7" i="17"/>
  <c r="AR7" i="4" s="1"/>
  <c r="G11" i="25"/>
  <c r="BH7" i="17"/>
  <c r="BH7" i="4" s="1"/>
  <c r="K14" i="25"/>
  <c r="M14" i="25" s="1"/>
  <c r="AP7" i="17"/>
  <c r="AP7" i="4" s="1"/>
  <c r="G10" i="25"/>
  <c r="AC14" i="17"/>
  <c r="AC15" i="17" s="1"/>
  <c r="Z7" i="17"/>
  <c r="Z7" i="4" s="1"/>
  <c r="AC14" i="25"/>
  <c r="Q7" i="17"/>
  <c r="AC8" i="25"/>
  <c r="AC11" i="25"/>
  <c r="S14" i="17"/>
  <c r="S15" i="17" s="1"/>
  <c r="AC7" i="25"/>
  <c r="AC10" i="25"/>
  <c r="AC15" i="25"/>
  <c r="AB15" i="25" s="1"/>
  <c r="AC12" i="25"/>
  <c r="AB12" i="25" s="1"/>
  <c r="AC9" i="25"/>
  <c r="AB9" i="25" s="1"/>
  <c r="AC13" i="25"/>
  <c r="L34" i="21"/>
  <c r="K34" i="21"/>
  <c r="M34" i="21"/>
  <c r="O27" i="25" l="1"/>
  <c r="R27" i="25"/>
  <c r="Q27" i="25"/>
  <c r="BI14" i="17"/>
  <c r="BI15" i="17" s="1"/>
  <c r="BI7" i="4"/>
  <c r="BI14" i="4" s="1"/>
  <c r="BI15" i="4" s="1"/>
  <c r="AB14" i="25"/>
  <c r="J7" i="17" s="1"/>
  <c r="AB11" i="25"/>
  <c r="G7" i="17" s="1"/>
  <c r="G7" i="4" s="1"/>
  <c r="G14" i="4" s="1"/>
  <c r="G15" i="4" s="1"/>
  <c r="AB8" i="25"/>
  <c r="D7" i="17" s="1"/>
  <c r="D7" i="4" s="1"/>
  <c r="D14" i="4" s="1"/>
  <c r="D15" i="4" s="1"/>
  <c r="BH14" i="4"/>
  <c r="BH15" i="4" s="1"/>
  <c r="Z14" i="4"/>
  <c r="Z15" i="4" s="1"/>
  <c r="AP14" i="4"/>
  <c r="AP15" i="4" s="1"/>
  <c r="AR14" i="4"/>
  <c r="AR15" i="4" s="1"/>
  <c r="Q14" i="17"/>
  <c r="Q15" i="17" s="1"/>
  <c r="Q7" i="4"/>
  <c r="BK34" i="21"/>
  <c r="AU34" i="21"/>
  <c r="H4" i="21"/>
  <c r="N4" i="21" s="1"/>
  <c r="N34" i="21" s="1"/>
  <c r="AR34" i="21"/>
  <c r="BL34" i="21"/>
  <c r="AV34" i="21"/>
  <c r="BI34" i="21"/>
  <c r="AS34" i="21"/>
  <c r="AQ34" i="21"/>
  <c r="BJ34" i="21"/>
  <c r="AT34" i="21"/>
  <c r="BH14" i="17"/>
  <c r="BH15" i="17" s="1"/>
  <c r="AR14" i="17"/>
  <c r="AR15" i="17" s="1"/>
  <c r="K15" i="25"/>
  <c r="M15" i="25" s="1"/>
  <c r="AP14" i="17"/>
  <c r="AP15" i="17" s="1"/>
  <c r="Z14" i="17"/>
  <c r="Z15" i="17" s="1"/>
  <c r="AC5" i="25"/>
  <c r="J14" i="17" l="1"/>
  <c r="J15" i="17" s="1"/>
  <c r="J7" i="4"/>
  <c r="J14" i="4" s="1"/>
  <c r="J15" i="4" s="1"/>
  <c r="Q14" i="4"/>
  <c r="Q15" i="4" s="1"/>
  <c r="BX34" i="21"/>
  <c r="BH34" i="21"/>
  <c r="H34" i="21"/>
  <c r="BW34" i="21"/>
  <c r="BG34" i="21"/>
  <c r="I4" i="21"/>
  <c r="O4" i="21" s="1"/>
  <c r="O34" i="21" s="1"/>
  <c r="K16" i="25"/>
  <c r="M16" i="25" s="1"/>
  <c r="E7" i="17"/>
  <c r="E7" i="4" s="1"/>
  <c r="H7" i="17"/>
  <c r="K7" i="17"/>
  <c r="P38" i="25"/>
  <c r="R38" i="25" s="1"/>
  <c r="D14" i="17"/>
  <c r="D15" i="17" s="1"/>
  <c r="G14" i="17"/>
  <c r="G15" i="17" s="1"/>
  <c r="E14" i="4" l="1"/>
  <c r="E15" i="4" s="1"/>
  <c r="K14" i="17"/>
  <c r="K15" i="17" s="1"/>
  <c r="K7" i="4"/>
  <c r="H14" i="17"/>
  <c r="H15" i="17" s="1"/>
  <c r="H7" i="4"/>
  <c r="I34" i="21"/>
  <c r="X34" i="21"/>
  <c r="K17" i="25"/>
  <c r="E14" i="17"/>
  <c r="E15" i="17" s="1"/>
  <c r="AA12" i="25"/>
  <c r="Z13" i="25" s="1"/>
  <c r="AA14" i="25"/>
  <c r="Z15" i="25" s="1"/>
  <c r="AA15" i="25"/>
  <c r="Z16" i="25" s="1"/>
  <c r="AA11" i="25"/>
  <c r="Z12" i="25" s="1"/>
  <c r="AA16" i="25"/>
  <c r="AA10" i="25"/>
  <c r="Z11" i="25" s="1"/>
  <c r="AA9" i="25"/>
  <c r="Z10" i="25" s="1"/>
  <c r="AA13" i="25"/>
  <c r="Z14" i="25" s="1"/>
  <c r="Q38" i="25"/>
  <c r="O38" i="25"/>
  <c r="L15" i="25" l="1"/>
  <c r="K14" i="4"/>
  <c r="K15" i="4" s="1"/>
  <c r="H14" i="4"/>
  <c r="H15" i="4" s="1"/>
  <c r="AN34" i="21"/>
  <c r="Y34" i="21"/>
  <c r="M17" i="25"/>
  <c r="AA17" i="25" s="1"/>
  <c r="Z17" i="25"/>
  <c r="K18" i="25"/>
  <c r="L16" i="25"/>
  <c r="L14" i="25"/>
  <c r="L12" i="25"/>
  <c r="L10" i="25"/>
  <c r="L11" i="25"/>
  <c r="L13" i="25"/>
  <c r="AA7" i="25"/>
  <c r="AA8" i="25"/>
  <c r="L17" i="25" l="1"/>
  <c r="BK13" i="4"/>
  <c r="AO34" i="21"/>
  <c r="BT34" i="21"/>
  <c r="BD34" i="21"/>
  <c r="Z18" i="25"/>
  <c r="M18" i="25"/>
  <c r="AA18" i="25" s="1"/>
  <c r="K19" i="25"/>
  <c r="Z8" i="25"/>
  <c r="L8" i="25" s="1"/>
  <c r="L7" i="25"/>
  <c r="Z9" i="25"/>
  <c r="L9" i="25" s="1"/>
  <c r="L18" i="25" l="1"/>
  <c r="BU34" i="21"/>
  <c r="BE34" i="21"/>
  <c r="Z19" i="25"/>
  <c r="K20" i="25"/>
  <c r="M19" i="25"/>
  <c r="AA19" i="25" s="1"/>
  <c r="L19" i="25" l="1"/>
  <c r="Z20" i="25"/>
  <c r="K21" i="25"/>
  <c r="M20" i="25"/>
  <c r="AA20" i="25" s="1"/>
  <c r="L20" i="25" l="1"/>
  <c r="Z21" i="25"/>
  <c r="M21" i="25"/>
  <c r="AA21" i="25" s="1"/>
  <c r="K22" i="25"/>
  <c r="L21" i="25" l="1"/>
  <c r="Z22" i="25"/>
  <c r="K23" i="25"/>
  <c r="M22" i="25"/>
  <c r="AA22" i="25" s="1"/>
  <c r="L22" i="25" l="1"/>
  <c r="Z23" i="25"/>
  <c r="K24" i="25"/>
  <c r="M23" i="25"/>
  <c r="AA23" i="25" s="1"/>
  <c r="L23" i="25" l="1"/>
  <c r="Z24" i="25"/>
  <c r="M24" i="25"/>
  <c r="AA24" i="25" s="1"/>
  <c r="K25" i="25"/>
  <c r="Z25" i="25" l="1"/>
  <c r="L24" i="25"/>
  <c r="M25" i="25"/>
  <c r="AA25" i="25" s="1"/>
  <c r="K26" i="25"/>
  <c r="L25" i="25" l="1"/>
  <c r="Z26" i="25"/>
  <c r="M26" i="25"/>
  <c r="AA26" i="25" s="1"/>
  <c r="K27" i="25"/>
  <c r="L26" i="25" l="1"/>
  <c r="M27" i="25"/>
  <c r="AA27" i="25" s="1"/>
  <c r="K28" i="25"/>
  <c r="Z27" i="25"/>
  <c r="L27" i="25" l="1"/>
  <c r="M28" i="25"/>
  <c r="AA28" i="25" s="1"/>
  <c r="L28" i="25"/>
  <c r="K29" i="25"/>
  <c r="Z28" i="25"/>
  <c r="K30" i="25" l="1"/>
  <c r="L29" i="25"/>
  <c r="M29" i="25"/>
  <c r="AA29" i="25" s="1"/>
  <c r="Z29" i="25"/>
  <c r="Z30" i="25" l="1"/>
  <c r="L30" i="25"/>
  <c r="M30" i="25"/>
  <c r="AA30" i="25" s="1"/>
  <c r="K31" i="25"/>
  <c r="Z31" i="25" l="1"/>
  <c r="L31" i="25"/>
  <c r="M31" i="25"/>
  <c r="AA31" i="25" s="1"/>
  <c r="K32" i="25"/>
  <c r="K33" i="25" l="1"/>
  <c r="Z32" i="25"/>
  <c r="M32" i="25"/>
  <c r="AA32" i="25" s="1"/>
  <c r="L32" i="25"/>
  <c r="M33" i="25" l="1"/>
  <c r="AA33" i="25" s="1"/>
  <c r="Z33" i="25"/>
  <c r="L33" i="25"/>
  <c r="K34" i="25"/>
  <c r="K35" i="25" l="1"/>
  <c r="M34" i="25"/>
  <c r="AA34" i="25" s="1"/>
  <c r="L34" i="25"/>
  <c r="Z34" i="25"/>
  <c r="K36" i="25" l="1"/>
  <c r="Z35" i="25"/>
  <c r="L35" i="25"/>
  <c r="M35" i="25"/>
  <c r="AA35" i="25" s="1"/>
  <c r="K37" i="25" l="1"/>
  <c r="Z36" i="25"/>
  <c r="L36" i="25"/>
  <c r="M36" i="25"/>
  <c r="AA36" i="25" s="1"/>
  <c r="K38" i="25" l="1"/>
  <c r="M37" i="25"/>
  <c r="AA37" i="25" s="1"/>
  <c r="Z37" i="25"/>
  <c r="L37" i="25"/>
  <c r="Z38" i="25" l="1"/>
  <c r="L38" i="25"/>
  <c r="M38" i="25"/>
  <c r="AA38" i="25" s="1"/>
  <c r="K39" i="25"/>
  <c r="L39" i="25" l="1"/>
  <c r="Z39" i="25"/>
  <c r="M39" i="25"/>
  <c r="AA39" i="25" s="1"/>
  <c r="AF7" i="25"/>
  <c r="BF7" i="17"/>
  <c r="BF14" i="17" s="1"/>
  <c r="AB59" i="25"/>
  <c r="AB62" i="25"/>
  <c r="AB61" i="25"/>
  <c r="BF7" i="4" l="1"/>
  <c r="BF14" i="4" s="1"/>
  <c r="BF15" i="4" s="1"/>
  <c r="BF15" i="17"/>
  <c r="R506" i="18"/>
  <c r="AP25" i="17" a="1"/>
  <c r="AP25" i="17" s="1"/>
  <c r="AP28" i="17" s="1"/>
  <c r="AP19" i="4" s="1"/>
  <c r="BB25" i="17" a="1"/>
  <c r="BB25" i="17" s="1"/>
  <c r="BB28" i="17" s="1"/>
  <c r="BB19" i="4" s="1"/>
  <c r="AU25" i="17" a="1"/>
  <c r="AU25" i="17" s="1"/>
  <c r="AO25" i="17" a="1"/>
  <c r="AO25" i="17" s="1"/>
  <c r="AT25" i="17" a="1"/>
  <c r="AT25" i="17" s="1"/>
  <c r="AP39" i="17" a="1"/>
  <c r="AP39" i="17" s="1"/>
  <c r="BF25" i="17" a="1"/>
  <c r="BF25" i="17" s="1"/>
  <c r="AL25" i="17" a="1"/>
  <c r="AL25" i="17" s="1"/>
  <c r="BA25" i="17" a="1"/>
  <c r="BA25" i="17" s="1"/>
  <c r="AB25" i="17" a="1"/>
  <c r="AB25" i="17" s="1"/>
  <c r="AB28" i="17" s="1"/>
  <c r="AB19" i="4" s="1"/>
  <c r="Q25" i="17" a="1"/>
  <c r="Q25" i="17" s="1"/>
  <c r="AC25" i="17" a="1"/>
  <c r="AC25" i="17" s="1"/>
  <c r="AC28" i="17" s="1"/>
  <c r="AC19" i="4" s="1"/>
  <c r="BE25" i="17" a="1"/>
  <c r="BE25" i="17" s="1"/>
  <c r="BI25" i="17" a="1"/>
  <c r="BI25" i="17" s="1"/>
  <c r="AE25" i="17" a="1"/>
  <c r="AE25" i="17" s="1"/>
  <c r="AQ25" i="17" a="1"/>
  <c r="AQ25" i="17" s="1"/>
  <c r="BC25" i="17" a="1"/>
  <c r="BC25" i="17" s="1"/>
  <c r="BC28" i="17" s="1"/>
  <c r="BC19" i="4" s="1"/>
  <c r="T25" i="17" a="1"/>
  <c r="T25" i="17" s="1"/>
  <c r="AI25" i="17" a="1"/>
  <c r="AI25" i="17" s="1"/>
  <c r="AR25" i="17" a="1"/>
  <c r="AR25" i="17" s="1"/>
  <c r="X25" i="17" a="1"/>
  <c r="X25" i="17" s="1"/>
  <c r="X28" i="17" s="1"/>
  <c r="X19" i="4" s="1"/>
  <c r="AW25" i="17" a="1"/>
  <c r="AW25" i="17" s="1"/>
  <c r="AX25" i="17" a="1"/>
  <c r="AX25" i="17" s="1"/>
  <c r="J25" i="17" a="1"/>
  <c r="J25" i="17" s="1"/>
  <c r="D25" i="17" a="1"/>
  <c r="D25" i="17" s="1"/>
  <c r="C41" i="17" a="1"/>
  <c r="C41" i="17" s="1"/>
  <c r="AY25" i="17" a="1"/>
  <c r="AY25" i="17" s="1"/>
  <c r="I25" i="17" a="1"/>
  <c r="I25" i="17" s="1"/>
  <c r="BG25" i="17" a="1"/>
  <c r="BG25" i="17" s="1"/>
  <c r="E25" i="17" a="1"/>
  <c r="E25" i="17" s="1"/>
  <c r="E28" i="17" s="1"/>
  <c r="E19" i="4" s="1"/>
  <c r="K25" i="17" a="1"/>
  <c r="K25" i="17" s="1"/>
  <c r="K28" i="17" s="1"/>
  <c r="K19" i="4" s="1"/>
  <c r="AJ25" i="17" a="1"/>
  <c r="AJ25" i="17" s="1"/>
  <c r="N25" i="17" a="1"/>
  <c r="N25" i="17" s="1"/>
  <c r="V25" i="17" a="1"/>
  <c r="V25" i="17" s="1"/>
  <c r="C25" i="17" a="1"/>
  <c r="C25" i="17" s="1"/>
  <c r="AV25" i="17" a="1"/>
  <c r="AV25" i="17" s="1"/>
  <c r="AG25" i="17" a="1"/>
  <c r="AG25" i="17" s="1"/>
  <c r="AG28" i="17" s="1"/>
  <c r="AG19" i="4" s="1"/>
  <c r="H25" i="17" a="1"/>
  <c r="H25" i="17" s="1"/>
  <c r="H28" i="17" s="1"/>
  <c r="H19" i="4" s="1"/>
  <c r="AD25" i="17" a="1"/>
  <c r="AD25" i="17" s="1"/>
  <c r="AD28" i="17" s="1"/>
  <c r="AD19" i="4" s="1"/>
  <c r="AN25" i="17" a="1"/>
  <c r="AN25" i="17" s="1"/>
  <c r="AN28" i="17" s="1"/>
  <c r="AN19" i="4" s="1"/>
  <c r="W25" i="17" a="1"/>
  <c r="W25" i="17" s="1"/>
  <c r="W28" i="17" s="1"/>
  <c r="W19" i="4" s="1"/>
  <c r="AH25" i="17" a="1"/>
  <c r="AH25" i="17" s="1"/>
  <c r="AS25" i="17" a="1"/>
  <c r="AS25" i="17" s="1"/>
  <c r="AS28" i="17" s="1"/>
  <c r="AS19" i="4" s="1"/>
  <c r="AF25" i="17" a="1"/>
  <c r="AF25" i="17" s="1"/>
  <c r="BD25" i="17" a="1"/>
  <c r="BD25" i="17" s="1"/>
  <c r="BD28" i="17" s="1"/>
  <c r="BD19" i="4" s="1"/>
  <c r="O25" i="17" a="1"/>
  <c r="O25" i="17" s="1"/>
  <c r="F25" i="17" a="1"/>
  <c r="F25" i="17" s="1"/>
  <c r="F28" i="17" s="1"/>
  <c r="F19" i="4" s="1"/>
  <c r="AK25" i="17" a="1"/>
  <c r="AK25" i="17" s="1"/>
  <c r="AK28" i="17" s="1"/>
  <c r="AK19" i="4" s="1"/>
  <c r="BH25" i="17" a="1"/>
  <c r="BH25" i="17" s="1"/>
  <c r="BH28" i="17" s="1"/>
  <c r="BH19" i="4" s="1"/>
  <c r="U25" i="17" a="1"/>
  <c r="U25" i="17" s="1"/>
  <c r="AM25" i="17" a="1"/>
  <c r="AM25" i="17" s="1"/>
  <c r="BJ25" i="17" a="1"/>
  <c r="BJ25" i="17" s="1"/>
  <c r="Y25" i="17" a="1"/>
  <c r="Y25" i="17" s="1"/>
  <c r="L25" i="17" a="1"/>
  <c r="L25" i="17" s="1"/>
  <c r="P25" i="17" a="1"/>
  <c r="P25" i="17" s="1"/>
  <c r="P28" i="17" s="1"/>
  <c r="P19" i="4" s="1"/>
  <c r="S25" i="17" a="1"/>
  <c r="S25" i="17" s="1"/>
  <c r="M25" i="17" a="1"/>
  <c r="M25" i="17" s="1"/>
  <c r="AA25" i="17" a="1"/>
  <c r="AA25" i="17" s="1"/>
  <c r="AZ25" i="17" a="1"/>
  <c r="AZ25" i="17" s="1"/>
  <c r="G25" i="17" a="1"/>
  <c r="G25" i="17" s="1"/>
  <c r="Z25" i="17" a="1"/>
  <c r="Z25" i="17" s="1"/>
  <c r="Z28" i="17" s="1"/>
  <c r="Z19" i="4" s="1"/>
  <c r="R25" i="17" a="1"/>
  <c r="R25" i="17" s="1"/>
  <c r="C38" i="17" a="1"/>
  <c r="C38" i="17" s="1"/>
  <c r="AB41" i="17" l="1" a="1"/>
  <c r="AB41" i="17" s="1"/>
  <c r="AC41" i="17" a="1"/>
  <c r="AC41" i="17" s="1"/>
  <c r="AD41" i="17" a="1"/>
  <c r="AD41" i="17" s="1"/>
  <c r="AE41" i="17" a="1"/>
  <c r="AE41" i="17" s="1"/>
  <c r="AN41" i="17" a="1"/>
  <c r="AN41" i="17" s="1"/>
  <c r="AW41" i="17" a="1"/>
  <c r="AW41" i="17" s="1"/>
  <c r="Z41" i="17" a="1"/>
  <c r="Z41" i="17" s="1"/>
  <c r="H41" i="17" a="1"/>
  <c r="H41" i="17" s="1"/>
  <c r="AJ41" i="17" a="1"/>
  <c r="AJ41" i="17" s="1"/>
  <c r="AK41" i="17" a="1"/>
  <c r="AK41" i="17" s="1"/>
  <c r="AL41" i="17" a="1"/>
  <c r="AL41" i="17" s="1"/>
  <c r="AM41" i="17" a="1"/>
  <c r="AM41" i="17" s="1"/>
  <c r="AV41" i="17" a="1"/>
  <c r="AV41" i="17" s="1"/>
  <c r="BE41" i="17" a="1"/>
  <c r="BE41" i="17" s="1"/>
  <c r="AH41" i="17" a="1"/>
  <c r="AH41" i="17" s="1"/>
  <c r="BI41" i="17" a="1"/>
  <c r="BI41" i="17" s="1"/>
  <c r="AQ41" i="17" a="1"/>
  <c r="AQ41" i="17" s="1"/>
  <c r="AR41" i="17" a="1"/>
  <c r="AR41" i="17" s="1"/>
  <c r="AS41" i="17" a="1"/>
  <c r="AS41" i="17" s="1"/>
  <c r="AT41" i="17" a="1"/>
  <c r="AT41" i="17" s="1"/>
  <c r="AU41" i="17" a="1"/>
  <c r="AU41" i="17" s="1"/>
  <c r="BD41" i="17" a="1"/>
  <c r="BD41" i="17" s="1"/>
  <c r="K41" i="17" a="1"/>
  <c r="K41" i="17" s="1"/>
  <c r="AP41" i="17" a="1"/>
  <c r="AP41" i="17" s="1"/>
  <c r="BF41" i="17" a="1"/>
  <c r="BF41" i="17" s="1"/>
  <c r="AZ41" i="17" a="1"/>
  <c r="AZ41" i="17" s="1"/>
  <c r="BA41" i="17" a="1"/>
  <c r="BA41" i="17" s="1"/>
  <c r="BB41" i="17" a="1"/>
  <c r="BB41" i="17" s="1"/>
  <c r="BC41" i="17" a="1"/>
  <c r="BC41" i="17" s="1"/>
  <c r="I41" i="17" a="1"/>
  <c r="I41" i="17" s="1"/>
  <c r="AA41" i="17" a="1"/>
  <c r="AA41" i="17" s="1"/>
  <c r="AX41" i="17" a="1"/>
  <c r="AX41" i="17" s="1"/>
  <c r="D41" i="17" a="1"/>
  <c r="D41" i="17" s="1"/>
  <c r="E41" i="17" a="1"/>
  <c r="E41" i="17" s="1"/>
  <c r="F41" i="17" a="1"/>
  <c r="F41" i="17" s="1"/>
  <c r="G41" i="17" a="1"/>
  <c r="G41" i="17" s="1"/>
  <c r="P41" i="17" a="1"/>
  <c r="P41" i="17" s="1"/>
  <c r="Y41" i="17" a="1"/>
  <c r="Y41" i="17" s="1"/>
  <c r="BG41" i="17" a="1"/>
  <c r="BG41" i="17" s="1"/>
  <c r="S41" i="17" a="1"/>
  <c r="S41" i="17" s="1"/>
  <c r="T41" i="17" a="1"/>
  <c r="T41" i="17" s="1"/>
  <c r="V41" i="17" a="1"/>
  <c r="V41" i="17" s="1"/>
  <c r="AF41" i="17" a="1"/>
  <c r="AF41" i="17" s="1"/>
  <c r="R41" i="17" a="1"/>
  <c r="R41" i="17" s="1"/>
  <c r="BJ41" i="17" a="1"/>
  <c r="BJ41" i="17" s="1"/>
  <c r="L41" i="17" a="1"/>
  <c r="L41" i="17" s="1"/>
  <c r="M41" i="17" a="1"/>
  <c r="M41" i="17" s="1"/>
  <c r="N41" i="17" a="1"/>
  <c r="N41" i="17" s="1"/>
  <c r="O41" i="17" a="1"/>
  <c r="O41" i="17" s="1"/>
  <c r="X41" i="17" a="1"/>
  <c r="X41" i="17" s="1"/>
  <c r="AG41" i="17" a="1"/>
  <c r="AG41" i="17" s="1"/>
  <c r="J41" i="17" a="1"/>
  <c r="J41" i="17" s="1"/>
  <c r="AI41" i="17" a="1"/>
  <c r="AI41" i="17" s="1"/>
  <c r="U41" i="17" a="1"/>
  <c r="U41" i="17" s="1"/>
  <c r="W41" i="17" a="1"/>
  <c r="W41" i="17" s="1"/>
  <c r="AO41" i="17" a="1"/>
  <c r="AO41" i="17" s="1"/>
  <c r="AY41" i="17" a="1"/>
  <c r="AY41" i="17" s="1"/>
  <c r="BH41" i="17" a="1"/>
  <c r="BH41" i="17" s="1"/>
  <c r="Q41" i="17" a="1"/>
  <c r="Q41" i="17" s="1"/>
  <c r="E39" i="17" a="1"/>
  <c r="E39" i="17" s="1"/>
  <c r="M39" i="17" a="1"/>
  <c r="M39" i="17" s="1"/>
  <c r="N39" i="17" a="1"/>
  <c r="N39" i="17" s="1"/>
  <c r="L39" i="17" a="1"/>
  <c r="L39" i="17" s="1"/>
  <c r="K39" i="17" a="1"/>
  <c r="K39" i="17" s="1"/>
  <c r="J39" i="17" a="1"/>
  <c r="J39" i="17" s="1"/>
  <c r="BA28" i="17"/>
  <c r="BA19" i="4" s="1"/>
  <c r="AZ28" i="17"/>
  <c r="AZ19" i="4" s="1"/>
  <c r="AM28" i="17"/>
  <c r="AM19" i="4" s="1"/>
  <c r="BE28" i="17"/>
  <c r="BE19" i="4" s="1"/>
  <c r="AA28" i="17"/>
  <c r="AA19" i="4" s="1"/>
  <c r="U28" i="17"/>
  <c r="U19" i="4" s="1"/>
  <c r="AF28" i="17"/>
  <c r="AF19" i="4" s="1"/>
  <c r="N28" i="17"/>
  <c r="N19" i="4" s="1"/>
  <c r="O28" i="17"/>
  <c r="O19" i="4" s="1"/>
  <c r="BG28" i="17"/>
  <c r="BG19" i="4" s="1"/>
  <c r="AI28" i="17"/>
  <c r="AI19" i="4" s="1"/>
  <c r="G28" i="17"/>
  <c r="BJ28" i="17"/>
  <c r="BJ19" i="4" s="1"/>
  <c r="M506" i="18"/>
  <c r="T28" i="17"/>
  <c r="AJ28" i="17"/>
  <c r="AY28" i="17"/>
  <c r="AY19" i="4" s="1"/>
  <c r="BF28" i="17"/>
  <c r="BF19" i="4" s="1"/>
  <c r="AU28" i="17"/>
  <c r="AU19" i="4" s="1"/>
  <c r="V28" i="17"/>
  <c r="V19" i="4" s="1"/>
  <c r="C28" i="17"/>
  <c r="C19" i="4" s="1"/>
  <c r="BK25" i="17"/>
  <c r="I28" i="17"/>
  <c r="I19" i="4" s="1"/>
  <c r="D28" i="17"/>
  <c r="D19" i="4" s="1"/>
  <c r="AQ28" i="17"/>
  <c r="AQ19" i="4" s="1"/>
  <c r="M28" i="17"/>
  <c r="M19" i="4" s="1"/>
  <c r="AX28" i="17"/>
  <c r="AX19" i="4" s="1"/>
  <c r="AE28" i="17"/>
  <c r="AE19" i="4" s="1"/>
  <c r="Q28" i="17"/>
  <c r="Q19" i="4" s="1"/>
  <c r="AL28" i="17"/>
  <c r="AL19" i="4" s="1"/>
  <c r="AT28" i="17"/>
  <c r="AT19" i="4" s="1"/>
  <c r="Y28" i="17"/>
  <c r="Y19" i="4" s="1"/>
  <c r="AV28" i="17"/>
  <c r="AV19" i="4" s="1"/>
  <c r="BI28" i="17"/>
  <c r="BI19" i="4" s="1"/>
  <c r="AO28" i="17"/>
  <c r="AO19" i="4" s="1"/>
  <c r="S28" i="17"/>
  <c r="S19" i="4" s="1"/>
  <c r="L28" i="17"/>
  <c r="R28" i="17"/>
  <c r="R19" i="4" s="1"/>
  <c r="AW28" i="17"/>
  <c r="AW19" i="4" s="1"/>
  <c r="AR28" i="17"/>
  <c r="AR19" i="4" s="1"/>
  <c r="Z38" i="17" a="1"/>
  <c r="Z38" i="17" s="1"/>
  <c r="J506" i="18"/>
  <c r="AM38" i="17" a="1"/>
  <c r="AM38" i="17" s="1"/>
  <c r="AH38" i="17" a="1"/>
  <c r="AH38" i="17" s="1"/>
  <c r="H38" i="17" a="1"/>
  <c r="H38" i="17" s="1"/>
  <c r="Y38" i="17" a="1"/>
  <c r="Y38" i="17" s="1"/>
  <c r="BJ38" i="17" a="1"/>
  <c r="BJ38" i="17" s="1"/>
  <c r="Q38" i="17" a="1"/>
  <c r="Q38" i="17" s="1"/>
  <c r="R38" i="17" a="1"/>
  <c r="R38" i="17" s="1"/>
  <c r="G38" i="17" a="1"/>
  <c r="G38" i="17" s="1"/>
  <c r="M38" i="17" a="1"/>
  <c r="M38" i="17" s="1"/>
  <c r="AF38" i="17" a="1"/>
  <c r="AF38" i="17" s="1"/>
  <c r="AS38" i="17" a="1"/>
  <c r="AS38" i="17" s="1"/>
  <c r="D38" i="17" a="1"/>
  <c r="D38" i="17" s="1"/>
  <c r="AG38" i="17" a="1"/>
  <c r="AG38" i="17" s="1"/>
  <c r="L38" i="17" a="1"/>
  <c r="L38" i="17" s="1"/>
  <c r="X38" i="17" a="1"/>
  <c r="X38" i="17" s="1"/>
  <c r="BA38" i="17" a="1"/>
  <c r="BA38" i="17" s="1"/>
  <c r="AW38" i="17" a="1"/>
  <c r="AW38" i="17" s="1"/>
  <c r="BH38" i="17" a="1"/>
  <c r="BH38" i="17" s="1"/>
  <c r="N38" i="17" a="1"/>
  <c r="N38" i="17" s="1"/>
  <c r="J38" i="17" a="1"/>
  <c r="J38" i="17" s="1"/>
  <c r="BI38" i="17" a="1"/>
  <c r="BI38" i="17" s="1"/>
  <c r="K38" i="17" a="1"/>
  <c r="K38" i="17" s="1"/>
  <c r="AY38" i="17" a="1"/>
  <c r="AY38" i="17" s="1"/>
  <c r="E38" i="17" a="1"/>
  <c r="E38" i="17" s="1"/>
  <c r="BF38" i="17" a="1"/>
  <c r="BF38" i="17" s="1"/>
  <c r="O38" i="17" a="1"/>
  <c r="O38" i="17" s="1"/>
  <c r="AK38" i="17" a="1"/>
  <c r="AK38" i="17" s="1"/>
  <c r="S38" i="17" a="1"/>
  <c r="S38" i="17" s="1"/>
  <c r="U38" i="17" a="1"/>
  <c r="U38" i="17" s="1"/>
  <c r="BB38" i="17" a="1"/>
  <c r="BB38" i="17" s="1"/>
  <c r="AJ38" i="17" a="1"/>
  <c r="AJ38" i="17" s="1"/>
  <c r="AP38" i="17" a="1"/>
  <c r="AP38" i="17" s="1"/>
  <c r="AX38" i="17" a="1"/>
  <c r="AX38" i="17" s="1"/>
  <c r="I38" i="17" a="1"/>
  <c r="I38" i="17" s="1"/>
  <c r="AE38" i="17" a="1"/>
  <c r="AE38" i="17" s="1"/>
  <c r="BD38" i="17" a="1"/>
  <c r="BD38" i="17" s="1"/>
  <c r="P38" i="17" a="1"/>
  <c r="P38" i="17" s="1"/>
  <c r="BE38" i="17" a="1"/>
  <c r="BE38" i="17" s="1"/>
  <c r="AV38" i="17" a="1"/>
  <c r="AV38" i="17" s="1"/>
  <c r="AO38" i="17" a="1"/>
  <c r="AO38" i="17" s="1"/>
  <c r="AD38" i="17" a="1"/>
  <c r="AD38" i="17" s="1"/>
  <c r="AU38" i="17" a="1"/>
  <c r="AU38" i="17" s="1"/>
  <c r="T38" i="17" a="1"/>
  <c r="T38" i="17" s="1"/>
  <c r="AR38" i="17" a="1"/>
  <c r="AR38" i="17" s="1"/>
  <c r="AT38" i="17" a="1"/>
  <c r="AT38" i="17" s="1"/>
  <c r="AN38" i="17" a="1"/>
  <c r="AN38" i="17" s="1"/>
  <c r="BG38" i="17" a="1"/>
  <c r="BG38" i="17" s="1"/>
  <c r="BC38" i="17" a="1"/>
  <c r="BC38" i="17" s="1"/>
  <c r="AB38" i="17" a="1"/>
  <c r="AB38" i="17" s="1"/>
  <c r="F38" i="17" a="1"/>
  <c r="F38" i="17" s="1"/>
  <c r="AQ38" i="17" a="1"/>
  <c r="AQ38" i="17" s="1"/>
  <c r="AA38" i="17" a="1"/>
  <c r="AA38" i="17" s="1"/>
  <c r="AZ38" i="17" a="1"/>
  <c r="AZ38" i="17" s="1"/>
  <c r="AC38" i="17" a="1"/>
  <c r="AC38" i="17" s="1"/>
  <c r="AL38" i="17" a="1"/>
  <c r="AL38" i="17" s="1"/>
  <c r="W38" i="17" a="1"/>
  <c r="W38" i="17" s="1"/>
  <c r="AI38" i="17" a="1"/>
  <c r="AI38" i="17" s="1"/>
  <c r="V38" i="17" a="1"/>
  <c r="V38" i="17" s="1"/>
  <c r="J28" i="17"/>
  <c r="J19" i="4" s="1"/>
  <c r="AH28" i="17"/>
  <c r="AH19" i="4" s="1"/>
  <c r="AS39" i="17" a="1"/>
  <c r="AS39" i="17" s="1"/>
  <c r="BJ39" i="17" a="1"/>
  <c r="BJ39" i="17" s="1"/>
  <c r="BI39" i="17" a="1"/>
  <c r="BI39" i="17" s="1"/>
  <c r="BH39" i="17" a="1"/>
  <c r="BH39" i="17" s="1"/>
  <c r="K506" i="18"/>
  <c r="AU39" i="17" a="1"/>
  <c r="AU39" i="17" s="1"/>
  <c r="AQ39" i="17" a="1"/>
  <c r="AQ39" i="17" s="1"/>
  <c r="BE39" i="17" a="1"/>
  <c r="BE39" i="17" s="1"/>
  <c r="AX39" i="17" a="1"/>
  <c r="AX39" i="17" s="1"/>
  <c r="AY39" i="17" a="1"/>
  <c r="AY39" i="17" s="1"/>
  <c r="AW39" i="17" a="1"/>
  <c r="AW39" i="17" s="1"/>
  <c r="AR39" i="17" a="1"/>
  <c r="AR39" i="17" s="1"/>
  <c r="AZ39" i="17" a="1"/>
  <c r="AZ39" i="17" s="1"/>
  <c r="AO39" i="17" a="1"/>
  <c r="AO39" i="17" s="1"/>
  <c r="BD39" i="17" a="1"/>
  <c r="BD39" i="17" s="1"/>
  <c r="BG39" i="17" a="1"/>
  <c r="BG39" i="17" s="1"/>
  <c r="BB39" i="17" a="1"/>
  <c r="BB39" i="17" s="1"/>
  <c r="AN39" i="17" a="1"/>
  <c r="AN39" i="17" s="1"/>
  <c r="AM39" i="17" a="1"/>
  <c r="AM39" i="17" s="1"/>
  <c r="C39" i="17" a="1"/>
  <c r="C39" i="17" s="1"/>
  <c r="G39" i="17" a="1"/>
  <c r="G39" i="17" s="1"/>
  <c r="F39" i="17" a="1"/>
  <c r="F39" i="17" s="1"/>
  <c r="BC39" i="17" a="1"/>
  <c r="BC39" i="17" s="1"/>
  <c r="BA39" i="17" a="1"/>
  <c r="BA39" i="17" s="1"/>
  <c r="AV39" i="17" a="1"/>
  <c r="AV39" i="17" s="1"/>
  <c r="I39" i="17" a="1"/>
  <c r="I39" i="17" s="1"/>
  <c r="BF39" i="17" a="1"/>
  <c r="BF39" i="17" s="1"/>
  <c r="D39" i="17" a="1"/>
  <c r="D39" i="17" s="1"/>
  <c r="AT39" i="17" a="1"/>
  <c r="AT39" i="17" s="1"/>
  <c r="H39" i="17" a="1"/>
  <c r="H39" i="17" s="1"/>
  <c r="L40" i="17" l="1" a="1"/>
  <c r="L40" i="17" s="1"/>
  <c r="K40" i="17" a="1"/>
  <c r="K40" i="17" s="1"/>
  <c r="M40" i="17" a="1"/>
  <c r="M40" i="17" s="1"/>
  <c r="J40" i="17" a="1"/>
  <c r="J40" i="17" s="1"/>
  <c r="N40" i="17" a="1"/>
  <c r="N40" i="17" s="1"/>
  <c r="BK41" i="17"/>
  <c r="BK38" i="17"/>
  <c r="T19" i="4"/>
  <c r="V36" i="17" a="1"/>
  <c r="V36" i="17" s="1"/>
  <c r="BI36" i="17" a="1"/>
  <c r="BI36" i="17" s="1"/>
  <c r="G36" i="17" a="1"/>
  <c r="G36" i="17" s="1"/>
  <c r="P36" i="17" a="1"/>
  <c r="P36" i="17" s="1"/>
  <c r="AH36" i="17" a="1"/>
  <c r="AH36" i="17" s="1"/>
  <c r="AZ36" i="17" a="1"/>
  <c r="AZ36" i="17" s="1"/>
  <c r="M36" i="17" a="1"/>
  <c r="M36" i="17" s="1"/>
  <c r="S36" i="17" a="1"/>
  <c r="S36" i="17" s="1"/>
  <c r="I36" i="17" a="1"/>
  <c r="I36" i="17" s="1"/>
  <c r="BD36" i="17" a="1"/>
  <c r="BD36" i="17" s="1"/>
  <c r="N36" i="17" a="1"/>
  <c r="N36" i="17" s="1"/>
  <c r="Z36" i="17" a="1"/>
  <c r="Z36" i="17" s="1"/>
  <c r="AE36" i="17" a="1"/>
  <c r="AE36" i="17" s="1"/>
  <c r="BC36" i="17" a="1"/>
  <c r="BC36" i="17" s="1"/>
  <c r="AL36" i="17" a="1"/>
  <c r="AL36" i="17" s="1"/>
  <c r="T36" i="17" a="1"/>
  <c r="T36" i="17" s="1"/>
  <c r="BE36" i="17" a="1"/>
  <c r="BE36" i="17" s="1"/>
  <c r="Y36" i="17" a="1"/>
  <c r="Y36" i="17" s="1"/>
  <c r="J36" i="17" a="1"/>
  <c r="J36" i="17" s="1"/>
  <c r="AK36" i="17" a="1"/>
  <c r="AK36" i="17" s="1"/>
  <c r="AO36" i="17" a="1"/>
  <c r="AO36" i="17" s="1"/>
  <c r="O36" i="17" a="1"/>
  <c r="O36" i="17" s="1"/>
  <c r="AG36" i="17" a="1"/>
  <c r="AG36" i="17" s="1"/>
  <c r="H36" i="17" a="1"/>
  <c r="H36" i="17" s="1"/>
  <c r="AM36" i="17" a="1"/>
  <c r="AM36" i="17" s="1"/>
  <c r="U36" i="17" a="1"/>
  <c r="U36" i="17" s="1"/>
  <c r="L36" i="17" a="1"/>
  <c r="L36" i="17" s="1"/>
  <c r="F36" i="17" a="1"/>
  <c r="F36" i="17" s="1"/>
  <c r="AX36" i="17" a="1"/>
  <c r="AX36" i="17" s="1"/>
  <c r="X36" i="17" a="1"/>
  <c r="X36" i="17" s="1"/>
  <c r="AI36" i="17" a="1"/>
  <c r="AI36" i="17" s="1"/>
  <c r="K36" i="17" a="1"/>
  <c r="K36" i="17" s="1"/>
  <c r="Q36" i="17" a="1"/>
  <c r="Q36" i="17" s="1"/>
  <c r="BB36" i="17" a="1"/>
  <c r="BB36" i="17" s="1"/>
  <c r="E36" i="17" a="1"/>
  <c r="E36" i="17" s="1"/>
  <c r="AB36" i="17" a="1"/>
  <c r="AB36" i="17" s="1"/>
  <c r="BG36" i="17" a="1"/>
  <c r="BG36" i="17" s="1"/>
  <c r="R36" i="17" a="1"/>
  <c r="R36" i="17" s="1"/>
  <c r="AJ36" i="17" a="1"/>
  <c r="AJ36" i="17" s="1"/>
  <c r="AA36" i="17" a="1"/>
  <c r="AA36" i="17" s="1"/>
  <c r="BH36" i="17" a="1"/>
  <c r="BH36" i="17" s="1"/>
  <c r="AR36" i="17" a="1"/>
  <c r="AR36" i="17" s="1"/>
  <c r="BF36" i="17" a="1"/>
  <c r="BF36" i="17" s="1"/>
  <c r="AV36" i="17" a="1"/>
  <c r="AV36" i="17" s="1"/>
  <c r="AT36" i="17" a="1"/>
  <c r="AT36" i="17" s="1"/>
  <c r="AD36" i="17" a="1"/>
  <c r="AD36" i="17" s="1"/>
  <c r="BJ36" i="17" a="1"/>
  <c r="BJ36" i="17" s="1"/>
  <c r="AQ36" i="17" a="1"/>
  <c r="AQ36" i="17" s="1"/>
  <c r="AY36" i="17" a="1"/>
  <c r="AY36" i="17" s="1"/>
  <c r="AU36" i="17" a="1"/>
  <c r="AU36" i="17" s="1"/>
  <c r="AN36" i="17" a="1"/>
  <c r="AN36" i="17" s="1"/>
  <c r="BA36" i="17" a="1"/>
  <c r="BA36" i="17" s="1"/>
  <c r="W36" i="17" a="1"/>
  <c r="W36" i="17" s="1"/>
  <c r="AF36" i="17" a="1"/>
  <c r="AF36" i="17" s="1"/>
  <c r="AC36" i="17" a="1"/>
  <c r="AC36" i="17" s="1"/>
  <c r="AS36" i="17" a="1"/>
  <c r="AS36" i="17" s="1"/>
  <c r="H506" i="18"/>
  <c r="AP36" i="17" a="1"/>
  <c r="AP36" i="17" s="1"/>
  <c r="D36" i="17" a="1"/>
  <c r="D36" i="17" s="1"/>
  <c r="AW36" i="17" a="1"/>
  <c r="AW36" i="17" s="1"/>
  <c r="C36" i="17" a="1"/>
  <c r="C36" i="17" s="1"/>
  <c r="L19" i="4"/>
  <c r="G19" i="4"/>
  <c r="BK28" i="17"/>
  <c r="AJ19" i="4"/>
  <c r="BK39" i="17"/>
  <c r="BI40" i="17" a="1"/>
  <c r="BI40" i="17" s="1"/>
  <c r="AQ40" i="17" a="1"/>
  <c r="AQ40" i="17" s="1"/>
  <c r="BB40" i="17" a="1"/>
  <c r="BB40" i="17" s="1"/>
  <c r="AO40" i="17" a="1"/>
  <c r="AO40" i="17" s="1"/>
  <c r="AP40" i="17" a="1"/>
  <c r="AP40" i="17" s="1"/>
  <c r="BG40" i="17" a="1"/>
  <c r="BG40" i="17" s="1"/>
  <c r="BA40" i="17" a="1"/>
  <c r="BA40" i="17" s="1"/>
  <c r="BD40" i="17" a="1"/>
  <c r="BD40" i="17" s="1"/>
  <c r="AN40" i="17" a="1"/>
  <c r="AN40" i="17" s="1"/>
  <c r="BC40" i="17" a="1"/>
  <c r="BC40" i="17" s="1"/>
  <c r="BJ40" i="17" a="1"/>
  <c r="BJ40" i="17" s="1"/>
  <c r="AS40" i="17" a="1"/>
  <c r="AS40" i="17" s="1"/>
  <c r="AR40" i="17" a="1"/>
  <c r="AR40" i="17" s="1"/>
  <c r="E40" i="17" a="1"/>
  <c r="E40" i="17" s="1"/>
  <c r="BE40" i="17" a="1"/>
  <c r="BE40" i="17" s="1"/>
  <c r="L506" i="18"/>
  <c r="F40" i="17" a="1"/>
  <c r="F40" i="17" s="1"/>
  <c r="D40" i="17" a="1"/>
  <c r="D40" i="17" s="1"/>
  <c r="AZ40" i="17" a="1"/>
  <c r="AZ40" i="17" s="1"/>
  <c r="I40" i="17" a="1"/>
  <c r="I40" i="17" s="1"/>
  <c r="AX40" i="17" a="1"/>
  <c r="AX40" i="17" s="1"/>
  <c r="AM40" i="17" a="1"/>
  <c r="AM40" i="17" s="1"/>
  <c r="AW40" i="17" a="1"/>
  <c r="AW40" i="17" s="1"/>
  <c r="AU40" i="17" a="1"/>
  <c r="AU40" i="17" s="1"/>
  <c r="AY40" i="17" a="1"/>
  <c r="AY40" i="17" s="1"/>
  <c r="AV40" i="17" a="1"/>
  <c r="AV40" i="17" s="1"/>
  <c r="BF40" i="17" a="1"/>
  <c r="BF40" i="17" s="1"/>
  <c r="H40" i="17" a="1"/>
  <c r="H40" i="17" s="1"/>
  <c r="G40" i="17" a="1"/>
  <c r="G40" i="17" s="1"/>
  <c r="AT40" i="17" a="1"/>
  <c r="AT40" i="17" s="1"/>
  <c r="BH40" i="17" a="1"/>
  <c r="BH40" i="17" s="1"/>
  <c r="C40" i="17" a="1"/>
  <c r="C40" i="17" s="1"/>
  <c r="BK19" i="4" l="1"/>
  <c r="BK40" i="17"/>
  <c r="BH34" i="17" a="1"/>
  <c r="BH34" i="17" s="1"/>
  <c r="X34" i="17" a="1"/>
  <c r="X34" i="17" s="1"/>
  <c r="AA34" i="17" a="1"/>
  <c r="AA34" i="17" s="1"/>
  <c r="F506" i="18"/>
  <c r="R34" i="17" a="1"/>
  <c r="R34" i="17" s="1"/>
  <c r="AM34" i="17" a="1"/>
  <c r="AM34" i="17" s="1"/>
  <c r="AU34" i="17" a="1"/>
  <c r="AU34" i="17" s="1"/>
  <c r="W34" i="17" a="1"/>
  <c r="W34" i="17" s="1"/>
  <c r="BE34" i="17" a="1"/>
  <c r="BE34" i="17" s="1"/>
  <c r="BC34" i="17" a="1"/>
  <c r="BC34" i="17" s="1"/>
  <c r="AT34" i="17" a="1"/>
  <c r="AT34" i="17" s="1"/>
  <c r="S34" i="17" a="1"/>
  <c r="S34" i="17" s="1"/>
  <c r="AE34" i="17" a="1"/>
  <c r="AE34" i="17" s="1"/>
  <c r="Y34" i="17" a="1"/>
  <c r="Y34" i="17" s="1"/>
  <c r="BD34" i="17" a="1"/>
  <c r="BD34" i="17" s="1"/>
  <c r="I34" i="17" a="1"/>
  <c r="I34" i="17" s="1"/>
  <c r="AG34" i="17" a="1"/>
  <c r="AG34" i="17" s="1"/>
  <c r="AV34" i="17" a="1"/>
  <c r="AV34" i="17" s="1"/>
  <c r="AQ34" i="17" a="1"/>
  <c r="AQ34" i="17" s="1"/>
  <c r="AI34" i="17" a="1"/>
  <c r="AI34" i="17" s="1"/>
  <c r="F34" i="17" a="1"/>
  <c r="F34" i="17" s="1"/>
  <c r="AY34" i="17" a="1"/>
  <c r="AY34" i="17" s="1"/>
  <c r="BB34" i="17" a="1"/>
  <c r="BB34" i="17" s="1"/>
  <c r="J34" i="17" a="1"/>
  <c r="J34" i="17" s="1"/>
  <c r="V34" i="17" a="1"/>
  <c r="V34" i="17" s="1"/>
  <c r="BI34" i="17" a="1"/>
  <c r="BI34" i="17" s="1"/>
  <c r="L34" i="17" a="1"/>
  <c r="L34" i="17" s="1"/>
  <c r="P34" i="17" a="1"/>
  <c r="P34" i="17" s="1"/>
  <c r="E34" i="17" a="1"/>
  <c r="E34" i="17" s="1"/>
  <c r="AH34" i="17" a="1"/>
  <c r="AH34" i="17" s="1"/>
  <c r="T34" i="17" a="1"/>
  <c r="T34" i="17" s="1"/>
  <c r="U307" i="18"/>
  <c r="AP34" i="17" a="1"/>
  <c r="AP34" i="17" s="1"/>
  <c r="AF34" i="17" a="1"/>
  <c r="AF34" i="17" s="1"/>
  <c r="Z34" i="17" a="1"/>
  <c r="Z34" i="17" s="1"/>
  <c r="BG34" i="17" a="1"/>
  <c r="BG34" i="17" s="1"/>
  <c r="H34" i="17" a="1"/>
  <c r="H34" i="17" s="1"/>
  <c r="AS34" i="17" a="1"/>
  <c r="AS34" i="17" s="1"/>
  <c r="K34" i="17" a="1"/>
  <c r="K34" i="17" s="1"/>
  <c r="AK34" i="17" a="1"/>
  <c r="AK34" i="17" s="1"/>
  <c r="C34" i="17" a="1"/>
  <c r="C34" i="17" s="1"/>
  <c r="O34" i="17" a="1"/>
  <c r="O34" i="17" s="1"/>
  <c r="Q34" i="17" a="1"/>
  <c r="Q34" i="17" s="1"/>
  <c r="AC34" i="17" a="1"/>
  <c r="AC34" i="17" s="1"/>
  <c r="BJ34" i="17" a="1"/>
  <c r="BJ34" i="17" s="1"/>
  <c r="AD34" i="17" a="1"/>
  <c r="AD34" i="17" s="1"/>
  <c r="N34" i="17" a="1"/>
  <c r="N34" i="17" s="1"/>
  <c r="AJ34" i="17" a="1"/>
  <c r="AJ34" i="17" s="1"/>
  <c r="AZ34" i="17" a="1"/>
  <c r="AZ34" i="17" s="1"/>
  <c r="D34" i="17" a="1"/>
  <c r="D34" i="17" s="1"/>
  <c r="AW34" i="17" a="1"/>
  <c r="AW34" i="17" s="1"/>
  <c r="AN34" i="17" a="1"/>
  <c r="AN34" i="17" s="1"/>
  <c r="AR34" i="17" a="1"/>
  <c r="AR34" i="17" s="1"/>
  <c r="BF34" i="17" a="1"/>
  <c r="BF34" i="17" s="1"/>
  <c r="AX34" i="17" a="1"/>
  <c r="AX34" i="17" s="1"/>
  <c r="AB34" i="17" a="1"/>
  <c r="AB34" i="17" s="1"/>
  <c r="M34" i="17" a="1"/>
  <c r="M34" i="17" s="1"/>
  <c r="AL34" i="17" a="1"/>
  <c r="AL34" i="17" s="1"/>
  <c r="U34" i="17" a="1"/>
  <c r="U34" i="17" s="1"/>
  <c r="BA34" i="17" a="1"/>
  <c r="BA34" i="17" s="1"/>
  <c r="G34" i="17" a="1"/>
  <c r="G34" i="17" s="1"/>
  <c r="AO34" i="17" a="1"/>
  <c r="AO34" i="17" s="1"/>
  <c r="BA37" i="17" a="1"/>
  <c r="BA37" i="17" s="1"/>
  <c r="AQ37" i="17" a="1"/>
  <c r="AQ37" i="17" s="1"/>
  <c r="AT37" i="17" a="1"/>
  <c r="AT37" i="17" s="1"/>
  <c r="U37" i="17" a="1"/>
  <c r="U37" i="17" s="1"/>
  <c r="AR37" i="17" a="1"/>
  <c r="AR37" i="17" s="1"/>
  <c r="Q37" i="17" a="1"/>
  <c r="Q37" i="17" s="1"/>
  <c r="AB37" i="17" a="1"/>
  <c r="AB37" i="17" s="1"/>
  <c r="AZ37" i="17" a="1"/>
  <c r="AZ37" i="17" s="1"/>
  <c r="AC37" i="17" a="1"/>
  <c r="AC37" i="17" s="1"/>
  <c r="AG37" i="17" a="1"/>
  <c r="AG37" i="17" s="1"/>
  <c r="AK37" i="17" a="1"/>
  <c r="AK37" i="17" s="1"/>
  <c r="BI37" i="17" a="1"/>
  <c r="BI37" i="17" s="1"/>
  <c r="AH37" i="17" a="1"/>
  <c r="AH37" i="17" s="1"/>
  <c r="BB37" i="17" a="1"/>
  <c r="BB37" i="17" s="1"/>
  <c r="BF37" i="17" a="1"/>
  <c r="BF37" i="17" s="1"/>
  <c r="AU37" i="17" a="1"/>
  <c r="AU37" i="17" s="1"/>
  <c r="AX37" i="17" a="1"/>
  <c r="AX37" i="17" s="1"/>
  <c r="AJ37" i="17" a="1"/>
  <c r="AJ37" i="17" s="1"/>
  <c r="AF37" i="17" a="1"/>
  <c r="AF37" i="17" s="1"/>
  <c r="F37" i="17" a="1"/>
  <c r="F37" i="17" s="1"/>
  <c r="X37" i="17" a="1"/>
  <c r="X37" i="17" s="1"/>
  <c r="AV37" i="17" a="1"/>
  <c r="AV37" i="17" s="1"/>
  <c r="BG37" i="17" a="1"/>
  <c r="BG37" i="17" s="1"/>
  <c r="BC37" i="17" a="1"/>
  <c r="BC37" i="17" s="1"/>
  <c r="AS37" i="17" a="1"/>
  <c r="AS37" i="17" s="1"/>
  <c r="E37" i="17" a="1"/>
  <c r="E37" i="17" s="1"/>
  <c r="I506" i="18"/>
  <c r="AI37" i="17" a="1"/>
  <c r="AI37" i="17" s="1"/>
  <c r="G37" i="17" a="1"/>
  <c r="G37" i="17" s="1"/>
  <c r="AN37" i="17" a="1"/>
  <c r="AN37" i="17" s="1"/>
  <c r="Y37" i="17" a="1"/>
  <c r="Y37" i="17" s="1"/>
  <c r="Z37" i="17" a="1"/>
  <c r="Z37" i="17" s="1"/>
  <c r="H37" i="17" a="1"/>
  <c r="H37" i="17" s="1"/>
  <c r="AD37" i="17" a="1"/>
  <c r="AD37" i="17" s="1"/>
  <c r="BD37" i="17" a="1"/>
  <c r="BD37" i="17" s="1"/>
  <c r="D37" i="17" a="1"/>
  <c r="D37" i="17" s="1"/>
  <c r="I37" i="17" a="1"/>
  <c r="I37" i="17" s="1"/>
  <c r="K37" i="17" a="1"/>
  <c r="K37" i="17" s="1"/>
  <c r="AW37" i="17" a="1"/>
  <c r="AW37" i="17" s="1"/>
  <c r="AP37" i="17" a="1"/>
  <c r="AP37" i="17" s="1"/>
  <c r="M37" i="17" a="1"/>
  <c r="M37" i="17" s="1"/>
  <c r="J37" i="17" a="1"/>
  <c r="J37" i="17" s="1"/>
  <c r="R37" i="17" a="1"/>
  <c r="R37" i="17" s="1"/>
  <c r="BJ37" i="17" a="1"/>
  <c r="BJ37" i="17" s="1"/>
  <c r="AY37" i="17" a="1"/>
  <c r="AY37" i="17" s="1"/>
  <c r="AM37" i="17" a="1"/>
  <c r="AM37" i="17" s="1"/>
  <c r="AO37" i="17" a="1"/>
  <c r="AO37" i="17" s="1"/>
  <c r="V37" i="17" a="1"/>
  <c r="V37" i="17" s="1"/>
  <c r="P37" i="17" a="1"/>
  <c r="P37" i="17" s="1"/>
  <c r="T37" i="17" a="1"/>
  <c r="T37" i="17" s="1"/>
  <c r="O37" i="17" a="1"/>
  <c r="O37" i="17" s="1"/>
  <c r="BH37" i="17" a="1"/>
  <c r="BH37" i="17" s="1"/>
  <c r="L37" i="17" a="1"/>
  <c r="L37" i="17" s="1"/>
  <c r="N37" i="17" a="1"/>
  <c r="N37" i="17" s="1"/>
  <c r="AE37" i="17" a="1"/>
  <c r="AE37" i="17" s="1"/>
  <c r="AA37" i="17" a="1"/>
  <c r="AA37" i="17" s="1"/>
  <c r="W37" i="17" a="1"/>
  <c r="W37" i="17" s="1"/>
  <c r="BE37" i="17" a="1"/>
  <c r="BE37" i="17" s="1"/>
  <c r="S37" i="17" a="1"/>
  <c r="S37" i="17" s="1"/>
  <c r="AL37" i="17" a="1"/>
  <c r="AL37" i="17" s="1"/>
  <c r="C37" i="17" a="1"/>
  <c r="C37" i="17" s="1"/>
  <c r="BK36" i="17"/>
  <c r="AL46" i="17" l="1"/>
  <c r="AL21" i="4" s="1"/>
  <c r="D46" i="17"/>
  <c r="D21" i="4" s="1"/>
  <c r="O46" i="17"/>
  <c r="O21" i="4" s="1"/>
  <c r="AF46" i="17"/>
  <c r="AF21" i="4" s="1"/>
  <c r="BI46" i="17"/>
  <c r="BI21" i="4" s="1"/>
  <c r="AV46" i="17"/>
  <c r="AV21" i="4" s="1"/>
  <c r="BC46" i="17"/>
  <c r="BC21" i="4" s="1"/>
  <c r="X46" i="17"/>
  <c r="X21" i="4" s="1"/>
  <c r="M46" i="17"/>
  <c r="M21" i="4" s="1"/>
  <c r="AZ46" i="17"/>
  <c r="AZ21" i="4" s="1"/>
  <c r="C46" i="17"/>
  <c r="C21" i="4" s="1"/>
  <c r="BK34" i="17"/>
  <c r="AP46" i="17"/>
  <c r="AP21" i="4" s="1"/>
  <c r="V46" i="17"/>
  <c r="V21" i="4" s="1"/>
  <c r="AG46" i="17"/>
  <c r="AG21" i="4" s="1"/>
  <c r="BE46" i="17"/>
  <c r="BE21" i="4" s="1"/>
  <c r="BH46" i="17"/>
  <c r="BH21" i="4" s="1"/>
  <c r="AB46" i="17"/>
  <c r="AB21" i="4" s="1"/>
  <c r="AJ46" i="17"/>
  <c r="AJ21" i="4" s="1"/>
  <c r="AK46" i="17"/>
  <c r="AK21" i="4" s="1"/>
  <c r="U506" i="18"/>
  <c r="AL308" i="14"/>
  <c r="AL507" i="14" s="1"/>
  <c r="AD307" i="18"/>
  <c r="J46" i="17"/>
  <c r="J21" i="4" s="1"/>
  <c r="I46" i="17"/>
  <c r="I21" i="4" s="1"/>
  <c r="W46" i="17"/>
  <c r="W21" i="4" s="1"/>
  <c r="AX46" i="17"/>
  <c r="AX21" i="4" s="1"/>
  <c r="N46" i="17"/>
  <c r="N21" i="4" s="1"/>
  <c r="K46" i="17"/>
  <c r="K21" i="4" s="1"/>
  <c r="T46" i="17"/>
  <c r="T21" i="4" s="1"/>
  <c r="BB46" i="17"/>
  <c r="BB21" i="4" s="1"/>
  <c r="BD46" i="17"/>
  <c r="BD21" i="4" s="1"/>
  <c r="AU46" i="17"/>
  <c r="AU21" i="4" s="1"/>
  <c r="AO46" i="17"/>
  <c r="AO21" i="4" s="1"/>
  <c r="BF46" i="17"/>
  <c r="BF21" i="4" s="1"/>
  <c r="AD46" i="17"/>
  <c r="AD21" i="4" s="1"/>
  <c r="AS46" i="17"/>
  <c r="AS21" i="4" s="1"/>
  <c r="AH46" i="17"/>
  <c r="AH21" i="4" s="1"/>
  <c r="AY46" i="17"/>
  <c r="AY21" i="4" s="1"/>
  <c r="Y46" i="17"/>
  <c r="Y21" i="4" s="1"/>
  <c r="AM46" i="17"/>
  <c r="AM21" i="4" s="1"/>
  <c r="G46" i="17"/>
  <c r="G21" i="4" s="1"/>
  <c r="AR46" i="17"/>
  <c r="AR21" i="4" s="1"/>
  <c r="BJ46" i="17"/>
  <c r="BJ21" i="4" s="1"/>
  <c r="H46" i="17"/>
  <c r="H21" i="4" s="1"/>
  <c r="E46" i="17"/>
  <c r="E21" i="4" s="1"/>
  <c r="F46" i="17"/>
  <c r="F21" i="4" s="1"/>
  <c r="AE46" i="17"/>
  <c r="AE21" i="4" s="1"/>
  <c r="R46" i="17"/>
  <c r="R21" i="4" s="1"/>
  <c r="BK37" i="17"/>
  <c r="BA46" i="17"/>
  <c r="BA21" i="4" s="1"/>
  <c r="AN46" i="17"/>
  <c r="AN21" i="4" s="1"/>
  <c r="AC46" i="17"/>
  <c r="AC21" i="4" s="1"/>
  <c r="BG46" i="17"/>
  <c r="BG21" i="4" s="1"/>
  <c r="P46" i="17"/>
  <c r="P21" i="4" s="1"/>
  <c r="AI46" i="17"/>
  <c r="AI21" i="4" s="1"/>
  <c r="S46" i="17"/>
  <c r="S21" i="4" s="1"/>
  <c r="U46" i="17"/>
  <c r="U21" i="4" s="1"/>
  <c r="AW46" i="17"/>
  <c r="AW21" i="4" s="1"/>
  <c r="Q46" i="17"/>
  <c r="Q21" i="4" s="1"/>
  <c r="Z46" i="17"/>
  <c r="Z21" i="4" s="1"/>
  <c r="L46" i="17"/>
  <c r="L21" i="4" s="1"/>
  <c r="AQ46" i="17"/>
  <c r="AQ21" i="4" s="1"/>
  <c r="AT46" i="17"/>
  <c r="AT21" i="4" s="1"/>
  <c r="AA46" i="17"/>
  <c r="AA21" i="4" s="1"/>
  <c r="O58" i="17" l="1"/>
  <c r="O155" i="17" s="1"/>
  <c r="AE19" i="25" s="1"/>
  <c r="AL58" i="17"/>
  <c r="AL155" i="17" s="1"/>
  <c r="AE42" i="25" s="1"/>
  <c r="X58" i="17"/>
  <c r="X155" i="17" s="1"/>
  <c r="AE28" i="25" s="1"/>
  <c r="D58" i="17"/>
  <c r="D155" i="17" s="1"/>
  <c r="AE8" i="25" s="1"/>
  <c r="BG58" i="17"/>
  <c r="BG155" i="17" s="1"/>
  <c r="AE63" i="25" s="1"/>
  <c r="S58" i="17"/>
  <c r="S155" i="17" s="1"/>
  <c r="AE23" i="25" s="1"/>
  <c r="C58" i="17"/>
  <c r="C155" i="17" s="1"/>
  <c r="AE7" i="25" s="1"/>
  <c r="AM58" i="17"/>
  <c r="AM155" i="17" s="1"/>
  <c r="AE43" i="25" s="1"/>
  <c r="AA58" i="17"/>
  <c r="AA155" i="17" s="1"/>
  <c r="AE31" i="25" s="1"/>
  <c r="BH58" i="17"/>
  <c r="BH155" i="17" s="1"/>
  <c r="AE64" i="25" s="1"/>
  <c r="P58" i="17"/>
  <c r="P155" i="17" s="1"/>
  <c r="AE20" i="25" s="1"/>
  <c r="R58" i="17"/>
  <c r="R155" i="17" s="1"/>
  <c r="AE22" i="25" s="1"/>
  <c r="G58" i="17"/>
  <c r="G155" i="17" s="1"/>
  <c r="AE11" i="25" s="1"/>
  <c r="BF58" i="17"/>
  <c r="BF155" i="17" s="1"/>
  <c r="AE62" i="25" s="1"/>
  <c r="AG58" i="17"/>
  <c r="AG155" i="17" s="1"/>
  <c r="AE37" i="25" s="1"/>
  <c r="AB58" i="17"/>
  <c r="AB155" i="17" s="1"/>
  <c r="AE32" i="25" s="1"/>
  <c r="AI58" i="17"/>
  <c r="AI155" i="17" s="1"/>
  <c r="AE39" i="25" s="1"/>
  <c r="AD58" i="17"/>
  <c r="AD155" i="17" s="1"/>
  <c r="AE34" i="25" s="1"/>
  <c r="BE58" i="17"/>
  <c r="BE155" i="17" s="1"/>
  <c r="AE61" i="25" s="1"/>
  <c r="AF58" i="17"/>
  <c r="AF155" i="17" s="1"/>
  <c r="AE36" i="25" s="1"/>
  <c r="AT58" i="17"/>
  <c r="AT155" i="17" s="1"/>
  <c r="AE50" i="25" s="1"/>
  <c r="AO58" i="17"/>
  <c r="AO155" i="17" s="1"/>
  <c r="AE45" i="25" s="1"/>
  <c r="M58" i="17"/>
  <c r="M155" i="17" s="1"/>
  <c r="AE17" i="25" s="1"/>
  <c r="U58" i="17"/>
  <c r="U155" i="17" s="1"/>
  <c r="AE25" i="25" s="1"/>
  <c r="AR58" i="17"/>
  <c r="AR155" i="17" s="1"/>
  <c r="AE48" i="25" s="1"/>
  <c r="I58" i="17"/>
  <c r="I155" i="17" s="1"/>
  <c r="AE13" i="25" s="1"/>
  <c r="AQ58" i="17"/>
  <c r="AQ155" i="17" s="1"/>
  <c r="AE47" i="25" s="1"/>
  <c r="AU58" i="17"/>
  <c r="AU155" i="17" s="1"/>
  <c r="AE51" i="25" s="1"/>
  <c r="AX58" i="17"/>
  <c r="AX155" i="17" s="1"/>
  <c r="AE54" i="25" s="1"/>
  <c r="J58" i="17"/>
  <c r="J155" i="17" s="1"/>
  <c r="AE14" i="25" s="1"/>
  <c r="AZ58" i="17"/>
  <c r="AZ155" i="17" s="1"/>
  <c r="AE56" i="25" s="1"/>
  <c r="BD58" i="17"/>
  <c r="BD155" i="17" s="1"/>
  <c r="AE60" i="25" s="1"/>
  <c r="W58" i="17"/>
  <c r="W155" i="17" s="1"/>
  <c r="AE27" i="25" s="1"/>
  <c r="AP58" i="17"/>
  <c r="AP155" i="17" s="1"/>
  <c r="AE46" i="25" s="1"/>
  <c r="E23" i="4"/>
  <c r="E28" i="4" s="1"/>
  <c r="AH23" i="4"/>
  <c r="AH28" i="4" s="1"/>
  <c r="AK23" i="4"/>
  <c r="AK28" i="4" s="1"/>
  <c r="BK46" i="17"/>
  <c r="BK58" i="17" s="1"/>
  <c r="BK155" i="17" s="1"/>
  <c r="AV23" i="4"/>
  <c r="AV28" i="4" s="1"/>
  <c r="AA23" i="4"/>
  <c r="AA28" i="4" s="1"/>
  <c r="L58" i="17"/>
  <c r="L155" i="17" s="1"/>
  <c r="AE16" i="25" s="1"/>
  <c r="S23" i="4"/>
  <c r="S28" i="4" s="1"/>
  <c r="BA58" i="17"/>
  <c r="BA155" i="17" s="1"/>
  <c r="AE57" i="25" s="1"/>
  <c r="AE58" i="17"/>
  <c r="AE155" i="17" s="1"/>
  <c r="AE35" i="25" s="1"/>
  <c r="H58" i="17"/>
  <c r="H155" i="17" s="1"/>
  <c r="AE12" i="25" s="1"/>
  <c r="AR23" i="4"/>
  <c r="AR28" i="4" s="1"/>
  <c r="Y58" i="17"/>
  <c r="Y155" i="17" s="1"/>
  <c r="AE29" i="25" s="1"/>
  <c r="AS58" i="17"/>
  <c r="AS155" i="17" s="1"/>
  <c r="AE49" i="25" s="1"/>
  <c r="BF23" i="4"/>
  <c r="BF28" i="4" s="1"/>
  <c r="K58" i="17"/>
  <c r="K155" i="17" s="1"/>
  <c r="AE15" i="25" s="1"/>
  <c r="AX23" i="4"/>
  <c r="AX28" i="4" s="1"/>
  <c r="AJ58" i="17"/>
  <c r="AJ155" i="17" s="1"/>
  <c r="AE40" i="25" s="1"/>
  <c r="BH23" i="4"/>
  <c r="BH28" i="4" s="1"/>
  <c r="V58" i="17"/>
  <c r="V155" i="17" s="1"/>
  <c r="AE26" i="25" s="1"/>
  <c r="BK21" i="4"/>
  <c r="C23" i="4"/>
  <c r="C28" i="4" s="1"/>
  <c r="BI58" i="17"/>
  <c r="BI155" i="17" s="1"/>
  <c r="AE65" i="25" s="1"/>
  <c r="O23" i="4"/>
  <c r="O28" i="4" s="1"/>
  <c r="AC23" i="4"/>
  <c r="AC28" i="4" s="1"/>
  <c r="F23" i="4"/>
  <c r="F28" i="4" s="1"/>
  <c r="AY23" i="4"/>
  <c r="AY28" i="4" s="1"/>
  <c r="AN23" i="4"/>
  <c r="AN28" i="4" s="1"/>
  <c r="T23" i="4"/>
  <c r="T28" i="4" s="1"/>
  <c r="L23" i="4"/>
  <c r="L28" i="4" s="1"/>
  <c r="AW58" i="17"/>
  <c r="AW155" i="17" s="1"/>
  <c r="AE53" i="25" s="1"/>
  <c r="BG23" i="4"/>
  <c r="BG28" i="4" s="1"/>
  <c r="AE23" i="4"/>
  <c r="AE28" i="4" s="1"/>
  <c r="Y23" i="4"/>
  <c r="Y28" i="4" s="1"/>
  <c r="AS23" i="4"/>
  <c r="AS28" i="4" s="1"/>
  <c r="BD23" i="4"/>
  <c r="BD28" i="4" s="1"/>
  <c r="J23" i="4"/>
  <c r="J28" i="4" s="1"/>
  <c r="V23" i="4"/>
  <c r="V28" i="4" s="1"/>
  <c r="X23" i="4"/>
  <c r="X28" i="4" s="1"/>
  <c r="Z23" i="4"/>
  <c r="Z28" i="4" s="1"/>
  <c r="Z58" i="17"/>
  <c r="Z155" i="17" s="1"/>
  <c r="AE30" i="25" s="1"/>
  <c r="AW23" i="4"/>
  <c r="AW28" i="4" s="1"/>
  <c r="AY58" i="17"/>
  <c r="AY155" i="17" s="1"/>
  <c r="AE55" i="25" s="1"/>
  <c r="AD506" i="18"/>
  <c r="AN308" i="14"/>
  <c r="AN507" i="14" s="1"/>
  <c r="E39" i="21" s="1"/>
  <c r="E40" i="21" s="1"/>
  <c r="AJ23" i="4"/>
  <c r="AJ28" i="4" s="1"/>
  <c r="BC58" i="17"/>
  <c r="BC155" i="17" s="1"/>
  <c r="AE59" i="25" s="1"/>
  <c r="BI23" i="4"/>
  <c r="BI28" i="4" s="1"/>
  <c r="Q23" i="4"/>
  <c r="Q28" i="4" s="1"/>
  <c r="AC58" i="17"/>
  <c r="AC155" i="17" s="1"/>
  <c r="AE33" i="25" s="1"/>
  <c r="BA23" i="4"/>
  <c r="BA28" i="4" s="1"/>
  <c r="F58" i="17"/>
  <c r="F155" i="17" s="1"/>
  <c r="AE10" i="25" s="1"/>
  <c r="H23" i="4"/>
  <c r="H28" i="4" s="1"/>
  <c r="K23" i="4"/>
  <c r="K28" i="4" s="1"/>
  <c r="AT23" i="4"/>
  <c r="AT28" i="4" s="1"/>
  <c r="AI23" i="4"/>
  <c r="AI28" i="4" s="1"/>
  <c r="BJ58" i="17"/>
  <c r="BJ155" i="17" s="1"/>
  <c r="AE66" i="25" s="1"/>
  <c r="G23" i="4"/>
  <c r="G28" i="4" s="1"/>
  <c r="AO23" i="4"/>
  <c r="AO28" i="4" s="1"/>
  <c r="BB58" i="17"/>
  <c r="BB155" i="17" s="1"/>
  <c r="AE58" i="25" s="1"/>
  <c r="N58" i="17"/>
  <c r="N155" i="17" s="1"/>
  <c r="AE18" i="25" s="1"/>
  <c r="W23" i="4"/>
  <c r="W28" i="4" s="1"/>
  <c r="BE23" i="4"/>
  <c r="BE28" i="4" s="1"/>
  <c r="AP23" i="4"/>
  <c r="AP28" i="4" s="1"/>
  <c r="AZ23" i="4"/>
  <c r="AZ28" i="4" s="1"/>
  <c r="D23" i="4"/>
  <c r="D28" i="4" s="1"/>
  <c r="BB23" i="4"/>
  <c r="BB28" i="4" s="1"/>
  <c r="BC23" i="4"/>
  <c r="BC28" i="4" s="1"/>
  <c r="E58" i="17"/>
  <c r="E155" i="17" s="1"/>
  <c r="AE9" i="25" s="1"/>
  <c r="BJ23" i="4"/>
  <c r="BJ28" i="4" s="1"/>
  <c r="AH58" i="17"/>
  <c r="AH155" i="17" s="1"/>
  <c r="AE38" i="25" s="1"/>
  <c r="AD23" i="4"/>
  <c r="AD28" i="4" s="1"/>
  <c r="N23" i="4"/>
  <c r="N28" i="4" s="1"/>
  <c r="AK58" i="17"/>
  <c r="AK155" i="17" s="1"/>
  <c r="AE41" i="25" s="1"/>
  <c r="AB23" i="4"/>
  <c r="AB28" i="4" s="1"/>
  <c r="AV58" i="17"/>
  <c r="AV155" i="17" s="1"/>
  <c r="AE52" i="25" s="1"/>
  <c r="AF23" i="4"/>
  <c r="AF28" i="4" s="1"/>
  <c r="U23" i="4"/>
  <c r="U28" i="4" s="1"/>
  <c r="AN58" i="17"/>
  <c r="AN155" i="17" s="1"/>
  <c r="AE44" i="25" s="1"/>
  <c r="AQ23" i="4"/>
  <c r="AQ28" i="4" s="1"/>
  <c r="Q58" i="17"/>
  <c r="Q155" i="17" s="1"/>
  <c r="AE21" i="25" s="1"/>
  <c r="P23" i="4"/>
  <c r="P28" i="4" s="1"/>
  <c r="R23" i="4"/>
  <c r="R28" i="4" s="1"/>
  <c r="AM23" i="4"/>
  <c r="AM28" i="4" s="1"/>
  <c r="AU23" i="4"/>
  <c r="AU28" i="4" s="1"/>
  <c r="T58" i="17"/>
  <c r="T155" i="17" s="1"/>
  <c r="AE24" i="25" s="1"/>
  <c r="I23" i="4"/>
  <c r="I28" i="4" s="1"/>
  <c r="AG23" i="4"/>
  <c r="AG28" i="4" s="1"/>
  <c r="M23" i="4"/>
  <c r="M28" i="4" s="1"/>
  <c r="AL23" i="4"/>
  <c r="AL28" i="4" s="1"/>
  <c r="AB19" i="25" l="1"/>
  <c r="O7" i="17" s="1"/>
  <c r="AB22" i="25"/>
  <c r="R7" i="17" s="1"/>
  <c r="AB16" i="25"/>
  <c r="P10" i="25" s="1"/>
  <c r="AB37" i="25"/>
  <c r="P17" i="25" s="1"/>
  <c r="AB10" i="25"/>
  <c r="P8" i="25" s="1"/>
  <c r="AB25" i="25"/>
  <c r="U7" i="17" s="1"/>
  <c r="AB13" i="25"/>
  <c r="P9" i="25" s="1"/>
  <c r="AB40" i="25"/>
  <c r="AJ7" i="17" s="1"/>
  <c r="AB7" i="25"/>
  <c r="AE5" i="25"/>
  <c r="I7" i="25"/>
  <c r="I8" i="25"/>
  <c r="AB31" i="25"/>
  <c r="AB28" i="25"/>
  <c r="BL39" i="17"/>
  <c r="BL72" i="17"/>
  <c r="BL134" i="17"/>
  <c r="BL151" i="17"/>
  <c r="BL101" i="17"/>
  <c r="BL153" i="17"/>
  <c r="BL37" i="17"/>
  <c r="BL126" i="17"/>
  <c r="BL81" i="17"/>
  <c r="BL25" i="17"/>
  <c r="BL27" i="17"/>
  <c r="BL116" i="17"/>
  <c r="BL26" i="17"/>
  <c r="BL123" i="17"/>
  <c r="BL65" i="17"/>
  <c r="BL90" i="17"/>
  <c r="BL150" i="17"/>
  <c r="BL155" i="17"/>
  <c r="BL66" i="17"/>
  <c r="BL132" i="17"/>
  <c r="BL82" i="17"/>
  <c r="BL22" i="17"/>
  <c r="BL24" i="17"/>
  <c r="BL92" i="17"/>
  <c r="BL113" i="17"/>
  <c r="BL112" i="17"/>
  <c r="BL118" i="17"/>
  <c r="BL31" i="17"/>
  <c r="BL63" i="17"/>
  <c r="BL54" i="17"/>
  <c r="BL98" i="17"/>
  <c r="BL73" i="17"/>
  <c r="BL120" i="17"/>
  <c r="BL114" i="17"/>
  <c r="BL74" i="17"/>
  <c r="BL42" i="17"/>
  <c r="BL79" i="17"/>
  <c r="BL68" i="17"/>
  <c r="BL105" i="17"/>
  <c r="BL57" i="17"/>
  <c r="BL70" i="17"/>
  <c r="BL96" i="17"/>
  <c r="BL129" i="17"/>
  <c r="BL75" i="17"/>
  <c r="BL62" i="17"/>
  <c r="BL149" i="17"/>
  <c r="BL148" i="17"/>
  <c r="BL139" i="17"/>
  <c r="BL144" i="17"/>
  <c r="BL111" i="17"/>
  <c r="BL35" i="17"/>
  <c r="BL80" i="17"/>
  <c r="BL69" i="17"/>
  <c r="BL67" i="17"/>
  <c r="BL122" i="17"/>
  <c r="BL104" i="17"/>
  <c r="BL45" i="17"/>
  <c r="BL154" i="17"/>
  <c r="BL99" i="17"/>
  <c r="BL143" i="17"/>
  <c r="BL64" i="17"/>
  <c r="BL119" i="17"/>
  <c r="BL121" i="17"/>
  <c r="BL103" i="17"/>
  <c r="BL53" i="17"/>
  <c r="BL102" i="17"/>
  <c r="BL130" i="17"/>
  <c r="BL58" i="17"/>
  <c r="BL83" i="17"/>
  <c r="BL20" i="17"/>
  <c r="BL138" i="17"/>
  <c r="BL32" i="17"/>
  <c r="BL30" i="17"/>
  <c r="BL21" i="17"/>
  <c r="BL127" i="17"/>
  <c r="BL136" i="17"/>
  <c r="BL93" i="17"/>
  <c r="BL124" i="17"/>
  <c r="BL71" i="17"/>
  <c r="BL49" i="17"/>
  <c r="BL100" i="17"/>
  <c r="BL107" i="17"/>
  <c r="BL77" i="17"/>
  <c r="BL87" i="17"/>
  <c r="BL135" i="17"/>
  <c r="BL133" i="17"/>
  <c r="BL117" i="17"/>
  <c r="BL40" i="17"/>
  <c r="BL88" i="17"/>
  <c r="BL44" i="17"/>
  <c r="BL91" i="17"/>
  <c r="BL142" i="17"/>
  <c r="BL85" i="17"/>
  <c r="BL36" i="17"/>
  <c r="BL95" i="17"/>
  <c r="BL97" i="17"/>
  <c r="BL76" i="17"/>
  <c r="BL131" i="17"/>
  <c r="BL13" i="17"/>
  <c r="BL140" i="17"/>
  <c r="BL89" i="17"/>
  <c r="BL41" i="17"/>
  <c r="BL50" i="17"/>
  <c r="BL146" i="17"/>
  <c r="BL145" i="17"/>
  <c r="BL61" i="17"/>
  <c r="BL86" i="17"/>
  <c r="BL60" i="17"/>
  <c r="BL38" i="17"/>
  <c r="BL48" i="17"/>
  <c r="BL78" i="17"/>
  <c r="BL147" i="17"/>
  <c r="BL108" i="17"/>
  <c r="BL23" i="17"/>
  <c r="BL56" i="17"/>
  <c r="BL34" i="17"/>
  <c r="BL106" i="17"/>
  <c r="BL110" i="17"/>
  <c r="BL52" i="17"/>
  <c r="BL94" i="17"/>
  <c r="BL115" i="17"/>
  <c r="BL84" i="17"/>
  <c r="BL55" i="17"/>
  <c r="BL109" i="17"/>
  <c r="BL141" i="17"/>
  <c r="BL128" i="17"/>
  <c r="BL125" i="17"/>
  <c r="BL152" i="17"/>
  <c r="BL46" i="17"/>
  <c r="BL43" i="17"/>
  <c r="BL28" i="17"/>
  <c r="BL51" i="17"/>
  <c r="BK23" i="4"/>
  <c r="I9" i="25"/>
  <c r="AB34" i="25"/>
  <c r="L7" i="17" l="1"/>
  <c r="L14" i="17" s="1"/>
  <c r="L15" i="17" s="1"/>
  <c r="P11" i="25"/>
  <c r="R11" i="25" s="1"/>
  <c r="P12" i="25"/>
  <c r="R12" i="25" s="1"/>
  <c r="F7" i="17"/>
  <c r="F7" i="4" s="1"/>
  <c r="P13" i="25"/>
  <c r="R13" i="25" s="1"/>
  <c r="G8" i="25"/>
  <c r="I7" i="17"/>
  <c r="I7" i="4" s="1"/>
  <c r="AG7" i="17"/>
  <c r="AG14" i="17" s="1"/>
  <c r="AG15" i="17" s="1"/>
  <c r="P18" i="25"/>
  <c r="O18" i="25" s="1"/>
  <c r="R10" i="25"/>
  <c r="Q10" i="25"/>
  <c r="O10" i="25"/>
  <c r="P7" i="25"/>
  <c r="AB5" i="25"/>
  <c r="AC4" i="25" s="1"/>
  <c r="G7" i="25"/>
  <c r="C7" i="17"/>
  <c r="Q9" i="25"/>
  <c r="O9" i="25"/>
  <c r="R9" i="25"/>
  <c r="P16" i="25"/>
  <c r="AD7" i="17"/>
  <c r="F39" i="21"/>
  <c r="E44" i="21" s="1"/>
  <c r="BK28" i="4"/>
  <c r="F40" i="21"/>
  <c r="E45" i="21" s="1"/>
  <c r="O14" i="17"/>
  <c r="O15" i="17" s="1"/>
  <c r="O7" i="4"/>
  <c r="U7" i="4"/>
  <c r="U14" i="17"/>
  <c r="U15" i="17" s="1"/>
  <c r="Q17" i="25"/>
  <c r="O17" i="25"/>
  <c r="R17" i="25"/>
  <c r="AA7" i="17"/>
  <c r="P15" i="25"/>
  <c r="G9" i="25"/>
  <c r="R7" i="4"/>
  <c r="R14" i="17"/>
  <c r="R15" i="17" s="1"/>
  <c r="R8" i="25"/>
  <c r="Q8" i="25"/>
  <c r="O8" i="25"/>
  <c r="X7" i="17"/>
  <c r="P14" i="25"/>
  <c r="AJ7" i="4"/>
  <c r="AJ14" i="17"/>
  <c r="AJ15" i="17" s="1"/>
  <c r="L7" i="4" l="1"/>
  <c r="L14" i="4" s="1"/>
  <c r="L15" i="4" s="1"/>
  <c r="F14" i="17"/>
  <c r="F15" i="17" s="1"/>
  <c r="Q11" i="25"/>
  <c r="O12" i="25"/>
  <c r="O11" i="25"/>
  <c r="Q12" i="25"/>
  <c r="O13" i="25"/>
  <c r="Q13" i="25"/>
  <c r="Q18" i="25"/>
  <c r="R18" i="25"/>
  <c r="AG7" i="4"/>
  <c r="AG14" i="4" s="1"/>
  <c r="AG15" i="4" s="1"/>
  <c r="I14" i="17"/>
  <c r="I15" i="17" s="1"/>
  <c r="O14" i="4"/>
  <c r="O15" i="4" s="1"/>
  <c r="AD7" i="4"/>
  <c r="AD14" i="17"/>
  <c r="AD15" i="17" s="1"/>
  <c r="R7" i="25"/>
  <c r="O7" i="25"/>
  <c r="Q7" i="25"/>
  <c r="R15" i="25"/>
  <c r="O15" i="25"/>
  <c r="Q15" i="25"/>
  <c r="R16" i="25"/>
  <c r="Q16" i="25"/>
  <c r="O16" i="25"/>
  <c r="AA7" i="4"/>
  <c r="AA14" i="17"/>
  <c r="AA15" i="17" s="1"/>
  <c r="I14" i="4"/>
  <c r="I15" i="4" s="1"/>
  <c r="F14" i="4"/>
  <c r="F15" i="4" s="1"/>
  <c r="R14" i="4"/>
  <c r="R15" i="4" s="1"/>
  <c r="AJ14" i="4"/>
  <c r="AJ15" i="4" s="1"/>
  <c r="R14" i="25"/>
  <c r="Q14" i="25"/>
  <c r="O14" i="25"/>
  <c r="X14" i="17"/>
  <c r="X15" i="17" s="1"/>
  <c r="X7" i="4"/>
  <c r="U14" i="4"/>
  <c r="U15" i="4" s="1"/>
  <c r="C14" i="17"/>
  <c r="BK7" i="17"/>
  <c r="C7" i="4"/>
  <c r="BL24" i="4"/>
  <c r="BL21" i="4"/>
  <c r="BL22" i="4"/>
  <c r="BL25" i="4"/>
  <c r="BL28" i="4"/>
  <c r="BL26" i="4"/>
  <c r="BL23" i="4"/>
  <c r="BL19" i="4"/>
  <c r="BL27" i="4"/>
  <c r="BL20" i="4"/>
  <c r="BK14" i="17" l="1"/>
  <c r="AA14" i="4"/>
  <c r="AA15" i="4" s="1"/>
  <c r="C15" i="17"/>
  <c r="BK15" i="17" s="1"/>
  <c r="AD14" i="4"/>
  <c r="AD15" i="4" s="1"/>
  <c r="X14" i="4"/>
  <c r="X15" i="4" s="1"/>
  <c r="BK7" i="4"/>
  <c r="C14" i="4"/>
  <c r="C15" i="4" s="1"/>
  <c r="BL14" i="17" l="1"/>
  <c r="BL10" i="17"/>
  <c r="BL11" i="17"/>
  <c r="BL12" i="17"/>
  <c r="BL4" i="17"/>
  <c r="BL8" i="17"/>
  <c r="BL7" i="17"/>
  <c r="BL15" i="17"/>
  <c r="BK15" i="4"/>
  <c r="BK14" i="4"/>
  <c r="BL12" i="4" l="1"/>
  <c r="BL8" i="4"/>
  <c r="BL13" i="4"/>
  <c r="BL4" i="4"/>
  <c r="BL10" i="4"/>
  <c r="BL15" i="4"/>
  <c r="BL11" i="4"/>
  <c r="BL14" i="4"/>
  <c r="BL7" i="4"/>
</calcChain>
</file>

<file path=xl/sharedStrings.xml><?xml version="1.0" encoding="utf-8"?>
<sst xmlns="http://schemas.openxmlformats.org/spreadsheetml/2006/main" count="3343" uniqueCount="626">
  <si>
    <t>Memória de Cálculo
Contrato de Gestão nº 008/2021 celebrado entre a SEJUSP e o Instituto Elo</t>
  </si>
  <si>
    <t>Período Proposto</t>
  </si>
  <si>
    <t>a</t>
  </si>
  <si>
    <t>Versão 8 do Modelo de Memória de Cálculo - Setembro de 2023</t>
  </si>
  <si>
    <t>Selecionar Termo Aditivo ou Em Branco</t>
  </si>
  <si>
    <t>1º Termo Aditivo</t>
  </si>
  <si>
    <t>2º Termo Aditivo</t>
  </si>
  <si>
    <t>3º Termo Aditivo</t>
  </si>
  <si>
    <t>4º Termo Aditivo</t>
  </si>
  <si>
    <t>5º Termo Aditivo</t>
  </si>
  <si>
    <t>6º Termo Aditivo</t>
  </si>
  <si>
    <t>7º Termo Aditivo</t>
  </si>
  <si>
    <t>8º Termo Aditivo</t>
  </si>
  <si>
    <t>9º Termo Aditivo</t>
  </si>
  <si>
    <t>10º Termo Aditivo</t>
  </si>
  <si>
    <t>11º Termo Aditivo</t>
  </si>
  <si>
    <t>12º Termo Aditivo</t>
  </si>
  <si>
    <t>13º Termo Aditivo</t>
  </si>
  <si>
    <t>14º Termo Aditivo</t>
  </si>
  <si>
    <t>15º Termo Aditivo</t>
  </si>
  <si>
    <t>16º Termo Aditivo</t>
  </si>
  <si>
    <t>17º Termo Aditivo</t>
  </si>
  <si>
    <t>18º Termo Aditivo</t>
  </si>
  <si>
    <t>19º Termo Aditivo</t>
  </si>
  <si>
    <t>20º Termo Aditivo</t>
  </si>
  <si>
    <t>Sim</t>
  </si>
  <si>
    <t>Entradas</t>
  </si>
  <si>
    <t>Definição dos Períodos Avaliatórios</t>
  </si>
  <si>
    <t>Orçamento Anual</t>
  </si>
  <si>
    <t>Cronograma de Avaliações</t>
  </si>
  <si>
    <t>Cronograma de Desembolsos</t>
  </si>
  <si>
    <t>Nº</t>
  </si>
  <si>
    <t>Mêses</t>
  </si>
  <si>
    <t>Núm. do Período Automático</t>
  </si>
  <si>
    <t>Núm. do Período Corrigido (Preencher se necessário)</t>
  </si>
  <si>
    <t>Ano</t>
  </si>
  <si>
    <t>Repasses</t>
  </si>
  <si>
    <t>Receitas Arrecadadas</t>
  </si>
  <si>
    <t>Gastos</t>
  </si>
  <si>
    <t>AVALIAÇÃO</t>
  </si>
  <si>
    <t>PERÍODO AVALIADO</t>
  </si>
  <si>
    <t xml:space="preserve">MÊS </t>
  </si>
  <si>
    <t>PARCELAS</t>
  </si>
  <si>
    <t>VALOR (R$)</t>
  </si>
  <si>
    <t>MÊS</t>
  </si>
  <si>
    <t>CONDIÇÕES</t>
  </si>
  <si>
    <t>Mês de CA</t>
  </si>
  <si>
    <t>Mês de Repasse</t>
  </si>
  <si>
    <t>Repasses Anteriores</t>
  </si>
  <si>
    <t>Cont Repasse</t>
  </si>
  <si>
    <t>Nº Repasse</t>
  </si>
  <si>
    <t>PA Ini</t>
  </si>
  <si>
    <t>PA FIM</t>
  </si>
  <si>
    <t>Repasse</t>
  </si>
  <si>
    <t>Outras Receitas (Agrupado p/ Repasse)</t>
  </si>
  <si>
    <t>Soma Outras Receitas</t>
  </si>
  <si>
    <t>Saldo Remancesnte</t>
  </si>
  <si>
    <t>Nº PA selecionado</t>
  </si>
  <si>
    <t>Não</t>
  </si>
  <si>
    <t>Tabela 1 - Previsão Sintética de Receitas e Gastos Mensais em Regime de Competência</t>
  </si>
  <si>
    <t>Total</t>
  </si>
  <si>
    <t>% do Total</t>
  </si>
  <si>
    <t>SR</t>
  </si>
  <si>
    <t>Saldo Remanescente</t>
  </si>
  <si>
    <t>Entrada de Recursos</t>
  </si>
  <si>
    <t>1.1</t>
  </si>
  <si>
    <t>1.2</t>
  </si>
  <si>
    <t>Rendimentos Fin.</t>
  </si>
  <si>
    <t>1.3</t>
  </si>
  <si>
    <t>1.3.1</t>
  </si>
  <si>
    <t>Receitas Arrecadadas Previstas</t>
  </si>
  <si>
    <t>1.3.2</t>
  </si>
  <si>
    <t>Rendimentos Fin. c/ Destinação Específica</t>
  </si>
  <si>
    <t>1.3.3</t>
  </si>
  <si>
    <t>Outras Receitas</t>
  </si>
  <si>
    <t>Subtotal Receitas:</t>
  </si>
  <si>
    <t>(E) Total de Entradas:</t>
  </si>
  <si>
    <t>S. Rem. (SR) + Ent. (E)</t>
  </si>
  <si>
    <t>Saída de Recursos</t>
  </si>
  <si>
    <t>2.1</t>
  </si>
  <si>
    <t>Gastos com Pessoal</t>
  </si>
  <si>
    <t>2.1.1</t>
  </si>
  <si>
    <t>Salários</t>
  </si>
  <si>
    <t>2.1.2</t>
  </si>
  <si>
    <t>Estagiários</t>
  </si>
  <si>
    <t>2.1.3</t>
  </si>
  <si>
    <t>Encargos</t>
  </si>
  <si>
    <t>2.1.4</t>
  </si>
  <si>
    <t>Benefícios</t>
  </si>
  <si>
    <t>Subtotal Pessoal:</t>
  </si>
  <si>
    <t>2.2</t>
  </si>
  <si>
    <t>Gastos Gerais</t>
  </si>
  <si>
    <t>2.3</t>
  </si>
  <si>
    <t>Aquisição de Bens Permanentes</t>
  </si>
  <si>
    <t>2.4</t>
  </si>
  <si>
    <t>Transferência para Reserva</t>
  </si>
  <si>
    <t>2.5</t>
  </si>
  <si>
    <t>Custos de Desmobilização</t>
  </si>
  <si>
    <t>(S) Total de Saídas:</t>
  </si>
  <si>
    <t>Tabela 2 - Previsão de Gastos Gerais das Atividades</t>
  </si>
  <si>
    <t>Atividades</t>
  </si>
  <si>
    <t>Área Meio</t>
  </si>
  <si>
    <t>CEIP Araxá</t>
  </si>
  <si>
    <t>CSE Ipatinga</t>
  </si>
  <si>
    <t>CSE Lindeia</t>
  </si>
  <si>
    <t>CSE Santa Clara</t>
  </si>
  <si>
    <t>CSE São Jerônimo</t>
  </si>
  <si>
    <t>CSE Santa Helena</t>
  </si>
  <si>
    <t>CSE Uberaba</t>
  </si>
  <si>
    <t>CEIP Sete Lagoas</t>
  </si>
  <si>
    <t>CSE Unaí</t>
  </si>
  <si>
    <t>CSE Tupaciguara</t>
  </si>
  <si>
    <t>Destinação dos Gastos com Pessoal</t>
  </si>
  <si>
    <t>Destinação</t>
  </si>
  <si>
    <t>%</t>
  </si>
  <si>
    <t>Valor</t>
  </si>
  <si>
    <t>Área Fim</t>
  </si>
  <si>
    <t>Destinação dos Gastos Gerais e de Pessoal</t>
  </si>
  <si>
    <t>Tabela 3 - Previsão Analítica de Receitas e Gastos Mensais em Regime de Competência</t>
  </si>
  <si>
    <t>Subtotal Receitas</t>
  </si>
  <si>
    <t>(E) Total de Entradas</t>
  </si>
  <si>
    <t>Saldo Rem. (SR) + Entradas (E)</t>
  </si>
  <si>
    <t>Salários e Remunerações</t>
  </si>
  <si>
    <t>2.1.1.1</t>
  </si>
  <si>
    <t>2.1.1.2</t>
  </si>
  <si>
    <t>Adicional Noturno</t>
  </si>
  <si>
    <t>2.1.1.3</t>
  </si>
  <si>
    <t>DSR Adicional Noturno</t>
  </si>
  <si>
    <t>2.1.1.4</t>
  </si>
  <si>
    <t>Horas Extras</t>
  </si>
  <si>
    <t>2.1.1.5</t>
  </si>
  <si>
    <t>DSR Horas Extras</t>
  </si>
  <si>
    <t>2.1.1.6</t>
  </si>
  <si>
    <t>Adicional Periculosidade</t>
  </si>
  <si>
    <t>2.1.1.7</t>
  </si>
  <si>
    <t>Gratificação de função</t>
  </si>
  <si>
    <t>2.1.1.8</t>
  </si>
  <si>
    <t>Outros Gastos com Pessoal</t>
  </si>
  <si>
    <t>Subtotal Salários :</t>
  </si>
  <si>
    <t>2.1.2.1</t>
  </si>
  <si>
    <t>Bolsas Estágio</t>
  </si>
  <si>
    <t>2.1.2.2</t>
  </si>
  <si>
    <t>Auxílio Transporte</t>
  </si>
  <si>
    <t>Subtotal Estagiários:</t>
  </si>
  <si>
    <t>2.1.3.1</t>
  </si>
  <si>
    <t>INSS Patronal</t>
  </si>
  <si>
    <t>2.1.3.2</t>
  </si>
  <si>
    <t>PIS</t>
  </si>
  <si>
    <t>2.1.3.3</t>
  </si>
  <si>
    <t>FGTS</t>
  </si>
  <si>
    <t>2.1.3.4</t>
  </si>
  <si>
    <t>FGTS Multa Rescisória</t>
  </si>
  <si>
    <t>2.1.3.5</t>
  </si>
  <si>
    <t>13º Salário</t>
  </si>
  <si>
    <t>2.1.3.6</t>
  </si>
  <si>
    <t>Férias</t>
  </si>
  <si>
    <t>2.1.3.7</t>
  </si>
  <si>
    <t>1/3 de Férias</t>
  </si>
  <si>
    <t>2.1.3.8</t>
  </si>
  <si>
    <t>Rescisão de Trabalho</t>
  </si>
  <si>
    <t>2.1.3.9</t>
  </si>
  <si>
    <t>Medicina e Segurança do Trabalho</t>
  </si>
  <si>
    <t>2.1.3.10</t>
  </si>
  <si>
    <t>Custas com Justiça do Trabalho</t>
  </si>
  <si>
    <t>2.1.3.11</t>
  </si>
  <si>
    <t>Despesas Sindicais</t>
  </si>
  <si>
    <t>2.1.3.12</t>
  </si>
  <si>
    <t>Outros Encargos Trabalhistas</t>
  </si>
  <si>
    <t>Subtotal Encargos Trabalhistas:</t>
  </si>
  <si>
    <t>2.1.4.1</t>
  </si>
  <si>
    <t>Vale Transporte</t>
  </si>
  <si>
    <t>2.1.4.2</t>
  </si>
  <si>
    <t>Vale Alimentação</t>
  </si>
  <si>
    <t>2.1.4.3</t>
  </si>
  <si>
    <t>Plano de Saúde</t>
  </si>
  <si>
    <t>2.1.4.4</t>
  </si>
  <si>
    <t>Seguro de Vida</t>
  </si>
  <si>
    <t>2.1.4.5</t>
  </si>
  <si>
    <t>Plano Odontológico</t>
  </si>
  <si>
    <t>2.1.4.6</t>
  </si>
  <si>
    <t>Cesta Básica</t>
  </si>
  <si>
    <t>2.1.4.7</t>
  </si>
  <si>
    <t>Bem Estar Social</t>
  </si>
  <si>
    <t>2.1.4.8</t>
  </si>
  <si>
    <t>Cessão de Imagem</t>
  </si>
  <si>
    <t>2.1.4.9</t>
  </si>
  <si>
    <t>Outros Benefícios</t>
  </si>
  <si>
    <t>Subtotal Benefícios:</t>
  </si>
  <si>
    <t>2.2.1</t>
  </si>
  <si>
    <t>Aluguel</t>
  </si>
  <si>
    <t>2.2.2</t>
  </si>
  <si>
    <t>Condomínio</t>
  </si>
  <si>
    <t>2.2.3</t>
  </si>
  <si>
    <t>IPTU</t>
  </si>
  <si>
    <t>2.2.4</t>
  </si>
  <si>
    <t>Seguros de Imóveis</t>
  </si>
  <si>
    <t>2.2.5</t>
  </si>
  <si>
    <t>Energia Elétrica</t>
  </si>
  <si>
    <t>2.2.6</t>
  </si>
  <si>
    <t>Água e Esgoto</t>
  </si>
  <si>
    <t>2.2.7</t>
  </si>
  <si>
    <t>Telefone Fixo</t>
  </si>
  <si>
    <t>2.2.8</t>
  </si>
  <si>
    <t>Telefone Móvel</t>
  </si>
  <si>
    <t>2.2.9</t>
  </si>
  <si>
    <t>Internet</t>
  </si>
  <si>
    <t>2.2.10</t>
  </si>
  <si>
    <t>Serviços de Internet (Web Design, Hospedagem de Site, outros)</t>
  </si>
  <si>
    <t>2.2.11</t>
  </si>
  <si>
    <t>Assessoria Contábil</t>
  </si>
  <si>
    <t>2.2.12</t>
  </si>
  <si>
    <t>Assessoria Jurídica</t>
  </si>
  <si>
    <t>2.2.13</t>
  </si>
  <si>
    <t>Auditoria Externa</t>
  </si>
  <si>
    <t>2.2.14</t>
  </si>
  <si>
    <t>Consultoria</t>
  </si>
  <si>
    <t>2.2.15</t>
  </si>
  <si>
    <t>Publicidade, Comunicação e Marketing</t>
  </si>
  <si>
    <t>2.2.16</t>
  </si>
  <si>
    <t>Serviços de Registro/Produção Audiovisual</t>
  </si>
  <si>
    <t>2.2.17</t>
  </si>
  <si>
    <t>Assinatura de Certificado Digital</t>
  </si>
  <si>
    <t>2.2.18</t>
  </si>
  <si>
    <t>Assinatura de Periódicos e Aquisição de Livros</t>
  </si>
  <si>
    <t>2.2.19</t>
  </si>
  <si>
    <t>Aquisição e Suporte em Softwares</t>
  </si>
  <si>
    <t>2.2.20</t>
  </si>
  <si>
    <t>Manutenção e Reparos em Redes e Computadores</t>
  </si>
  <si>
    <t>2.2.21</t>
  </si>
  <si>
    <t>Serviços de Instalação e Manutenção Elétrica e Hidráulica</t>
  </si>
  <si>
    <t>2.2.22</t>
  </si>
  <si>
    <t>Manutenção e Reparos em Ar Condicionado</t>
  </si>
  <si>
    <t>2.2.23</t>
  </si>
  <si>
    <t>Serviços de Montagem e Desmontagem de Mobiliário</t>
  </si>
  <si>
    <t>2.2.24</t>
  </si>
  <si>
    <t>Locação de Equipamentos e Máquinas</t>
  </si>
  <si>
    <t>2.2.25</t>
  </si>
  <si>
    <t>Serviços de Manutenção em Equipamentos e Máquinas</t>
  </si>
  <si>
    <t>2.2.26</t>
  </si>
  <si>
    <t>Uniformes</t>
  </si>
  <si>
    <t>2.2.27</t>
  </si>
  <si>
    <t>Serviços de Entrega/Recarga de Vale Transportes</t>
  </si>
  <si>
    <t>2.2.28</t>
  </si>
  <si>
    <t>Serviços de Mão-de-obra Terceirizada</t>
  </si>
  <si>
    <t>2.2.29</t>
  </si>
  <si>
    <t>Serviços de Motoboy</t>
  </si>
  <si>
    <t>2.2.30</t>
  </si>
  <si>
    <t>Serviços de Segurança</t>
  </si>
  <si>
    <t>2.2.31</t>
  </si>
  <si>
    <t>Correios e Telégrafos</t>
  </si>
  <si>
    <t>2.2.32</t>
  </si>
  <si>
    <t>Cartório</t>
  </si>
  <si>
    <t>2.2.33</t>
  </si>
  <si>
    <t>Despesas Bancárias</t>
  </si>
  <si>
    <t>2.2.34</t>
  </si>
  <si>
    <t>Taxa de Expediente</t>
  </si>
  <si>
    <t>2.2.35</t>
  </si>
  <si>
    <t>Taxas Municipais, Estaduais e Federais</t>
  </si>
  <si>
    <t>2.2.36</t>
  </si>
  <si>
    <t>I.O.F</t>
  </si>
  <si>
    <t>2.2.37</t>
  </si>
  <si>
    <t>I.R.R.F s/ Aplicações</t>
  </si>
  <si>
    <t>2.2.38</t>
  </si>
  <si>
    <t>Juros e Multas</t>
  </si>
  <si>
    <t>2.2.39</t>
  </si>
  <si>
    <t>Material de Limpeza</t>
  </si>
  <si>
    <t>2.2.40</t>
  </si>
  <si>
    <t>Material de Copa e Cozinha</t>
  </si>
  <si>
    <t>2.2.41</t>
  </si>
  <si>
    <t>Lanches e Refeiçoes</t>
  </si>
  <si>
    <t>2.2.42</t>
  </si>
  <si>
    <t>Serviços Gráficos</t>
  </si>
  <si>
    <t>2.2.43</t>
  </si>
  <si>
    <t>Material de Informática</t>
  </si>
  <si>
    <t>2.2.44</t>
  </si>
  <si>
    <t>Material de Escritorio</t>
  </si>
  <si>
    <t>2.2.45</t>
  </si>
  <si>
    <t>Material Pedagógico/Didático</t>
  </si>
  <si>
    <t>2.2.46</t>
  </si>
  <si>
    <t>Locação de Espaço</t>
  </si>
  <si>
    <t>2.2.47</t>
  </si>
  <si>
    <t>Buffet</t>
  </si>
  <si>
    <t>2.2.48</t>
  </si>
  <si>
    <t>Eventos</t>
  </si>
  <si>
    <t>2.2.49</t>
  </si>
  <si>
    <t>Cursos</t>
  </si>
  <si>
    <t>2.2.50</t>
  </si>
  <si>
    <t>Taxi</t>
  </si>
  <si>
    <t>2.2.51</t>
  </si>
  <si>
    <t>Locação de Veículos</t>
  </si>
  <si>
    <t>2.2.52</t>
  </si>
  <si>
    <t>Locação de Veículos com Motorista</t>
  </si>
  <si>
    <t>2.2.53</t>
  </si>
  <si>
    <t>Fretes e Carretos</t>
  </si>
  <si>
    <t>2.2.54</t>
  </si>
  <si>
    <t>Combustível</t>
  </si>
  <si>
    <t>2.2.55</t>
  </si>
  <si>
    <t>Estacionamento</t>
  </si>
  <si>
    <t>2.2.56</t>
  </si>
  <si>
    <t>IPVA/Seguro Obrigatório/Licenciamento</t>
  </si>
  <si>
    <t>2.2.57</t>
  </si>
  <si>
    <t>Seguro de Veículos</t>
  </si>
  <si>
    <t>2.2.58</t>
  </si>
  <si>
    <t>Manutenção em Veículos</t>
  </si>
  <si>
    <t>2.2.59</t>
  </si>
  <si>
    <t>Despesas de Viagem - Passagem Aérea</t>
  </si>
  <si>
    <t>2.2.60</t>
  </si>
  <si>
    <t>Despesas de Viagem - Passagem Terrestre</t>
  </si>
  <si>
    <t>2.2.61</t>
  </si>
  <si>
    <t>Despesas de Viagem</t>
  </si>
  <si>
    <t>2.2.62</t>
  </si>
  <si>
    <t>Outros Gastos Gerais</t>
  </si>
  <si>
    <t>2.2.63</t>
  </si>
  <si>
    <t>Serviço de controle de pragas urbanas e higienização de caixa d'água/reservatório de água</t>
  </si>
  <si>
    <t>2.2.64</t>
  </si>
  <si>
    <t>Serviços de manutenção ou reparo de imóvel</t>
  </si>
  <si>
    <t>2.2.65</t>
  </si>
  <si>
    <t>Serviço de carga e recarga de extintores</t>
  </si>
  <si>
    <t>2.2.66</t>
  </si>
  <si>
    <t>Gás de cozinha</t>
  </si>
  <si>
    <t>2.2.67</t>
  </si>
  <si>
    <t>Auto de Vistoria do Corpo de Bombeiros/Projeto contra Incêndio</t>
  </si>
  <si>
    <t>2.2.68</t>
  </si>
  <si>
    <t>Roupa de Cama/Banho</t>
  </si>
  <si>
    <t>2.2.69</t>
  </si>
  <si>
    <t>Artigos de higiene pessoal</t>
  </si>
  <si>
    <t>2.2.70</t>
  </si>
  <si>
    <t>Equipamentos para segurança pessoal e industrial</t>
  </si>
  <si>
    <t>2.2.71</t>
  </si>
  <si>
    <t>Medicamentos e produtos farmacêuticos</t>
  </si>
  <si>
    <t>2.2.72</t>
  </si>
  <si>
    <t>Material elétrico e eletrônico</t>
  </si>
  <si>
    <t>2.2.73</t>
  </si>
  <si>
    <t>Fotografias para registros</t>
  </si>
  <si>
    <t>2.2.74</t>
  </si>
  <si>
    <t>Coleta de Resíduo Hospitalar</t>
  </si>
  <si>
    <t>2.2.75</t>
  </si>
  <si>
    <t>Coleta de Resíduos Sólidos</t>
  </si>
  <si>
    <t>2.2.76</t>
  </si>
  <si>
    <t>Lavagem de Roupas</t>
  </si>
  <si>
    <t>Subtotal Gastos Gerais:</t>
  </si>
  <si>
    <t>2.3.1</t>
  </si>
  <si>
    <t>Máquinas, Aparelhos, Utensílios e Equipamentos de Uso Industrial</t>
  </si>
  <si>
    <t>2.3.2</t>
  </si>
  <si>
    <t>Equipamentos de Comunicação e Telefonia</t>
  </si>
  <si>
    <t>2.3.3</t>
  </si>
  <si>
    <t>Equipamentos de Informática</t>
  </si>
  <si>
    <t>2.3.4</t>
  </si>
  <si>
    <t>Equipamentos de Som, Vídeo, Fotográfico e Cinematográfico</t>
  </si>
  <si>
    <t>2.3.5</t>
  </si>
  <si>
    <t>Máquinas, Aparelhos, Utensílios e Equip. de Uso Administrativo</t>
  </si>
  <si>
    <t>2.3.6</t>
  </si>
  <si>
    <t>Material Esportivo e Recreativo</t>
  </si>
  <si>
    <t>2.3.7</t>
  </si>
  <si>
    <t>Mobiliário</t>
  </si>
  <si>
    <t>2.3.8</t>
  </si>
  <si>
    <t>Veículos</t>
  </si>
  <si>
    <t>2.3.9</t>
  </si>
  <si>
    <t>Coleção e Materiais Bibliográficos</t>
  </si>
  <si>
    <t>2.3.10</t>
  </si>
  <si>
    <t>Instrumentos Musicais e Artísticos</t>
  </si>
  <si>
    <t>2.3.11</t>
  </si>
  <si>
    <t>Equipamentos de Segurança Eletrônica</t>
  </si>
  <si>
    <t>2.3.12</t>
  </si>
  <si>
    <t>Material Didático</t>
  </si>
  <si>
    <t>2.3.13</t>
  </si>
  <si>
    <t>Partituras</t>
  </si>
  <si>
    <t>2.3.14</t>
  </si>
  <si>
    <t>Outros Materiais Permanentes</t>
  </si>
  <si>
    <t>Subtotal Aquisição de Bens:</t>
  </si>
  <si>
    <t>(S) Total de Saídas</t>
  </si>
  <si>
    <t>Tabela 4 - Previsão Mensal dos Encargos e Benefícios de Pessoal</t>
  </si>
  <si>
    <t>Detalhamento Celetistas</t>
  </si>
  <si>
    <t>Total
(Rem. Bruta
+ Encargos
+ Benefícios)</t>
  </si>
  <si>
    <t>Cargo</t>
  </si>
  <si>
    <t>Qnt. Trab.</t>
  </si>
  <si>
    <t>Salário Individual</t>
  </si>
  <si>
    <t>Gratificação de Função</t>
  </si>
  <si>
    <t>Diretor Geral de Unidade Socioeducativa (SÃO JERÔNIMO)</t>
  </si>
  <si>
    <t>Analista Administrativo (São Jerônimo)</t>
  </si>
  <si>
    <t>Diretor de Atendimento (SÃO JERÔNIMO)</t>
  </si>
  <si>
    <t>Analista de Pedagogia</t>
  </si>
  <si>
    <t>Analista de Psicologia</t>
  </si>
  <si>
    <t>Analista de Terapia Ocupacional</t>
  </si>
  <si>
    <t>Analista de Assistencia Social</t>
  </si>
  <si>
    <t>Analista de Direito</t>
  </si>
  <si>
    <t>Analista de Educação Física</t>
  </si>
  <si>
    <t>Auxiliar Educacional</t>
  </si>
  <si>
    <t>Auxiliar Administrativo</t>
  </si>
  <si>
    <t>Auxiliar de Serviços Gerais</t>
  </si>
  <si>
    <t>Motorista</t>
  </si>
  <si>
    <t>Socioeducador</t>
  </si>
  <si>
    <t xml:space="preserve">Supervisor </t>
  </si>
  <si>
    <t>Enfermeiro</t>
  </si>
  <si>
    <t>Técnico de Enfermagem</t>
  </si>
  <si>
    <t>Porteiro</t>
  </si>
  <si>
    <t>Diretor Geral de Unidade Socioeducativa (LINDÉIA)</t>
  </si>
  <si>
    <t>Analista Administrativo (Lindéia)</t>
  </si>
  <si>
    <t>Diretor de Atendimento (LINDÉIA)</t>
  </si>
  <si>
    <t>Supervisor</t>
  </si>
  <si>
    <t>Diretor Geral de Unidade Socioeducativa (SANTA HELENA)</t>
  </si>
  <si>
    <t>Analista Administrativo (SANTA HELENA)</t>
  </si>
  <si>
    <t>Diretor de Atendimento (SANTA HELENA)</t>
  </si>
  <si>
    <t>Diretor Geral de Unidade Socioeducativa (SETE LAGOAS)</t>
  </si>
  <si>
    <t>Analista Administrativo (SETE LAGOAS)</t>
  </si>
  <si>
    <t>Diretor de Atendimento (SETE LAGOAS)</t>
  </si>
  <si>
    <t>Diretor Geral de Unidade Socioeducativa (SANTA CLARA)</t>
  </si>
  <si>
    <t>Analista Administrativo (SANTA CLARA)</t>
  </si>
  <si>
    <t>Diretor de Atendimento (SANTA CLARA)</t>
  </si>
  <si>
    <t>Dentista</t>
  </si>
  <si>
    <t>Técnico em Saúde Bucal</t>
  </si>
  <si>
    <t>Diretor Geral de Unidade Socioeducativa (IPATINGA)</t>
  </si>
  <si>
    <t xml:space="preserve">Analista Administrativo </t>
  </si>
  <si>
    <t>Diretor de Atendimento (IPATINGA)</t>
  </si>
  <si>
    <t>Diretor Geral de Unidade Socioeducativa (ARAXÁ)</t>
  </si>
  <si>
    <t>Diretor de Atendimento (ARAXÁ)</t>
  </si>
  <si>
    <t>Diretor Geral de Unidade Socioeducativa (UBERABA)</t>
  </si>
  <si>
    <t>Analista Administrativo (UBERABA)</t>
  </si>
  <si>
    <t>Diretor de Atendimento (UBERABA)</t>
  </si>
  <si>
    <t>Analista de educação Física</t>
  </si>
  <si>
    <t>Técnico Saúde Bucal</t>
  </si>
  <si>
    <t>Diretor Geral de  Unidade Socioeducativa (UNAÍ)</t>
  </si>
  <si>
    <t>Analista Administrativo (UNAI)</t>
  </si>
  <si>
    <t>Diretor de Atendimentos (UNAÍ)</t>
  </si>
  <si>
    <t>Diretor Geral de Unidade Socioeducativa (TUPACIGUARA)</t>
  </si>
  <si>
    <t>Diretor de Atendimento (TUPACIGUARA)</t>
  </si>
  <si>
    <t>Analista Administrativo (Tupaciguara)</t>
  </si>
  <si>
    <t>Analista Administrativo (Araxa)</t>
  </si>
  <si>
    <t>Analista de Terapia Ocupacional (Araxá)</t>
  </si>
  <si>
    <t>Diretor Administrativo/Financeiro</t>
  </si>
  <si>
    <t>Diretor Geral do CG (Técnico e Institucional )</t>
  </si>
  <si>
    <t>Analista Administrativo</t>
  </si>
  <si>
    <t>Assistente Administrativo</t>
  </si>
  <si>
    <t>Recepcionista</t>
  </si>
  <si>
    <t xml:space="preserve">Supervisão Técnica de Monitoramento </t>
  </si>
  <si>
    <t xml:space="preserve">Supervisão Técnica de Monitoria </t>
  </si>
  <si>
    <t xml:space="preserve">Assessor Jurídico </t>
  </si>
  <si>
    <t>Detalhamento Estagiários</t>
  </si>
  <si>
    <t>Total
(Bolsa Estág.
+ Férias
+ Benefícios)</t>
  </si>
  <si>
    <t>Qnt. Estag.</t>
  </si>
  <si>
    <t>Bolsa Estágio
Individual</t>
  </si>
  <si>
    <t>Tabela 5 - Previsão de Gastos com Pessoal</t>
  </si>
  <si>
    <t xml:space="preserve">Plano de Saúde </t>
  </si>
  <si>
    <t>Qnt. Trabalhadores</t>
  </si>
  <si>
    <t>Carga-Horária 
(Semanal)</t>
  </si>
  <si>
    <t>Mês Inicial de Trabalho</t>
  </si>
  <si>
    <t>Mês Final de Trabalho</t>
  </si>
  <si>
    <t>1ª Convenção Coletiva de Trabalho - CCT</t>
  </si>
  <si>
    <t>2ª Convenção Coletiva de Trabalho - CCT</t>
  </si>
  <si>
    <t>3ª Convenção Coletiva de Trabalho - CCT</t>
  </si>
  <si>
    <t>4ª Convenção Coletiva de Trabalho - CCT</t>
  </si>
  <si>
    <t>5ª Convenção Coletiva de Trabalho - CCT</t>
  </si>
  <si>
    <t>Gastos Mensais 
Antes do Reajuste</t>
  </si>
  <si>
    <t>PESQUISA DE MERCADO¹</t>
  </si>
  <si>
    <t>Mês da Data Base</t>
  </si>
  <si>
    <t>% de Reajuste da Rem.</t>
  </si>
  <si>
    <t>Aumento do Valor dos Benefícios</t>
  </si>
  <si>
    <t>Remuneração Bruta do Cargo</t>
  </si>
  <si>
    <t xml:space="preserve">Total
(Rem. Bruta
+ Encargos
+ Benefícios) </t>
  </si>
  <si>
    <t>Salário Médio</t>
  </si>
  <si>
    <t>Menor Salário</t>
  </si>
  <si>
    <t>Maior Salário</t>
  </si>
  <si>
    <t>1º Aumento de Bolsa Estágio</t>
  </si>
  <si>
    <t>2º Aumento de Bolsa Estágio</t>
  </si>
  <si>
    <t>3º Aumento de Bolsa Estágio</t>
  </si>
  <si>
    <t>4º Aumento de Bolsa Estágio</t>
  </si>
  <si>
    <t>5º Aumento de Bolsa Estágio</t>
  </si>
  <si>
    <t>% de Reajuste da Bolsa Estágio</t>
  </si>
  <si>
    <t>1) Descrição da Pesquisa de Mercado</t>
  </si>
  <si>
    <t>Tabela 6 - Previsão de Aquisição de Bens Permanentes</t>
  </si>
  <si>
    <t>Item</t>
  </si>
  <si>
    <t>Subcategoria</t>
  </si>
  <si>
    <t>Descrição</t>
  </si>
  <si>
    <t>Mês</t>
  </si>
  <si>
    <t>Valor Unitário</t>
  </si>
  <si>
    <t>Quantidade</t>
  </si>
  <si>
    <t>Justificativa para Aquisição</t>
  </si>
  <si>
    <t>Mobiliário e equipamentos para Unidades</t>
  </si>
  <si>
    <t>Mobiliário para atender às demanadas das Unidades, incluindo mesas, cadeira, eletrodomesticos, armários, geladeiras, fornos, ar condicionado, scanner de patrimônio etc Todas unidades socioeducativas e sede admnistrativa</t>
  </si>
  <si>
    <t>Implantação de Sistema de CFTV</t>
  </si>
  <si>
    <t>Veículo operacionais</t>
  </si>
  <si>
    <t>Aquisição de veículo  para realização de atividades administrativas, técnicas e  de escolta da unidade socioeducativa</t>
  </si>
  <si>
    <t>Equipamentos de enfermagem/odontológicos  para equipar unidades socioeducativas</t>
  </si>
  <si>
    <t>Aquisição de macas, cadeiras, balanças e outros equipamentos de saúde para unidades socioeducativas</t>
  </si>
  <si>
    <t>Computadores para unidades socioeducativa</t>
  </si>
  <si>
    <t>Equipamentos de informática  para atender a demanda do Contrato de Gestão em todas as unidades e sede administrativa</t>
  </si>
  <si>
    <t>Rádios comunicadores</t>
  </si>
  <si>
    <t>Rádios específios seguindo parâmetros da SUASE para garantir comunicação nas unidades socioeducativas</t>
  </si>
  <si>
    <t>Tabela 7 - Previsão Detalhada do Fluxo de Gastos Gerais em Regime de Competência</t>
  </si>
  <si>
    <t>Nº Lançto</t>
  </si>
  <si>
    <t>Mês Inicial</t>
  </si>
  <si>
    <t>Mês Final</t>
  </si>
  <si>
    <t>Observações</t>
  </si>
  <si>
    <t>Valor Total do Lançamento</t>
  </si>
  <si>
    <t>Despesas emergenciais para atender demandas oriundas de decisões judiciais ou de outros gastos para garantia de direitos dos adolesentes não previstas</t>
  </si>
  <si>
    <t>Locação de BodyScan para unidade Socioeducativa</t>
  </si>
  <si>
    <t>Manutenção e ampliação do uso do CFTV (gravação de imagens e backup)</t>
  </si>
  <si>
    <t>Serviços de manutenção de máquinas e equipamentos como geradores, eletrodomésticos, etc.</t>
  </si>
  <si>
    <t>Limpeza de caixas d'água</t>
  </si>
  <si>
    <t>oferta de oficinas de profissionalização aos adolescentes com a contratação de monitores e aquisição de insumos</t>
  </si>
  <si>
    <t>Manutenção períodica da unidade como troca de disjuntores e fiação, reparos hidraúlicos, pequenas pinturas, etc</t>
  </si>
  <si>
    <t>Locação de impressoras e fornecimento de toner</t>
  </si>
  <si>
    <t>Remessa de documentos para as Unidades do interior (holerites, contratos de trabalho, folhas de ponto, etc)</t>
  </si>
  <si>
    <t>Serviços de carga dos extintores das unidades socioeducativas</t>
  </si>
  <si>
    <t>Despesas de energia elétrica das Unidades Socioeducativas</t>
  </si>
  <si>
    <t>Pagamento das despesas de água e esgoto das unidades</t>
  </si>
  <si>
    <t>Telefonia e internet para unidade</t>
  </si>
  <si>
    <t>Taxa anual de Fiscalização, Localização e Funcionamento - TFLF</t>
  </si>
  <si>
    <t>Artigos de escritório para as Unidades</t>
  </si>
  <si>
    <t>Aquisição e reposição de colchões e roupas de cama</t>
  </si>
  <si>
    <t>Aquisição de artigos de higiene pessoal para adolescentes em unidades socioeducativas</t>
  </si>
  <si>
    <t xml:space="preserve">Algemas, cadeados, luvas e mascara e outros epis necessários ao trabalho </t>
  </si>
  <si>
    <t>Aquisição de materiais de limpeza para unidades socioeducativas</t>
  </si>
  <si>
    <t>Aquisição de insumos para enfermaria das unidades</t>
  </si>
  <si>
    <t>Uniformes para funcionários</t>
  </si>
  <si>
    <t xml:space="preserve">Vestuário para Adolescentes </t>
  </si>
  <si>
    <t>(Lâmpadas, chveiro, ducha, etc)</t>
  </si>
  <si>
    <t>Fotográfias para registro dos adolescentes em cursos, em fichas internas nas unidades e outros</t>
  </si>
  <si>
    <t>Materiais para oficinas e profissionalização</t>
  </si>
  <si>
    <t>Despesas com viagem para equipes, adolescentes e familiares (hospedagem, diárias, transporte)</t>
  </si>
  <si>
    <t>Troca de oléo, manutenção e reparo em veículos</t>
  </si>
  <si>
    <t>Combustível e lubrificantes</t>
  </si>
  <si>
    <t>Contratação de serviço de coleta de resíduos hospitalares para Unidades Socioeducativas</t>
  </si>
  <si>
    <t>Coleta de resíduos sólidos</t>
  </si>
  <si>
    <t>Lavagem de roupas (lençol, cobertor, toalha, moleton, etc)</t>
  </si>
  <si>
    <t>Equipamentos periféricos, acessórios e suplementos dos processadores de dados em geral</t>
  </si>
  <si>
    <t>Materiais e equipamentos para recreação e desporto</t>
  </si>
  <si>
    <t>Obras de reparos e adequações em Unidades Socioeducativas</t>
  </si>
  <si>
    <t>Manutençaõ mensal de ar condicionado em unidades socioeducativas</t>
  </si>
  <si>
    <t>Seguro total de veículo administrativo e de cela humanizada</t>
  </si>
  <si>
    <t xml:space="preserve">Automóvel - tributos, taxas, tarifas, referente ao ano de 2024 para 3 veículos </t>
  </si>
  <si>
    <t>Dedetização para controle de pragas urbanas</t>
  </si>
  <si>
    <t>Fornecimento contínuo de refeição e lanches dentro das Unidades</t>
  </si>
  <si>
    <t xml:space="preserve">Serviço de limpeza e capina no imóvel </t>
  </si>
  <si>
    <t xml:space="preserve">assinatura do certificado digital para acesso ao pje de processos de adolescentes </t>
  </si>
  <si>
    <t>Uniformes para adolescentes</t>
  </si>
  <si>
    <t>Licença de Uso do Software para Identificação e Controle de Bens Patrimoniados Plataforma 100% web; Controle de bens físicos, por unidade, centro de custos e localização física; Cadastro inteligente de controle patrimonial (Descrição, centro de custo, localização, estado de conservação, data aquisição, fornecedor, responsável, valor, fotos,  número de identificação e etiquetas);</t>
  </si>
  <si>
    <t>Serialização de etiquetas para controle patrimonial do tecnologia RFID</t>
  </si>
  <si>
    <t>Prestação de serviços de impressão de 12000 etiquetas personalizadas RFID para controle de patrimônio</t>
  </si>
  <si>
    <t>Sede Administrativa</t>
  </si>
  <si>
    <t>Sede Administrativa para atender demandas do CG 008/2021</t>
  </si>
  <si>
    <t>Escrituração Fiscal e Pessoal e outros serviços contábeis</t>
  </si>
  <si>
    <t>Seguro da sede administrativa para atender a demanda do CG 008/2021</t>
  </si>
  <si>
    <t>Manutenção mensal de ar condicionado</t>
  </si>
  <si>
    <t xml:space="preserve">Cursos de capacitação e aprimoramento sede admistrativa para atender demandas do CG </t>
  </si>
  <si>
    <t>Tarifa manutenção de conta e serviços bancários</t>
  </si>
  <si>
    <t>Equipamentos e insumos de copa e cozinha</t>
  </si>
  <si>
    <t xml:space="preserve">Visitas de Supervisão RH, Monitoramento e Administrativo nas Unidades Socioeducativas -diárias de viagem </t>
  </si>
  <si>
    <t>Visitas de Supervisão RH, Monitoramento e Administrativo nas Unidades Socioeducativas -transporte terrestre ou aéreo</t>
  </si>
  <si>
    <t>Serviços de disponibilização de e-mail para atender ao CG 008/2021</t>
  </si>
  <si>
    <t>Aluguel sede administrativa do Contrato e espaço de capacitação equipes e processos seletivos</t>
  </si>
  <si>
    <t>Luvas, máscaras e epis para funcionários da sede administrativa</t>
  </si>
  <si>
    <t xml:space="preserve">Recursos para reforma do imóvel </t>
  </si>
  <si>
    <t>Recursos para reforma do imóvel (pintura de todo o imóvel)</t>
  </si>
  <si>
    <t>Recursos para reforma do imóvel (adaptações acessibilidade)</t>
  </si>
  <si>
    <t>Total de Gastos Gerais</t>
  </si>
  <si>
    <t>Tabela 8 - Previsão Detalhada dos Custos de Desmobilização em Regime de Competência</t>
  </si>
  <si>
    <t>Categoria</t>
  </si>
  <si>
    <t>Total de Gastos de Desmobilização</t>
  </si>
  <si>
    <t>_____________________</t>
  </si>
  <si>
    <t>Gleiber Gomes de Oliveira</t>
  </si>
  <si>
    <t>Diretor Presidente</t>
  </si>
  <si>
    <t>971.914.346-00</t>
  </si>
  <si>
    <t>Belo Horizonte,          de                     de</t>
  </si>
  <si>
    <t>Receitas</t>
  </si>
  <si>
    <t>Rendimentos de Aplicações Fin.</t>
  </si>
  <si>
    <t>Transferência para Reserva de Recursos</t>
  </si>
  <si>
    <t>Repasses do Termo de Parceria</t>
  </si>
  <si>
    <t>Rendimentos Financeiros da Reserva de Recursos</t>
  </si>
  <si>
    <t>Receita Arrecadada em Função do TP</t>
  </si>
  <si>
    <t>Gastos da Reserva de Recursos</t>
  </si>
  <si>
    <t>Hora Extra</t>
  </si>
  <si>
    <t>DSR sobre Hora Extra/Adic. Noturno</t>
  </si>
  <si>
    <t>Bolsa Estágio</t>
  </si>
  <si>
    <t>Rescisão de Trabalho (Saldo Salário, Aviso Prévio, outros)</t>
  </si>
  <si>
    <t>CSE Passos</t>
  </si>
  <si>
    <t>CEIP Contagem</t>
  </si>
  <si>
    <t>CEIP São Benedito</t>
  </si>
  <si>
    <t xml:space="preserve">Gestor de Monitoria e Socioeducação </t>
  </si>
  <si>
    <t xml:space="preserve">Gestor de Monitoria e Socioeducaçõa </t>
  </si>
  <si>
    <t>Gestor de Monitoria e Socioeducação  (TUPACIGUARA)</t>
  </si>
  <si>
    <t>Gestor de Monitoria e Socioeducação  (ARAXÁ)</t>
  </si>
  <si>
    <t>Jovem Aprendiz</t>
  </si>
  <si>
    <t xml:space="preserve">Encarregado de manutenção </t>
  </si>
  <si>
    <t>Escrituração Fiscal e Pessoal e outros serviços contábeis no mês de dezembro/26</t>
  </si>
  <si>
    <t>Sede Administrativa do CG</t>
  </si>
  <si>
    <t>Manutenção periódica, reparos, atualizações e backups da rede e dos computadores</t>
  </si>
  <si>
    <t>CSE Sete Lagoas</t>
  </si>
  <si>
    <t xml:space="preserve">Automóvel - tributos, taxas, tarifas, referente ao ano de 2027 para 4 veículos </t>
  </si>
  <si>
    <t xml:space="preserve">Automóvel - tributos, taxas, tarifas, referente ao ano de 2028 para 4 veículos </t>
  </si>
  <si>
    <t>Implantação de  Software de RH e DP</t>
  </si>
  <si>
    <t xml:space="preserve">mensalidade licença de sotware para identifcação de controle de frota, recursos humanos, compra e serviços e financeiro </t>
  </si>
  <si>
    <t>Escrituração Fiscal e Pessoal e outros serviços contábeis no mês de dezembro/27</t>
  </si>
  <si>
    <t>Escrituração Fiscal e Pessoal e outros serviços contábeis no mês de dezembro/28</t>
  </si>
  <si>
    <t>Recursos para oferta de capacitações e formações continuadas para todas as unidades socioeducativas ao longo do ano de 2026</t>
  </si>
  <si>
    <t>Recursos para realização de uma seminário anual da política socioeducativa para todo o público e atores envolvidos</t>
  </si>
  <si>
    <t>Recursos para capacitação continuada de lideranças e gestos da política socioeducativa</t>
  </si>
  <si>
    <t>Recursos para oferta de capacitações e formações continuadas para todas as unidades socioeducativas ao longo do ano de 2026 -equipes</t>
  </si>
  <si>
    <t>Serviços de manutenção de máquinas e equipamentos como geradores, eletrodomésticos e aquisição de pequenos itens ,como escadas, etc.</t>
  </si>
  <si>
    <t>Artigos de escritório para as Unidades e suprimmentos para unidades socioeducativas</t>
  </si>
  <si>
    <t>Troca de oléo, manutenção e reparo em veículos e limpeza de veículos</t>
  </si>
  <si>
    <t>manutenção ou reforma do imóvel</t>
  </si>
  <si>
    <t>Lanches e refeições para a unidade, adolescentes e colaboradores</t>
  </si>
  <si>
    <t xml:space="preserve">Escrituração Fiscal e Pessoal e outros serviços contábeis </t>
  </si>
  <si>
    <t>Recursos para realização de capacitações obrigatórias (Primeiros socorros, Birgadista, APHS, etc).</t>
  </si>
  <si>
    <t>Recursos para capacitação continuada de lideranças e gestores da política socioeducativa</t>
  </si>
  <si>
    <t xml:space="preserve">dedetização </t>
  </si>
  <si>
    <t>recarga de extintores</t>
  </si>
  <si>
    <t>Aquisição de roupas de cama, colchões, travesseiros lençois</t>
  </si>
  <si>
    <t>uniformes para equipe</t>
  </si>
  <si>
    <t>Implantação de sistema de monitoramento de CFTV para aprimoramento e acompanhamento das unidades</t>
  </si>
  <si>
    <t>Analista  - Nutricionista</t>
  </si>
  <si>
    <t xml:space="preserve">Engenheiro </t>
  </si>
  <si>
    <t>Serviço de capacitação e seleção de jovens aprendiz determinação MPT</t>
  </si>
  <si>
    <t>Gestor de Monitoria e Socioeducação (CEIP Sete Lagoas)</t>
  </si>
  <si>
    <t>40 horas</t>
  </si>
  <si>
    <t>30 horas</t>
  </si>
  <si>
    <t>40 horas/12 x 36</t>
  </si>
  <si>
    <t xml:space="preserve">40 horas / 12x 36 </t>
  </si>
  <si>
    <t>20 horas</t>
  </si>
  <si>
    <t xml:space="preserve">A pesquisa utilizada para embasar os valores a serem pagos para os profissionais a serem contratados foi realizada junto ao instituto de pesquisa “salários.br” (www.salariosbr.com.br). Esta empresa é especialista em pesquisas salariais em diversos seguimentos. A data de realização da pesquisa foi 21/07/2025. O período abrangido pela pesquisa se refere aos últimos 12 meses. 
Cabe esclarecer que tendo em vista as especificidades das nomenclaturas dos cargos definidos no projeto não foi possível para todos eles encontrar na base de dados da pesquisa referências idênticas. Contudo, foi possível identificar cargos com atribuições similares que foram utilizados como referência para a definição dos salários 
Esta pesquisa apresenta valores de referência numa escala que vai desde trainne que seriam profissionais menor experiência a profissionais na categoria máster que são os profissionais com maior grau de expertise. Para fins de definição de parâmetros para o estabelecimento de salários utilizamos as categorias de trainne como menor salário e master para maior salário tendo em vista os critérios de experiência exigidos em nossos editais para contratação.
Esclarecemos também que utilizamos os valores de referência da categoria de empresa de médio porte tendo em vista o parâmetro de faturamento associados à execução do contrato e do faturamento anual da instituição.
</t>
  </si>
  <si>
    <t>Definição legal</t>
  </si>
  <si>
    <t>Gerente (Técnico, Administrativo/compras, RH, Monitoria, Financeiro)</t>
  </si>
  <si>
    <t>Subgerente de Compras e financeiro</t>
  </si>
  <si>
    <t>Subgerente de Departamento Pessoal</t>
  </si>
  <si>
    <t>Subgerente de Patrimônio e Frota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</si>
</sst>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quot;R$ &quot;* #,##0.00_);_(&quot;R$ &quot;* \(#,##0.00\);_(&quot;R$ &quot;* &quot;-&quot;??_);_(@_)"/>
    <numFmt numFmtId="165" formatCode="_(* #,##0.00_);_(* \(#,##0.00\);_(* &quot;-&quot;??_);_(@_)"/>
    <numFmt numFmtId="166" formatCode="00"/>
    <numFmt numFmtId="167" formatCode="_(* #,##0_);_(* \(#,##0\);_(* &quot;-&quot;??_);_(@_)"/>
    <numFmt numFmtId="168" formatCode="mmm/yyyy"/>
    <numFmt numFmtId="169" formatCode="yyyy"/>
  </numFmts>
  <fonts count="41" x14ac:knownFonts="1">
    <font>
      <sz val="10"/>
      <name val="Arial"/>
    </font>
    <font>
      <sz val="11"/>
      <color theme="1"/>
      <name val="Calibri"/>
      <family val="2"/>
      <scheme val="minor"/>
    </font>
    <font>
      <sz val="11"/>
      <color theme="1"/>
      <name val="Calibri"/>
      <family val="2"/>
      <scheme val="minor"/>
    </font>
    <font>
      <sz val="10"/>
      <name val="Arial"/>
      <family val="2"/>
    </font>
    <font>
      <sz val="8"/>
      <name val="Verdana"/>
      <family val="2"/>
    </font>
    <font>
      <sz val="8"/>
      <name val="Arial"/>
      <family val="2"/>
    </font>
    <font>
      <b/>
      <sz val="12"/>
      <name val="Arial"/>
      <family val="2"/>
    </font>
    <font>
      <sz val="12"/>
      <name val="Arial"/>
      <family val="2"/>
    </font>
    <font>
      <b/>
      <sz val="10"/>
      <name val="Arial"/>
      <family val="2"/>
    </font>
    <font>
      <sz val="11"/>
      <name val="Times New Roman"/>
      <family val="1"/>
    </font>
    <font>
      <i/>
      <sz val="18"/>
      <color indexed="10"/>
      <name val="Times New Roman"/>
      <family val="1"/>
    </font>
    <font>
      <sz val="8"/>
      <name val="Arial"/>
      <family val="2"/>
    </font>
    <font>
      <b/>
      <sz val="9"/>
      <name val="Arial"/>
      <family val="2"/>
    </font>
    <font>
      <sz val="9"/>
      <name val="Arial"/>
      <family val="2"/>
    </font>
    <font>
      <sz val="10"/>
      <name val="Arial"/>
      <family val="2"/>
    </font>
    <font>
      <sz val="8"/>
      <name val="Arial"/>
      <family val="2"/>
    </font>
    <font>
      <b/>
      <sz val="8"/>
      <name val="Verdana"/>
      <family val="2"/>
    </font>
    <font>
      <b/>
      <sz val="8"/>
      <name val="Arial"/>
      <family val="2"/>
    </font>
    <font>
      <sz val="14"/>
      <name val="Arial"/>
      <family val="2"/>
    </font>
    <font>
      <b/>
      <sz val="11"/>
      <name val="Arial"/>
      <family val="2"/>
    </font>
    <font>
      <b/>
      <sz val="11"/>
      <name val="Verdana"/>
      <family val="2"/>
    </font>
    <font>
      <sz val="7.8"/>
      <name val="Arial"/>
      <family val="2"/>
    </font>
    <font>
      <b/>
      <sz val="7.8"/>
      <name val="Arial"/>
      <family val="2"/>
    </font>
    <font>
      <b/>
      <i/>
      <sz val="8"/>
      <name val="Arial"/>
      <family val="2"/>
    </font>
    <font>
      <b/>
      <sz val="16"/>
      <name val="Arial"/>
      <family val="2"/>
    </font>
    <font>
      <sz val="18"/>
      <name val="Arial"/>
      <family val="2"/>
    </font>
    <font>
      <b/>
      <sz val="14"/>
      <name val="Arial"/>
      <family val="2"/>
    </font>
    <font>
      <sz val="11"/>
      <color theme="1"/>
      <name val="Calibri"/>
      <family val="2"/>
      <scheme val="minor"/>
    </font>
    <font>
      <sz val="10"/>
      <color rgb="FFFF0000"/>
      <name val="Arial"/>
      <family val="2"/>
    </font>
    <font>
      <sz val="11"/>
      <color rgb="FFFF0000"/>
      <name val="Times New Roman"/>
      <family val="1"/>
    </font>
    <font>
      <sz val="11"/>
      <name val="Arial"/>
      <family val="2"/>
    </font>
    <font>
      <sz val="11"/>
      <color theme="1"/>
      <name val="Arial"/>
      <family val="2"/>
    </font>
    <font>
      <b/>
      <sz val="11"/>
      <name val="Calibri"/>
      <family val="2"/>
    </font>
    <font>
      <sz val="11"/>
      <name val="Calibri"/>
      <family val="2"/>
    </font>
    <font>
      <sz val="14"/>
      <color rgb="FFFF0000"/>
      <name val="Arial"/>
      <family val="2"/>
    </font>
    <font>
      <sz val="16"/>
      <name val="Arial"/>
      <family val="2"/>
    </font>
    <font>
      <sz val="20"/>
      <name val="Arial"/>
      <family val="2"/>
    </font>
    <font>
      <b/>
      <sz val="20"/>
      <name val="Arial"/>
      <family val="2"/>
    </font>
    <font>
      <i/>
      <sz val="16"/>
      <name val="Arial"/>
      <family val="2"/>
    </font>
    <font>
      <i/>
      <sz val="18"/>
      <color indexed="10"/>
      <name val="Arial"/>
      <family val="2"/>
    </font>
    <font>
      <sz val="8"/>
      <color theme="1"/>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32">
    <border>
      <left/>
      <right/>
      <top/>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style="dotted">
        <color indexed="64"/>
      </left>
      <right/>
      <top/>
      <bottom/>
      <diagonal/>
    </border>
    <border>
      <left/>
      <right/>
      <top style="medium">
        <color indexed="64"/>
      </top>
      <bottom/>
      <diagonal/>
    </border>
    <border>
      <left/>
      <right/>
      <top style="thin">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auto="1"/>
      </left>
      <right/>
      <top/>
      <bottom style="thin">
        <color auto="1"/>
      </bottom>
      <diagonal/>
    </border>
    <border>
      <left style="dotted">
        <color indexed="64"/>
      </left>
      <right style="dotted">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dotted">
        <color indexed="64"/>
      </left>
      <right style="dotted">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s>
  <cellStyleXfs count="20">
    <xf numFmtId="0" fontId="0" fillId="0" borderId="0"/>
    <xf numFmtId="164" fontId="1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27" fillId="0" borderId="0"/>
    <xf numFmtId="0" fontId="27"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0" fontId="1" fillId="0" borderId="0"/>
    <xf numFmtId="0" fontId="1" fillId="0" borderId="0"/>
  </cellStyleXfs>
  <cellXfs count="420">
    <xf numFmtId="0" fontId="0" fillId="0" borderId="0" xfId="0"/>
    <xf numFmtId="0" fontId="8" fillId="0" borderId="0" xfId="5" applyFont="1"/>
    <xf numFmtId="0" fontId="6" fillId="0" borderId="0" xfId="5" applyFont="1" applyAlignment="1">
      <alignment horizontal="left" vertical="center"/>
    </xf>
    <xf numFmtId="0" fontId="3" fillId="3" borderId="0" xfId="0" applyFont="1" applyFill="1" applyAlignment="1">
      <alignment vertical="center"/>
    </xf>
    <xf numFmtId="4" fontId="3" fillId="3" borderId="0" xfId="0" applyNumberFormat="1" applyFont="1" applyFill="1" applyAlignment="1">
      <alignment vertical="center"/>
    </xf>
    <xf numFmtId="0" fontId="9" fillId="3" borderId="0" xfId="5" applyFont="1" applyFill="1"/>
    <xf numFmtId="0" fontId="10" fillId="3" borderId="0" xfId="5" applyFont="1" applyFill="1" applyAlignment="1">
      <alignment vertical="center"/>
    </xf>
    <xf numFmtId="4" fontId="9" fillId="3" borderId="0" xfId="5" applyNumberFormat="1" applyFont="1" applyFill="1" applyAlignment="1">
      <alignment horizontal="center"/>
    </xf>
    <xf numFmtId="0" fontId="3" fillId="3" borderId="0" xfId="0" applyFont="1" applyFill="1"/>
    <xf numFmtId="0" fontId="19" fillId="0" borderId="0" xfId="0" applyFont="1"/>
    <xf numFmtId="0" fontId="17" fillId="3" borderId="0" xfId="0" applyFont="1" applyFill="1" applyAlignment="1">
      <alignment horizontal="right" vertical="center" wrapText="1"/>
    </xf>
    <xf numFmtId="165" fontId="5" fillId="3" borderId="0" xfId="12" applyFont="1" applyFill="1" applyBorder="1" applyAlignment="1">
      <alignment horizontal="right" vertical="center" wrapText="1"/>
    </xf>
    <xf numFmtId="0" fontId="5" fillId="3" borderId="0" xfId="0" applyFont="1" applyFill="1" applyAlignment="1">
      <alignment horizontal="left" vertical="center" wrapText="1"/>
    </xf>
    <xf numFmtId="0" fontId="5" fillId="3" borderId="0" xfId="5" applyFont="1" applyFill="1" applyAlignment="1">
      <alignment horizontal="left" vertical="center" wrapText="1"/>
    </xf>
    <xf numFmtId="165" fontId="21" fillId="3" borderId="0" xfId="12" applyFont="1" applyFill="1" applyBorder="1" applyAlignment="1">
      <alignment horizontal="right" vertical="center" wrapText="1"/>
    </xf>
    <xf numFmtId="165" fontId="22" fillId="3" borderId="0" xfId="12" applyFont="1" applyFill="1" applyBorder="1" applyAlignment="1">
      <alignment horizontal="right" vertical="center" wrapText="1"/>
    </xf>
    <xf numFmtId="165" fontId="22" fillId="3" borderId="3" xfId="12" applyFont="1" applyFill="1" applyBorder="1" applyAlignment="1">
      <alignment horizontal="right" vertical="center" wrapText="1"/>
    </xf>
    <xf numFmtId="0" fontId="4" fillId="3" borderId="0" xfId="5" applyFont="1" applyFill="1" applyAlignment="1">
      <alignment horizontal="right" vertical="center"/>
    </xf>
    <xf numFmtId="0" fontId="5" fillId="3" borderId="0" xfId="0" applyFont="1" applyFill="1" applyAlignment="1">
      <alignment horizontal="left" vertical="center"/>
    </xf>
    <xf numFmtId="0" fontId="5" fillId="3" borderId="0" xfId="0" applyFont="1" applyFill="1" applyAlignment="1">
      <alignment vertical="center"/>
    </xf>
    <xf numFmtId="0" fontId="5" fillId="3" borderId="0" xfId="0" applyFont="1" applyFill="1" applyAlignment="1">
      <alignment vertical="center" wrapText="1"/>
    </xf>
    <xf numFmtId="0" fontId="5" fillId="3" borderId="4" xfId="0" applyFont="1" applyFill="1" applyBorder="1" applyAlignment="1">
      <alignment vertical="center" wrapText="1"/>
    </xf>
    <xf numFmtId="0" fontId="5" fillId="3" borderId="0" xfId="4" applyFont="1" applyFill="1" applyAlignment="1">
      <alignment vertical="center" wrapText="1"/>
    </xf>
    <xf numFmtId="0" fontId="5" fillId="3" borderId="4" xfId="0" applyFont="1" applyFill="1" applyBorder="1" applyAlignment="1">
      <alignment horizontal="left" vertical="center" wrapText="1"/>
    </xf>
    <xf numFmtId="165" fontId="21" fillId="3" borderId="4" xfId="12" applyFont="1" applyFill="1" applyBorder="1" applyAlignment="1">
      <alignment horizontal="right" vertical="center" wrapText="1"/>
    </xf>
    <xf numFmtId="165" fontId="22" fillId="3" borderId="4" xfId="12" applyFont="1" applyFill="1" applyBorder="1" applyAlignment="1">
      <alignment horizontal="right" vertical="center" wrapText="1"/>
    </xf>
    <xf numFmtId="0" fontId="13" fillId="3" borderId="0" xfId="0" applyFont="1" applyFill="1" applyAlignment="1" applyProtection="1">
      <alignment horizontal="left" vertical="center" wrapText="1"/>
      <protection locked="0"/>
    </xf>
    <xf numFmtId="4" fontId="13" fillId="3" borderId="0" xfId="0" applyNumberFormat="1" applyFont="1" applyFill="1" applyAlignment="1" applyProtection="1">
      <alignment horizontal="right" vertical="center" wrapText="1"/>
      <protection locked="0"/>
    </xf>
    <xf numFmtId="166" fontId="13" fillId="3" borderId="0" xfId="0" applyNumberFormat="1" applyFont="1" applyFill="1" applyAlignment="1" applyProtection="1">
      <alignment horizontal="right" vertical="center" wrapText="1"/>
      <protection locked="0"/>
    </xf>
    <xf numFmtId="0" fontId="0" fillId="0" borderId="0" xfId="0" applyProtection="1">
      <protection locked="0"/>
    </xf>
    <xf numFmtId="165" fontId="13" fillId="3" borderId="0" xfId="12" applyFont="1" applyFill="1" applyBorder="1" applyAlignment="1" applyProtection="1">
      <alignment horizontal="right" vertical="center" wrapText="1"/>
    </xf>
    <xf numFmtId="165" fontId="5" fillId="3" borderId="5" xfId="12" applyFont="1" applyFill="1" applyBorder="1" applyAlignment="1" applyProtection="1">
      <alignment horizontal="right" vertical="center"/>
      <protection locked="0"/>
    </xf>
    <xf numFmtId="165" fontId="5" fillId="3" borderId="0" xfId="12" applyFont="1" applyFill="1" applyBorder="1" applyAlignment="1" applyProtection="1">
      <alignment horizontal="right" vertical="center"/>
      <protection locked="0"/>
    </xf>
    <xf numFmtId="0" fontId="25" fillId="3" borderId="0" xfId="5" applyFont="1" applyFill="1" applyAlignment="1">
      <alignment horizontal="center"/>
    </xf>
    <xf numFmtId="0" fontId="18" fillId="2" borderId="0" xfId="0" applyFont="1" applyFill="1" applyAlignment="1" applyProtection="1">
      <alignment horizontal="center"/>
      <protection locked="0"/>
    </xf>
    <xf numFmtId="0" fontId="26" fillId="3" borderId="0" xfId="5" applyFont="1" applyFill="1" applyAlignment="1">
      <alignment horizontal="center"/>
    </xf>
    <xf numFmtId="0" fontId="5" fillId="3" borderId="0" xfId="0" applyFont="1" applyFill="1" applyAlignment="1" applyProtection="1">
      <alignment horizontal="left" vertical="center" wrapText="1"/>
      <protection locked="0"/>
    </xf>
    <xf numFmtId="0" fontId="3" fillId="3" borderId="0" xfId="0" applyFont="1" applyFill="1" applyAlignment="1">
      <alignment horizontal="left" vertical="center"/>
    </xf>
    <xf numFmtId="0" fontId="5" fillId="3" borderId="0" xfId="0" applyFont="1" applyFill="1" applyAlignment="1" applyProtection="1">
      <alignment horizontal="center" vertical="center" wrapText="1"/>
      <protection locked="0"/>
    </xf>
    <xf numFmtId="0" fontId="3" fillId="3" borderId="0" xfId="0" applyFont="1" applyFill="1" applyAlignment="1">
      <alignment horizontal="center" vertical="center"/>
    </xf>
    <xf numFmtId="0" fontId="17" fillId="3" borderId="0" xfId="0" applyFont="1" applyFill="1" applyAlignment="1">
      <alignment horizontal="left" vertical="center" wrapText="1"/>
    </xf>
    <xf numFmtId="0" fontId="5" fillId="3" borderId="3" xfId="0" applyFont="1" applyFill="1" applyBorder="1" applyAlignment="1">
      <alignment vertical="center"/>
    </xf>
    <xf numFmtId="0" fontId="17" fillId="3" borderId="3" xfId="0" applyFont="1" applyFill="1" applyBorder="1" applyAlignment="1">
      <alignment horizontal="right" vertical="center" wrapText="1"/>
    </xf>
    <xf numFmtId="165" fontId="17" fillId="3" borderId="3" xfId="12" applyFont="1" applyFill="1" applyBorder="1" applyAlignment="1" applyProtection="1">
      <alignment horizontal="right" vertical="center"/>
    </xf>
    <xf numFmtId="165" fontId="17" fillId="3" borderId="1" xfId="12" applyFont="1" applyFill="1" applyBorder="1" applyAlignment="1" applyProtection="1">
      <alignment horizontal="right" vertical="center"/>
    </xf>
    <xf numFmtId="0" fontId="17" fillId="3" borderId="0" xfId="0" applyFont="1" applyFill="1" applyAlignment="1">
      <alignment vertical="center" wrapText="1"/>
    </xf>
    <xf numFmtId="0" fontId="5" fillId="3" borderId="0" xfId="0" applyFont="1" applyFill="1" applyAlignment="1" applyProtection="1">
      <alignment vertical="center" wrapText="1"/>
      <protection locked="0"/>
    </xf>
    <xf numFmtId="165" fontId="5" fillId="3" borderId="0" xfId="12" applyFont="1" applyFill="1" applyBorder="1" applyAlignment="1" applyProtection="1">
      <alignment horizontal="right" vertical="center" wrapText="1"/>
      <protection locked="0"/>
    </xf>
    <xf numFmtId="1" fontId="5" fillId="3" borderId="0" xfId="0" applyNumberFormat="1" applyFont="1" applyFill="1" applyAlignment="1">
      <alignment horizontal="left" vertical="center" wrapText="1"/>
    </xf>
    <xf numFmtId="0" fontId="3" fillId="3" borderId="0" xfId="0" applyFont="1" applyFill="1" applyAlignment="1" applyProtection="1">
      <alignment vertical="center"/>
      <protection locked="0"/>
    </xf>
    <xf numFmtId="0" fontId="3" fillId="3" borderId="0" xfId="0" applyFont="1" applyFill="1" applyAlignment="1" applyProtection="1">
      <alignment horizontal="center" vertical="center"/>
      <protection locked="0"/>
    </xf>
    <xf numFmtId="4" fontId="3" fillId="3" borderId="0" xfId="0" applyNumberFormat="1" applyFont="1" applyFill="1" applyAlignment="1" applyProtection="1">
      <alignment vertical="center"/>
      <protection locked="0"/>
    </xf>
    <xf numFmtId="0" fontId="28" fillId="3" borderId="0" xfId="0" applyFont="1" applyFill="1" applyAlignment="1" applyProtection="1">
      <alignment vertical="center"/>
      <protection locked="0"/>
    </xf>
    <xf numFmtId="0" fontId="19" fillId="3" borderId="0" xfId="0" applyFont="1" applyFill="1" applyAlignment="1">
      <alignment horizontal="left" vertical="center"/>
    </xf>
    <xf numFmtId="10" fontId="17" fillId="3" borderId="1" xfId="10" applyNumberFormat="1" applyFont="1" applyFill="1" applyBorder="1" applyAlignment="1">
      <alignment horizontal="right" vertical="center" wrapText="1"/>
    </xf>
    <xf numFmtId="165" fontId="5" fillId="3" borderId="3" xfId="12" applyFont="1" applyFill="1" applyBorder="1" applyAlignment="1" applyProtection="1">
      <alignment horizontal="right" vertical="center"/>
    </xf>
    <xf numFmtId="0" fontId="0" fillId="0" borderId="0" xfId="0" applyAlignment="1">
      <alignment horizontal="right"/>
    </xf>
    <xf numFmtId="165" fontId="5" fillId="3" borderId="0" xfId="12" applyFont="1" applyFill="1" applyBorder="1" applyAlignment="1" applyProtection="1">
      <alignment horizontal="center" vertical="center" wrapText="1"/>
      <protection locked="0"/>
    </xf>
    <xf numFmtId="0" fontId="17" fillId="3" borderId="1" xfId="5" applyFont="1" applyFill="1" applyBorder="1" applyAlignment="1">
      <alignment horizontal="left" vertical="center" wrapText="1"/>
    </xf>
    <xf numFmtId="10" fontId="17" fillId="3" borderId="1" xfId="10" applyNumberFormat="1" applyFont="1" applyFill="1" applyBorder="1" applyAlignment="1" applyProtection="1">
      <alignment horizontal="right" vertical="center"/>
    </xf>
    <xf numFmtId="10" fontId="17" fillId="3" borderId="3" xfId="10" applyNumberFormat="1" applyFont="1" applyFill="1" applyBorder="1" applyAlignment="1" applyProtection="1">
      <alignment horizontal="right" vertical="center"/>
    </xf>
    <xf numFmtId="10" fontId="5" fillId="3" borderId="3" xfId="10" applyNumberFormat="1" applyFont="1" applyFill="1" applyBorder="1" applyAlignment="1" applyProtection="1">
      <alignment horizontal="right" vertical="center"/>
    </xf>
    <xf numFmtId="165" fontId="22" fillId="3" borderId="7" xfId="12" applyFont="1" applyFill="1" applyBorder="1" applyAlignment="1">
      <alignment horizontal="right" vertical="center" wrapText="1"/>
    </xf>
    <xf numFmtId="10" fontId="17" fillId="3" borderId="7" xfId="10" applyNumberFormat="1" applyFont="1" applyFill="1" applyBorder="1" applyAlignment="1">
      <alignment horizontal="right" vertical="center" wrapText="1"/>
    </xf>
    <xf numFmtId="10" fontId="4" fillId="3" borderId="0" xfId="10" applyNumberFormat="1" applyFont="1" applyFill="1" applyBorder="1" applyAlignment="1">
      <alignment horizontal="right" vertical="center"/>
    </xf>
    <xf numFmtId="10" fontId="22" fillId="3" borderId="3" xfId="10" applyNumberFormat="1" applyFont="1" applyFill="1" applyBorder="1" applyAlignment="1">
      <alignment horizontal="right" vertical="center" wrapText="1"/>
    </xf>
    <xf numFmtId="10" fontId="3" fillId="0" borderId="0" xfId="10" applyNumberFormat="1"/>
    <xf numFmtId="10" fontId="21" fillId="3" borderId="0" xfId="10" applyNumberFormat="1" applyFont="1" applyFill="1" applyBorder="1" applyAlignment="1">
      <alignment horizontal="right" vertical="center" wrapText="1"/>
    </xf>
    <xf numFmtId="10" fontId="21" fillId="3" borderId="4" xfId="10" applyNumberFormat="1" applyFont="1" applyFill="1" applyBorder="1" applyAlignment="1">
      <alignment horizontal="right" vertical="center" wrapText="1"/>
    </xf>
    <xf numFmtId="165" fontId="17" fillId="3" borderId="1" xfId="5" applyNumberFormat="1" applyFont="1" applyFill="1" applyBorder="1" applyAlignment="1">
      <alignment horizontal="right" vertical="center" wrapText="1"/>
    </xf>
    <xf numFmtId="165" fontId="21" fillId="3" borderId="1" xfId="12" applyFont="1" applyFill="1" applyBorder="1" applyAlignment="1">
      <alignment horizontal="right" vertical="center" wrapText="1"/>
    </xf>
    <xf numFmtId="165" fontId="17" fillId="3" borderId="0" xfId="12" applyFont="1" applyFill="1" applyBorder="1" applyAlignment="1" applyProtection="1">
      <alignment horizontal="right" vertical="center"/>
    </xf>
    <xf numFmtId="0" fontId="17" fillId="3" borderId="1" xfId="0" applyFont="1" applyFill="1" applyBorder="1" applyAlignment="1">
      <alignment horizontal="left" vertical="center"/>
    </xf>
    <xf numFmtId="165" fontId="5" fillId="3" borderId="0" xfId="12" applyFont="1" applyFill="1" applyBorder="1" applyAlignment="1" applyProtection="1">
      <alignment horizontal="right" vertical="center"/>
    </xf>
    <xf numFmtId="0" fontId="3" fillId="3" borderId="0" xfId="0" applyFont="1" applyFill="1" applyAlignment="1">
      <alignment horizontal="right" vertical="center"/>
    </xf>
    <xf numFmtId="165" fontId="5" fillId="3" borderId="1" xfId="12" applyFont="1" applyFill="1" applyBorder="1" applyAlignment="1" applyProtection="1">
      <alignment horizontal="right" vertical="center"/>
      <protection locked="0"/>
    </xf>
    <xf numFmtId="10" fontId="5" fillId="3" borderId="0" xfId="10" applyNumberFormat="1" applyFont="1" applyFill="1" applyBorder="1" applyAlignment="1" applyProtection="1">
      <alignment horizontal="right" vertical="center"/>
    </xf>
    <xf numFmtId="0" fontId="13" fillId="3" borderId="0" xfId="0" applyFont="1" applyFill="1" applyAlignment="1">
      <alignment vertical="center"/>
    </xf>
    <xf numFmtId="165" fontId="5" fillId="3" borderId="10" xfId="12" applyFont="1" applyFill="1" applyBorder="1" applyAlignment="1" applyProtection="1">
      <alignment horizontal="right" vertical="center"/>
      <protection locked="0"/>
    </xf>
    <xf numFmtId="165" fontId="5" fillId="3" borderId="9" xfId="12" applyFont="1" applyFill="1" applyBorder="1" applyAlignment="1" applyProtection="1">
      <alignment horizontal="center" vertical="center" wrapText="1"/>
    </xf>
    <xf numFmtId="165" fontId="5" fillId="3" borderId="11" xfId="12" applyFont="1" applyFill="1" applyBorder="1" applyAlignment="1" applyProtection="1">
      <alignment horizontal="right" vertical="center" wrapText="1"/>
      <protection locked="0"/>
    </xf>
    <xf numFmtId="165" fontId="17" fillId="3" borderId="9" xfId="12" applyFont="1" applyFill="1" applyBorder="1" applyAlignment="1" applyProtection="1">
      <alignment horizontal="right" vertical="center" wrapText="1"/>
    </xf>
    <xf numFmtId="9" fontId="8" fillId="3" borderId="0" xfId="0" applyNumberFormat="1" applyFont="1" applyFill="1" applyAlignment="1">
      <alignment vertical="center"/>
    </xf>
    <xf numFmtId="0" fontId="0" fillId="3" borderId="0" xfId="0" applyFill="1" applyAlignment="1">
      <alignment horizontal="center" vertical="center"/>
    </xf>
    <xf numFmtId="165" fontId="5" fillId="3" borderId="13" xfId="12" applyFont="1" applyFill="1" applyBorder="1" applyAlignment="1" applyProtection="1">
      <alignment horizontal="right" vertical="center"/>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0" fontId="5" fillId="3" borderId="0" xfId="0" applyFont="1" applyFill="1" applyAlignment="1">
      <alignment horizontal="right" vertical="center"/>
    </xf>
    <xf numFmtId="0" fontId="5" fillId="3" borderId="0" xfId="0" applyFont="1" applyFill="1"/>
    <xf numFmtId="0" fontId="5" fillId="3" borderId="9" xfId="0" applyFont="1" applyFill="1" applyBorder="1" applyAlignment="1" applyProtection="1">
      <alignment horizontal="right" vertical="center"/>
      <protection locked="0"/>
    </xf>
    <xf numFmtId="0" fontId="5" fillId="3" borderId="10" xfId="0" applyFont="1" applyFill="1" applyBorder="1" applyAlignment="1" applyProtection="1">
      <alignment horizontal="left" vertical="center" wrapText="1"/>
      <protection locked="0"/>
    </xf>
    <xf numFmtId="0" fontId="5" fillId="3" borderId="11" xfId="0" applyFont="1" applyFill="1" applyBorder="1" applyAlignment="1" applyProtection="1">
      <alignment horizontal="left" vertical="center" wrapText="1"/>
      <protection locked="0"/>
    </xf>
    <xf numFmtId="0" fontId="5" fillId="3" borderId="13" xfId="0" applyFont="1" applyFill="1" applyBorder="1" applyAlignment="1" applyProtection="1">
      <alignment horizontal="left" vertical="center" wrapText="1"/>
      <protection locked="0"/>
    </xf>
    <xf numFmtId="0" fontId="5" fillId="3" borderId="12" xfId="0" applyFont="1" applyFill="1" applyBorder="1" applyAlignment="1" applyProtection="1">
      <alignment horizontal="left" vertical="center" wrapText="1"/>
      <protection locked="0"/>
    </xf>
    <xf numFmtId="0" fontId="5" fillId="3" borderId="0" xfId="0" applyFont="1" applyFill="1" applyAlignment="1" applyProtection="1">
      <alignment horizontal="left" vertical="center"/>
      <protection locked="0"/>
    </xf>
    <xf numFmtId="0" fontId="8" fillId="3" borderId="0" xfId="0" applyFont="1" applyFill="1" applyAlignment="1">
      <alignment horizontal="right" vertical="center"/>
    </xf>
    <xf numFmtId="0" fontId="19" fillId="3" borderId="0" xfId="0" applyFont="1" applyFill="1" applyAlignment="1" applyProtection="1">
      <alignment vertical="center"/>
      <protection locked="0"/>
    </xf>
    <xf numFmtId="0" fontId="8" fillId="3" borderId="0" xfId="0" applyFont="1" applyFill="1" applyAlignment="1" applyProtection="1">
      <alignment vertical="center"/>
      <protection locked="0"/>
    </xf>
    <xf numFmtId="0" fontId="20" fillId="2" borderId="0" xfId="5" applyFont="1" applyFill="1" applyAlignment="1" applyProtection="1">
      <alignment vertical="center"/>
      <protection locked="0"/>
    </xf>
    <xf numFmtId="4" fontId="20" fillId="2" borderId="0" xfId="5" applyNumberFormat="1" applyFont="1" applyFill="1" applyAlignment="1" applyProtection="1">
      <alignment vertical="center"/>
      <protection locked="0"/>
    </xf>
    <xf numFmtId="0" fontId="4" fillId="2" borderId="0" xfId="5" applyFont="1" applyFill="1" applyAlignment="1" applyProtection="1">
      <alignment vertical="center"/>
      <protection locked="0"/>
    </xf>
    <xf numFmtId="0" fontId="4" fillId="0" borderId="0" xfId="5" applyFont="1" applyAlignment="1" applyProtection="1">
      <alignment vertical="center"/>
      <protection locked="0"/>
    </xf>
    <xf numFmtId="4" fontId="4" fillId="0" borderId="0" xfId="5" applyNumberFormat="1" applyFont="1" applyAlignment="1" applyProtection="1">
      <alignment vertical="center"/>
      <protection locked="0"/>
    </xf>
    <xf numFmtId="0" fontId="7" fillId="0" borderId="0" xfId="5" applyFont="1" applyAlignment="1" applyProtection="1">
      <alignment horizontal="justify" vertical="center"/>
      <protection locked="0"/>
    </xf>
    <xf numFmtId="10" fontId="4" fillId="0" borderId="0" xfId="10" applyNumberFormat="1" applyFont="1" applyAlignment="1" applyProtection="1">
      <alignment vertical="center"/>
      <protection locked="0"/>
    </xf>
    <xf numFmtId="0" fontId="16" fillId="0" borderId="0" xfId="5" applyFont="1" applyAlignment="1" applyProtection="1">
      <alignment vertical="center"/>
      <protection locked="0"/>
    </xf>
    <xf numFmtId="0" fontId="5" fillId="3" borderId="7" xfId="5" applyFont="1" applyFill="1" applyBorder="1" applyAlignment="1">
      <alignment horizontal="left" vertical="center" wrapText="1"/>
    </xf>
    <xf numFmtId="165" fontId="21" fillId="3" borderId="7" xfId="12" applyFont="1" applyFill="1" applyBorder="1" applyAlignment="1">
      <alignment horizontal="right" vertical="center" wrapText="1"/>
    </xf>
    <xf numFmtId="10" fontId="21" fillId="3" borderId="7" xfId="10" applyNumberFormat="1" applyFont="1" applyFill="1" applyBorder="1" applyAlignment="1">
      <alignment horizontal="right" vertical="center" wrapText="1"/>
    </xf>
    <xf numFmtId="0" fontId="5" fillId="3" borderId="0" xfId="0" applyFont="1" applyFill="1" applyAlignment="1" applyProtection="1">
      <alignment vertical="center"/>
      <protection locked="0"/>
    </xf>
    <xf numFmtId="0" fontId="5" fillId="3" borderId="0" xfId="6" applyFont="1" applyFill="1" applyAlignment="1" applyProtection="1">
      <alignment horizontal="left" vertical="center" wrapText="1"/>
      <protection locked="0"/>
    </xf>
    <xf numFmtId="0" fontId="5" fillId="3" borderId="0" xfId="4" applyFont="1" applyFill="1" applyAlignment="1" applyProtection="1">
      <alignment vertical="center" wrapText="1"/>
      <protection locked="0"/>
    </xf>
    <xf numFmtId="0" fontId="5" fillId="3" borderId="0" xfId="4" applyFont="1" applyFill="1" applyAlignment="1" applyProtection="1">
      <alignment horizontal="left" vertical="center" wrapText="1"/>
      <protection locked="0"/>
    </xf>
    <xf numFmtId="0" fontId="5" fillId="3" borderId="4" xfId="4" applyFont="1" applyFill="1" applyBorder="1" applyAlignment="1" applyProtection="1">
      <alignment horizontal="left" vertical="center" wrapText="1"/>
      <protection locked="0"/>
    </xf>
    <xf numFmtId="0" fontId="0" fillId="3" borderId="0" xfId="0" applyFill="1"/>
    <xf numFmtId="4" fontId="0" fillId="3" borderId="0" xfId="0" applyNumberFormat="1" applyFill="1"/>
    <xf numFmtId="165" fontId="17" fillId="3" borderId="0" xfId="12" applyFont="1" applyFill="1" applyBorder="1" applyAlignment="1" applyProtection="1">
      <alignment horizontal="right" vertical="center" wrapText="1"/>
    </xf>
    <xf numFmtId="165" fontId="5" fillId="3" borderId="10" xfId="12" applyFont="1" applyFill="1" applyBorder="1" applyAlignment="1" applyProtection="1">
      <alignment horizontal="right" vertical="center" wrapText="1"/>
      <protection locked="0"/>
    </xf>
    <xf numFmtId="165" fontId="17" fillId="3" borderId="11" xfId="12" applyFont="1" applyFill="1" applyBorder="1" applyAlignment="1" applyProtection="1">
      <alignment horizontal="right" vertical="center"/>
    </xf>
    <xf numFmtId="165" fontId="5" fillId="3" borderId="9" xfId="12" applyFont="1" applyFill="1" applyBorder="1" applyAlignment="1">
      <alignment horizontal="right" vertical="center" wrapText="1"/>
    </xf>
    <xf numFmtId="17" fontId="17" fillId="3" borderId="0" xfId="0" applyNumberFormat="1" applyFont="1" applyFill="1" applyAlignment="1">
      <alignment horizontal="left" vertical="center" wrapText="1"/>
    </xf>
    <xf numFmtId="167" fontId="17" fillId="3" borderId="0" xfId="12" applyNumberFormat="1" applyFont="1" applyFill="1" applyBorder="1" applyAlignment="1">
      <alignment horizontal="right" vertical="center" wrapText="1"/>
    </xf>
    <xf numFmtId="17" fontId="17" fillId="3" borderId="0" xfId="0" applyNumberFormat="1" applyFont="1" applyFill="1" applyAlignment="1">
      <alignment horizontal="center" vertical="center" wrapText="1"/>
    </xf>
    <xf numFmtId="165" fontId="17" fillId="3" borderId="0" xfId="12" applyFont="1" applyFill="1" applyBorder="1" applyAlignment="1">
      <alignment horizontal="right" vertical="center" wrapText="1"/>
    </xf>
    <xf numFmtId="165" fontId="17" fillId="3" borderId="0" xfId="12" applyFont="1" applyFill="1" applyBorder="1" applyAlignment="1">
      <alignment horizontal="center" vertical="center" wrapText="1"/>
    </xf>
    <xf numFmtId="0" fontId="5" fillId="3" borderId="0" xfId="7" applyFont="1" applyFill="1" applyAlignment="1" applyProtection="1">
      <alignment horizontal="left" vertical="center" wrapText="1"/>
      <protection locked="0"/>
    </xf>
    <xf numFmtId="10" fontId="3" fillId="3" borderId="0" xfId="10" applyNumberFormat="1" applyFont="1" applyFill="1" applyAlignment="1" applyProtection="1">
      <alignment vertical="center"/>
    </xf>
    <xf numFmtId="10" fontId="3" fillId="3" borderId="0" xfId="10" applyNumberFormat="1" applyFont="1" applyFill="1" applyAlignment="1" applyProtection="1">
      <alignment vertical="center"/>
      <protection locked="0"/>
    </xf>
    <xf numFmtId="0" fontId="19" fillId="3" borderId="0" xfId="0" applyFont="1" applyFill="1" applyAlignment="1">
      <alignment vertical="center"/>
    </xf>
    <xf numFmtId="0" fontId="19" fillId="3" borderId="0" xfId="0" applyFont="1" applyFill="1" applyAlignment="1">
      <alignment horizontal="center" vertical="center" wrapText="1"/>
    </xf>
    <xf numFmtId="0" fontId="3" fillId="3" borderId="0" xfId="0" applyFont="1" applyFill="1" applyAlignment="1" applyProtection="1">
      <alignment horizontal="left" vertical="center" wrapText="1"/>
      <protection locked="0"/>
    </xf>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10" fontId="5" fillId="3" borderId="15" xfId="0" applyNumberFormat="1" applyFont="1" applyFill="1" applyBorder="1" applyAlignment="1" applyProtection="1">
      <alignment horizontal="right" vertical="center"/>
      <protection locked="0"/>
    </xf>
    <xf numFmtId="0" fontId="19" fillId="3" borderId="0" xfId="0" applyFont="1" applyFill="1" applyAlignment="1">
      <alignment vertical="center" wrapText="1"/>
    </xf>
    <xf numFmtId="165" fontId="5" fillId="3" borderId="11" xfId="12" applyFont="1" applyFill="1" applyBorder="1" applyAlignment="1" applyProtection="1">
      <alignment horizontal="right" vertical="center"/>
    </xf>
    <xf numFmtId="165" fontId="5" fillId="3" borderId="9" xfId="12" applyFont="1" applyFill="1" applyBorder="1" applyAlignment="1" applyProtection="1">
      <alignment horizontal="right" vertical="center" wrapText="1"/>
      <protection locked="0"/>
    </xf>
    <xf numFmtId="0" fontId="29" fillId="3" borderId="0" xfId="5" applyFont="1" applyFill="1" applyProtection="1">
      <protection locked="0"/>
    </xf>
    <xf numFmtId="0" fontId="19" fillId="3" borderId="2" xfId="0" applyFont="1" applyFill="1" applyBorder="1" applyAlignment="1">
      <alignment horizontal="center" vertical="center"/>
    </xf>
    <xf numFmtId="0" fontId="19" fillId="3" borderId="2" xfId="0" applyFont="1" applyFill="1" applyBorder="1" applyAlignment="1">
      <alignment horizontal="left" vertical="center"/>
    </xf>
    <xf numFmtId="0" fontId="19" fillId="3" borderId="2" xfId="0" applyFont="1" applyFill="1" applyBorder="1" applyAlignment="1">
      <alignment vertical="center" wrapText="1"/>
    </xf>
    <xf numFmtId="165" fontId="5" fillId="3" borderId="11" xfId="12" applyFont="1" applyFill="1" applyBorder="1" applyAlignment="1">
      <alignment horizontal="right" vertical="center" wrapText="1"/>
    </xf>
    <xf numFmtId="0" fontId="3" fillId="3" borderId="0" xfId="0" applyFont="1" applyFill="1" applyProtection="1">
      <protection locked="0"/>
    </xf>
    <xf numFmtId="0" fontId="5" fillId="3" borderId="1" xfId="0" applyFont="1" applyFill="1" applyBorder="1" applyAlignment="1">
      <alignment horizontal="right" vertical="center"/>
    </xf>
    <xf numFmtId="165" fontId="5" fillId="3" borderId="17" xfId="12" applyFont="1" applyFill="1" applyBorder="1" applyAlignment="1" applyProtection="1">
      <alignment horizontal="right" vertical="center"/>
    </xf>
    <xf numFmtId="165" fontId="17" fillId="3" borderId="18" xfId="12" applyFont="1" applyFill="1" applyBorder="1" applyAlignment="1" applyProtection="1">
      <alignment horizontal="right" vertical="center"/>
    </xf>
    <xf numFmtId="0" fontId="0" fillId="3" borderId="9" xfId="0" applyFill="1" applyBorder="1" applyAlignment="1">
      <alignment horizontal="center" vertical="center"/>
    </xf>
    <xf numFmtId="165" fontId="7" fillId="0" borderId="0" xfId="5" applyNumberFormat="1" applyFont="1" applyAlignment="1" applyProtection="1">
      <alignment horizontal="justify" vertical="center"/>
      <protection locked="0"/>
    </xf>
    <xf numFmtId="0" fontId="5" fillId="3" borderId="0" xfId="0" applyFont="1" applyFill="1" applyAlignment="1" applyProtection="1">
      <alignment horizontal="right" vertical="center" wrapText="1"/>
      <protection locked="0"/>
    </xf>
    <xf numFmtId="0" fontId="24" fillId="3" borderId="0" xfId="5" applyFont="1" applyFill="1" applyAlignment="1" applyProtection="1">
      <alignment horizontal="center" vertical="center" wrapText="1"/>
      <protection locked="0"/>
    </xf>
    <xf numFmtId="0" fontId="19" fillId="3" borderId="19" xfId="4" applyFont="1" applyFill="1" applyBorder="1" applyAlignment="1">
      <alignment horizontal="left" vertical="center" wrapText="1"/>
    </xf>
    <xf numFmtId="0" fontId="30" fillId="3" borderId="19" xfId="4" applyFont="1" applyFill="1" applyBorder="1" applyAlignment="1">
      <alignment horizontal="left" vertical="center" wrapText="1"/>
    </xf>
    <xf numFmtId="0" fontId="3" fillId="3" borderId="0" xfId="4" applyFill="1" applyAlignment="1">
      <alignment vertical="center" wrapText="1"/>
    </xf>
    <xf numFmtId="0" fontId="3" fillId="3" borderId="0" xfId="4" applyFill="1" applyAlignment="1">
      <alignment wrapText="1"/>
    </xf>
    <xf numFmtId="0" fontId="3" fillId="3" borderId="0" xfId="4" applyFill="1" applyAlignment="1">
      <alignment horizontal="left" vertical="center" wrapText="1"/>
    </xf>
    <xf numFmtId="0" fontId="30" fillId="3" borderId="19" xfId="7" applyFont="1" applyFill="1" applyBorder="1" applyAlignment="1">
      <alignment horizontal="left" vertical="center" wrapText="1"/>
    </xf>
    <xf numFmtId="0" fontId="30" fillId="3" borderId="0" xfId="4" applyFont="1" applyFill="1" applyAlignment="1">
      <alignment horizontal="left" vertical="center" wrapText="1"/>
    </xf>
    <xf numFmtId="0" fontId="31" fillId="3" borderId="19" xfId="7" applyFont="1" applyFill="1" applyBorder="1" applyAlignment="1">
      <alignment horizontal="left" vertical="center" wrapText="1"/>
    </xf>
    <xf numFmtId="0" fontId="0" fillId="2" borderId="0" xfId="0" applyFill="1" applyAlignment="1" applyProtection="1">
      <alignment wrapText="1"/>
      <protection locked="0"/>
    </xf>
    <xf numFmtId="0" fontId="0" fillId="2" borderId="14" xfId="0" applyFill="1" applyBorder="1" applyAlignment="1" applyProtection="1">
      <alignment wrapText="1"/>
      <protection locked="0"/>
    </xf>
    <xf numFmtId="0" fontId="5" fillId="3" borderId="8" xfId="5" applyFont="1" applyFill="1" applyBorder="1" applyAlignment="1">
      <alignment horizontal="left" vertical="center" wrapText="1"/>
    </xf>
    <xf numFmtId="165" fontId="21" fillId="3" borderId="8" xfId="12" applyFont="1" applyFill="1" applyBorder="1" applyAlignment="1">
      <alignment horizontal="right" vertical="center" wrapText="1"/>
    </xf>
    <xf numFmtId="165" fontId="22" fillId="3" borderId="8" xfId="12" applyFont="1" applyFill="1" applyBorder="1" applyAlignment="1">
      <alignment horizontal="right" vertical="center" wrapText="1"/>
    </xf>
    <xf numFmtId="10" fontId="21" fillId="3" borderId="8" xfId="10" applyNumberFormat="1" applyFont="1" applyFill="1" applyBorder="1" applyAlignment="1">
      <alignment horizontal="right" vertical="center" wrapText="1"/>
    </xf>
    <xf numFmtId="49" fontId="3" fillId="3" borderId="10" xfId="0" applyNumberFormat="1" applyFont="1" applyFill="1" applyBorder="1" applyAlignment="1" applyProtection="1">
      <alignment horizontal="left" wrapText="1"/>
      <protection locked="0"/>
    </xf>
    <xf numFmtId="0" fontId="3" fillId="0" borderId="0" xfId="0" applyFont="1"/>
    <xf numFmtId="0" fontId="34" fillId="2" borderId="0" xfId="0" applyFont="1" applyFill="1" applyAlignment="1" applyProtection="1">
      <alignment horizontal="center"/>
      <protection locked="0"/>
    </xf>
    <xf numFmtId="0" fontId="19" fillId="3" borderId="0" xfId="0" applyFont="1" applyFill="1" applyAlignment="1">
      <alignment horizontal="center" vertical="center"/>
    </xf>
    <xf numFmtId="0" fontId="8" fillId="0" borderId="3" xfId="0" applyFont="1" applyBorder="1" applyAlignment="1">
      <alignment horizontal="center" vertical="center" wrapText="1"/>
    </xf>
    <xf numFmtId="0" fontId="32" fillId="0" borderId="0" xfId="0" applyFont="1" applyAlignment="1">
      <alignment horizontal="center" vertical="center" wrapText="1"/>
    </xf>
    <xf numFmtId="168" fontId="5" fillId="3" borderId="10" xfId="0" applyNumberFormat="1" applyFont="1" applyFill="1" applyBorder="1" applyAlignment="1" applyProtection="1">
      <alignment horizontal="right" vertical="center"/>
      <protection locked="0"/>
    </xf>
    <xf numFmtId="168" fontId="13" fillId="3" borderId="0" xfId="0" applyNumberFormat="1" applyFont="1" applyFill="1" applyAlignment="1" applyProtection="1">
      <alignment horizontal="right" vertical="center" wrapText="1"/>
      <protection locked="0"/>
    </xf>
    <xf numFmtId="168" fontId="5" fillId="3" borderId="11" xfId="12" applyNumberFormat="1" applyFont="1" applyFill="1" applyBorder="1" applyAlignment="1" applyProtection="1">
      <alignment horizontal="center" vertical="center" wrapText="1"/>
      <protection locked="0"/>
    </xf>
    <xf numFmtId="168" fontId="5" fillId="3" borderId="9" xfId="12" applyNumberFormat="1" applyFont="1" applyFill="1" applyBorder="1" applyAlignment="1" applyProtection="1">
      <alignment horizontal="center" vertical="center" wrapText="1"/>
      <protection locked="0"/>
    </xf>
    <xf numFmtId="168" fontId="5" fillId="3" borderId="0" xfId="12" applyNumberFormat="1" applyFont="1" applyFill="1" applyBorder="1" applyAlignment="1" applyProtection="1">
      <alignment horizontal="center" vertical="center" wrapText="1"/>
      <protection locked="0"/>
    </xf>
    <xf numFmtId="14" fontId="9" fillId="3" borderId="0" xfId="5" applyNumberFormat="1" applyFont="1" applyFill="1" applyAlignment="1">
      <alignment horizontal="left" vertical="center"/>
    </xf>
    <xf numFmtId="0" fontId="0" fillId="0" borderId="0" xfId="0" applyAlignment="1" applyProtection="1">
      <alignment horizontal="right" vertical="center"/>
      <protection locked="0"/>
    </xf>
    <xf numFmtId="17" fontId="3" fillId="0" borderId="16" xfId="0" applyNumberFormat="1"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39" fillId="3" borderId="0" xfId="5" applyFont="1" applyFill="1" applyAlignment="1">
      <alignment vertical="center"/>
    </xf>
    <xf numFmtId="2" fontId="32" fillId="4" borderId="19" xfId="0" applyNumberFormat="1" applyFont="1" applyFill="1" applyBorder="1" applyAlignment="1">
      <alignment horizontal="center" vertical="center" wrapText="1"/>
    </xf>
    <xf numFmtId="2" fontId="32" fillId="5" borderId="19" xfId="0" applyNumberFormat="1" applyFont="1" applyFill="1" applyBorder="1" applyAlignment="1">
      <alignment horizontal="center" vertical="center" wrapText="1"/>
    </xf>
    <xf numFmtId="0" fontId="32" fillId="6" borderId="19" xfId="0" applyFont="1" applyFill="1" applyBorder="1" applyAlignment="1">
      <alignment horizontal="center" vertical="center" wrapText="1"/>
    </xf>
    <xf numFmtId="0" fontId="32" fillId="7" borderId="0" xfId="0" applyFont="1" applyFill="1" applyAlignment="1">
      <alignment horizontal="center" vertical="center" wrapText="1"/>
    </xf>
    <xf numFmtId="168" fontId="0" fillId="7" borderId="0" xfId="0" applyNumberFormat="1" applyFill="1"/>
    <xf numFmtId="168" fontId="33" fillId="7" borderId="0" xfId="0" applyNumberFormat="1" applyFont="1" applyFill="1" applyAlignment="1">
      <alignment horizontal="center" vertical="center" wrapText="1"/>
    </xf>
    <xf numFmtId="0" fontId="0" fillId="7" borderId="0" xfId="0" applyFill="1"/>
    <xf numFmtId="0" fontId="0" fillId="0" borderId="0" xfId="0" applyAlignment="1">
      <alignment horizontal="center" vertical="center"/>
    </xf>
    <xf numFmtId="2" fontId="0" fillId="0" borderId="0" xfId="0" applyNumberFormat="1"/>
    <xf numFmtId="0" fontId="19" fillId="0" borderId="0" xfId="0" applyFont="1" applyAlignment="1">
      <alignment horizontal="center" vertical="center"/>
    </xf>
    <xf numFmtId="0" fontId="8" fillId="0" borderId="0" xfId="0" applyFont="1" applyAlignment="1">
      <alignment horizontal="left" vertical="center"/>
    </xf>
    <xf numFmtId="0" fontId="8" fillId="0" borderId="0" xfId="0" applyFont="1"/>
    <xf numFmtId="0" fontId="0" fillId="0" borderId="0" xfId="0" applyAlignment="1">
      <alignment horizontal="left" vertical="center"/>
    </xf>
    <xf numFmtId="0" fontId="3" fillId="0" borderId="0" xfId="0" applyFont="1" applyAlignment="1">
      <alignment horizontal="center" vertical="center"/>
    </xf>
    <xf numFmtId="0" fontId="0" fillId="0" borderId="0" xfId="0" applyAlignment="1">
      <alignment horizontal="right" vertical="center"/>
    </xf>
    <xf numFmtId="168" fontId="0" fillId="0" borderId="0" xfId="0" applyNumberFormat="1" applyAlignment="1">
      <alignment horizontal="right" vertical="center"/>
    </xf>
    <xf numFmtId="1" fontId="0" fillId="0" borderId="0" xfId="0" applyNumberFormat="1" applyAlignment="1">
      <alignment horizontal="right" vertical="center"/>
    </xf>
    <xf numFmtId="4" fontId="0" fillId="0" borderId="0" xfId="0" applyNumberFormat="1" applyAlignment="1">
      <alignment horizontal="right" vertical="center"/>
    </xf>
    <xf numFmtId="0" fontId="33" fillId="3" borderId="0" xfId="0" applyFont="1" applyFill="1" applyAlignment="1">
      <alignment horizontal="center" vertical="center" wrapText="1"/>
    </xf>
    <xf numFmtId="168" fontId="33" fillId="0" borderId="0" xfId="0" applyNumberFormat="1" applyFont="1" applyAlignment="1">
      <alignment horizontal="center" vertical="center" wrapText="1"/>
    </xf>
    <xf numFmtId="4" fontId="33" fillId="3" borderId="0" xfId="0" applyNumberFormat="1" applyFont="1" applyFill="1" applyAlignment="1">
      <alignment horizontal="center" vertical="center" wrapText="1"/>
    </xf>
    <xf numFmtId="168" fontId="33" fillId="3" borderId="0" xfId="0" applyNumberFormat="1" applyFont="1" applyFill="1" applyAlignment="1">
      <alignment horizontal="center" vertical="center" wrapText="1"/>
    </xf>
    <xf numFmtId="0" fontId="33" fillId="3" borderId="0" xfId="0" applyFont="1" applyFill="1" applyAlignment="1">
      <alignment horizontal="left" vertical="center" wrapText="1"/>
    </xf>
    <xf numFmtId="0" fontId="0" fillId="0" borderId="4" xfId="0" applyBorder="1" applyAlignment="1">
      <alignment horizontal="right" vertical="center"/>
    </xf>
    <xf numFmtId="168" fontId="0" fillId="0" borderId="4" xfId="0" applyNumberFormat="1" applyBorder="1" applyAlignment="1">
      <alignment horizontal="right" vertical="center"/>
    </xf>
    <xf numFmtId="0" fontId="0" fillId="0" borderId="16" xfId="0" applyBorder="1" applyAlignment="1" applyProtection="1">
      <alignment horizontal="center" vertical="center"/>
      <protection locked="0"/>
    </xf>
    <xf numFmtId="4" fontId="0" fillId="0" borderId="19" xfId="0" applyNumberFormat="1" applyBorder="1"/>
    <xf numFmtId="168" fontId="17" fillId="3" borderId="1" xfId="0" applyNumberFormat="1" applyFont="1" applyFill="1" applyBorder="1" applyAlignment="1">
      <alignment vertical="center"/>
    </xf>
    <xf numFmtId="10" fontId="17" fillId="3" borderId="18" xfId="10" applyNumberFormat="1" applyFont="1" applyFill="1" applyBorder="1" applyAlignment="1" applyProtection="1">
      <alignment horizontal="right" vertical="center"/>
    </xf>
    <xf numFmtId="0" fontId="5" fillId="3" borderId="18" xfId="0" applyFont="1" applyFill="1" applyBorder="1" applyAlignment="1" applyProtection="1">
      <alignment horizontal="center" vertical="center" wrapText="1"/>
      <protection locked="0"/>
    </xf>
    <xf numFmtId="165" fontId="3" fillId="3" borderId="21" xfId="12" applyFont="1" applyFill="1" applyBorder="1" applyAlignment="1" applyProtection="1">
      <alignment horizontal="right" vertical="center"/>
    </xf>
    <xf numFmtId="10" fontId="3" fillId="3" borderId="21" xfId="12" applyNumberFormat="1" applyFont="1" applyFill="1" applyBorder="1" applyAlignment="1" applyProtection="1">
      <alignment horizontal="right" vertical="center"/>
    </xf>
    <xf numFmtId="49" fontId="0" fillId="3" borderId="0" xfId="0" applyNumberFormat="1" applyFill="1" applyProtection="1">
      <protection locked="0"/>
    </xf>
    <xf numFmtId="4" fontId="0" fillId="3" borderId="19" xfId="0" applyNumberFormat="1" applyFill="1" applyBorder="1"/>
    <xf numFmtId="0" fontId="5" fillId="3" borderId="0" xfId="5" applyFont="1" applyFill="1" applyAlignment="1">
      <alignment horizontal="left" vertical="center"/>
    </xf>
    <xf numFmtId="0" fontId="5" fillId="3" borderId="0" xfId="5" applyFont="1" applyFill="1" applyAlignment="1">
      <alignment horizontal="right" vertical="center"/>
    </xf>
    <xf numFmtId="0" fontId="5" fillId="3" borderId="8" xfId="5" applyFont="1" applyFill="1" applyBorder="1" applyAlignment="1">
      <alignment horizontal="left" vertical="center"/>
    </xf>
    <xf numFmtId="0" fontId="5" fillId="3" borderId="7" xfId="5" applyFont="1" applyFill="1" applyBorder="1" applyAlignment="1">
      <alignment horizontal="left" vertical="center"/>
    </xf>
    <xf numFmtId="0" fontId="17" fillId="3" borderId="0" xfId="0" applyFont="1" applyFill="1" applyAlignment="1">
      <alignment horizontal="left" vertical="center"/>
    </xf>
    <xf numFmtId="165" fontId="17" fillId="3" borderId="6" xfId="12" applyFont="1" applyFill="1" applyBorder="1" applyAlignment="1" applyProtection="1">
      <alignment horizontal="right" vertical="center"/>
    </xf>
    <xf numFmtId="10" fontId="17" fillId="3" borderId="6" xfId="10" applyNumberFormat="1" applyFont="1" applyFill="1" applyBorder="1" applyAlignment="1" applyProtection="1">
      <alignment horizontal="right" vertical="center"/>
    </xf>
    <xf numFmtId="4" fontId="17" fillId="3" borderId="0" xfId="0" applyNumberFormat="1" applyFont="1" applyFill="1" applyAlignment="1">
      <alignment horizontal="right" vertical="center"/>
    </xf>
    <xf numFmtId="10" fontId="17" fillId="3" borderId="0" xfId="10" applyNumberFormat="1" applyFont="1" applyFill="1" applyBorder="1" applyAlignment="1" applyProtection="1">
      <alignment horizontal="right" vertical="center"/>
    </xf>
    <xf numFmtId="0" fontId="17" fillId="3" borderId="8" xfId="5" applyFont="1" applyFill="1" applyBorder="1" applyAlignment="1">
      <alignment horizontal="right" vertical="center" wrapText="1"/>
    </xf>
    <xf numFmtId="10" fontId="17" fillId="3" borderId="8" xfId="10" applyNumberFormat="1" applyFont="1" applyFill="1" applyBorder="1" applyAlignment="1">
      <alignment horizontal="right" vertical="center" wrapText="1"/>
    </xf>
    <xf numFmtId="0" fontId="17" fillId="3" borderId="0" xfId="5" applyFont="1" applyFill="1" applyAlignment="1">
      <alignment horizontal="left" vertical="center"/>
    </xf>
    <xf numFmtId="0" fontId="17" fillId="3" borderId="0" xfId="5" applyFont="1" applyFill="1" applyAlignment="1">
      <alignment horizontal="right" vertical="center" wrapText="1"/>
    </xf>
    <xf numFmtId="10" fontId="22" fillId="3" borderId="0" xfId="10" applyNumberFormat="1" applyFont="1" applyFill="1" applyBorder="1" applyAlignment="1">
      <alignment horizontal="right" vertical="center" wrapText="1"/>
    </xf>
    <xf numFmtId="0" fontId="5" fillId="3" borderId="22" xfId="0" applyFont="1" applyFill="1" applyBorder="1" applyAlignment="1">
      <alignment horizontal="left" vertical="center" wrapText="1"/>
    </xf>
    <xf numFmtId="165" fontId="21" fillId="3" borderId="22" xfId="12" applyFont="1" applyFill="1" applyBorder="1" applyAlignment="1">
      <alignment horizontal="right" vertical="center" wrapText="1"/>
    </xf>
    <xf numFmtId="10" fontId="21" fillId="3" borderId="22" xfId="10" applyNumberFormat="1" applyFont="1" applyFill="1" applyBorder="1" applyAlignment="1">
      <alignment horizontal="right" vertical="center" wrapText="1"/>
    </xf>
    <xf numFmtId="0" fontId="17" fillId="4" borderId="1" xfId="5" applyFont="1" applyFill="1" applyBorder="1" applyAlignment="1">
      <alignment horizontal="left" vertical="center" wrapText="1"/>
    </xf>
    <xf numFmtId="4" fontId="17" fillId="4" borderId="1" xfId="5" applyNumberFormat="1" applyFont="1" applyFill="1" applyBorder="1" applyAlignment="1">
      <alignment horizontal="right" vertical="center" wrapText="1"/>
    </xf>
    <xf numFmtId="10" fontId="17" fillId="4" borderId="1" xfId="10" applyNumberFormat="1" applyFont="1" applyFill="1" applyBorder="1" applyAlignment="1">
      <alignment horizontal="right" vertical="center" wrapText="1"/>
    </xf>
    <xf numFmtId="0" fontId="17" fillId="4" borderId="1" xfId="5" applyFont="1" applyFill="1" applyBorder="1" applyAlignment="1">
      <alignment horizontal="right"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xf>
    <xf numFmtId="10" fontId="17" fillId="4" borderId="2" xfId="10" applyNumberFormat="1" applyFont="1" applyFill="1" applyBorder="1" applyAlignment="1" applyProtection="1">
      <alignment horizontal="right" vertical="center"/>
    </xf>
    <xf numFmtId="0" fontId="17" fillId="4" borderId="1" xfId="0" applyFont="1" applyFill="1" applyBorder="1" applyAlignment="1">
      <alignment horizontal="left" vertical="center"/>
    </xf>
    <xf numFmtId="4" fontId="17" fillId="4" borderId="1" xfId="0" applyNumberFormat="1" applyFont="1" applyFill="1" applyBorder="1" applyAlignment="1">
      <alignment horizontal="right" vertical="center"/>
    </xf>
    <xf numFmtId="10" fontId="17" fillId="4" borderId="1" xfId="10" applyNumberFormat="1" applyFont="1" applyFill="1" applyBorder="1" applyAlignment="1" applyProtection="1">
      <alignment horizontal="right" vertical="center"/>
    </xf>
    <xf numFmtId="0" fontId="17" fillId="8" borderId="0" xfId="0" applyFont="1" applyFill="1" applyAlignment="1">
      <alignment horizontal="left" vertical="center" wrapText="1"/>
    </xf>
    <xf numFmtId="0" fontId="17" fillId="9" borderId="1" xfId="0" applyFont="1" applyFill="1" applyBorder="1" applyAlignment="1">
      <alignment horizontal="left" vertical="center" wrapText="1"/>
    </xf>
    <xf numFmtId="10" fontId="17" fillId="9" borderId="1" xfId="10" applyNumberFormat="1" applyFont="1" applyFill="1" applyBorder="1" applyAlignment="1" applyProtection="1">
      <alignment horizontal="center" vertical="center"/>
    </xf>
    <xf numFmtId="0" fontId="17" fillId="10" borderId="1" xfId="0" applyFont="1" applyFill="1" applyBorder="1" applyAlignment="1">
      <alignment horizontal="left" vertical="center" wrapText="1"/>
    </xf>
    <xf numFmtId="4" fontId="17" fillId="10" borderId="1" xfId="0" applyNumberFormat="1" applyFont="1" applyFill="1" applyBorder="1" applyAlignment="1">
      <alignment horizontal="center" vertical="center"/>
    </xf>
    <xf numFmtId="10" fontId="17" fillId="10" borderId="1" xfId="10" applyNumberFormat="1" applyFont="1" applyFill="1" applyBorder="1" applyAlignment="1" applyProtection="1">
      <alignment horizontal="center" vertical="center"/>
    </xf>
    <xf numFmtId="0" fontId="17" fillId="9" borderId="0" xfId="0" applyFont="1" applyFill="1" applyAlignment="1">
      <alignment horizontal="left" vertical="center" wrapText="1"/>
    </xf>
    <xf numFmtId="0" fontId="17" fillId="9" borderId="0" xfId="0" applyFont="1" applyFill="1" applyAlignment="1">
      <alignment vertical="center" wrapText="1"/>
    </xf>
    <xf numFmtId="0" fontId="17" fillId="9" borderId="6" xfId="0" applyFont="1" applyFill="1" applyBorder="1" applyAlignment="1">
      <alignment horizontal="center" vertical="center"/>
    </xf>
    <xf numFmtId="10" fontId="17" fillId="9" borderId="6" xfId="10" applyNumberFormat="1" applyFont="1" applyFill="1" applyBorder="1" applyAlignment="1" applyProtection="1">
      <alignment horizontal="center" vertical="center"/>
    </xf>
    <xf numFmtId="165" fontId="17" fillId="9" borderId="1" xfId="12" applyFont="1" applyFill="1" applyBorder="1" applyAlignment="1" applyProtection="1">
      <alignment horizontal="right" vertical="center"/>
    </xf>
    <xf numFmtId="10" fontId="5" fillId="9" borderId="1" xfId="10" applyNumberFormat="1" applyFont="1" applyFill="1" applyBorder="1" applyAlignment="1" applyProtection="1">
      <alignment horizontal="right" vertical="center"/>
    </xf>
    <xf numFmtId="0" fontId="17" fillId="9" borderId="1" xfId="0" applyFont="1" applyFill="1" applyBorder="1" applyAlignment="1">
      <alignment horizontal="left" vertical="center"/>
    </xf>
    <xf numFmtId="165" fontId="5" fillId="9" borderId="1" xfId="12" applyFont="1" applyFill="1" applyBorder="1" applyAlignment="1" applyProtection="1">
      <alignment horizontal="right" vertical="center"/>
      <protection locked="0"/>
    </xf>
    <xf numFmtId="165" fontId="5" fillId="8" borderId="0" xfId="12" applyFont="1" applyFill="1" applyBorder="1" applyAlignment="1" applyProtection="1">
      <alignment horizontal="right" vertical="center"/>
    </xf>
    <xf numFmtId="10" fontId="5" fillId="8" borderId="0" xfId="10" applyNumberFormat="1" applyFont="1" applyFill="1" applyBorder="1" applyAlignment="1" applyProtection="1">
      <alignment horizontal="right" vertical="center"/>
    </xf>
    <xf numFmtId="0" fontId="17" fillId="8" borderId="0" xfId="0" applyFont="1" applyFill="1" applyAlignment="1">
      <alignment vertical="center"/>
    </xf>
    <xf numFmtId="0" fontId="23" fillId="8" borderId="0" xfId="0" applyFont="1" applyFill="1" applyAlignment="1">
      <alignment vertical="center" wrapText="1"/>
    </xf>
    <xf numFmtId="165" fontId="5" fillId="8" borderId="0" xfId="12" applyFont="1" applyFill="1" applyBorder="1" applyAlignment="1" applyProtection="1">
      <alignment horizontal="center" vertical="center"/>
    </xf>
    <xf numFmtId="10" fontId="5" fillId="8" borderId="0" xfId="10" applyNumberFormat="1" applyFont="1" applyFill="1" applyBorder="1" applyAlignment="1" applyProtection="1">
      <alignment horizontal="center" vertical="center"/>
    </xf>
    <xf numFmtId="165" fontId="5" fillId="8" borderId="8" xfId="12" applyFont="1" applyFill="1" applyBorder="1" applyAlignment="1" applyProtection="1">
      <alignment horizontal="center" vertical="center"/>
    </xf>
    <xf numFmtId="10" fontId="5" fillId="8" borderId="8" xfId="10" applyNumberFormat="1" applyFont="1" applyFill="1" applyBorder="1" applyAlignment="1" applyProtection="1">
      <alignment horizontal="center" vertical="center"/>
    </xf>
    <xf numFmtId="0" fontId="5" fillId="8" borderId="8" xfId="12" applyNumberFormat="1" applyFont="1" applyFill="1" applyBorder="1" applyAlignment="1" applyProtection="1">
      <alignment horizontal="center" vertical="center"/>
    </xf>
    <xf numFmtId="165" fontId="5" fillId="8" borderId="0" xfId="12" applyFont="1" applyFill="1" applyBorder="1" applyAlignment="1" applyProtection="1">
      <alignment horizontal="right" vertical="center"/>
      <protection locked="0"/>
    </xf>
    <xf numFmtId="0" fontId="17" fillId="9" borderId="2" xfId="0" applyFont="1" applyFill="1" applyBorder="1" applyAlignment="1">
      <alignment vertical="center"/>
    </xf>
    <xf numFmtId="0" fontId="17" fillId="9" borderId="2" xfId="0" applyFont="1" applyFill="1" applyBorder="1" applyAlignment="1">
      <alignment horizontal="left" vertical="center" wrapText="1"/>
    </xf>
    <xf numFmtId="165" fontId="17" fillId="9" borderId="1" xfId="12" applyFont="1" applyFill="1" applyBorder="1" applyAlignment="1" applyProtection="1">
      <alignment horizontal="center" vertical="center"/>
    </xf>
    <xf numFmtId="165" fontId="5" fillId="9" borderId="2" xfId="12" applyFont="1" applyFill="1" applyBorder="1" applyAlignment="1" applyProtection="1">
      <alignment horizontal="right" vertical="center"/>
      <protection locked="0"/>
    </xf>
    <xf numFmtId="165" fontId="17" fillId="9" borderId="2" xfId="12" applyFont="1" applyFill="1" applyBorder="1" applyAlignment="1" applyProtection="1">
      <alignment horizontal="right" vertical="center"/>
    </xf>
    <xf numFmtId="10" fontId="17" fillId="9" borderId="2" xfId="10" applyNumberFormat="1" applyFont="1" applyFill="1" applyBorder="1" applyAlignment="1" applyProtection="1">
      <alignment horizontal="right" vertical="center"/>
    </xf>
    <xf numFmtId="165" fontId="5" fillId="9" borderId="0" xfId="12" applyFont="1" applyFill="1" applyBorder="1" applyAlignment="1" applyProtection="1">
      <alignment horizontal="right" vertical="center"/>
    </xf>
    <xf numFmtId="165" fontId="17" fillId="9" borderId="0" xfId="12" applyFont="1" applyFill="1" applyBorder="1" applyAlignment="1" applyProtection="1">
      <alignment horizontal="right" vertical="center"/>
    </xf>
    <xf numFmtId="10" fontId="5" fillId="9" borderId="0" xfId="10" applyNumberFormat="1" applyFont="1" applyFill="1" applyBorder="1" applyAlignment="1" applyProtection="1">
      <alignment horizontal="right" vertical="center"/>
    </xf>
    <xf numFmtId="0" fontId="17" fillId="4" borderId="1" xfId="0" applyFont="1" applyFill="1" applyBorder="1" applyAlignment="1">
      <alignment vertical="center" wrapText="1"/>
    </xf>
    <xf numFmtId="165" fontId="17" fillId="4" borderId="1" xfId="12" applyFont="1" applyFill="1" applyBorder="1" applyAlignment="1" applyProtection="1">
      <alignment horizontal="right" vertical="center"/>
    </xf>
    <xf numFmtId="0" fontId="17" fillId="4" borderId="2" xfId="0" applyFont="1" applyFill="1" applyBorder="1" applyAlignment="1">
      <alignment vertical="center" wrapText="1"/>
    </xf>
    <xf numFmtId="165" fontId="17" fillId="4" borderId="2" xfId="12" applyFont="1" applyFill="1" applyBorder="1" applyAlignment="1" applyProtection="1">
      <alignment horizontal="right" vertical="center"/>
    </xf>
    <xf numFmtId="165" fontId="22" fillId="4" borderId="1" xfId="12" applyFont="1" applyFill="1" applyBorder="1" applyAlignment="1">
      <alignment horizontal="right" vertical="center" wrapText="1"/>
    </xf>
    <xf numFmtId="10" fontId="22" fillId="4" borderId="1" xfId="10" applyNumberFormat="1" applyFont="1" applyFill="1" applyBorder="1" applyAlignment="1">
      <alignment horizontal="right" vertical="center" wrapText="1"/>
    </xf>
    <xf numFmtId="0" fontId="17" fillId="4" borderId="1" xfId="5" applyFont="1" applyFill="1" applyBorder="1" applyAlignment="1">
      <alignment horizontal="left" vertical="center"/>
    </xf>
    <xf numFmtId="0" fontId="19" fillId="4" borderId="1" xfId="0" applyFont="1" applyFill="1" applyBorder="1" applyAlignment="1">
      <alignment horizontal="center" vertical="center"/>
    </xf>
    <xf numFmtId="168" fontId="17" fillId="4" borderId="0" xfId="0" applyNumberFormat="1" applyFont="1" applyFill="1" applyAlignment="1">
      <alignment vertical="center"/>
    </xf>
    <xf numFmtId="10" fontId="17" fillId="4" borderId="1" xfId="10" applyNumberFormat="1" applyFont="1" applyFill="1" applyBorder="1" applyAlignment="1" applyProtection="1">
      <alignment horizontal="right" vertical="center"/>
      <protection locked="0"/>
    </xf>
    <xf numFmtId="168" fontId="17" fillId="4" borderId="1" xfId="5" applyNumberFormat="1" applyFont="1" applyFill="1" applyBorder="1" applyAlignment="1">
      <alignment horizontal="right" vertical="center" wrapText="1"/>
    </xf>
    <xf numFmtId="0" fontId="5" fillId="3" borderId="3" xfId="5" applyFont="1" applyFill="1" applyBorder="1" applyAlignment="1">
      <alignment horizontal="left" vertical="center"/>
    </xf>
    <xf numFmtId="0" fontId="5" fillId="3" borderId="3" xfId="5" applyFont="1" applyFill="1" applyBorder="1" applyAlignment="1">
      <alignment horizontal="left" vertical="center" wrapText="1"/>
    </xf>
    <xf numFmtId="165" fontId="21" fillId="3" borderId="3" xfId="12" applyFont="1" applyFill="1" applyBorder="1" applyAlignment="1">
      <alignment horizontal="right" vertical="center" wrapText="1"/>
    </xf>
    <xf numFmtId="10" fontId="21" fillId="3" borderId="3" xfId="10" applyNumberFormat="1" applyFont="1" applyFill="1" applyBorder="1" applyAlignment="1">
      <alignment horizontal="right" vertical="center" wrapText="1"/>
    </xf>
    <xf numFmtId="0" fontId="5" fillId="3" borderId="22" xfId="0" applyFont="1" applyFill="1" applyBorder="1" applyAlignment="1">
      <alignment horizontal="left" vertical="center"/>
    </xf>
    <xf numFmtId="0" fontId="5" fillId="3" borderId="3" xfId="0" applyFont="1" applyFill="1" applyBorder="1" applyAlignment="1">
      <alignment horizontal="left" vertical="center"/>
    </xf>
    <xf numFmtId="0" fontId="5" fillId="3" borderId="3" xfId="0" applyFont="1" applyFill="1" applyBorder="1" applyAlignment="1">
      <alignment horizontal="left" vertical="center" wrapText="1"/>
    </xf>
    <xf numFmtId="0" fontId="8" fillId="4" borderId="3" xfId="0" applyFont="1" applyFill="1" applyBorder="1" applyAlignment="1">
      <alignment horizontal="center" vertical="center" wrapText="1"/>
    </xf>
    <xf numFmtId="0" fontId="32" fillId="4" borderId="3" xfId="0" applyFont="1" applyFill="1" applyBorder="1" applyAlignment="1">
      <alignment horizontal="center" vertical="center" wrapText="1"/>
    </xf>
    <xf numFmtId="0" fontId="5" fillId="4" borderId="1" xfId="0" applyFont="1" applyFill="1" applyBorder="1" applyAlignment="1">
      <alignment horizontal="right" vertical="center"/>
    </xf>
    <xf numFmtId="0" fontId="5" fillId="4" borderId="1" xfId="0" applyFont="1" applyFill="1" applyBorder="1" applyAlignment="1">
      <alignment horizontal="left" vertical="center" wrapText="1"/>
    </xf>
    <xf numFmtId="0" fontId="17" fillId="4" borderId="1" xfId="0" applyFont="1" applyFill="1" applyBorder="1" applyAlignment="1">
      <alignment horizontal="right" vertical="center"/>
    </xf>
    <xf numFmtId="165" fontId="5" fillId="4" borderId="1" xfId="0" applyNumberFormat="1" applyFont="1" applyFill="1" applyBorder="1" applyAlignment="1">
      <alignment horizontal="right" vertical="center"/>
    </xf>
    <xf numFmtId="0" fontId="5" fillId="9" borderId="2" xfId="0" applyFont="1" applyFill="1" applyBorder="1" applyAlignment="1">
      <alignment vertical="center"/>
    </xf>
    <xf numFmtId="0" fontId="17" fillId="9" borderId="2" xfId="0" applyFont="1" applyFill="1" applyBorder="1" applyAlignment="1">
      <alignment horizontal="right" vertical="center" wrapText="1"/>
    </xf>
    <xf numFmtId="0" fontId="5" fillId="9" borderId="7" xfId="0" applyFont="1" applyFill="1" applyBorder="1" applyAlignment="1">
      <alignment vertical="center"/>
    </xf>
    <xf numFmtId="165" fontId="17" fillId="9" borderId="7" xfId="12" applyFont="1" applyFill="1" applyBorder="1" applyAlignment="1" applyProtection="1">
      <alignment horizontal="right" vertical="center"/>
    </xf>
    <xf numFmtId="10" fontId="17" fillId="9" borderId="7" xfId="10" applyNumberFormat="1" applyFont="1" applyFill="1" applyBorder="1" applyAlignment="1" applyProtection="1">
      <alignment horizontal="right" vertical="center"/>
    </xf>
    <xf numFmtId="0" fontId="5" fillId="3" borderId="18" xfId="0" applyFont="1" applyFill="1" applyBorder="1" applyAlignment="1" applyProtection="1">
      <alignment horizontal="left" vertical="center" wrapText="1"/>
      <protection locked="0"/>
    </xf>
    <xf numFmtId="165" fontId="5" fillId="3" borderId="18" xfId="12" applyFont="1" applyFill="1" applyBorder="1" applyAlignment="1" applyProtection="1">
      <alignment horizontal="right" vertical="center"/>
      <protection locked="0"/>
    </xf>
    <xf numFmtId="0" fontId="17" fillId="4" borderId="4" xfId="0" applyFont="1" applyFill="1" applyBorder="1" applyAlignment="1" applyProtection="1">
      <alignment horizontal="center" vertical="center" wrapText="1"/>
      <protection locked="0"/>
    </xf>
    <xf numFmtId="17" fontId="17" fillId="4" borderId="3" xfId="0" applyNumberFormat="1" applyFont="1" applyFill="1" applyBorder="1" applyAlignment="1">
      <alignment horizontal="left" vertical="center" wrapText="1"/>
    </xf>
    <xf numFmtId="167" fontId="17" fillId="4" borderId="3" xfId="12" applyNumberFormat="1" applyFont="1" applyFill="1" applyBorder="1" applyAlignment="1">
      <alignment horizontal="right" vertical="center" wrapText="1"/>
    </xf>
    <xf numFmtId="17" fontId="17" fillId="4" borderId="3" xfId="0" applyNumberFormat="1" applyFont="1" applyFill="1" applyBorder="1" applyAlignment="1">
      <alignment horizontal="center" vertical="center" wrapText="1"/>
    </xf>
    <xf numFmtId="165" fontId="17" fillId="4" borderId="21" xfId="12" applyFont="1" applyFill="1" applyBorder="1" applyAlignment="1">
      <alignment horizontal="right" vertical="center" wrapText="1"/>
    </xf>
    <xf numFmtId="165" fontId="17" fillId="4" borderId="3" xfId="12" applyFont="1" applyFill="1" applyBorder="1" applyAlignment="1">
      <alignment horizontal="right" vertical="center" wrapText="1"/>
    </xf>
    <xf numFmtId="165" fontId="17" fillId="4" borderId="3" xfId="12" applyFont="1" applyFill="1" applyBorder="1" applyAlignment="1">
      <alignment horizontal="center" vertical="center" wrapText="1"/>
    </xf>
    <xf numFmtId="165" fontId="17" fillId="4" borderId="20" xfId="12" applyFont="1" applyFill="1" applyBorder="1" applyAlignment="1">
      <alignment horizontal="right" vertical="center" wrapText="1"/>
    </xf>
    <xf numFmtId="165" fontId="17" fillId="4" borderId="21" xfId="12" applyFont="1" applyFill="1" applyBorder="1" applyAlignment="1">
      <alignment horizontal="center" vertical="center" wrapText="1"/>
    </xf>
    <xf numFmtId="17" fontId="17" fillId="4" borderId="30" xfId="0" applyNumberFormat="1"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4" borderId="3" xfId="0" applyFont="1" applyFill="1" applyBorder="1" applyAlignment="1">
      <alignment horizontal="center" vertical="center"/>
    </xf>
    <xf numFmtId="4" fontId="12" fillId="4" borderId="3" xfId="0" applyNumberFormat="1" applyFont="1" applyFill="1" applyBorder="1" applyAlignment="1">
      <alignment horizontal="center" vertical="center"/>
    </xf>
    <xf numFmtId="0" fontId="12" fillId="4" borderId="3" xfId="0" applyFont="1" applyFill="1" applyBorder="1" applyAlignment="1">
      <alignment horizontal="right" vertical="center" wrapText="1"/>
    </xf>
    <xf numFmtId="0" fontId="12" fillId="4" borderId="3" xfId="0" applyFont="1" applyFill="1" applyBorder="1" applyAlignment="1">
      <alignment horizontal="right" vertical="center"/>
    </xf>
    <xf numFmtId="166" fontId="13" fillId="4" borderId="3" xfId="0" applyNumberFormat="1" applyFont="1" applyFill="1" applyBorder="1" applyAlignment="1">
      <alignment horizontal="right" vertical="center" wrapText="1"/>
    </xf>
    <xf numFmtId="165" fontId="12" fillId="4" borderId="3" xfId="12" applyFont="1" applyFill="1" applyBorder="1" applyAlignment="1" applyProtection="1">
      <alignment horizontal="right" vertical="center" wrapText="1"/>
    </xf>
    <xf numFmtId="0" fontId="13" fillId="4" borderId="3" xfId="0" applyFont="1" applyFill="1" applyBorder="1" applyAlignment="1">
      <alignment horizontal="left" vertical="center" wrapText="1"/>
    </xf>
    <xf numFmtId="0" fontId="5" fillId="0" borderId="10" xfId="0" applyFont="1" applyBorder="1" applyAlignment="1" applyProtection="1">
      <alignment horizontal="left" vertical="center" wrapText="1"/>
      <protection locked="0"/>
    </xf>
    <xf numFmtId="4" fontId="17" fillId="4" borderId="3" xfId="5"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0" fontId="5" fillId="4" borderId="3" xfId="0" applyFont="1" applyFill="1" applyBorder="1" applyAlignment="1">
      <alignment horizontal="right" vertical="center"/>
    </xf>
    <xf numFmtId="0" fontId="5" fillId="4" borderId="3" xfId="0" applyFont="1" applyFill="1" applyBorder="1" applyAlignment="1">
      <alignment horizontal="left" vertical="center" wrapText="1"/>
    </xf>
    <xf numFmtId="0" fontId="17" fillId="4" borderId="3" xfId="0" applyFont="1" applyFill="1" applyBorder="1" applyAlignment="1">
      <alignment horizontal="right" vertical="center"/>
    </xf>
    <xf numFmtId="165" fontId="5" fillId="4" borderId="3" xfId="0" applyNumberFormat="1" applyFont="1" applyFill="1" applyBorder="1" applyAlignment="1">
      <alignment horizontal="right" vertical="center"/>
    </xf>
    <xf numFmtId="0" fontId="17" fillId="4" borderId="8" xfId="0" applyFont="1" applyFill="1" applyBorder="1" applyAlignment="1">
      <alignment horizontal="center" vertical="center" wrapText="1"/>
    </xf>
    <xf numFmtId="0" fontId="17" fillId="4" borderId="4" xfId="0" applyFont="1" applyFill="1" applyBorder="1" applyAlignment="1">
      <alignment horizontal="center" vertical="center" wrapText="1"/>
    </xf>
    <xf numFmtId="167" fontId="17" fillId="3" borderId="0" xfId="12" applyNumberFormat="1" applyFont="1" applyFill="1" applyBorder="1" applyAlignment="1" applyProtection="1">
      <alignment horizontal="right" vertical="center" wrapText="1"/>
    </xf>
    <xf numFmtId="0" fontId="17" fillId="4" borderId="3" xfId="0" applyFont="1" applyFill="1" applyBorder="1" applyAlignment="1">
      <alignment horizontal="left" vertical="center"/>
    </xf>
    <xf numFmtId="0" fontId="17" fillId="4" borderId="3" xfId="0" applyFont="1" applyFill="1" applyBorder="1" applyAlignment="1">
      <alignment horizontal="center" vertical="center" wrapText="1"/>
    </xf>
    <xf numFmtId="165" fontId="17" fillId="4" borderId="3" xfId="12" applyFont="1" applyFill="1" applyBorder="1" applyAlignment="1" applyProtection="1">
      <alignment horizontal="right" vertical="center" wrapText="1"/>
    </xf>
    <xf numFmtId="0" fontId="17" fillId="4" borderId="8" xfId="0" applyFont="1" applyFill="1" applyBorder="1" applyAlignment="1">
      <alignment vertical="center" wrapText="1"/>
    </xf>
    <xf numFmtId="167" fontId="17" fillId="4" borderId="3" xfId="12" applyNumberFormat="1" applyFont="1" applyFill="1" applyBorder="1" applyAlignment="1" applyProtection="1">
      <alignment horizontal="right" vertical="center" wrapText="1"/>
    </xf>
    <xf numFmtId="49" fontId="3" fillId="3" borderId="9" xfId="0" applyNumberFormat="1" applyFont="1" applyFill="1" applyBorder="1" applyAlignment="1">
      <alignment horizontal="left" wrapText="1"/>
    </xf>
    <xf numFmtId="0" fontId="8" fillId="4" borderId="20" xfId="0" applyFont="1" applyFill="1" applyBorder="1" applyAlignment="1">
      <alignment horizontal="center" vertical="center"/>
    </xf>
    <xf numFmtId="0" fontId="8" fillId="4" borderId="20" xfId="0" applyFont="1" applyFill="1" applyBorder="1" applyAlignment="1">
      <alignment horizontal="center" vertical="center" wrapText="1"/>
    </xf>
    <xf numFmtId="168" fontId="17" fillId="4" borderId="31" xfId="0" applyNumberFormat="1" applyFont="1" applyFill="1" applyBorder="1" applyAlignment="1">
      <alignment horizontal="center" vertical="center" wrapText="1"/>
    </xf>
    <xf numFmtId="169" fontId="17" fillId="4" borderId="30" xfId="0" applyNumberFormat="1" applyFont="1" applyFill="1" applyBorder="1" applyAlignment="1">
      <alignment horizontal="center" vertical="center" wrapText="1"/>
    </xf>
    <xf numFmtId="169" fontId="17" fillId="4" borderId="3" xfId="0" applyNumberFormat="1" applyFont="1" applyFill="1" applyBorder="1" applyAlignment="1">
      <alignment horizontal="center" vertical="center" wrapText="1"/>
    </xf>
    <xf numFmtId="0" fontId="8" fillId="4" borderId="31" xfId="0" applyFont="1" applyFill="1" applyBorder="1" applyAlignment="1">
      <alignment horizontal="center" vertical="center" wrapText="1"/>
    </xf>
    <xf numFmtId="169" fontId="17" fillId="4" borderId="24" xfId="0" applyNumberFormat="1" applyFont="1" applyFill="1" applyBorder="1" applyAlignment="1">
      <alignment horizontal="center" vertical="center" wrapText="1"/>
    </xf>
    <xf numFmtId="10" fontId="17" fillId="4" borderId="31" xfId="10" applyNumberFormat="1" applyFont="1" applyFill="1" applyBorder="1" applyAlignment="1" applyProtection="1">
      <alignment horizontal="center" vertical="center"/>
    </xf>
    <xf numFmtId="0" fontId="0" fillId="4" borderId="3" xfId="0" applyFill="1" applyBorder="1" applyAlignment="1">
      <alignment horizontal="center" vertical="center"/>
    </xf>
    <xf numFmtId="49" fontId="8" fillId="4" borderId="3" xfId="0" applyNumberFormat="1" applyFont="1" applyFill="1" applyBorder="1" applyAlignment="1">
      <alignment horizontal="left" vertical="center" wrapText="1"/>
    </xf>
    <xf numFmtId="165" fontId="17" fillId="4" borderId="30" xfId="12" applyFont="1" applyFill="1" applyBorder="1" applyAlignment="1" applyProtection="1">
      <alignment horizontal="right" vertical="center"/>
    </xf>
    <xf numFmtId="165" fontId="17" fillId="4" borderId="3" xfId="12" applyFont="1" applyFill="1" applyBorder="1" applyAlignment="1" applyProtection="1">
      <alignment horizontal="right" vertical="center"/>
    </xf>
    <xf numFmtId="165" fontId="17" fillId="4" borderId="31" xfId="12" applyFont="1" applyFill="1" applyBorder="1" applyAlignment="1" applyProtection="1">
      <alignment horizontal="right" vertical="center"/>
    </xf>
    <xf numFmtId="10" fontId="17" fillId="4" borderId="3" xfId="10" applyNumberFormat="1" applyFont="1" applyFill="1" applyBorder="1" applyAlignment="1" applyProtection="1">
      <alignment horizontal="right" vertical="center"/>
    </xf>
    <xf numFmtId="10" fontId="17" fillId="4" borderId="31" xfId="10" applyNumberFormat="1" applyFont="1" applyFill="1" applyBorder="1" applyAlignment="1" applyProtection="1">
      <alignment horizontal="right" vertical="center"/>
    </xf>
    <xf numFmtId="0" fontId="8" fillId="4" borderId="21" xfId="0" applyFont="1" applyFill="1" applyBorder="1" applyAlignment="1">
      <alignment horizontal="center"/>
    </xf>
    <xf numFmtId="168" fontId="17" fillId="4" borderId="30" xfId="0" quotePrefix="1" applyNumberFormat="1" applyFont="1" applyFill="1" applyBorder="1" applyAlignment="1">
      <alignment horizontal="center" vertical="center" wrapText="1"/>
    </xf>
    <xf numFmtId="165" fontId="5" fillId="3" borderId="18" xfId="12" applyFont="1" applyFill="1" applyBorder="1" applyAlignment="1" applyProtection="1">
      <alignment horizontal="right" vertical="center"/>
    </xf>
    <xf numFmtId="0" fontId="40" fillId="3" borderId="0" xfId="0" applyFont="1" applyFill="1" applyAlignment="1" applyProtection="1">
      <alignment wrapText="1"/>
      <protection locked="0"/>
    </xf>
    <xf numFmtId="0" fontId="13" fillId="3" borderId="9" xfId="0" applyFont="1" applyFill="1" applyBorder="1" applyAlignment="1" applyProtection="1">
      <alignment horizontal="left" vertical="center" wrapText="1"/>
      <protection locked="0"/>
    </xf>
    <xf numFmtId="0" fontId="5" fillId="11" borderId="10" xfId="0" applyFont="1" applyFill="1" applyBorder="1" applyAlignment="1" applyProtection="1">
      <alignment horizontal="left" vertical="center" wrapText="1"/>
      <protection locked="0"/>
    </xf>
    <xf numFmtId="165" fontId="5" fillId="11" borderId="10" xfId="12" applyFont="1" applyFill="1" applyBorder="1" applyAlignment="1" applyProtection="1">
      <alignment horizontal="right" vertical="center"/>
      <protection locked="0"/>
    </xf>
    <xf numFmtId="0" fontId="5" fillId="11" borderId="11" xfId="0" applyFont="1" applyFill="1" applyBorder="1" applyAlignment="1" applyProtection="1">
      <alignment horizontal="left" vertical="center" wrapText="1"/>
      <protection locked="0"/>
    </xf>
    <xf numFmtId="168" fontId="18" fillId="2" borderId="0" xfId="0" applyNumberFormat="1" applyFont="1" applyFill="1" applyAlignment="1" applyProtection="1">
      <alignment horizontal="center"/>
      <protection locked="0"/>
    </xf>
    <xf numFmtId="0" fontId="5" fillId="3" borderId="0" xfId="0" applyFont="1" applyFill="1" applyAlignment="1" applyProtection="1">
      <alignment horizontal="left" vertical="center" wrapText="1"/>
      <protection locked="0"/>
    </xf>
    <xf numFmtId="0" fontId="5" fillId="3" borderId="0" xfId="0" applyFont="1" applyFill="1" applyAlignment="1" applyProtection="1">
      <alignment vertical="center" wrapText="1"/>
      <protection locked="0"/>
    </xf>
    <xf numFmtId="0" fontId="5" fillId="3" borderId="0" xfId="0" applyFont="1" applyFill="1" applyAlignment="1" applyProtection="1">
      <alignment vertical="center"/>
      <protection locked="0"/>
    </xf>
    <xf numFmtId="0" fontId="40" fillId="3" borderId="0" xfId="0" applyFont="1" applyFill="1" applyAlignment="1" applyProtection="1">
      <alignment wrapText="1"/>
      <protection locked="0"/>
    </xf>
    <xf numFmtId="43" fontId="5" fillId="3" borderId="0" xfId="16" applyFont="1" applyFill="1" applyBorder="1" applyAlignment="1" applyProtection="1">
      <alignment horizontal="right" vertical="center" wrapText="1"/>
      <protection locked="0"/>
    </xf>
    <xf numFmtId="43" fontId="5" fillId="3" borderId="11" xfId="16" applyFont="1" applyFill="1" applyBorder="1" applyAlignment="1" applyProtection="1">
      <alignment horizontal="right" vertical="center" wrapText="1"/>
      <protection locked="0"/>
    </xf>
    <xf numFmtId="10" fontId="5" fillId="3" borderId="15" xfId="0" applyNumberFormat="1" applyFont="1" applyFill="1" applyBorder="1" applyAlignment="1" applyProtection="1">
      <alignment horizontal="right" vertical="center"/>
      <protection locked="0"/>
    </xf>
    <xf numFmtId="43" fontId="5" fillId="3" borderId="9" xfId="16" applyFont="1" applyFill="1" applyBorder="1" applyAlignment="1" applyProtection="1">
      <alignment horizontal="right" vertical="center" wrapText="1"/>
      <protection locked="0"/>
    </xf>
    <xf numFmtId="0" fontId="24" fillId="3" borderId="0" xfId="5" applyFont="1" applyFill="1" applyAlignment="1" applyProtection="1">
      <alignment horizontal="center"/>
      <protection locked="0"/>
    </xf>
    <xf numFmtId="43" fontId="5" fillId="3" borderId="5" xfId="16" applyFont="1" applyFill="1" applyBorder="1" applyAlignment="1" applyProtection="1">
      <alignment horizontal="right" vertical="center"/>
      <protection locked="0"/>
    </xf>
    <xf numFmtId="0" fontId="5" fillId="3" borderId="18" xfId="0" applyFont="1" applyFill="1" applyBorder="1" applyAlignment="1" applyProtection="1">
      <alignment horizontal="left" vertical="center" wrapText="1"/>
      <protection locked="0"/>
    </xf>
    <xf numFmtId="43" fontId="5" fillId="3" borderId="5" xfId="16" applyFont="1" applyFill="1" applyBorder="1" applyAlignment="1" applyProtection="1">
      <alignment horizontal="right" vertical="center"/>
      <protection locked="0"/>
    </xf>
    <xf numFmtId="43" fontId="5" fillId="3" borderId="5" xfId="16" applyFont="1" applyFill="1" applyBorder="1" applyAlignment="1" applyProtection="1">
      <alignment horizontal="right" vertical="center"/>
      <protection locked="0"/>
    </xf>
    <xf numFmtId="0" fontId="8" fillId="0" borderId="4" xfId="0" applyFont="1" applyBorder="1" applyAlignment="1">
      <alignment horizontal="center" wrapText="1"/>
    </xf>
    <xf numFmtId="0" fontId="8" fillId="0" borderId="4" xfId="0" applyFont="1" applyBorder="1" applyAlignment="1">
      <alignment horizontal="center"/>
    </xf>
    <xf numFmtId="0" fontId="19" fillId="0" borderId="0" xfId="0" applyFont="1" applyAlignment="1">
      <alignment horizontal="center" vertical="center"/>
    </xf>
    <xf numFmtId="0" fontId="19" fillId="3" borderId="2" xfId="0" applyFont="1" applyFill="1" applyBorder="1" applyAlignment="1">
      <alignment horizontal="center" vertical="center"/>
    </xf>
    <xf numFmtId="0" fontId="5" fillId="3" borderId="8" xfId="0" applyFont="1" applyFill="1" applyBorder="1" applyAlignment="1">
      <alignment horizontal="left" vertical="center" wrapText="1"/>
    </xf>
    <xf numFmtId="0" fontId="17" fillId="3" borderId="3" xfId="5" applyFont="1" applyFill="1" applyBorder="1" applyAlignment="1">
      <alignment horizontal="right" vertical="center" wrapText="1"/>
    </xf>
    <xf numFmtId="0" fontId="17" fillId="4" borderId="1" xfId="5" applyFont="1" applyFill="1" applyBorder="1" applyAlignment="1">
      <alignment horizontal="left" vertical="center"/>
    </xf>
    <xf numFmtId="0" fontId="17" fillId="3" borderId="7" xfId="0" applyFont="1" applyFill="1" applyBorder="1" applyAlignment="1">
      <alignment horizontal="left" vertical="center" wrapText="1"/>
    </xf>
    <xf numFmtId="0" fontId="19" fillId="3" borderId="0" xfId="0" applyFont="1" applyFill="1" applyAlignment="1">
      <alignment horizontal="center" vertical="center" wrapText="1"/>
    </xf>
    <xf numFmtId="0" fontId="8" fillId="4" borderId="3" xfId="0" applyFont="1" applyFill="1" applyBorder="1" applyAlignment="1">
      <alignment horizontal="center" vertical="center"/>
    </xf>
    <xf numFmtId="0" fontId="8" fillId="4" borderId="20" xfId="0" applyFont="1" applyFill="1" applyBorder="1" applyAlignment="1">
      <alignment horizontal="center" vertical="center"/>
    </xf>
    <xf numFmtId="0" fontId="3" fillId="3" borderId="3" xfId="0" applyFont="1" applyFill="1" applyBorder="1" applyAlignment="1">
      <alignment horizontal="left" vertical="center"/>
    </xf>
    <xf numFmtId="0" fontId="3" fillId="3" borderId="20" xfId="0" applyFont="1" applyFill="1" applyBorder="1" applyAlignment="1">
      <alignment horizontal="left" vertical="center"/>
    </xf>
    <xf numFmtId="0" fontId="19" fillId="3" borderId="0" xfId="0" applyFont="1" applyFill="1" applyAlignment="1">
      <alignment horizontal="center"/>
    </xf>
    <xf numFmtId="0" fontId="17" fillId="4" borderId="1" xfId="0" applyFont="1" applyFill="1" applyBorder="1" applyAlignment="1">
      <alignment horizontal="left" vertical="center"/>
    </xf>
    <xf numFmtId="0" fontId="17" fillId="4" borderId="8"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9" fillId="3" borderId="0" xfId="0" applyFont="1" applyFill="1" applyAlignment="1">
      <alignment horizontal="center" vertical="center"/>
    </xf>
    <xf numFmtId="0" fontId="17" fillId="4" borderId="15" xfId="0" applyFont="1" applyFill="1" applyBorder="1" applyAlignment="1">
      <alignment horizontal="center" vertical="center" wrapText="1"/>
    </xf>
    <xf numFmtId="0" fontId="17" fillId="4" borderId="28" xfId="0" applyFont="1" applyFill="1" applyBorder="1" applyAlignment="1">
      <alignment horizontal="center" vertical="center" wrapText="1"/>
    </xf>
    <xf numFmtId="0" fontId="17" fillId="4" borderId="0" xfId="0" applyFont="1" applyFill="1" applyAlignment="1">
      <alignment horizontal="center" vertical="center" wrapText="1"/>
    </xf>
    <xf numFmtId="0" fontId="17" fillId="4" borderId="25" xfId="0" applyFont="1" applyFill="1" applyBorder="1" applyAlignment="1">
      <alignment horizontal="center" vertical="center" wrapText="1"/>
    </xf>
    <xf numFmtId="0" fontId="17" fillId="4" borderId="9" xfId="0" applyFont="1" applyFill="1" applyBorder="1" applyAlignment="1">
      <alignment horizontal="center" vertical="center" wrapText="1"/>
    </xf>
    <xf numFmtId="0" fontId="17" fillId="4" borderId="23" xfId="0" applyFont="1" applyFill="1" applyBorder="1" applyAlignment="1">
      <alignment horizontal="center" vertical="center" wrapText="1"/>
    </xf>
    <xf numFmtId="0" fontId="17" fillId="4" borderId="26"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17" fillId="4" borderId="14" xfId="0" applyFont="1" applyFill="1" applyBorder="1" applyAlignment="1">
      <alignment horizontal="center" vertical="center" wrapText="1"/>
    </xf>
    <xf numFmtId="0" fontId="17" fillId="4" borderId="27" xfId="0" applyFont="1" applyFill="1" applyBorder="1" applyAlignment="1">
      <alignment horizontal="center" vertical="center" wrapText="1"/>
    </xf>
    <xf numFmtId="0" fontId="17" fillId="4" borderId="18" xfId="0" applyFont="1" applyFill="1" applyBorder="1" applyAlignment="1">
      <alignment horizontal="center" vertical="center" wrapText="1"/>
    </xf>
    <xf numFmtId="0" fontId="17" fillId="4" borderId="29" xfId="0" applyFont="1" applyFill="1" applyBorder="1" applyAlignment="1">
      <alignment horizontal="center" vertical="center" wrapText="1"/>
    </xf>
    <xf numFmtId="0" fontId="17" fillId="4" borderId="26"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5" xfId="0" applyFont="1" applyFill="1" applyBorder="1" applyAlignment="1">
      <alignment horizontal="center" vertical="center" wrapText="1"/>
    </xf>
    <xf numFmtId="0" fontId="3" fillId="3" borderId="0" xfId="0" applyFont="1" applyFill="1" applyAlignment="1" applyProtection="1">
      <alignment horizontal="center" vertical="center" wrapText="1"/>
      <protection locked="0"/>
    </xf>
    <xf numFmtId="0" fontId="38" fillId="3" borderId="0" xfId="5" applyFont="1" applyFill="1" applyAlignment="1" applyProtection="1">
      <alignment horizontal="center" vertical="center"/>
      <protection locked="0"/>
    </xf>
    <xf numFmtId="0" fontId="39" fillId="3" borderId="0" xfId="5" applyFont="1" applyFill="1" applyAlignment="1">
      <alignment horizontal="center" vertical="center"/>
    </xf>
    <xf numFmtId="0" fontId="18" fillId="3" borderId="0" xfId="5" applyFont="1" applyFill="1" applyAlignment="1">
      <alignment horizontal="center" vertical="center"/>
    </xf>
    <xf numFmtId="0" fontId="37" fillId="3" borderId="0" xfId="5" applyFont="1" applyFill="1" applyAlignment="1">
      <alignment horizontal="center"/>
    </xf>
    <xf numFmtId="0" fontId="24" fillId="3" borderId="0" xfId="5" applyFont="1" applyFill="1" applyAlignment="1">
      <alignment horizontal="center" vertical="center" wrapText="1"/>
    </xf>
    <xf numFmtId="0" fontId="25" fillId="3" borderId="0" xfId="5" applyFont="1" applyFill="1" applyAlignment="1">
      <alignment horizontal="center"/>
    </xf>
    <xf numFmtId="0" fontId="24" fillId="3" borderId="0" xfId="5" applyFont="1" applyFill="1" applyAlignment="1">
      <alignment horizontal="center"/>
    </xf>
    <xf numFmtId="0" fontId="35" fillId="3" borderId="0" xfId="5" applyFont="1" applyFill="1" applyAlignment="1">
      <alignment horizontal="center" vertical="center"/>
    </xf>
    <xf numFmtId="0" fontId="36" fillId="3" borderId="0" xfId="5" applyFont="1" applyFill="1" applyAlignment="1">
      <alignment horizontal="center"/>
    </xf>
  </cellXfs>
  <cellStyles count="20">
    <cellStyle name="Moeda 2" xfId="1"/>
    <cellStyle name="Moeda 2 2" xfId="2"/>
    <cellStyle name="Moeda 3" xfId="3"/>
    <cellStyle name="Normal" xfId="0" builtinId="0"/>
    <cellStyle name="Normal 10" xfId="4"/>
    <cellStyle name="Normal 2" xfId="5"/>
    <cellStyle name="Normal 3" xfId="6"/>
    <cellStyle name="Normal 3 3" xfId="7"/>
    <cellStyle name="Normal 4" xfId="8"/>
    <cellStyle name="Normal 4 2" xfId="14"/>
    <cellStyle name="Normal 4 3" xfId="18"/>
    <cellStyle name="Normal 5" xfId="9"/>
    <cellStyle name="Normal 5 2" xfId="15"/>
    <cellStyle name="Normal 5 3" xfId="19"/>
    <cellStyle name="Porcentagem" xfId="10" builtinId="5"/>
    <cellStyle name="Porcentagem 2" xfId="11"/>
    <cellStyle name="Separador de milhares 2" xfId="13"/>
    <cellStyle name="Separador de milhares 2 2" xfId="17"/>
    <cellStyle name="Vírgula" xfId="12" builtinId="3"/>
    <cellStyle name="Vírgula 2" xfId="16"/>
  </cellStyles>
  <dxfs count="31">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219075</xdr:colOff>
      <xdr:row>8</xdr:row>
      <xdr:rowOff>19049</xdr:rowOff>
    </xdr:from>
    <xdr:to>
      <xdr:col>0</xdr:col>
      <xdr:colOff>1743075</xdr:colOff>
      <xdr:row>8</xdr:row>
      <xdr:rowOff>914400</xdr:rowOff>
    </xdr:to>
    <xdr:pic>
      <xdr:nvPicPr>
        <xdr:cNvPr id="2" name="Imagem 1" descr="https://www.institutoelo.org.br/images/logo.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2733674"/>
          <a:ext cx="1524000" cy="8953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2867025</xdr:colOff>
      <xdr:row>8</xdr:row>
      <xdr:rowOff>66675</xdr:rowOff>
    </xdr:from>
    <xdr:to>
      <xdr:col>0</xdr:col>
      <xdr:colOff>5341825</xdr:colOff>
      <xdr:row>8</xdr:row>
      <xdr:rowOff>942636</xdr:rowOff>
    </xdr:to>
    <xdr:pic>
      <xdr:nvPicPr>
        <xdr:cNvPr id="3" name="Imagem 2">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9274" t="33007" r="28143" b="29218"/>
        <a:stretch/>
      </xdr:blipFill>
      <xdr:spPr>
        <a:xfrm>
          <a:off x="2867025" y="2781300"/>
          <a:ext cx="2474800" cy="875961"/>
        </a:xfrm>
        <a:prstGeom prst="rect">
          <a:avLst/>
        </a:prstGeom>
      </xdr:spPr>
    </xdr:pic>
    <xdr:clientData/>
  </xdr:twoCellAnchor>
  <xdr:twoCellAnchor editAs="oneCell">
    <xdr:from>
      <xdr:col>0</xdr:col>
      <xdr:colOff>6162675</xdr:colOff>
      <xdr:row>8</xdr:row>
      <xdr:rowOff>114300</xdr:rowOff>
    </xdr:from>
    <xdr:to>
      <xdr:col>1</xdr:col>
      <xdr:colOff>12984</xdr:colOff>
      <xdr:row>8</xdr:row>
      <xdr:rowOff>811517</xdr:rowOff>
    </xdr:to>
    <xdr:pic>
      <xdr:nvPicPr>
        <xdr:cNvPr id="4" name="Imagem 3">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162675" y="2828925"/>
          <a:ext cx="4194459" cy="6972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Modelos%20e%20Manuais\5%20-%20Monitoramento\Modelo%20de%20Relat&#243;rio%20Gerencial%20Financeiro%20vr%20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Comparativo"/>
      <sheetName val="Atividades"/>
      <sheetName val="Analítico Cx."/>
      <sheetName val="Analítico Cp."/>
      <sheetName val="Prov. Pessoal"/>
      <sheetName val="Comprometidos"/>
      <sheetName val="Diário"/>
      <sheetName val="Reserva"/>
      <sheetName val="Dec Dir."/>
      <sheetName val="Plano"/>
    </sheetNames>
    <sheetDataSet>
      <sheetData sheetId="0" refreshError="1"/>
      <sheetData sheetId="1" refreshError="1"/>
      <sheetData sheetId="2" refreshError="1"/>
      <sheetData sheetId="3">
        <row r="4">
          <cell r="B4" t="str">
            <v>Atividades do Termo de Parceria -
Vinculação ao Programa de Trabalho</v>
          </cell>
        </row>
        <row r="5">
          <cell r="B5">
            <v>0</v>
          </cell>
        </row>
        <row r="6">
          <cell r="B6" t="str">
            <v>N/A</v>
          </cell>
        </row>
        <row r="7">
          <cell r="B7" t="str">
            <v>Área Meio - Atividades e Gastos</v>
          </cell>
        </row>
        <row r="8">
          <cell r="B8">
            <v>0</v>
          </cell>
        </row>
        <row r="9">
          <cell r="B9">
            <v>0</v>
          </cell>
        </row>
        <row r="10">
          <cell r="B10">
            <v>0</v>
          </cell>
        </row>
        <row r="11">
          <cell r="B11">
            <v>0</v>
          </cell>
        </row>
        <row r="12">
          <cell r="B12">
            <v>0</v>
          </cell>
        </row>
        <row r="13">
          <cell r="B13">
            <v>0</v>
          </cell>
        </row>
        <row r="14">
          <cell r="B14">
            <v>0</v>
          </cell>
        </row>
        <row r="15">
          <cell r="B15">
            <v>0</v>
          </cell>
        </row>
        <row r="16">
          <cell r="B16">
            <v>0</v>
          </cell>
        </row>
        <row r="17">
          <cell r="B17">
            <v>0</v>
          </cell>
        </row>
        <row r="18">
          <cell r="B18">
            <v>0</v>
          </cell>
        </row>
        <row r="19">
          <cell r="B19">
            <v>0</v>
          </cell>
        </row>
        <row r="20">
          <cell r="B20">
            <v>0</v>
          </cell>
        </row>
        <row r="21">
          <cell r="B21">
            <v>0</v>
          </cell>
        </row>
        <row r="22">
          <cell r="B22">
            <v>0</v>
          </cell>
        </row>
        <row r="23">
          <cell r="B23">
            <v>0</v>
          </cell>
        </row>
        <row r="24">
          <cell r="B24">
            <v>0</v>
          </cell>
        </row>
        <row r="25">
          <cell r="B25">
            <v>0</v>
          </cell>
        </row>
        <row r="26">
          <cell r="B26">
            <v>0</v>
          </cell>
        </row>
        <row r="27">
          <cell r="B27">
            <v>0</v>
          </cell>
        </row>
        <row r="28">
          <cell r="B28">
            <v>0</v>
          </cell>
        </row>
        <row r="29">
          <cell r="B29">
            <v>0</v>
          </cell>
        </row>
        <row r="30">
          <cell r="B30">
            <v>0</v>
          </cell>
        </row>
        <row r="31">
          <cell r="B31">
            <v>0</v>
          </cell>
        </row>
        <row r="32">
          <cell r="B32">
            <v>0</v>
          </cell>
        </row>
        <row r="33">
          <cell r="B33">
            <v>0</v>
          </cell>
        </row>
        <row r="34">
          <cell r="B34">
            <v>0</v>
          </cell>
        </row>
        <row r="35">
          <cell r="B35">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
    <tabColor theme="8" tint="0.39997558519241921"/>
    <pageSetUpPr fitToPage="1"/>
  </sheetPr>
  <dimension ref="A1:A36"/>
  <sheetViews>
    <sheetView zoomScaleNormal="100" zoomScaleSheetLayoutView="85" zoomScalePageLayoutView="50" workbookViewId="0">
      <selection activeCell="A5" sqref="A5"/>
    </sheetView>
  </sheetViews>
  <sheetFormatPr defaultRowHeight="15" x14ac:dyDescent="0.25"/>
  <cols>
    <col min="1" max="1" width="155.140625" style="5" customWidth="1"/>
    <col min="2" max="16384" width="9.140625" style="5"/>
  </cols>
  <sheetData>
    <row r="1" spans="1:1" ht="70.5" customHeight="1" x14ac:dyDescent="0.25">
      <c r="A1" s="149" t="s">
        <v>0</v>
      </c>
    </row>
    <row r="2" spans="1:1" ht="18.75" customHeight="1" x14ac:dyDescent="0.3">
      <c r="A2" s="372" t="s">
        <v>9</v>
      </c>
    </row>
    <row r="3" spans="1:1" ht="18.75" customHeight="1" x14ac:dyDescent="0.35">
      <c r="A3" s="33"/>
    </row>
    <row r="4" spans="1:1" ht="24" customHeight="1" x14ac:dyDescent="0.25">
      <c r="A4" s="35" t="s">
        <v>1</v>
      </c>
    </row>
    <row r="5" spans="1:1" ht="21.75" customHeight="1" x14ac:dyDescent="0.25">
      <c r="A5" s="363">
        <v>46023</v>
      </c>
    </row>
    <row r="6" spans="1:1" ht="21.75" customHeight="1" x14ac:dyDescent="0.25">
      <c r="A6" s="34" t="s">
        <v>2</v>
      </c>
    </row>
    <row r="7" spans="1:1" ht="21.75" customHeight="1" x14ac:dyDescent="0.25">
      <c r="A7" s="363">
        <v>47118</v>
      </c>
    </row>
    <row r="8" spans="1:1" ht="16.5" customHeight="1" x14ac:dyDescent="0.25">
      <c r="A8" s="166"/>
    </row>
    <row r="9" spans="1:1" ht="74.25" customHeight="1" x14ac:dyDescent="0.25">
      <c r="A9"/>
    </row>
    <row r="10" spans="1:1" ht="27.75" customHeight="1" x14ac:dyDescent="0.25">
      <c r="A10" s="179" t="s">
        <v>3</v>
      </c>
    </row>
    <row r="12" spans="1:1" x14ac:dyDescent="0.25">
      <c r="A12" s="137"/>
    </row>
    <row r="14" spans="1:1" hidden="1" x14ac:dyDescent="0.25">
      <c r="A14" s="5" t="s">
        <v>4</v>
      </c>
    </row>
    <row r="15" spans="1:1" hidden="1" x14ac:dyDescent="0.25"/>
    <row r="16" spans="1:1" hidden="1" x14ac:dyDescent="0.25">
      <c r="A16" s="5" t="s">
        <v>5</v>
      </c>
    </row>
    <row r="17" spans="1:1" hidden="1" x14ac:dyDescent="0.25">
      <c r="A17" s="5" t="s">
        <v>6</v>
      </c>
    </row>
    <row r="18" spans="1:1" hidden="1" x14ac:dyDescent="0.25">
      <c r="A18" s="5" t="s">
        <v>7</v>
      </c>
    </row>
    <row r="19" spans="1:1" hidden="1" x14ac:dyDescent="0.25">
      <c r="A19" s="5" t="s">
        <v>8</v>
      </c>
    </row>
    <row r="20" spans="1:1" hidden="1" x14ac:dyDescent="0.25">
      <c r="A20" s="5" t="s">
        <v>9</v>
      </c>
    </row>
    <row r="21" spans="1:1" hidden="1" x14ac:dyDescent="0.25">
      <c r="A21" s="5" t="s">
        <v>10</v>
      </c>
    </row>
    <row r="22" spans="1:1" hidden="1" x14ac:dyDescent="0.25">
      <c r="A22" s="5" t="s">
        <v>11</v>
      </c>
    </row>
    <row r="23" spans="1:1" hidden="1" x14ac:dyDescent="0.25">
      <c r="A23" s="5" t="s">
        <v>12</v>
      </c>
    </row>
    <row r="24" spans="1:1" hidden="1" x14ac:dyDescent="0.25">
      <c r="A24" s="5" t="s">
        <v>13</v>
      </c>
    </row>
    <row r="25" spans="1:1" hidden="1" x14ac:dyDescent="0.25">
      <c r="A25" s="5" t="s">
        <v>14</v>
      </c>
    </row>
    <row r="26" spans="1:1" hidden="1" x14ac:dyDescent="0.25">
      <c r="A26" s="5" t="s">
        <v>15</v>
      </c>
    </row>
    <row r="27" spans="1:1" hidden="1" x14ac:dyDescent="0.25">
      <c r="A27" s="5" t="s">
        <v>16</v>
      </c>
    </row>
    <row r="28" spans="1:1" hidden="1" x14ac:dyDescent="0.25">
      <c r="A28" s="5" t="s">
        <v>17</v>
      </c>
    </row>
    <row r="29" spans="1:1" hidden="1" x14ac:dyDescent="0.25">
      <c r="A29" s="5" t="s">
        <v>18</v>
      </c>
    </row>
    <row r="30" spans="1:1" hidden="1" x14ac:dyDescent="0.25">
      <c r="A30" s="5" t="s">
        <v>19</v>
      </c>
    </row>
    <row r="31" spans="1:1" hidden="1" x14ac:dyDescent="0.25">
      <c r="A31" s="5" t="s">
        <v>20</v>
      </c>
    </row>
    <row r="32" spans="1:1" hidden="1" x14ac:dyDescent="0.25">
      <c r="A32" s="5" t="s">
        <v>21</v>
      </c>
    </row>
    <row r="33" spans="1:1" hidden="1" x14ac:dyDescent="0.25">
      <c r="A33" s="5" t="s">
        <v>22</v>
      </c>
    </row>
    <row r="34" spans="1:1" hidden="1" x14ac:dyDescent="0.25">
      <c r="A34" s="5" t="s">
        <v>23</v>
      </c>
    </row>
    <row r="35" spans="1:1" hidden="1" x14ac:dyDescent="0.25">
      <c r="A35" s="5" t="s">
        <v>24</v>
      </c>
    </row>
    <row r="36" spans="1:1" hidden="1" x14ac:dyDescent="0.25">
      <c r="A36" s="175">
        <f>IF(ISNUMBER(A5),A5,DATEVALUE("1/7/2023"))</f>
        <v>46023</v>
      </c>
    </row>
  </sheetData>
  <sheetProtection algorithmName="SHA-512" hashValue="lbW1g23xaDzvb0pEGYU1Fl5YyC+2yb2GBbpbFta5+DXUEIg24ITkhG8SN8NKPE0E40sjNutGSuMgA7nSumPcBA==" saltValue="u3gDHcOfLyzNkJOVwVdDQQ==" spinCount="100000" sheet="1" formatCells="0"/>
  <phoneticPr fontId="11" type="noConversion"/>
  <dataValidations count="1">
    <dataValidation type="list" allowBlank="1" showInputMessage="1" showErrorMessage="1" sqref="A2">
      <formula1>$A$14:$A$35</formula1>
    </dataValidation>
  </dataValidations>
  <printOptions horizontalCentered="1" verticalCentered="1"/>
  <pageMargins left="0.19685039370078741" right="0.19685039370078741" top="0.59055118110236227" bottom="0.59055118110236227" header="0" footer="0.39370078740157483"/>
  <pageSetup paperSize="9" scale="94" orientation="landscape" r:id="rId1"/>
  <headerFooter differentFirst="1">
    <oddFooter>Página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pageSetUpPr fitToPage="1"/>
  </sheetPr>
  <dimension ref="A1:M204"/>
  <sheetViews>
    <sheetView zoomScale="80" zoomScaleNormal="80" zoomScaleSheetLayoutView="100" workbookViewId="0">
      <pane ySplit="3" topLeftCell="A13" activePane="bottomLeft" state="frozen"/>
      <selection activeCell="C112" sqref="C112"/>
      <selection pane="bottomLeft" activeCell="G11" sqref="G11"/>
    </sheetView>
  </sheetViews>
  <sheetFormatPr defaultRowHeight="12.75" x14ac:dyDescent="0.2"/>
  <cols>
    <col min="1" max="1" width="6.140625" style="87" customWidth="1"/>
    <col min="2" max="2" width="18.28515625" style="87" customWidth="1"/>
    <col min="3" max="3" width="29.28515625" style="12" customWidth="1"/>
    <col min="4" max="4" width="25.28515625" style="87" customWidth="1"/>
    <col min="5" max="5" width="20.7109375" style="87" customWidth="1"/>
    <col min="6" max="6" width="16.7109375" style="87" customWidth="1"/>
    <col min="7" max="7" width="36" style="88" customWidth="1"/>
    <col min="8" max="8" width="11.7109375" style="87" customWidth="1"/>
    <col min="9" max="9" width="0.140625" style="158" customWidth="1"/>
    <col min="10" max="16384" width="9.140625" style="85"/>
  </cols>
  <sheetData>
    <row r="1" spans="1:9" ht="42.75" customHeight="1" x14ac:dyDescent="0.2">
      <c r="A1" s="385" t="str">
        <f>Capa!A1</f>
        <v>Memória de Cálculo
Contrato de Gestão nº 008/2021 celebrado entre a SEJUSP e o Instituto Elo</v>
      </c>
      <c r="B1" s="385"/>
      <c r="C1" s="385"/>
      <c r="D1" s="385"/>
      <c r="E1" s="385"/>
      <c r="F1" s="385"/>
      <c r="G1" s="385"/>
      <c r="H1" s="385"/>
    </row>
    <row r="2" spans="1:9" ht="23.25" customHeight="1" thickBot="1" x14ac:dyDescent="0.25">
      <c r="A2" s="394" t="s">
        <v>556</v>
      </c>
      <c r="B2" s="394"/>
      <c r="C2" s="394"/>
      <c r="D2" s="394"/>
      <c r="E2" s="394"/>
      <c r="F2" s="394"/>
      <c r="G2" s="394"/>
      <c r="H2" s="394"/>
    </row>
    <row r="3" spans="1:9" ht="43.5" customHeight="1" thickBot="1" x14ac:dyDescent="0.25">
      <c r="A3" s="325" t="s">
        <v>489</v>
      </c>
      <c r="B3" s="325" t="s">
        <v>557</v>
      </c>
      <c r="C3" s="325" t="s">
        <v>471</v>
      </c>
      <c r="D3" s="325" t="s">
        <v>115</v>
      </c>
      <c r="E3" s="325" t="s">
        <v>490</v>
      </c>
      <c r="F3" s="325" t="s">
        <v>491</v>
      </c>
      <c r="G3" s="325" t="s">
        <v>492</v>
      </c>
      <c r="H3" s="325" t="s">
        <v>493</v>
      </c>
      <c r="I3" s="326" t="s">
        <v>557</v>
      </c>
    </row>
    <row r="4" spans="1:9" ht="30" customHeight="1" x14ac:dyDescent="0.2">
      <c r="A4" s="89">
        <v>1</v>
      </c>
      <c r="B4" s="89" t="s">
        <v>80</v>
      </c>
      <c r="C4" s="90" t="s">
        <v>82</v>
      </c>
      <c r="D4" s="78">
        <v>181500</v>
      </c>
      <c r="E4" s="170">
        <v>47027</v>
      </c>
      <c r="F4" s="170">
        <v>47088</v>
      </c>
      <c r="G4" s="91"/>
      <c r="H4" s="135">
        <f>IFERROR((DATEDIF(E4,F4,"M")+1)*D4,0)</f>
        <v>544500</v>
      </c>
      <c r="I4" s="159" t="str">
        <f>SUBSTITUTE(B4," ","_")</f>
        <v>Gastos_com_Pessoal</v>
      </c>
    </row>
    <row r="5" spans="1:9" ht="27.75" customHeight="1" x14ac:dyDescent="0.2">
      <c r="A5" s="89">
        <v>2</v>
      </c>
      <c r="B5" s="89" t="s">
        <v>91</v>
      </c>
      <c r="C5" s="90" t="s">
        <v>189</v>
      </c>
      <c r="D5" s="78">
        <v>20000</v>
      </c>
      <c r="E5" s="170">
        <v>47027</v>
      </c>
      <c r="F5" s="170">
        <v>47088</v>
      </c>
      <c r="G5" s="91"/>
      <c r="H5" s="135">
        <f t="shared" ref="H5:H68" si="0">IFERROR((DATEDIF(E5,F5,"M")+1)*D5,0)</f>
        <v>60000</v>
      </c>
      <c r="I5" s="159" t="str">
        <f t="shared" ref="I5:I68" si="1">SUBSTITUTE(B5," ","_")</f>
        <v>Gastos_Gerais</v>
      </c>
    </row>
    <row r="6" spans="1:9" ht="30.75" customHeight="1" x14ac:dyDescent="0.2">
      <c r="A6" s="89">
        <v>3</v>
      </c>
      <c r="B6" s="89" t="s">
        <v>91</v>
      </c>
      <c r="C6" s="90" t="s">
        <v>191</v>
      </c>
      <c r="D6" s="78">
        <v>3000</v>
      </c>
      <c r="E6" s="170">
        <v>47027</v>
      </c>
      <c r="F6" s="170">
        <v>47088</v>
      </c>
      <c r="G6" s="91"/>
      <c r="H6" s="135">
        <f t="shared" si="0"/>
        <v>9000</v>
      </c>
      <c r="I6" s="159" t="str">
        <f t="shared" si="1"/>
        <v>Gastos_Gerais</v>
      </c>
    </row>
    <row r="7" spans="1:9" ht="36" customHeight="1" x14ac:dyDescent="0.2">
      <c r="A7" s="89">
        <v>4</v>
      </c>
      <c r="B7" s="89" t="s">
        <v>91</v>
      </c>
      <c r="C7" s="90" t="s">
        <v>193</v>
      </c>
      <c r="D7" s="78">
        <v>3000</v>
      </c>
      <c r="E7" s="170">
        <v>47027</v>
      </c>
      <c r="F7" s="170">
        <v>47088</v>
      </c>
      <c r="G7" s="91"/>
      <c r="H7" s="135">
        <f t="shared" si="0"/>
        <v>9000</v>
      </c>
      <c r="I7" s="159" t="str">
        <f t="shared" si="1"/>
        <v>Gastos_Gerais</v>
      </c>
    </row>
    <row r="8" spans="1:9" ht="24.75" customHeight="1" x14ac:dyDescent="0.2">
      <c r="A8" s="89">
        <v>5</v>
      </c>
      <c r="B8" s="89" t="s">
        <v>91</v>
      </c>
      <c r="C8" s="90" t="s">
        <v>201</v>
      </c>
      <c r="D8" s="78">
        <v>2000</v>
      </c>
      <c r="E8" s="170">
        <v>47027</v>
      </c>
      <c r="F8" s="170">
        <v>47088</v>
      </c>
      <c r="G8" s="91"/>
      <c r="H8" s="135">
        <f t="shared" si="0"/>
        <v>6000</v>
      </c>
      <c r="I8" s="159" t="str">
        <f t="shared" si="1"/>
        <v>Gastos_Gerais</v>
      </c>
    </row>
    <row r="9" spans="1:9" ht="36" customHeight="1" x14ac:dyDescent="0.2">
      <c r="A9" s="89">
        <v>6</v>
      </c>
      <c r="B9" s="89" t="s">
        <v>91</v>
      </c>
      <c r="C9" s="90" t="s">
        <v>203</v>
      </c>
      <c r="D9" s="78">
        <v>4500</v>
      </c>
      <c r="E9" s="170">
        <v>47027</v>
      </c>
      <c r="F9" s="170">
        <v>47088</v>
      </c>
      <c r="G9" s="91"/>
      <c r="H9" s="135">
        <f t="shared" si="0"/>
        <v>13500</v>
      </c>
      <c r="I9" s="159" t="str">
        <f t="shared" si="1"/>
        <v>Gastos_Gerais</v>
      </c>
    </row>
    <row r="10" spans="1:9" ht="27.75" customHeight="1" x14ac:dyDescent="0.2">
      <c r="A10" s="89">
        <v>7</v>
      </c>
      <c r="B10" s="89" t="s">
        <v>91</v>
      </c>
      <c r="C10" s="90" t="s">
        <v>209</v>
      </c>
      <c r="D10" s="78">
        <v>55000</v>
      </c>
      <c r="E10" s="170">
        <v>47027</v>
      </c>
      <c r="F10" s="170">
        <v>47088</v>
      </c>
      <c r="G10" s="91"/>
      <c r="H10" s="135">
        <f t="shared" si="0"/>
        <v>165000</v>
      </c>
      <c r="I10" s="159" t="str">
        <f t="shared" si="1"/>
        <v>Gastos_Gerais</v>
      </c>
    </row>
    <row r="11" spans="1:9" ht="24.75" customHeight="1" x14ac:dyDescent="0.2">
      <c r="A11" s="89">
        <v>8</v>
      </c>
      <c r="B11" s="89"/>
      <c r="C11" s="90"/>
      <c r="D11" s="78"/>
      <c r="E11" s="170"/>
      <c r="F11" s="170"/>
      <c r="G11" s="91"/>
      <c r="H11" s="135">
        <f t="shared" si="0"/>
        <v>0</v>
      </c>
      <c r="I11" s="159" t="str">
        <f t="shared" si="1"/>
        <v/>
      </c>
    </row>
    <row r="12" spans="1:9" x14ac:dyDescent="0.2">
      <c r="A12" s="89">
        <v>9</v>
      </c>
      <c r="B12" s="89"/>
      <c r="C12" s="90"/>
      <c r="D12" s="78"/>
      <c r="E12" s="170"/>
      <c r="F12" s="170"/>
      <c r="G12" s="91"/>
      <c r="H12" s="135">
        <f t="shared" si="0"/>
        <v>0</v>
      </c>
      <c r="I12" s="159" t="str">
        <f t="shared" si="1"/>
        <v/>
      </c>
    </row>
    <row r="13" spans="1:9" x14ac:dyDescent="0.2">
      <c r="A13" s="89">
        <v>10</v>
      </c>
      <c r="B13" s="89"/>
      <c r="C13" s="90"/>
      <c r="D13" s="78"/>
      <c r="E13" s="170"/>
      <c r="F13" s="170"/>
      <c r="G13" s="91"/>
      <c r="H13" s="135">
        <f t="shared" si="0"/>
        <v>0</v>
      </c>
      <c r="I13" s="159" t="str">
        <f t="shared" si="1"/>
        <v/>
      </c>
    </row>
    <row r="14" spans="1:9" ht="13.5" thickBot="1" x14ac:dyDescent="0.25">
      <c r="A14" s="89">
        <v>11</v>
      </c>
      <c r="B14" s="89"/>
      <c r="C14" s="90"/>
      <c r="D14" s="78"/>
      <c r="E14" s="170"/>
      <c r="F14" s="170"/>
      <c r="G14" s="91"/>
      <c r="H14" s="135">
        <f t="shared" si="0"/>
        <v>0</v>
      </c>
      <c r="I14" s="159" t="str">
        <f t="shared" si="1"/>
        <v/>
      </c>
    </row>
    <row r="15" spans="1:9" hidden="1" x14ac:dyDescent="0.2">
      <c r="A15" s="89">
        <v>12</v>
      </c>
      <c r="B15" s="89"/>
      <c r="C15" s="90"/>
      <c r="D15" s="78"/>
      <c r="E15" s="170"/>
      <c r="F15" s="170"/>
      <c r="G15" s="91"/>
      <c r="H15" s="135">
        <f t="shared" si="0"/>
        <v>0</v>
      </c>
      <c r="I15" s="159" t="str">
        <f t="shared" si="1"/>
        <v/>
      </c>
    </row>
    <row r="16" spans="1:9" hidden="1" x14ac:dyDescent="0.2">
      <c r="A16" s="89">
        <v>13</v>
      </c>
      <c r="B16" s="89"/>
      <c r="C16" s="90"/>
      <c r="D16" s="78"/>
      <c r="E16" s="170"/>
      <c r="F16" s="170"/>
      <c r="G16" s="91"/>
      <c r="H16" s="135">
        <f t="shared" si="0"/>
        <v>0</v>
      </c>
      <c r="I16" s="159" t="str">
        <f t="shared" si="1"/>
        <v/>
      </c>
    </row>
    <row r="17" spans="1:13" hidden="1" x14ac:dyDescent="0.2">
      <c r="A17" s="89">
        <v>14</v>
      </c>
      <c r="B17" s="89"/>
      <c r="C17" s="90"/>
      <c r="D17" s="78"/>
      <c r="E17" s="170"/>
      <c r="F17" s="170"/>
      <c r="G17" s="91"/>
      <c r="H17" s="135">
        <f t="shared" si="0"/>
        <v>0</v>
      </c>
      <c r="I17" s="159" t="str">
        <f t="shared" si="1"/>
        <v/>
      </c>
    </row>
    <row r="18" spans="1:13" hidden="1" x14ac:dyDescent="0.2">
      <c r="A18" s="89">
        <v>15</v>
      </c>
      <c r="B18" s="89"/>
      <c r="C18" s="90"/>
      <c r="D18" s="78"/>
      <c r="E18" s="170"/>
      <c r="F18" s="170"/>
      <c r="G18" s="91"/>
      <c r="H18" s="135">
        <f t="shared" si="0"/>
        <v>0</v>
      </c>
      <c r="I18" s="159" t="str">
        <f t="shared" si="1"/>
        <v/>
      </c>
    </row>
    <row r="19" spans="1:13" hidden="1" x14ac:dyDescent="0.2">
      <c r="A19" s="89">
        <v>16</v>
      </c>
      <c r="B19" s="89"/>
      <c r="C19" s="90"/>
      <c r="D19" s="78"/>
      <c r="E19" s="170"/>
      <c r="F19" s="170"/>
      <c r="G19" s="91"/>
      <c r="H19" s="135">
        <f t="shared" si="0"/>
        <v>0</v>
      </c>
      <c r="I19" s="159" t="str">
        <f t="shared" si="1"/>
        <v/>
      </c>
    </row>
    <row r="20" spans="1:13" hidden="1" x14ac:dyDescent="0.2">
      <c r="A20" s="89">
        <v>17</v>
      </c>
      <c r="B20" s="89"/>
      <c r="C20" s="90"/>
      <c r="D20" s="78"/>
      <c r="E20" s="170"/>
      <c r="F20" s="170"/>
      <c r="G20" s="91"/>
      <c r="H20" s="135">
        <f t="shared" si="0"/>
        <v>0</v>
      </c>
      <c r="I20" s="159" t="str">
        <f t="shared" si="1"/>
        <v/>
      </c>
    </row>
    <row r="21" spans="1:13" hidden="1" x14ac:dyDescent="0.2">
      <c r="A21" s="89">
        <v>18</v>
      </c>
      <c r="B21" s="89"/>
      <c r="C21" s="90"/>
      <c r="D21" s="78"/>
      <c r="E21" s="170"/>
      <c r="F21" s="170"/>
      <c r="G21" s="91"/>
      <c r="H21" s="135">
        <f t="shared" si="0"/>
        <v>0</v>
      </c>
      <c r="I21" s="159" t="str">
        <f t="shared" si="1"/>
        <v/>
      </c>
    </row>
    <row r="22" spans="1:13" hidden="1" x14ac:dyDescent="0.2">
      <c r="A22" s="89">
        <v>19</v>
      </c>
      <c r="B22" s="89"/>
      <c r="C22" s="90"/>
      <c r="D22" s="78"/>
      <c r="E22" s="170"/>
      <c r="F22" s="170"/>
      <c r="G22" s="91"/>
      <c r="H22" s="135">
        <f t="shared" si="0"/>
        <v>0</v>
      </c>
      <c r="I22" s="159" t="str">
        <f t="shared" si="1"/>
        <v/>
      </c>
    </row>
    <row r="23" spans="1:13" hidden="1" x14ac:dyDescent="0.2">
      <c r="A23" s="89">
        <v>20</v>
      </c>
      <c r="B23" s="89"/>
      <c r="C23" s="90"/>
      <c r="D23" s="78"/>
      <c r="E23" s="170"/>
      <c r="F23" s="170"/>
      <c r="G23" s="91"/>
      <c r="H23" s="135">
        <f t="shared" si="0"/>
        <v>0</v>
      </c>
      <c r="I23" s="159" t="str">
        <f t="shared" si="1"/>
        <v/>
      </c>
    </row>
    <row r="24" spans="1:13" hidden="1" x14ac:dyDescent="0.2">
      <c r="A24" s="89">
        <v>21</v>
      </c>
      <c r="B24" s="89"/>
      <c r="C24" s="90"/>
      <c r="D24" s="78"/>
      <c r="E24" s="170"/>
      <c r="F24" s="170"/>
      <c r="G24" s="91"/>
      <c r="H24" s="135">
        <f t="shared" si="0"/>
        <v>0</v>
      </c>
      <c r="I24" s="159" t="str">
        <f t="shared" si="1"/>
        <v/>
      </c>
    </row>
    <row r="25" spans="1:13" hidden="1" x14ac:dyDescent="0.2">
      <c r="A25" s="89">
        <v>22</v>
      </c>
      <c r="B25" s="89"/>
      <c r="C25" s="90"/>
      <c r="D25" s="78"/>
      <c r="E25" s="170"/>
      <c r="F25" s="170"/>
      <c r="G25" s="91"/>
      <c r="H25" s="135">
        <f t="shared" si="0"/>
        <v>0</v>
      </c>
      <c r="I25" s="159" t="str">
        <f t="shared" si="1"/>
        <v/>
      </c>
    </row>
    <row r="26" spans="1:13" hidden="1" x14ac:dyDescent="0.2">
      <c r="A26" s="89">
        <v>23</v>
      </c>
      <c r="B26" s="89"/>
      <c r="C26" s="90"/>
      <c r="D26" s="78"/>
      <c r="E26" s="170"/>
      <c r="F26" s="170"/>
      <c r="G26" s="91"/>
      <c r="H26" s="135">
        <f t="shared" si="0"/>
        <v>0</v>
      </c>
      <c r="I26" s="159" t="str">
        <f t="shared" si="1"/>
        <v/>
      </c>
    </row>
    <row r="27" spans="1:13" hidden="1" x14ac:dyDescent="0.2">
      <c r="A27" s="89">
        <v>24</v>
      </c>
      <c r="B27" s="89"/>
      <c r="C27" s="90"/>
      <c r="D27" s="78"/>
      <c r="E27" s="170"/>
      <c r="F27" s="170"/>
      <c r="G27" s="91"/>
      <c r="H27" s="135">
        <f t="shared" si="0"/>
        <v>0</v>
      </c>
      <c r="I27" s="159" t="str">
        <f t="shared" si="1"/>
        <v/>
      </c>
    </row>
    <row r="28" spans="1:13" hidden="1" x14ac:dyDescent="0.2">
      <c r="A28" s="89">
        <v>25</v>
      </c>
      <c r="B28" s="89"/>
      <c r="C28" s="90"/>
      <c r="D28" s="78"/>
      <c r="E28" s="170"/>
      <c r="F28" s="170"/>
      <c r="G28" s="91"/>
      <c r="H28" s="135">
        <f t="shared" si="0"/>
        <v>0</v>
      </c>
      <c r="I28" s="159" t="str">
        <f t="shared" si="1"/>
        <v/>
      </c>
    </row>
    <row r="29" spans="1:13" ht="13.5" hidden="1" thickBot="1" x14ac:dyDescent="0.25">
      <c r="A29" s="89">
        <v>26</v>
      </c>
      <c r="B29" s="89"/>
      <c r="C29" s="90"/>
      <c r="D29" s="78"/>
      <c r="E29" s="170"/>
      <c r="F29" s="170"/>
      <c r="G29" s="91"/>
      <c r="H29" s="135">
        <f t="shared" si="0"/>
        <v>0</v>
      </c>
      <c r="I29" s="159" t="str">
        <f t="shared" si="1"/>
        <v/>
      </c>
    </row>
    <row r="30" spans="1:13" hidden="1" x14ac:dyDescent="0.2">
      <c r="A30" s="89">
        <v>27</v>
      </c>
      <c r="B30" s="89"/>
      <c r="C30" s="90"/>
      <c r="D30" s="78"/>
      <c r="E30" s="170"/>
      <c r="F30" s="170"/>
      <c r="G30" s="91"/>
      <c r="H30" s="135">
        <f t="shared" si="0"/>
        <v>0</v>
      </c>
      <c r="I30" s="159" t="str">
        <f t="shared" si="1"/>
        <v/>
      </c>
    </row>
    <row r="31" spans="1:13" hidden="1" x14ac:dyDescent="0.2">
      <c r="A31" s="89">
        <v>28</v>
      </c>
      <c r="B31" s="89"/>
      <c r="C31" s="90"/>
      <c r="D31" s="78"/>
      <c r="E31" s="170"/>
      <c r="F31" s="170"/>
      <c r="G31" s="91"/>
      <c r="H31" s="135">
        <f t="shared" si="0"/>
        <v>0</v>
      </c>
      <c r="I31" s="159" t="str">
        <f t="shared" si="1"/>
        <v/>
      </c>
      <c r="M31" s="142"/>
    </row>
    <row r="32" spans="1:13" hidden="1" x14ac:dyDescent="0.2">
      <c r="A32" s="89">
        <v>29</v>
      </c>
      <c r="B32" s="89"/>
      <c r="C32" s="90"/>
      <c r="D32" s="78"/>
      <c r="E32" s="170"/>
      <c r="F32" s="170"/>
      <c r="G32" s="91"/>
      <c r="H32" s="135">
        <f t="shared" si="0"/>
        <v>0</v>
      </c>
      <c r="I32" s="159" t="str">
        <f t="shared" si="1"/>
        <v/>
      </c>
    </row>
    <row r="33" spans="1:9" hidden="1" x14ac:dyDescent="0.2">
      <c r="A33" s="89">
        <v>30</v>
      </c>
      <c r="B33" s="89"/>
      <c r="C33" s="90"/>
      <c r="D33" s="78"/>
      <c r="E33" s="170"/>
      <c r="F33" s="170"/>
      <c r="G33" s="91"/>
      <c r="H33" s="135">
        <f t="shared" si="0"/>
        <v>0</v>
      </c>
      <c r="I33" s="159" t="str">
        <f t="shared" si="1"/>
        <v/>
      </c>
    </row>
    <row r="34" spans="1:9" hidden="1" x14ac:dyDescent="0.2">
      <c r="A34" s="89">
        <v>31</v>
      </c>
      <c r="B34" s="89"/>
      <c r="C34" s="90"/>
      <c r="D34" s="78"/>
      <c r="E34" s="170"/>
      <c r="F34" s="170"/>
      <c r="G34" s="91"/>
      <c r="H34" s="135">
        <f t="shared" si="0"/>
        <v>0</v>
      </c>
      <c r="I34" s="159" t="str">
        <f t="shared" si="1"/>
        <v/>
      </c>
    </row>
    <row r="35" spans="1:9" hidden="1" x14ac:dyDescent="0.2">
      <c r="A35" s="89">
        <v>32</v>
      </c>
      <c r="B35" s="89"/>
      <c r="C35" s="90"/>
      <c r="D35" s="78"/>
      <c r="E35" s="170"/>
      <c r="F35" s="170"/>
      <c r="G35" s="91"/>
      <c r="H35" s="135">
        <f t="shared" si="0"/>
        <v>0</v>
      </c>
      <c r="I35" s="159" t="str">
        <f t="shared" si="1"/>
        <v/>
      </c>
    </row>
    <row r="36" spans="1:9" hidden="1" x14ac:dyDescent="0.2">
      <c r="A36" s="89">
        <v>33</v>
      </c>
      <c r="B36" s="89"/>
      <c r="C36" s="90"/>
      <c r="D36" s="78"/>
      <c r="E36" s="170"/>
      <c r="F36" s="170"/>
      <c r="G36" s="91"/>
      <c r="H36" s="135">
        <f t="shared" si="0"/>
        <v>0</v>
      </c>
      <c r="I36" s="159" t="str">
        <f t="shared" si="1"/>
        <v/>
      </c>
    </row>
    <row r="37" spans="1:9" hidden="1" x14ac:dyDescent="0.2">
      <c r="A37" s="89">
        <v>34</v>
      </c>
      <c r="B37" s="89"/>
      <c r="C37" s="90"/>
      <c r="D37" s="78"/>
      <c r="E37" s="170"/>
      <c r="F37" s="170"/>
      <c r="G37" s="91"/>
      <c r="H37" s="135">
        <f t="shared" si="0"/>
        <v>0</v>
      </c>
      <c r="I37" s="159" t="str">
        <f t="shared" si="1"/>
        <v/>
      </c>
    </row>
    <row r="38" spans="1:9" hidden="1" x14ac:dyDescent="0.2">
      <c r="A38" s="89">
        <v>35</v>
      </c>
      <c r="B38" s="89"/>
      <c r="C38" s="90"/>
      <c r="D38" s="78"/>
      <c r="E38" s="170"/>
      <c r="F38" s="170"/>
      <c r="G38" s="91"/>
      <c r="H38" s="135">
        <f t="shared" si="0"/>
        <v>0</v>
      </c>
      <c r="I38" s="159" t="str">
        <f t="shared" si="1"/>
        <v/>
      </c>
    </row>
    <row r="39" spans="1:9" hidden="1" x14ac:dyDescent="0.2">
      <c r="A39" s="89">
        <v>36</v>
      </c>
      <c r="B39" s="89"/>
      <c r="C39" s="90"/>
      <c r="D39" s="78"/>
      <c r="E39" s="170"/>
      <c r="F39" s="170"/>
      <c r="G39" s="91"/>
      <c r="H39" s="135">
        <f t="shared" si="0"/>
        <v>0</v>
      </c>
      <c r="I39" s="159" t="str">
        <f t="shared" si="1"/>
        <v/>
      </c>
    </row>
    <row r="40" spans="1:9" hidden="1" x14ac:dyDescent="0.2">
      <c r="A40" s="89">
        <v>37</v>
      </c>
      <c r="B40" s="89"/>
      <c r="C40" s="90"/>
      <c r="D40" s="78"/>
      <c r="E40" s="170"/>
      <c r="F40" s="170"/>
      <c r="G40" s="91"/>
      <c r="H40" s="135">
        <f t="shared" si="0"/>
        <v>0</v>
      </c>
      <c r="I40" s="159" t="str">
        <f t="shared" si="1"/>
        <v/>
      </c>
    </row>
    <row r="41" spans="1:9" hidden="1" x14ac:dyDescent="0.2">
      <c r="A41" s="89">
        <v>38</v>
      </c>
      <c r="B41" s="89"/>
      <c r="C41" s="90"/>
      <c r="D41" s="78"/>
      <c r="E41" s="170"/>
      <c r="F41" s="170"/>
      <c r="G41" s="91"/>
      <c r="H41" s="135">
        <f t="shared" si="0"/>
        <v>0</v>
      </c>
      <c r="I41" s="159" t="str">
        <f t="shared" si="1"/>
        <v/>
      </c>
    </row>
    <row r="42" spans="1:9" hidden="1" x14ac:dyDescent="0.2">
      <c r="A42" s="89">
        <v>39</v>
      </c>
      <c r="B42" s="89"/>
      <c r="C42" s="90"/>
      <c r="D42" s="78"/>
      <c r="E42" s="170"/>
      <c r="F42" s="170"/>
      <c r="G42" s="91"/>
      <c r="H42" s="135">
        <f t="shared" si="0"/>
        <v>0</v>
      </c>
      <c r="I42" s="159" t="str">
        <f t="shared" si="1"/>
        <v/>
      </c>
    </row>
    <row r="43" spans="1:9" hidden="1" x14ac:dyDescent="0.2">
      <c r="A43" s="89">
        <v>40</v>
      </c>
      <c r="B43" s="89"/>
      <c r="C43" s="90"/>
      <c r="D43" s="78"/>
      <c r="E43" s="170"/>
      <c r="F43" s="170"/>
      <c r="G43" s="91"/>
      <c r="H43" s="135">
        <f t="shared" si="0"/>
        <v>0</v>
      </c>
      <c r="I43" s="159" t="str">
        <f t="shared" si="1"/>
        <v/>
      </c>
    </row>
    <row r="44" spans="1:9" hidden="1" x14ac:dyDescent="0.2">
      <c r="A44" s="89">
        <v>41</v>
      </c>
      <c r="B44" s="89"/>
      <c r="C44" s="90"/>
      <c r="D44" s="78"/>
      <c r="E44" s="170"/>
      <c r="F44" s="170"/>
      <c r="G44" s="91"/>
      <c r="H44" s="135">
        <f t="shared" si="0"/>
        <v>0</v>
      </c>
      <c r="I44" s="159" t="str">
        <f t="shared" si="1"/>
        <v/>
      </c>
    </row>
    <row r="45" spans="1:9" hidden="1" x14ac:dyDescent="0.2">
      <c r="A45" s="89">
        <v>42</v>
      </c>
      <c r="B45" s="89"/>
      <c r="C45" s="90"/>
      <c r="D45" s="78"/>
      <c r="E45" s="170"/>
      <c r="F45" s="170"/>
      <c r="G45" s="91"/>
      <c r="H45" s="135">
        <f t="shared" si="0"/>
        <v>0</v>
      </c>
      <c r="I45" s="159" t="str">
        <f t="shared" si="1"/>
        <v/>
      </c>
    </row>
    <row r="46" spans="1:9" hidden="1" x14ac:dyDescent="0.2">
      <c r="A46" s="89">
        <v>43</v>
      </c>
      <c r="B46" s="89"/>
      <c r="C46" s="90"/>
      <c r="D46" s="78"/>
      <c r="E46" s="170"/>
      <c r="F46" s="170"/>
      <c r="G46" s="91"/>
      <c r="H46" s="135">
        <f t="shared" si="0"/>
        <v>0</v>
      </c>
      <c r="I46" s="159" t="str">
        <f t="shared" si="1"/>
        <v/>
      </c>
    </row>
    <row r="47" spans="1:9" hidden="1" x14ac:dyDescent="0.2">
      <c r="A47" s="89">
        <v>44</v>
      </c>
      <c r="B47" s="89"/>
      <c r="C47" s="90"/>
      <c r="D47" s="78"/>
      <c r="E47" s="170"/>
      <c r="F47" s="170"/>
      <c r="G47" s="91"/>
      <c r="H47" s="135">
        <f t="shared" si="0"/>
        <v>0</v>
      </c>
      <c r="I47" s="159" t="str">
        <f t="shared" si="1"/>
        <v/>
      </c>
    </row>
    <row r="48" spans="1:9" hidden="1" x14ac:dyDescent="0.2">
      <c r="A48" s="89">
        <v>45</v>
      </c>
      <c r="B48" s="89"/>
      <c r="C48" s="90"/>
      <c r="D48" s="78"/>
      <c r="E48" s="170"/>
      <c r="F48" s="170"/>
      <c r="G48" s="91"/>
      <c r="H48" s="135">
        <f t="shared" si="0"/>
        <v>0</v>
      </c>
      <c r="I48" s="159" t="str">
        <f t="shared" si="1"/>
        <v/>
      </c>
    </row>
    <row r="49" spans="1:9" hidden="1" x14ac:dyDescent="0.2">
      <c r="A49" s="89">
        <v>46</v>
      </c>
      <c r="B49" s="89"/>
      <c r="C49" s="90"/>
      <c r="D49" s="78"/>
      <c r="E49" s="170"/>
      <c r="F49" s="170"/>
      <c r="G49" s="91"/>
      <c r="H49" s="135">
        <f t="shared" si="0"/>
        <v>0</v>
      </c>
      <c r="I49" s="159" t="str">
        <f t="shared" si="1"/>
        <v/>
      </c>
    </row>
    <row r="50" spans="1:9" hidden="1" x14ac:dyDescent="0.2">
      <c r="A50" s="89">
        <v>47</v>
      </c>
      <c r="B50" s="89"/>
      <c r="C50" s="90"/>
      <c r="D50" s="78"/>
      <c r="E50" s="170"/>
      <c r="F50" s="170"/>
      <c r="G50" s="91"/>
      <c r="H50" s="135">
        <f t="shared" si="0"/>
        <v>0</v>
      </c>
      <c r="I50" s="159" t="str">
        <f t="shared" si="1"/>
        <v/>
      </c>
    </row>
    <row r="51" spans="1:9" hidden="1" x14ac:dyDescent="0.2">
      <c r="A51" s="89">
        <v>48</v>
      </c>
      <c r="B51" s="89"/>
      <c r="C51" s="90"/>
      <c r="D51" s="78"/>
      <c r="E51" s="170"/>
      <c r="F51" s="170"/>
      <c r="G51" s="91"/>
      <c r="H51" s="135">
        <f t="shared" si="0"/>
        <v>0</v>
      </c>
      <c r="I51" s="159" t="str">
        <f t="shared" si="1"/>
        <v/>
      </c>
    </row>
    <row r="52" spans="1:9" hidden="1" x14ac:dyDescent="0.2">
      <c r="A52" s="89">
        <v>49</v>
      </c>
      <c r="B52" s="89"/>
      <c r="C52" s="90"/>
      <c r="D52" s="78"/>
      <c r="E52" s="170"/>
      <c r="F52" s="170"/>
      <c r="G52" s="91"/>
      <c r="H52" s="135">
        <f t="shared" si="0"/>
        <v>0</v>
      </c>
      <c r="I52" s="159" t="str">
        <f t="shared" si="1"/>
        <v/>
      </c>
    </row>
    <row r="53" spans="1:9" hidden="1" x14ac:dyDescent="0.2">
      <c r="A53" s="89">
        <v>50</v>
      </c>
      <c r="B53" s="89"/>
      <c r="C53" s="90"/>
      <c r="D53" s="78"/>
      <c r="E53" s="170"/>
      <c r="F53" s="170"/>
      <c r="G53" s="91"/>
      <c r="H53" s="135">
        <f t="shared" si="0"/>
        <v>0</v>
      </c>
      <c r="I53" s="159" t="str">
        <f t="shared" si="1"/>
        <v/>
      </c>
    </row>
    <row r="54" spans="1:9" hidden="1" x14ac:dyDescent="0.2">
      <c r="A54" s="89">
        <v>51</v>
      </c>
      <c r="B54" s="89"/>
      <c r="C54" s="90"/>
      <c r="D54" s="78"/>
      <c r="E54" s="170"/>
      <c r="F54" s="170"/>
      <c r="G54" s="91"/>
      <c r="H54" s="135">
        <f t="shared" si="0"/>
        <v>0</v>
      </c>
      <c r="I54" s="159" t="str">
        <f t="shared" si="1"/>
        <v/>
      </c>
    </row>
    <row r="55" spans="1:9" hidden="1" x14ac:dyDescent="0.2">
      <c r="A55" s="89">
        <v>52</v>
      </c>
      <c r="B55" s="89"/>
      <c r="C55" s="90"/>
      <c r="D55" s="78"/>
      <c r="E55" s="170"/>
      <c r="F55" s="170"/>
      <c r="G55" s="91"/>
      <c r="H55" s="135">
        <f t="shared" si="0"/>
        <v>0</v>
      </c>
      <c r="I55" s="159" t="str">
        <f t="shared" si="1"/>
        <v/>
      </c>
    </row>
    <row r="56" spans="1:9" hidden="1" x14ac:dyDescent="0.2">
      <c r="A56" s="89">
        <v>53</v>
      </c>
      <c r="B56" s="89"/>
      <c r="C56" s="90"/>
      <c r="D56" s="78"/>
      <c r="E56" s="170"/>
      <c r="F56" s="170"/>
      <c r="G56" s="91"/>
      <c r="H56" s="135">
        <f t="shared" si="0"/>
        <v>0</v>
      </c>
      <c r="I56" s="159" t="str">
        <f t="shared" si="1"/>
        <v/>
      </c>
    </row>
    <row r="57" spans="1:9" hidden="1" x14ac:dyDescent="0.2">
      <c r="A57" s="89">
        <v>54</v>
      </c>
      <c r="B57" s="89"/>
      <c r="C57" s="90"/>
      <c r="D57" s="78"/>
      <c r="E57" s="170"/>
      <c r="F57" s="170"/>
      <c r="G57" s="91"/>
      <c r="H57" s="135">
        <f t="shared" si="0"/>
        <v>0</v>
      </c>
      <c r="I57" s="159" t="str">
        <f t="shared" si="1"/>
        <v/>
      </c>
    </row>
    <row r="58" spans="1:9" hidden="1" x14ac:dyDescent="0.2">
      <c r="A58" s="89">
        <v>55</v>
      </c>
      <c r="B58" s="89"/>
      <c r="C58" s="90"/>
      <c r="D58" s="78"/>
      <c r="E58" s="170"/>
      <c r="F58" s="170"/>
      <c r="G58" s="91"/>
      <c r="H58" s="135">
        <f t="shared" si="0"/>
        <v>0</v>
      </c>
      <c r="I58" s="159" t="str">
        <f t="shared" si="1"/>
        <v/>
      </c>
    </row>
    <row r="59" spans="1:9" hidden="1" x14ac:dyDescent="0.2">
      <c r="A59" s="89">
        <v>56</v>
      </c>
      <c r="B59" s="89"/>
      <c r="C59" s="90"/>
      <c r="D59" s="78"/>
      <c r="E59" s="170"/>
      <c r="F59" s="170"/>
      <c r="G59" s="91"/>
      <c r="H59" s="135">
        <f t="shared" si="0"/>
        <v>0</v>
      </c>
      <c r="I59" s="159" t="str">
        <f t="shared" si="1"/>
        <v/>
      </c>
    </row>
    <row r="60" spans="1:9" hidden="1" x14ac:dyDescent="0.2">
      <c r="A60" s="89">
        <v>57</v>
      </c>
      <c r="B60" s="89"/>
      <c r="C60" s="90"/>
      <c r="D60" s="78"/>
      <c r="E60" s="170"/>
      <c r="F60" s="170"/>
      <c r="G60" s="91"/>
      <c r="H60" s="135">
        <f t="shared" si="0"/>
        <v>0</v>
      </c>
      <c r="I60" s="159" t="str">
        <f t="shared" si="1"/>
        <v/>
      </c>
    </row>
    <row r="61" spans="1:9" hidden="1" x14ac:dyDescent="0.2">
      <c r="A61" s="89">
        <v>58</v>
      </c>
      <c r="B61" s="89"/>
      <c r="C61" s="90"/>
      <c r="D61" s="78"/>
      <c r="E61" s="170"/>
      <c r="F61" s="170"/>
      <c r="G61" s="91"/>
      <c r="H61" s="135">
        <f t="shared" si="0"/>
        <v>0</v>
      </c>
      <c r="I61" s="159" t="str">
        <f t="shared" si="1"/>
        <v/>
      </c>
    </row>
    <row r="62" spans="1:9" hidden="1" x14ac:dyDescent="0.2">
      <c r="A62" s="89">
        <v>59</v>
      </c>
      <c r="B62" s="89"/>
      <c r="C62" s="90"/>
      <c r="D62" s="78"/>
      <c r="E62" s="170"/>
      <c r="F62" s="170"/>
      <c r="G62" s="91"/>
      <c r="H62" s="135">
        <f t="shared" si="0"/>
        <v>0</v>
      </c>
      <c r="I62" s="159" t="str">
        <f t="shared" si="1"/>
        <v/>
      </c>
    </row>
    <row r="63" spans="1:9" hidden="1" x14ac:dyDescent="0.2">
      <c r="A63" s="89">
        <v>60</v>
      </c>
      <c r="B63" s="89"/>
      <c r="C63" s="90"/>
      <c r="D63" s="78"/>
      <c r="E63" s="170"/>
      <c r="F63" s="170"/>
      <c r="G63" s="91"/>
      <c r="H63" s="135">
        <f t="shared" si="0"/>
        <v>0</v>
      </c>
      <c r="I63" s="159" t="str">
        <f t="shared" si="1"/>
        <v/>
      </c>
    </row>
    <row r="64" spans="1:9" hidden="1" x14ac:dyDescent="0.2">
      <c r="A64" s="89">
        <v>61</v>
      </c>
      <c r="B64" s="89"/>
      <c r="C64" s="90"/>
      <c r="D64" s="78"/>
      <c r="E64" s="170"/>
      <c r="F64" s="170"/>
      <c r="G64" s="91"/>
      <c r="H64" s="135">
        <f t="shared" si="0"/>
        <v>0</v>
      </c>
      <c r="I64" s="159" t="str">
        <f t="shared" si="1"/>
        <v/>
      </c>
    </row>
    <row r="65" spans="1:9" hidden="1" x14ac:dyDescent="0.2">
      <c r="A65" s="89">
        <v>62</v>
      </c>
      <c r="B65" s="89"/>
      <c r="C65" s="90"/>
      <c r="D65" s="78"/>
      <c r="E65" s="170"/>
      <c r="F65" s="170"/>
      <c r="G65" s="91"/>
      <c r="H65" s="135">
        <f t="shared" si="0"/>
        <v>0</v>
      </c>
      <c r="I65" s="159" t="str">
        <f t="shared" si="1"/>
        <v/>
      </c>
    </row>
    <row r="66" spans="1:9" hidden="1" x14ac:dyDescent="0.2">
      <c r="A66" s="89">
        <v>63</v>
      </c>
      <c r="B66" s="89"/>
      <c r="C66" s="90"/>
      <c r="D66" s="78"/>
      <c r="E66" s="170"/>
      <c r="F66" s="170"/>
      <c r="G66" s="91"/>
      <c r="H66" s="135">
        <f t="shared" si="0"/>
        <v>0</v>
      </c>
      <c r="I66" s="159" t="str">
        <f t="shared" si="1"/>
        <v/>
      </c>
    </row>
    <row r="67" spans="1:9" hidden="1" x14ac:dyDescent="0.2">
      <c r="A67" s="89">
        <v>64</v>
      </c>
      <c r="B67" s="89"/>
      <c r="C67" s="90"/>
      <c r="D67" s="78"/>
      <c r="E67" s="170"/>
      <c r="F67" s="170"/>
      <c r="G67" s="91"/>
      <c r="H67" s="135">
        <f t="shared" si="0"/>
        <v>0</v>
      </c>
      <c r="I67" s="159" t="str">
        <f t="shared" si="1"/>
        <v/>
      </c>
    </row>
    <row r="68" spans="1:9" hidden="1" x14ac:dyDescent="0.2">
      <c r="A68" s="89">
        <v>65</v>
      </c>
      <c r="B68" s="89"/>
      <c r="C68" s="90"/>
      <c r="D68" s="78"/>
      <c r="E68" s="170"/>
      <c r="F68" s="170"/>
      <c r="G68" s="91"/>
      <c r="H68" s="135">
        <f t="shared" si="0"/>
        <v>0</v>
      </c>
      <c r="I68" s="159" t="str">
        <f t="shared" si="1"/>
        <v/>
      </c>
    </row>
    <row r="69" spans="1:9" hidden="1" x14ac:dyDescent="0.2">
      <c r="A69" s="89">
        <v>66</v>
      </c>
      <c r="B69" s="89"/>
      <c r="C69" s="90"/>
      <c r="D69" s="78"/>
      <c r="E69" s="170"/>
      <c r="F69" s="170"/>
      <c r="G69" s="91"/>
      <c r="H69" s="135">
        <f t="shared" ref="H69:H132" si="2">IFERROR((DATEDIF(E69,F69,"M")+1)*D69,0)</f>
        <v>0</v>
      </c>
      <c r="I69" s="159" t="str">
        <f t="shared" ref="I69:I132" si="3">SUBSTITUTE(B69," ","_")</f>
        <v/>
      </c>
    </row>
    <row r="70" spans="1:9" hidden="1" x14ac:dyDescent="0.2">
      <c r="A70" s="89">
        <v>67</v>
      </c>
      <c r="B70" s="89"/>
      <c r="C70" s="90"/>
      <c r="D70" s="78"/>
      <c r="E70" s="170"/>
      <c r="F70" s="170"/>
      <c r="G70" s="91"/>
      <c r="H70" s="135">
        <f t="shared" si="2"/>
        <v>0</v>
      </c>
      <c r="I70" s="159" t="str">
        <f t="shared" si="3"/>
        <v/>
      </c>
    </row>
    <row r="71" spans="1:9" hidden="1" x14ac:dyDescent="0.2">
      <c r="A71" s="89">
        <v>68</v>
      </c>
      <c r="B71" s="89"/>
      <c r="C71" s="90"/>
      <c r="D71" s="78"/>
      <c r="E71" s="170"/>
      <c r="F71" s="170"/>
      <c r="G71" s="91"/>
      <c r="H71" s="135">
        <f t="shared" si="2"/>
        <v>0</v>
      </c>
      <c r="I71" s="159" t="str">
        <f t="shared" si="3"/>
        <v/>
      </c>
    </row>
    <row r="72" spans="1:9" hidden="1" x14ac:dyDescent="0.2">
      <c r="A72" s="89">
        <v>69</v>
      </c>
      <c r="B72" s="89"/>
      <c r="C72" s="90"/>
      <c r="D72" s="78"/>
      <c r="E72" s="170"/>
      <c r="F72" s="170"/>
      <c r="G72" s="91"/>
      <c r="H72" s="135">
        <f t="shared" si="2"/>
        <v>0</v>
      </c>
      <c r="I72" s="159" t="str">
        <f t="shared" si="3"/>
        <v/>
      </c>
    </row>
    <row r="73" spans="1:9" hidden="1" x14ac:dyDescent="0.2">
      <c r="A73" s="89">
        <v>70</v>
      </c>
      <c r="B73" s="89"/>
      <c r="C73" s="90"/>
      <c r="D73" s="78"/>
      <c r="E73" s="170"/>
      <c r="F73" s="170"/>
      <c r="G73" s="91"/>
      <c r="H73" s="135">
        <f t="shared" si="2"/>
        <v>0</v>
      </c>
      <c r="I73" s="159" t="str">
        <f t="shared" si="3"/>
        <v/>
      </c>
    </row>
    <row r="74" spans="1:9" hidden="1" x14ac:dyDescent="0.2">
      <c r="A74" s="89">
        <v>71</v>
      </c>
      <c r="B74" s="89"/>
      <c r="C74" s="90"/>
      <c r="D74" s="78"/>
      <c r="E74" s="170"/>
      <c r="F74" s="170"/>
      <c r="G74" s="91"/>
      <c r="H74" s="135">
        <f t="shared" si="2"/>
        <v>0</v>
      </c>
      <c r="I74" s="159" t="str">
        <f t="shared" si="3"/>
        <v/>
      </c>
    </row>
    <row r="75" spans="1:9" hidden="1" x14ac:dyDescent="0.2">
      <c r="A75" s="89">
        <v>72</v>
      </c>
      <c r="B75" s="89"/>
      <c r="C75" s="90"/>
      <c r="D75" s="78"/>
      <c r="E75" s="170"/>
      <c r="F75" s="170"/>
      <c r="G75" s="91"/>
      <c r="H75" s="135">
        <f t="shared" si="2"/>
        <v>0</v>
      </c>
      <c r="I75" s="159" t="str">
        <f t="shared" si="3"/>
        <v/>
      </c>
    </row>
    <row r="76" spans="1:9" hidden="1" x14ac:dyDescent="0.2">
      <c r="A76" s="89">
        <v>73</v>
      </c>
      <c r="B76" s="89"/>
      <c r="C76" s="90"/>
      <c r="D76" s="78"/>
      <c r="E76" s="170"/>
      <c r="F76" s="170"/>
      <c r="G76" s="91"/>
      <c r="H76" s="135">
        <f t="shared" si="2"/>
        <v>0</v>
      </c>
      <c r="I76" s="159" t="str">
        <f t="shared" si="3"/>
        <v/>
      </c>
    </row>
    <row r="77" spans="1:9" hidden="1" x14ac:dyDescent="0.2">
      <c r="A77" s="89">
        <v>74</v>
      </c>
      <c r="B77" s="89"/>
      <c r="C77" s="90"/>
      <c r="D77" s="78"/>
      <c r="E77" s="170"/>
      <c r="F77" s="170"/>
      <c r="G77" s="91"/>
      <c r="H77" s="135">
        <f t="shared" si="2"/>
        <v>0</v>
      </c>
      <c r="I77" s="159" t="str">
        <f t="shared" si="3"/>
        <v/>
      </c>
    </row>
    <row r="78" spans="1:9" hidden="1" x14ac:dyDescent="0.2">
      <c r="A78" s="89">
        <v>75</v>
      </c>
      <c r="B78" s="89"/>
      <c r="C78" s="90"/>
      <c r="D78" s="78"/>
      <c r="E78" s="170"/>
      <c r="F78" s="170"/>
      <c r="G78" s="91"/>
      <c r="H78" s="135">
        <f t="shared" si="2"/>
        <v>0</v>
      </c>
      <c r="I78" s="159" t="str">
        <f t="shared" si="3"/>
        <v/>
      </c>
    </row>
    <row r="79" spans="1:9" hidden="1" x14ac:dyDescent="0.2">
      <c r="A79" s="89">
        <v>76</v>
      </c>
      <c r="B79" s="89"/>
      <c r="C79" s="90"/>
      <c r="D79" s="78"/>
      <c r="E79" s="170"/>
      <c r="F79" s="170"/>
      <c r="G79" s="91"/>
      <c r="H79" s="135">
        <f t="shared" si="2"/>
        <v>0</v>
      </c>
      <c r="I79" s="159" t="str">
        <f t="shared" si="3"/>
        <v/>
      </c>
    </row>
    <row r="80" spans="1:9" hidden="1" x14ac:dyDescent="0.2">
      <c r="A80" s="89">
        <v>77</v>
      </c>
      <c r="B80" s="89"/>
      <c r="C80" s="90"/>
      <c r="D80" s="78"/>
      <c r="E80" s="170"/>
      <c r="F80" s="170"/>
      <c r="G80" s="91"/>
      <c r="H80" s="135">
        <f t="shared" si="2"/>
        <v>0</v>
      </c>
      <c r="I80" s="159" t="str">
        <f t="shared" si="3"/>
        <v/>
      </c>
    </row>
    <row r="81" spans="1:9" hidden="1" x14ac:dyDescent="0.2">
      <c r="A81" s="89">
        <v>78</v>
      </c>
      <c r="B81" s="89"/>
      <c r="C81" s="90"/>
      <c r="D81" s="78"/>
      <c r="E81" s="170"/>
      <c r="F81" s="170"/>
      <c r="G81" s="91"/>
      <c r="H81" s="135">
        <f t="shared" si="2"/>
        <v>0</v>
      </c>
      <c r="I81" s="159" t="str">
        <f t="shared" si="3"/>
        <v/>
      </c>
    </row>
    <row r="82" spans="1:9" hidden="1" x14ac:dyDescent="0.2">
      <c r="A82" s="89">
        <v>79</v>
      </c>
      <c r="B82" s="89"/>
      <c r="C82" s="90"/>
      <c r="D82" s="78"/>
      <c r="E82" s="170"/>
      <c r="F82" s="170"/>
      <c r="G82" s="91"/>
      <c r="H82" s="135">
        <f t="shared" si="2"/>
        <v>0</v>
      </c>
      <c r="I82" s="159" t="str">
        <f t="shared" si="3"/>
        <v/>
      </c>
    </row>
    <row r="83" spans="1:9" hidden="1" x14ac:dyDescent="0.2">
      <c r="A83" s="89">
        <v>80</v>
      </c>
      <c r="B83" s="89"/>
      <c r="C83" s="90"/>
      <c r="D83" s="78"/>
      <c r="E83" s="170"/>
      <c r="F83" s="170"/>
      <c r="G83" s="91"/>
      <c r="H83" s="135">
        <f t="shared" si="2"/>
        <v>0</v>
      </c>
      <c r="I83" s="159" t="str">
        <f t="shared" si="3"/>
        <v/>
      </c>
    </row>
    <row r="84" spans="1:9" hidden="1" x14ac:dyDescent="0.2">
      <c r="A84" s="89">
        <v>81</v>
      </c>
      <c r="B84" s="89"/>
      <c r="C84" s="90"/>
      <c r="D84" s="78"/>
      <c r="E84" s="170"/>
      <c r="F84" s="170"/>
      <c r="G84" s="91"/>
      <c r="H84" s="135">
        <f t="shared" si="2"/>
        <v>0</v>
      </c>
      <c r="I84" s="159" t="str">
        <f t="shared" si="3"/>
        <v/>
      </c>
    </row>
    <row r="85" spans="1:9" hidden="1" x14ac:dyDescent="0.2">
      <c r="A85" s="89">
        <v>82</v>
      </c>
      <c r="B85" s="89"/>
      <c r="C85" s="90"/>
      <c r="D85" s="78"/>
      <c r="E85" s="170"/>
      <c r="F85" s="170"/>
      <c r="G85" s="91"/>
      <c r="H85" s="135">
        <f t="shared" si="2"/>
        <v>0</v>
      </c>
      <c r="I85" s="159" t="str">
        <f t="shared" si="3"/>
        <v/>
      </c>
    </row>
    <row r="86" spans="1:9" hidden="1" x14ac:dyDescent="0.2">
      <c r="A86" s="89">
        <v>83</v>
      </c>
      <c r="B86" s="89"/>
      <c r="C86" s="90"/>
      <c r="D86" s="78"/>
      <c r="E86" s="170"/>
      <c r="F86" s="170"/>
      <c r="G86" s="91"/>
      <c r="H86" s="135">
        <f t="shared" si="2"/>
        <v>0</v>
      </c>
      <c r="I86" s="159" t="str">
        <f t="shared" si="3"/>
        <v/>
      </c>
    </row>
    <row r="87" spans="1:9" hidden="1" x14ac:dyDescent="0.2">
      <c r="A87" s="89">
        <v>84</v>
      </c>
      <c r="B87" s="89"/>
      <c r="C87" s="90"/>
      <c r="D87" s="78"/>
      <c r="E87" s="170"/>
      <c r="F87" s="170"/>
      <c r="G87" s="91"/>
      <c r="H87" s="135">
        <f t="shared" si="2"/>
        <v>0</v>
      </c>
      <c r="I87" s="159" t="str">
        <f t="shared" si="3"/>
        <v/>
      </c>
    </row>
    <row r="88" spans="1:9" hidden="1" x14ac:dyDescent="0.2">
      <c r="A88" s="89">
        <v>85</v>
      </c>
      <c r="B88" s="89"/>
      <c r="C88" s="90"/>
      <c r="D88" s="78"/>
      <c r="E88" s="170"/>
      <c r="F88" s="170"/>
      <c r="G88" s="91"/>
      <c r="H88" s="135">
        <f t="shared" si="2"/>
        <v>0</v>
      </c>
      <c r="I88" s="159" t="str">
        <f t="shared" si="3"/>
        <v/>
      </c>
    </row>
    <row r="89" spans="1:9" hidden="1" x14ac:dyDescent="0.2">
      <c r="A89" s="89">
        <v>86</v>
      </c>
      <c r="B89" s="89"/>
      <c r="C89" s="90"/>
      <c r="D89" s="78"/>
      <c r="E89" s="170"/>
      <c r="F89" s="170"/>
      <c r="G89" s="91"/>
      <c r="H89" s="135">
        <f t="shared" si="2"/>
        <v>0</v>
      </c>
      <c r="I89" s="159" t="str">
        <f t="shared" si="3"/>
        <v/>
      </c>
    </row>
    <row r="90" spans="1:9" hidden="1" x14ac:dyDescent="0.2">
      <c r="A90" s="89">
        <v>87</v>
      </c>
      <c r="B90" s="89"/>
      <c r="C90" s="90"/>
      <c r="D90" s="78"/>
      <c r="E90" s="170"/>
      <c r="F90" s="170"/>
      <c r="G90" s="91"/>
      <c r="H90" s="135">
        <f t="shared" si="2"/>
        <v>0</v>
      </c>
      <c r="I90" s="159" t="str">
        <f t="shared" si="3"/>
        <v/>
      </c>
    </row>
    <row r="91" spans="1:9" hidden="1" x14ac:dyDescent="0.2">
      <c r="A91" s="89">
        <v>88</v>
      </c>
      <c r="B91" s="89"/>
      <c r="C91" s="90"/>
      <c r="D91" s="78"/>
      <c r="E91" s="170"/>
      <c r="F91" s="170"/>
      <c r="G91" s="91"/>
      <c r="H91" s="135">
        <f t="shared" si="2"/>
        <v>0</v>
      </c>
      <c r="I91" s="159" t="str">
        <f t="shared" si="3"/>
        <v/>
      </c>
    </row>
    <row r="92" spans="1:9" hidden="1" x14ac:dyDescent="0.2">
      <c r="A92" s="89">
        <v>89</v>
      </c>
      <c r="B92" s="89"/>
      <c r="C92" s="90"/>
      <c r="D92" s="78"/>
      <c r="E92" s="170"/>
      <c r="F92" s="170"/>
      <c r="G92" s="91"/>
      <c r="H92" s="135">
        <f t="shared" si="2"/>
        <v>0</v>
      </c>
      <c r="I92" s="159" t="str">
        <f t="shared" si="3"/>
        <v/>
      </c>
    </row>
    <row r="93" spans="1:9" hidden="1" x14ac:dyDescent="0.2">
      <c r="A93" s="89">
        <v>90</v>
      </c>
      <c r="B93" s="89"/>
      <c r="C93" s="90"/>
      <c r="D93" s="78"/>
      <c r="E93" s="170"/>
      <c r="F93" s="170"/>
      <c r="G93" s="91"/>
      <c r="H93" s="135">
        <f t="shared" si="2"/>
        <v>0</v>
      </c>
      <c r="I93" s="159" t="str">
        <f t="shared" si="3"/>
        <v/>
      </c>
    </row>
    <row r="94" spans="1:9" hidden="1" x14ac:dyDescent="0.2">
      <c r="A94" s="89">
        <v>91</v>
      </c>
      <c r="B94" s="89"/>
      <c r="C94" s="90"/>
      <c r="D94" s="78"/>
      <c r="E94" s="170"/>
      <c r="F94" s="170"/>
      <c r="G94" s="91"/>
      <c r="H94" s="135">
        <f t="shared" si="2"/>
        <v>0</v>
      </c>
      <c r="I94" s="159" t="str">
        <f t="shared" si="3"/>
        <v/>
      </c>
    </row>
    <row r="95" spans="1:9" hidden="1" x14ac:dyDescent="0.2">
      <c r="A95" s="89">
        <v>92</v>
      </c>
      <c r="B95" s="89"/>
      <c r="C95" s="90"/>
      <c r="D95" s="78"/>
      <c r="E95" s="170"/>
      <c r="F95" s="170"/>
      <c r="G95" s="91"/>
      <c r="H95" s="135">
        <f t="shared" si="2"/>
        <v>0</v>
      </c>
      <c r="I95" s="159" t="str">
        <f t="shared" si="3"/>
        <v/>
      </c>
    </row>
    <row r="96" spans="1:9" hidden="1" x14ac:dyDescent="0.2">
      <c r="A96" s="89">
        <v>93</v>
      </c>
      <c r="B96" s="89"/>
      <c r="C96" s="90"/>
      <c r="D96" s="78"/>
      <c r="E96" s="170"/>
      <c r="F96" s="170"/>
      <c r="G96" s="91"/>
      <c r="H96" s="135">
        <f t="shared" si="2"/>
        <v>0</v>
      </c>
      <c r="I96" s="159" t="str">
        <f t="shared" si="3"/>
        <v/>
      </c>
    </row>
    <row r="97" spans="1:9" hidden="1" x14ac:dyDescent="0.2">
      <c r="A97" s="89">
        <v>94</v>
      </c>
      <c r="B97" s="89"/>
      <c r="C97" s="90"/>
      <c r="D97" s="78"/>
      <c r="E97" s="170"/>
      <c r="F97" s="170"/>
      <c r="G97" s="91"/>
      <c r="H97" s="135">
        <f t="shared" si="2"/>
        <v>0</v>
      </c>
      <c r="I97" s="159" t="str">
        <f t="shared" si="3"/>
        <v/>
      </c>
    </row>
    <row r="98" spans="1:9" hidden="1" x14ac:dyDescent="0.2">
      <c r="A98" s="89">
        <v>95</v>
      </c>
      <c r="B98" s="89"/>
      <c r="C98" s="90"/>
      <c r="D98" s="78"/>
      <c r="E98" s="170"/>
      <c r="F98" s="170"/>
      <c r="G98" s="91"/>
      <c r="H98" s="135">
        <f t="shared" si="2"/>
        <v>0</v>
      </c>
      <c r="I98" s="159" t="str">
        <f t="shared" si="3"/>
        <v/>
      </c>
    </row>
    <row r="99" spans="1:9" hidden="1" x14ac:dyDescent="0.2">
      <c r="A99" s="89">
        <v>96</v>
      </c>
      <c r="B99" s="89"/>
      <c r="C99" s="90"/>
      <c r="D99" s="78"/>
      <c r="E99" s="170"/>
      <c r="F99" s="170"/>
      <c r="G99" s="91"/>
      <c r="H99" s="135">
        <f t="shared" si="2"/>
        <v>0</v>
      </c>
      <c r="I99" s="159" t="str">
        <f t="shared" si="3"/>
        <v/>
      </c>
    </row>
    <row r="100" spans="1:9" hidden="1" x14ac:dyDescent="0.2">
      <c r="A100" s="89">
        <v>97</v>
      </c>
      <c r="B100" s="89"/>
      <c r="C100" s="90"/>
      <c r="D100" s="78"/>
      <c r="E100" s="170"/>
      <c r="F100" s="170"/>
      <c r="G100" s="91"/>
      <c r="H100" s="135">
        <f t="shared" si="2"/>
        <v>0</v>
      </c>
      <c r="I100" s="159" t="str">
        <f t="shared" si="3"/>
        <v/>
      </c>
    </row>
    <row r="101" spans="1:9" hidden="1" x14ac:dyDescent="0.2">
      <c r="A101" s="89">
        <v>98</v>
      </c>
      <c r="B101" s="89"/>
      <c r="C101" s="90"/>
      <c r="D101" s="78"/>
      <c r="E101" s="170"/>
      <c r="F101" s="170"/>
      <c r="G101" s="91"/>
      <c r="H101" s="135">
        <f t="shared" si="2"/>
        <v>0</v>
      </c>
      <c r="I101" s="159" t="str">
        <f t="shared" si="3"/>
        <v/>
      </c>
    </row>
    <row r="102" spans="1:9" hidden="1" x14ac:dyDescent="0.2">
      <c r="A102" s="89">
        <v>99</v>
      </c>
      <c r="B102" s="89"/>
      <c r="C102" s="90"/>
      <c r="D102" s="78"/>
      <c r="E102" s="170"/>
      <c r="F102" s="170"/>
      <c r="G102" s="91"/>
      <c r="H102" s="135">
        <f t="shared" si="2"/>
        <v>0</v>
      </c>
      <c r="I102" s="159" t="str">
        <f t="shared" si="3"/>
        <v/>
      </c>
    </row>
    <row r="103" spans="1:9" hidden="1" x14ac:dyDescent="0.2">
      <c r="A103" s="89">
        <v>100</v>
      </c>
      <c r="B103" s="89"/>
      <c r="C103" s="90"/>
      <c r="D103" s="78"/>
      <c r="E103" s="170"/>
      <c r="F103" s="170"/>
      <c r="G103" s="91"/>
      <c r="H103" s="135">
        <f t="shared" si="2"/>
        <v>0</v>
      </c>
      <c r="I103" s="159" t="str">
        <f t="shared" si="3"/>
        <v/>
      </c>
    </row>
    <row r="104" spans="1:9" hidden="1" x14ac:dyDescent="0.2">
      <c r="A104" s="89">
        <v>101</v>
      </c>
      <c r="B104" s="89"/>
      <c r="C104" s="90"/>
      <c r="D104" s="78"/>
      <c r="E104" s="170"/>
      <c r="F104" s="170"/>
      <c r="G104" s="91"/>
      <c r="H104" s="135">
        <f t="shared" si="2"/>
        <v>0</v>
      </c>
      <c r="I104" s="159" t="str">
        <f t="shared" si="3"/>
        <v/>
      </c>
    </row>
    <row r="105" spans="1:9" hidden="1" x14ac:dyDescent="0.2">
      <c r="A105" s="89">
        <v>102</v>
      </c>
      <c r="B105" s="89"/>
      <c r="C105" s="90"/>
      <c r="D105" s="78"/>
      <c r="E105" s="170"/>
      <c r="F105" s="170"/>
      <c r="G105" s="91"/>
      <c r="H105" s="135">
        <f t="shared" si="2"/>
        <v>0</v>
      </c>
      <c r="I105" s="159" t="str">
        <f t="shared" si="3"/>
        <v/>
      </c>
    </row>
    <row r="106" spans="1:9" hidden="1" x14ac:dyDescent="0.2">
      <c r="A106" s="89">
        <v>103</v>
      </c>
      <c r="B106" s="89"/>
      <c r="C106" s="90"/>
      <c r="D106" s="78"/>
      <c r="E106" s="170"/>
      <c r="F106" s="170"/>
      <c r="G106" s="91"/>
      <c r="H106" s="135">
        <f t="shared" si="2"/>
        <v>0</v>
      </c>
      <c r="I106" s="159" t="str">
        <f t="shared" si="3"/>
        <v/>
      </c>
    </row>
    <row r="107" spans="1:9" hidden="1" x14ac:dyDescent="0.2">
      <c r="A107" s="89">
        <v>104</v>
      </c>
      <c r="B107" s="89"/>
      <c r="C107" s="90"/>
      <c r="D107" s="78"/>
      <c r="E107" s="170"/>
      <c r="F107" s="170"/>
      <c r="G107" s="91"/>
      <c r="H107" s="135">
        <f t="shared" si="2"/>
        <v>0</v>
      </c>
      <c r="I107" s="159" t="str">
        <f t="shared" si="3"/>
        <v/>
      </c>
    </row>
    <row r="108" spans="1:9" hidden="1" x14ac:dyDescent="0.2">
      <c r="A108" s="89">
        <v>105</v>
      </c>
      <c r="B108" s="89"/>
      <c r="C108" s="90"/>
      <c r="D108" s="78"/>
      <c r="E108" s="170"/>
      <c r="F108" s="170"/>
      <c r="G108" s="91"/>
      <c r="H108" s="135">
        <f t="shared" si="2"/>
        <v>0</v>
      </c>
      <c r="I108" s="159" t="str">
        <f t="shared" si="3"/>
        <v/>
      </c>
    </row>
    <row r="109" spans="1:9" hidden="1" x14ac:dyDescent="0.2">
      <c r="A109" s="89">
        <v>106</v>
      </c>
      <c r="B109" s="89"/>
      <c r="C109" s="90"/>
      <c r="D109" s="78"/>
      <c r="E109" s="170"/>
      <c r="F109" s="170"/>
      <c r="G109" s="91"/>
      <c r="H109" s="135">
        <f t="shared" si="2"/>
        <v>0</v>
      </c>
      <c r="I109" s="159" t="str">
        <f t="shared" si="3"/>
        <v/>
      </c>
    </row>
    <row r="110" spans="1:9" hidden="1" x14ac:dyDescent="0.2">
      <c r="A110" s="89">
        <v>107</v>
      </c>
      <c r="B110" s="89"/>
      <c r="C110" s="90"/>
      <c r="D110" s="78"/>
      <c r="E110" s="170"/>
      <c r="F110" s="170"/>
      <c r="G110" s="91"/>
      <c r="H110" s="135">
        <f t="shared" si="2"/>
        <v>0</v>
      </c>
      <c r="I110" s="159" t="str">
        <f t="shared" si="3"/>
        <v/>
      </c>
    </row>
    <row r="111" spans="1:9" hidden="1" x14ac:dyDescent="0.2">
      <c r="A111" s="89">
        <v>108</v>
      </c>
      <c r="B111" s="89"/>
      <c r="C111" s="90"/>
      <c r="D111" s="78"/>
      <c r="E111" s="170"/>
      <c r="F111" s="170"/>
      <c r="G111" s="91"/>
      <c r="H111" s="135">
        <f t="shared" si="2"/>
        <v>0</v>
      </c>
      <c r="I111" s="159" t="str">
        <f t="shared" si="3"/>
        <v/>
      </c>
    </row>
    <row r="112" spans="1:9" hidden="1" x14ac:dyDescent="0.2">
      <c r="A112" s="89">
        <v>109</v>
      </c>
      <c r="B112" s="89"/>
      <c r="C112" s="90"/>
      <c r="D112" s="78"/>
      <c r="E112" s="170"/>
      <c r="F112" s="170"/>
      <c r="G112" s="91"/>
      <c r="H112" s="135">
        <f t="shared" si="2"/>
        <v>0</v>
      </c>
      <c r="I112" s="159" t="str">
        <f t="shared" si="3"/>
        <v/>
      </c>
    </row>
    <row r="113" spans="1:9" hidden="1" x14ac:dyDescent="0.2">
      <c r="A113" s="89">
        <v>110</v>
      </c>
      <c r="B113" s="89"/>
      <c r="C113" s="90"/>
      <c r="D113" s="78"/>
      <c r="E113" s="170"/>
      <c r="F113" s="170"/>
      <c r="G113" s="91"/>
      <c r="H113" s="135">
        <f t="shared" si="2"/>
        <v>0</v>
      </c>
      <c r="I113" s="159" t="str">
        <f t="shared" si="3"/>
        <v/>
      </c>
    </row>
    <row r="114" spans="1:9" hidden="1" x14ac:dyDescent="0.2">
      <c r="A114" s="89">
        <v>111</v>
      </c>
      <c r="B114" s="89"/>
      <c r="C114" s="90"/>
      <c r="D114" s="78"/>
      <c r="E114" s="170"/>
      <c r="F114" s="170"/>
      <c r="G114" s="91"/>
      <c r="H114" s="135">
        <f t="shared" si="2"/>
        <v>0</v>
      </c>
      <c r="I114" s="159" t="str">
        <f t="shared" si="3"/>
        <v/>
      </c>
    </row>
    <row r="115" spans="1:9" hidden="1" x14ac:dyDescent="0.2">
      <c r="A115" s="89">
        <v>112</v>
      </c>
      <c r="B115" s="89"/>
      <c r="C115" s="90"/>
      <c r="D115" s="78"/>
      <c r="E115" s="170"/>
      <c r="F115" s="170"/>
      <c r="G115" s="91"/>
      <c r="H115" s="135">
        <f t="shared" si="2"/>
        <v>0</v>
      </c>
      <c r="I115" s="159" t="str">
        <f t="shared" si="3"/>
        <v/>
      </c>
    </row>
    <row r="116" spans="1:9" hidden="1" x14ac:dyDescent="0.2">
      <c r="A116" s="89">
        <v>113</v>
      </c>
      <c r="B116" s="89"/>
      <c r="C116" s="90"/>
      <c r="D116" s="78"/>
      <c r="E116" s="170"/>
      <c r="F116" s="170"/>
      <c r="G116" s="91"/>
      <c r="H116" s="135">
        <f t="shared" si="2"/>
        <v>0</v>
      </c>
      <c r="I116" s="159" t="str">
        <f t="shared" si="3"/>
        <v/>
      </c>
    </row>
    <row r="117" spans="1:9" hidden="1" x14ac:dyDescent="0.2">
      <c r="A117" s="89">
        <v>114</v>
      </c>
      <c r="B117" s="89"/>
      <c r="C117" s="90"/>
      <c r="D117" s="78"/>
      <c r="E117" s="170"/>
      <c r="F117" s="170"/>
      <c r="G117" s="91"/>
      <c r="H117" s="135">
        <f t="shared" si="2"/>
        <v>0</v>
      </c>
      <c r="I117" s="159" t="str">
        <f t="shared" si="3"/>
        <v/>
      </c>
    </row>
    <row r="118" spans="1:9" hidden="1" x14ac:dyDescent="0.2">
      <c r="A118" s="89">
        <v>115</v>
      </c>
      <c r="B118" s="89"/>
      <c r="C118" s="90"/>
      <c r="D118" s="78"/>
      <c r="E118" s="170"/>
      <c r="F118" s="170"/>
      <c r="G118" s="91"/>
      <c r="H118" s="135">
        <f t="shared" si="2"/>
        <v>0</v>
      </c>
      <c r="I118" s="159" t="str">
        <f t="shared" si="3"/>
        <v/>
      </c>
    </row>
    <row r="119" spans="1:9" hidden="1" x14ac:dyDescent="0.2">
      <c r="A119" s="89">
        <v>116</v>
      </c>
      <c r="B119" s="89"/>
      <c r="C119" s="90"/>
      <c r="D119" s="78"/>
      <c r="E119" s="170"/>
      <c r="F119" s="170"/>
      <c r="G119" s="91"/>
      <c r="H119" s="135">
        <f t="shared" si="2"/>
        <v>0</v>
      </c>
      <c r="I119" s="159" t="str">
        <f t="shared" si="3"/>
        <v/>
      </c>
    </row>
    <row r="120" spans="1:9" hidden="1" x14ac:dyDescent="0.2">
      <c r="A120" s="89">
        <v>117</v>
      </c>
      <c r="B120" s="89"/>
      <c r="C120" s="90"/>
      <c r="D120" s="78"/>
      <c r="E120" s="170"/>
      <c r="F120" s="170"/>
      <c r="G120" s="91"/>
      <c r="H120" s="135">
        <f t="shared" si="2"/>
        <v>0</v>
      </c>
      <c r="I120" s="159" t="str">
        <f t="shared" si="3"/>
        <v/>
      </c>
    </row>
    <row r="121" spans="1:9" hidden="1" x14ac:dyDescent="0.2">
      <c r="A121" s="89">
        <v>118</v>
      </c>
      <c r="B121" s="89"/>
      <c r="C121" s="90"/>
      <c r="D121" s="78"/>
      <c r="E121" s="170"/>
      <c r="F121" s="170"/>
      <c r="G121" s="91"/>
      <c r="H121" s="135">
        <f t="shared" si="2"/>
        <v>0</v>
      </c>
      <c r="I121" s="159" t="str">
        <f t="shared" si="3"/>
        <v/>
      </c>
    </row>
    <row r="122" spans="1:9" hidden="1" x14ac:dyDescent="0.2">
      <c r="A122" s="89">
        <v>119</v>
      </c>
      <c r="B122" s="89"/>
      <c r="C122" s="90"/>
      <c r="D122" s="78"/>
      <c r="E122" s="170"/>
      <c r="F122" s="170"/>
      <c r="G122" s="91"/>
      <c r="H122" s="135">
        <f t="shared" si="2"/>
        <v>0</v>
      </c>
      <c r="I122" s="159" t="str">
        <f t="shared" si="3"/>
        <v/>
      </c>
    </row>
    <row r="123" spans="1:9" hidden="1" x14ac:dyDescent="0.2">
      <c r="A123" s="89">
        <v>120</v>
      </c>
      <c r="B123" s="89"/>
      <c r="C123" s="90"/>
      <c r="D123" s="78"/>
      <c r="E123" s="170"/>
      <c r="F123" s="170"/>
      <c r="G123" s="91"/>
      <c r="H123" s="135">
        <f t="shared" si="2"/>
        <v>0</v>
      </c>
      <c r="I123" s="159" t="str">
        <f t="shared" si="3"/>
        <v/>
      </c>
    </row>
    <row r="124" spans="1:9" hidden="1" x14ac:dyDescent="0.2">
      <c r="A124" s="89">
        <v>121</v>
      </c>
      <c r="B124" s="89"/>
      <c r="C124" s="90"/>
      <c r="D124" s="78"/>
      <c r="E124" s="170"/>
      <c r="F124" s="170"/>
      <c r="G124" s="91"/>
      <c r="H124" s="135">
        <f t="shared" si="2"/>
        <v>0</v>
      </c>
      <c r="I124" s="159" t="str">
        <f t="shared" si="3"/>
        <v/>
      </c>
    </row>
    <row r="125" spans="1:9" hidden="1" x14ac:dyDescent="0.2">
      <c r="A125" s="89">
        <v>122</v>
      </c>
      <c r="B125" s="89"/>
      <c r="C125" s="90"/>
      <c r="D125" s="78"/>
      <c r="E125" s="170"/>
      <c r="F125" s="170"/>
      <c r="G125" s="91"/>
      <c r="H125" s="135">
        <f t="shared" si="2"/>
        <v>0</v>
      </c>
      <c r="I125" s="159" t="str">
        <f t="shared" si="3"/>
        <v/>
      </c>
    </row>
    <row r="126" spans="1:9" hidden="1" x14ac:dyDescent="0.2">
      <c r="A126" s="89">
        <v>123</v>
      </c>
      <c r="B126" s="89"/>
      <c r="C126" s="90"/>
      <c r="D126" s="78"/>
      <c r="E126" s="170"/>
      <c r="F126" s="170"/>
      <c r="G126" s="91"/>
      <c r="H126" s="135">
        <f t="shared" si="2"/>
        <v>0</v>
      </c>
      <c r="I126" s="159" t="str">
        <f t="shared" si="3"/>
        <v/>
      </c>
    </row>
    <row r="127" spans="1:9" hidden="1" x14ac:dyDescent="0.2">
      <c r="A127" s="89">
        <v>124</v>
      </c>
      <c r="B127" s="89"/>
      <c r="C127" s="90"/>
      <c r="D127" s="78"/>
      <c r="E127" s="170"/>
      <c r="F127" s="170"/>
      <c r="G127" s="91"/>
      <c r="H127" s="135">
        <f t="shared" si="2"/>
        <v>0</v>
      </c>
      <c r="I127" s="159" t="str">
        <f t="shared" si="3"/>
        <v/>
      </c>
    </row>
    <row r="128" spans="1:9" hidden="1" x14ac:dyDescent="0.2">
      <c r="A128" s="89">
        <v>125</v>
      </c>
      <c r="B128" s="89"/>
      <c r="C128" s="90"/>
      <c r="D128" s="78"/>
      <c r="E128" s="170"/>
      <c r="F128" s="170"/>
      <c r="G128" s="91"/>
      <c r="H128" s="135">
        <f t="shared" si="2"/>
        <v>0</v>
      </c>
      <c r="I128" s="159" t="str">
        <f t="shared" si="3"/>
        <v/>
      </c>
    </row>
    <row r="129" spans="1:9" hidden="1" x14ac:dyDescent="0.2">
      <c r="A129" s="89">
        <v>126</v>
      </c>
      <c r="B129" s="89"/>
      <c r="C129" s="90"/>
      <c r="D129" s="78"/>
      <c r="E129" s="170"/>
      <c r="F129" s="170"/>
      <c r="G129" s="91"/>
      <c r="H129" s="135">
        <f t="shared" si="2"/>
        <v>0</v>
      </c>
      <c r="I129" s="159" t="str">
        <f t="shared" si="3"/>
        <v/>
      </c>
    </row>
    <row r="130" spans="1:9" hidden="1" x14ac:dyDescent="0.2">
      <c r="A130" s="89">
        <v>127</v>
      </c>
      <c r="B130" s="89"/>
      <c r="C130" s="90"/>
      <c r="D130" s="78"/>
      <c r="E130" s="170"/>
      <c r="F130" s="170"/>
      <c r="G130" s="91"/>
      <c r="H130" s="135">
        <f t="shared" si="2"/>
        <v>0</v>
      </c>
      <c r="I130" s="159" t="str">
        <f t="shared" si="3"/>
        <v/>
      </c>
    </row>
    <row r="131" spans="1:9" hidden="1" x14ac:dyDescent="0.2">
      <c r="A131" s="89">
        <v>128</v>
      </c>
      <c r="B131" s="89"/>
      <c r="C131" s="90"/>
      <c r="D131" s="78"/>
      <c r="E131" s="170"/>
      <c r="F131" s="170"/>
      <c r="G131" s="91"/>
      <c r="H131" s="135">
        <f t="shared" si="2"/>
        <v>0</v>
      </c>
      <c r="I131" s="159" t="str">
        <f t="shared" si="3"/>
        <v/>
      </c>
    </row>
    <row r="132" spans="1:9" hidden="1" x14ac:dyDescent="0.2">
      <c r="A132" s="89">
        <v>129</v>
      </c>
      <c r="B132" s="89"/>
      <c r="C132" s="90"/>
      <c r="D132" s="78"/>
      <c r="E132" s="170"/>
      <c r="F132" s="170"/>
      <c r="G132" s="91"/>
      <c r="H132" s="135">
        <f t="shared" si="2"/>
        <v>0</v>
      </c>
      <c r="I132" s="159" t="str">
        <f t="shared" si="3"/>
        <v/>
      </c>
    </row>
    <row r="133" spans="1:9" hidden="1" x14ac:dyDescent="0.2">
      <c r="A133" s="89">
        <v>130</v>
      </c>
      <c r="B133" s="89"/>
      <c r="C133" s="90"/>
      <c r="D133" s="78"/>
      <c r="E133" s="170"/>
      <c r="F133" s="170"/>
      <c r="G133" s="91"/>
      <c r="H133" s="135">
        <f t="shared" ref="H133:H196" si="4">IFERROR((DATEDIF(E133,F133,"M")+1)*D133,0)</f>
        <v>0</v>
      </c>
      <c r="I133" s="159" t="str">
        <f t="shared" ref="I133:I196" si="5">SUBSTITUTE(B133," ","_")</f>
        <v/>
      </c>
    </row>
    <row r="134" spans="1:9" hidden="1" x14ac:dyDescent="0.2">
      <c r="A134" s="89">
        <v>131</v>
      </c>
      <c r="B134" s="89"/>
      <c r="C134" s="90"/>
      <c r="D134" s="78"/>
      <c r="E134" s="170"/>
      <c r="F134" s="170"/>
      <c r="G134" s="91"/>
      <c r="H134" s="135">
        <f t="shared" si="4"/>
        <v>0</v>
      </c>
      <c r="I134" s="159" t="str">
        <f t="shared" si="5"/>
        <v/>
      </c>
    </row>
    <row r="135" spans="1:9" hidden="1" x14ac:dyDescent="0.2">
      <c r="A135" s="89">
        <v>132</v>
      </c>
      <c r="B135" s="89"/>
      <c r="C135" s="90"/>
      <c r="D135" s="78"/>
      <c r="E135" s="170"/>
      <c r="F135" s="170"/>
      <c r="G135" s="91"/>
      <c r="H135" s="135">
        <f t="shared" si="4"/>
        <v>0</v>
      </c>
      <c r="I135" s="159" t="str">
        <f t="shared" si="5"/>
        <v/>
      </c>
    </row>
    <row r="136" spans="1:9" hidden="1" x14ac:dyDescent="0.2">
      <c r="A136" s="89">
        <v>133</v>
      </c>
      <c r="B136" s="89"/>
      <c r="C136" s="90"/>
      <c r="D136" s="78"/>
      <c r="E136" s="170"/>
      <c r="F136" s="170"/>
      <c r="G136" s="91"/>
      <c r="H136" s="135">
        <f t="shared" si="4"/>
        <v>0</v>
      </c>
      <c r="I136" s="159" t="str">
        <f t="shared" si="5"/>
        <v/>
      </c>
    </row>
    <row r="137" spans="1:9" hidden="1" x14ac:dyDescent="0.2">
      <c r="A137" s="89">
        <v>134</v>
      </c>
      <c r="B137" s="89"/>
      <c r="C137" s="90"/>
      <c r="D137" s="78"/>
      <c r="E137" s="170"/>
      <c r="F137" s="170"/>
      <c r="G137" s="91"/>
      <c r="H137" s="135">
        <f t="shared" si="4"/>
        <v>0</v>
      </c>
      <c r="I137" s="159" t="str">
        <f t="shared" si="5"/>
        <v/>
      </c>
    </row>
    <row r="138" spans="1:9" hidden="1" x14ac:dyDescent="0.2">
      <c r="A138" s="89">
        <v>135</v>
      </c>
      <c r="B138" s="89"/>
      <c r="C138" s="90"/>
      <c r="D138" s="78"/>
      <c r="E138" s="170"/>
      <c r="F138" s="170"/>
      <c r="G138" s="91"/>
      <c r="H138" s="135">
        <f t="shared" si="4"/>
        <v>0</v>
      </c>
      <c r="I138" s="159" t="str">
        <f t="shared" si="5"/>
        <v/>
      </c>
    </row>
    <row r="139" spans="1:9" hidden="1" x14ac:dyDescent="0.2">
      <c r="A139" s="89">
        <v>136</v>
      </c>
      <c r="B139" s="89"/>
      <c r="C139" s="90"/>
      <c r="D139" s="78"/>
      <c r="E139" s="170"/>
      <c r="F139" s="170"/>
      <c r="G139" s="91"/>
      <c r="H139" s="135">
        <f t="shared" si="4"/>
        <v>0</v>
      </c>
      <c r="I139" s="159" t="str">
        <f t="shared" si="5"/>
        <v/>
      </c>
    </row>
    <row r="140" spans="1:9" hidden="1" x14ac:dyDescent="0.2">
      <c r="A140" s="89">
        <v>137</v>
      </c>
      <c r="B140" s="89"/>
      <c r="C140" s="90"/>
      <c r="D140" s="78"/>
      <c r="E140" s="170"/>
      <c r="F140" s="170"/>
      <c r="G140" s="91"/>
      <c r="H140" s="135">
        <f t="shared" si="4"/>
        <v>0</v>
      </c>
      <c r="I140" s="159" t="str">
        <f t="shared" si="5"/>
        <v/>
      </c>
    </row>
    <row r="141" spans="1:9" hidden="1" x14ac:dyDescent="0.2">
      <c r="A141" s="89">
        <v>138</v>
      </c>
      <c r="B141" s="89"/>
      <c r="C141" s="90"/>
      <c r="D141" s="78"/>
      <c r="E141" s="170"/>
      <c r="F141" s="170"/>
      <c r="G141" s="91"/>
      <c r="H141" s="135">
        <f t="shared" si="4"/>
        <v>0</v>
      </c>
      <c r="I141" s="159" t="str">
        <f t="shared" si="5"/>
        <v/>
      </c>
    </row>
    <row r="142" spans="1:9" hidden="1" x14ac:dyDescent="0.2">
      <c r="A142" s="89">
        <v>139</v>
      </c>
      <c r="B142" s="89"/>
      <c r="C142" s="90"/>
      <c r="D142" s="78"/>
      <c r="E142" s="170"/>
      <c r="F142" s="170"/>
      <c r="G142" s="91"/>
      <c r="H142" s="135">
        <f t="shared" si="4"/>
        <v>0</v>
      </c>
      <c r="I142" s="159" t="str">
        <f t="shared" si="5"/>
        <v/>
      </c>
    </row>
    <row r="143" spans="1:9" hidden="1" x14ac:dyDescent="0.2">
      <c r="A143" s="89">
        <v>140</v>
      </c>
      <c r="B143" s="89"/>
      <c r="C143" s="90"/>
      <c r="D143" s="78"/>
      <c r="E143" s="170"/>
      <c r="F143" s="170"/>
      <c r="G143" s="91"/>
      <c r="H143" s="135">
        <f t="shared" si="4"/>
        <v>0</v>
      </c>
      <c r="I143" s="159" t="str">
        <f t="shared" si="5"/>
        <v/>
      </c>
    </row>
    <row r="144" spans="1:9" hidden="1" x14ac:dyDescent="0.2">
      <c r="A144" s="89">
        <v>141</v>
      </c>
      <c r="B144" s="89"/>
      <c r="C144" s="90"/>
      <c r="D144" s="78"/>
      <c r="E144" s="170"/>
      <c r="F144" s="170"/>
      <c r="G144" s="91"/>
      <c r="H144" s="135">
        <f t="shared" si="4"/>
        <v>0</v>
      </c>
      <c r="I144" s="159" t="str">
        <f t="shared" si="5"/>
        <v/>
      </c>
    </row>
    <row r="145" spans="1:9" hidden="1" x14ac:dyDescent="0.2">
      <c r="A145" s="89">
        <v>142</v>
      </c>
      <c r="B145" s="89"/>
      <c r="C145" s="90"/>
      <c r="D145" s="78"/>
      <c r="E145" s="170"/>
      <c r="F145" s="170"/>
      <c r="G145" s="91"/>
      <c r="H145" s="135">
        <f t="shared" si="4"/>
        <v>0</v>
      </c>
      <c r="I145" s="159" t="str">
        <f t="shared" si="5"/>
        <v/>
      </c>
    </row>
    <row r="146" spans="1:9" hidden="1" x14ac:dyDescent="0.2">
      <c r="A146" s="89">
        <v>143</v>
      </c>
      <c r="B146" s="89"/>
      <c r="C146" s="90"/>
      <c r="D146" s="78"/>
      <c r="E146" s="170"/>
      <c r="F146" s="170"/>
      <c r="G146" s="91"/>
      <c r="H146" s="135">
        <f t="shared" si="4"/>
        <v>0</v>
      </c>
      <c r="I146" s="159" t="str">
        <f t="shared" si="5"/>
        <v/>
      </c>
    </row>
    <row r="147" spans="1:9" hidden="1" x14ac:dyDescent="0.2">
      <c r="A147" s="89">
        <v>144</v>
      </c>
      <c r="B147" s="89"/>
      <c r="C147" s="90"/>
      <c r="D147" s="78"/>
      <c r="E147" s="170"/>
      <c r="F147" s="170"/>
      <c r="G147" s="91"/>
      <c r="H147" s="135">
        <f t="shared" si="4"/>
        <v>0</v>
      </c>
      <c r="I147" s="159" t="str">
        <f t="shared" si="5"/>
        <v/>
      </c>
    </row>
    <row r="148" spans="1:9" hidden="1" x14ac:dyDescent="0.2">
      <c r="A148" s="89">
        <v>145</v>
      </c>
      <c r="B148" s="89"/>
      <c r="C148" s="90"/>
      <c r="D148" s="78"/>
      <c r="E148" s="170"/>
      <c r="F148" s="170"/>
      <c r="G148" s="91"/>
      <c r="H148" s="135">
        <f t="shared" si="4"/>
        <v>0</v>
      </c>
      <c r="I148" s="159" t="str">
        <f t="shared" si="5"/>
        <v/>
      </c>
    </row>
    <row r="149" spans="1:9" hidden="1" x14ac:dyDescent="0.2">
      <c r="A149" s="89">
        <v>146</v>
      </c>
      <c r="B149" s="89"/>
      <c r="C149" s="90"/>
      <c r="D149" s="78"/>
      <c r="E149" s="170"/>
      <c r="F149" s="170"/>
      <c r="G149" s="91"/>
      <c r="H149" s="135">
        <f t="shared" si="4"/>
        <v>0</v>
      </c>
      <c r="I149" s="159" t="str">
        <f t="shared" si="5"/>
        <v/>
      </c>
    </row>
    <row r="150" spans="1:9" hidden="1" x14ac:dyDescent="0.2">
      <c r="A150" s="89">
        <v>147</v>
      </c>
      <c r="B150" s="89"/>
      <c r="C150" s="90"/>
      <c r="D150" s="78"/>
      <c r="E150" s="170"/>
      <c r="F150" s="170"/>
      <c r="G150" s="91"/>
      <c r="H150" s="135">
        <f t="shared" si="4"/>
        <v>0</v>
      </c>
      <c r="I150" s="159" t="str">
        <f t="shared" si="5"/>
        <v/>
      </c>
    </row>
    <row r="151" spans="1:9" hidden="1" x14ac:dyDescent="0.2">
      <c r="A151" s="89">
        <v>148</v>
      </c>
      <c r="B151" s="89"/>
      <c r="C151" s="90"/>
      <c r="D151" s="78"/>
      <c r="E151" s="170"/>
      <c r="F151" s="170"/>
      <c r="G151" s="91"/>
      <c r="H151" s="135">
        <f t="shared" si="4"/>
        <v>0</v>
      </c>
      <c r="I151" s="159" t="str">
        <f t="shared" si="5"/>
        <v/>
      </c>
    </row>
    <row r="152" spans="1:9" hidden="1" x14ac:dyDescent="0.2">
      <c r="A152" s="89">
        <v>149</v>
      </c>
      <c r="B152" s="89"/>
      <c r="C152" s="90"/>
      <c r="D152" s="78"/>
      <c r="E152" s="170"/>
      <c r="F152" s="170"/>
      <c r="G152" s="91"/>
      <c r="H152" s="135">
        <f t="shared" si="4"/>
        <v>0</v>
      </c>
      <c r="I152" s="159" t="str">
        <f t="shared" si="5"/>
        <v/>
      </c>
    </row>
    <row r="153" spans="1:9" hidden="1" x14ac:dyDescent="0.2">
      <c r="A153" s="89">
        <v>150</v>
      </c>
      <c r="B153" s="89"/>
      <c r="C153" s="90"/>
      <c r="D153" s="78"/>
      <c r="E153" s="170"/>
      <c r="F153" s="170"/>
      <c r="G153" s="91"/>
      <c r="H153" s="135">
        <f t="shared" si="4"/>
        <v>0</v>
      </c>
      <c r="I153" s="159" t="str">
        <f t="shared" si="5"/>
        <v/>
      </c>
    </row>
    <row r="154" spans="1:9" hidden="1" x14ac:dyDescent="0.2">
      <c r="A154" s="89">
        <v>151</v>
      </c>
      <c r="B154" s="89"/>
      <c r="C154" s="90"/>
      <c r="D154" s="78"/>
      <c r="E154" s="170"/>
      <c r="F154" s="170"/>
      <c r="G154" s="91"/>
      <c r="H154" s="135">
        <f t="shared" si="4"/>
        <v>0</v>
      </c>
      <c r="I154" s="159" t="str">
        <f t="shared" si="5"/>
        <v/>
      </c>
    </row>
    <row r="155" spans="1:9" hidden="1" x14ac:dyDescent="0.2">
      <c r="A155" s="89">
        <v>152</v>
      </c>
      <c r="B155" s="89"/>
      <c r="C155" s="90"/>
      <c r="D155" s="78"/>
      <c r="E155" s="170"/>
      <c r="F155" s="170"/>
      <c r="G155" s="91"/>
      <c r="H155" s="135">
        <f t="shared" si="4"/>
        <v>0</v>
      </c>
      <c r="I155" s="159" t="str">
        <f t="shared" si="5"/>
        <v/>
      </c>
    </row>
    <row r="156" spans="1:9" hidden="1" x14ac:dyDescent="0.2">
      <c r="A156" s="89">
        <v>153</v>
      </c>
      <c r="B156" s="89"/>
      <c r="C156" s="90"/>
      <c r="D156" s="78"/>
      <c r="E156" s="170"/>
      <c r="F156" s="170"/>
      <c r="G156" s="91"/>
      <c r="H156" s="135">
        <f t="shared" si="4"/>
        <v>0</v>
      </c>
      <c r="I156" s="159" t="str">
        <f t="shared" si="5"/>
        <v/>
      </c>
    </row>
    <row r="157" spans="1:9" hidden="1" x14ac:dyDescent="0.2">
      <c r="A157" s="89">
        <v>154</v>
      </c>
      <c r="B157" s="89"/>
      <c r="C157" s="90"/>
      <c r="D157" s="78"/>
      <c r="E157" s="170"/>
      <c r="F157" s="170"/>
      <c r="G157" s="91"/>
      <c r="H157" s="135">
        <f t="shared" si="4"/>
        <v>0</v>
      </c>
      <c r="I157" s="159" t="str">
        <f t="shared" si="5"/>
        <v/>
      </c>
    </row>
    <row r="158" spans="1:9" hidden="1" x14ac:dyDescent="0.2">
      <c r="A158" s="89">
        <v>155</v>
      </c>
      <c r="B158" s="89"/>
      <c r="C158" s="90"/>
      <c r="D158" s="78"/>
      <c r="E158" s="170"/>
      <c r="F158" s="170"/>
      <c r="G158" s="91"/>
      <c r="H158" s="135">
        <f t="shared" si="4"/>
        <v>0</v>
      </c>
      <c r="I158" s="159" t="str">
        <f t="shared" si="5"/>
        <v/>
      </c>
    </row>
    <row r="159" spans="1:9" hidden="1" x14ac:dyDescent="0.2">
      <c r="A159" s="89">
        <v>156</v>
      </c>
      <c r="B159" s="89"/>
      <c r="C159" s="90"/>
      <c r="D159" s="78"/>
      <c r="E159" s="170"/>
      <c r="F159" s="170"/>
      <c r="G159" s="91"/>
      <c r="H159" s="135">
        <f t="shared" si="4"/>
        <v>0</v>
      </c>
      <c r="I159" s="159" t="str">
        <f t="shared" si="5"/>
        <v/>
      </c>
    </row>
    <row r="160" spans="1:9" hidden="1" x14ac:dyDescent="0.2">
      <c r="A160" s="89">
        <v>157</v>
      </c>
      <c r="B160" s="89"/>
      <c r="C160" s="90"/>
      <c r="D160" s="78"/>
      <c r="E160" s="170"/>
      <c r="F160" s="170"/>
      <c r="G160" s="91"/>
      <c r="H160" s="135">
        <f t="shared" si="4"/>
        <v>0</v>
      </c>
      <c r="I160" s="159" t="str">
        <f t="shared" si="5"/>
        <v/>
      </c>
    </row>
    <row r="161" spans="1:9" hidden="1" x14ac:dyDescent="0.2">
      <c r="A161" s="89">
        <v>158</v>
      </c>
      <c r="B161" s="89"/>
      <c r="C161" s="90"/>
      <c r="D161" s="78"/>
      <c r="E161" s="170"/>
      <c r="F161" s="170"/>
      <c r="G161" s="91"/>
      <c r="H161" s="135">
        <f t="shared" si="4"/>
        <v>0</v>
      </c>
      <c r="I161" s="159" t="str">
        <f t="shared" si="5"/>
        <v/>
      </c>
    </row>
    <row r="162" spans="1:9" hidden="1" x14ac:dyDescent="0.2">
      <c r="A162" s="89">
        <v>159</v>
      </c>
      <c r="B162" s="89"/>
      <c r="C162" s="90"/>
      <c r="D162" s="78"/>
      <c r="E162" s="170"/>
      <c r="F162" s="170"/>
      <c r="G162" s="91"/>
      <c r="H162" s="135">
        <f t="shared" si="4"/>
        <v>0</v>
      </c>
      <c r="I162" s="159" t="str">
        <f t="shared" si="5"/>
        <v/>
      </c>
    </row>
    <row r="163" spans="1:9" hidden="1" x14ac:dyDescent="0.2">
      <c r="A163" s="89">
        <v>160</v>
      </c>
      <c r="B163" s="89"/>
      <c r="C163" s="90"/>
      <c r="D163" s="78"/>
      <c r="E163" s="170"/>
      <c r="F163" s="170"/>
      <c r="G163" s="91"/>
      <c r="H163" s="135">
        <f t="shared" si="4"/>
        <v>0</v>
      </c>
      <c r="I163" s="159" t="str">
        <f t="shared" si="5"/>
        <v/>
      </c>
    </row>
    <row r="164" spans="1:9" hidden="1" x14ac:dyDescent="0.2">
      <c r="A164" s="89">
        <v>161</v>
      </c>
      <c r="B164" s="89"/>
      <c r="C164" s="90"/>
      <c r="D164" s="78"/>
      <c r="E164" s="170"/>
      <c r="F164" s="170"/>
      <c r="G164" s="91"/>
      <c r="H164" s="135">
        <f t="shared" si="4"/>
        <v>0</v>
      </c>
      <c r="I164" s="159" t="str">
        <f t="shared" si="5"/>
        <v/>
      </c>
    </row>
    <row r="165" spans="1:9" hidden="1" x14ac:dyDescent="0.2">
      <c r="A165" s="89">
        <v>162</v>
      </c>
      <c r="B165" s="89"/>
      <c r="C165" s="90"/>
      <c r="D165" s="78"/>
      <c r="E165" s="170"/>
      <c r="F165" s="170"/>
      <c r="G165" s="91"/>
      <c r="H165" s="135">
        <f t="shared" si="4"/>
        <v>0</v>
      </c>
      <c r="I165" s="159" t="str">
        <f t="shared" si="5"/>
        <v/>
      </c>
    </row>
    <row r="166" spans="1:9" hidden="1" x14ac:dyDescent="0.2">
      <c r="A166" s="89">
        <v>163</v>
      </c>
      <c r="B166" s="89"/>
      <c r="C166" s="90"/>
      <c r="D166" s="78"/>
      <c r="E166" s="170"/>
      <c r="F166" s="170"/>
      <c r="G166" s="91"/>
      <c r="H166" s="135">
        <f t="shared" si="4"/>
        <v>0</v>
      </c>
      <c r="I166" s="159" t="str">
        <f t="shared" si="5"/>
        <v/>
      </c>
    </row>
    <row r="167" spans="1:9" hidden="1" x14ac:dyDescent="0.2">
      <c r="A167" s="89">
        <v>164</v>
      </c>
      <c r="B167" s="89"/>
      <c r="C167" s="90"/>
      <c r="D167" s="78"/>
      <c r="E167" s="170"/>
      <c r="F167" s="170"/>
      <c r="G167" s="91"/>
      <c r="H167" s="135">
        <f t="shared" si="4"/>
        <v>0</v>
      </c>
      <c r="I167" s="159" t="str">
        <f t="shared" si="5"/>
        <v/>
      </c>
    </row>
    <row r="168" spans="1:9" hidden="1" x14ac:dyDescent="0.2">
      <c r="A168" s="89">
        <v>165</v>
      </c>
      <c r="B168" s="89"/>
      <c r="C168" s="90"/>
      <c r="D168" s="78"/>
      <c r="E168" s="170"/>
      <c r="F168" s="170"/>
      <c r="G168" s="91"/>
      <c r="H168" s="135">
        <f t="shared" si="4"/>
        <v>0</v>
      </c>
      <c r="I168" s="159" t="str">
        <f t="shared" si="5"/>
        <v/>
      </c>
    </row>
    <row r="169" spans="1:9" hidden="1" x14ac:dyDescent="0.2">
      <c r="A169" s="89">
        <v>166</v>
      </c>
      <c r="B169" s="89"/>
      <c r="C169" s="90"/>
      <c r="D169" s="78"/>
      <c r="E169" s="170"/>
      <c r="F169" s="170"/>
      <c r="G169" s="91"/>
      <c r="H169" s="135">
        <f t="shared" si="4"/>
        <v>0</v>
      </c>
      <c r="I169" s="159" t="str">
        <f t="shared" si="5"/>
        <v/>
      </c>
    </row>
    <row r="170" spans="1:9" hidden="1" x14ac:dyDescent="0.2">
      <c r="A170" s="89">
        <v>167</v>
      </c>
      <c r="B170" s="89"/>
      <c r="C170" s="90"/>
      <c r="D170" s="78"/>
      <c r="E170" s="170"/>
      <c r="F170" s="170"/>
      <c r="G170" s="91"/>
      <c r="H170" s="135">
        <f t="shared" si="4"/>
        <v>0</v>
      </c>
      <c r="I170" s="159" t="str">
        <f t="shared" si="5"/>
        <v/>
      </c>
    </row>
    <row r="171" spans="1:9" hidden="1" x14ac:dyDescent="0.2">
      <c r="A171" s="89">
        <v>168</v>
      </c>
      <c r="B171" s="89"/>
      <c r="C171" s="90"/>
      <c r="D171" s="78"/>
      <c r="E171" s="170"/>
      <c r="F171" s="170"/>
      <c r="G171" s="91"/>
      <c r="H171" s="135">
        <f t="shared" si="4"/>
        <v>0</v>
      </c>
      <c r="I171" s="159" t="str">
        <f t="shared" si="5"/>
        <v/>
      </c>
    </row>
    <row r="172" spans="1:9" hidden="1" x14ac:dyDescent="0.2">
      <c r="A172" s="89">
        <v>169</v>
      </c>
      <c r="B172" s="89"/>
      <c r="C172" s="90"/>
      <c r="D172" s="78"/>
      <c r="E172" s="170"/>
      <c r="F172" s="170"/>
      <c r="G172" s="91"/>
      <c r="H172" s="135">
        <f t="shared" si="4"/>
        <v>0</v>
      </c>
      <c r="I172" s="159" t="str">
        <f t="shared" si="5"/>
        <v/>
      </c>
    </row>
    <row r="173" spans="1:9" hidden="1" x14ac:dyDescent="0.2">
      <c r="A173" s="89">
        <v>170</v>
      </c>
      <c r="B173" s="89"/>
      <c r="C173" s="90"/>
      <c r="D173" s="78"/>
      <c r="E173" s="170"/>
      <c r="F173" s="170"/>
      <c r="G173" s="91"/>
      <c r="H173" s="135">
        <f t="shared" si="4"/>
        <v>0</v>
      </c>
      <c r="I173" s="159" t="str">
        <f t="shared" si="5"/>
        <v/>
      </c>
    </row>
    <row r="174" spans="1:9" hidden="1" x14ac:dyDescent="0.2">
      <c r="A174" s="89">
        <v>171</v>
      </c>
      <c r="B174" s="89"/>
      <c r="C174" s="90"/>
      <c r="D174" s="78"/>
      <c r="E174" s="170"/>
      <c r="F174" s="170"/>
      <c r="G174" s="91"/>
      <c r="H174" s="135">
        <f t="shared" si="4"/>
        <v>0</v>
      </c>
      <c r="I174" s="159" t="str">
        <f t="shared" si="5"/>
        <v/>
      </c>
    </row>
    <row r="175" spans="1:9" hidden="1" x14ac:dyDescent="0.2">
      <c r="A175" s="89">
        <v>172</v>
      </c>
      <c r="B175" s="89"/>
      <c r="C175" s="90"/>
      <c r="D175" s="78"/>
      <c r="E175" s="170"/>
      <c r="F175" s="170"/>
      <c r="G175" s="91"/>
      <c r="H175" s="135">
        <f t="shared" si="4"/>
        <v>0</v>
      </c>
      <c r="I175" s="159" t="str">
        <f t="shared" si="5"/>
        <v/>
      </c>
    </row>
    <row r="176" spans="1:9" hidden="1" x14ac:dyDescent="0.2">
      <c r="A176" s="89">
        <v>173</v>
      </c>
      <c r="B176" s="89"/>
      <c r="C176" s="90"/>
      <c r="D176" s="78"/>
      <c r="E176" s="170"/>
      <c r="F176" s="170"/>
      <c r="G176" s="91"/>
      <c r="H176" s="135">
        <f t="shared" si="4"/>
        <v>0</v>
      </c>
      <c r="I176" s="159" t="str">
        <f t="shared" si="5"/>
        <v/>
      </c>
    </row>
    <row r="177" spans="1:9" hidden="1" x14ac:dyDescent="0.2">
      <c r="A177" s="89">
        <v>174</v>
      </c>
      <c r="B177" s="89"/>
      <c r="C177" s="90"/>
      <c r="D177" s="78"/>
      <c r="E177" s="170"/>
      <c r="F177" s="170"/>
      <c r="G177" s="91"/>
      <c r="H177" s="135">
        <f t="shared" si="4"/>
        <v>0</v>
      </c>
      <c r="I177" s="159" t="str">
        <f t="shared" si="5"/>
        <v/>
      </c>
    </row>
    <row r="178" spans="1:9" hidden="1" x14ac:dyDescent="0.2">
      <c r="A178" s="89">
        <v>175</v>
      </c>
      <c r="B178" s="89"/>
      <c r="C178" s="90"/>
      <c r="D178" s="78"/>
      <c r="E178" s="170"/>
      <c r="F178" s="170"/>
      <c r="G178" s="91"/>
      <c r="H178" s="135">
        <f t="shared" si="4"/>
        <v>0</v>
      </c>
      <c r="I178" s="159" t="str">
        <f t="shared" si="5"/>
        <v/>
      </c>
    </row>
    <row r="179" spans="1:9" hidden="1" x14ac:dyDescent="0.2">
      <c r="A179" s="89">
        <v>176</v>
      </c>
      <c r="B179" s="89"/>
      <c r="C179" s="90"/>
      <c r="D179" s="78"/>
      <c r="E179" s="170"/>
      <c r="F179" s="170"/>
      <c r="G179" s="91"/>
      <c r="H179" s="135">
        <f t="shared" si="4"/>
        <v>0</v>
      </c>
      <c r="I179" s="159" t="str">
        <f t="shared" si="5"/>
        <v/>
      </c>
    </row>
    <row r="180" spans="1:9" hidden="1" x14ac:dyDescent="0.2">
      <c r="A180" s="89">
        <v>177</v>
      </c>
      <c r="B180" s="89"/>
      <c r="C180" s="90"/>
      <c r="D180" s="78"/>
      <c r="E180" s="170"/>
      <c r="F180" s="170"/>
      <c r="G180" s="91"/>
      <c r="H180" s="135">
        <f t="shared" si="4"/>
        <v>0</v>
      </c>
      <c r="I180" s="159" t="str">
        <f t="shared" si="5"/>
        <v/>
      </c>
    </row>
    <row r="181" spans="1:9" hidden="1" x14ac:dyDescent="0.2">
      <c r="A181" s="89">
        <v>178</v>
      </c>
      <c r="B181" s="89"/>
      <c r="C181" s="90"/>
      <c r="D181" s="78"/>
      <c r="E181" s="170"/>
      <c r="F181" s="170"/>
      <c r="G181" s="91"/>
      <c r="H181" s="135">
        <f t="shared" si="4"/>
        <v>0</v>
      </c>
      <c r="I181" s="159" t="str">
        <f t="shared" si="5"/>
        <v/>
      </c>
    </row>
    <row r="182" spans="1:9" hidden="1" x14ac:dyDescent="0.2">
      <c r="A182" s="89">
        <v>179</v>
      </c>
      <c r="B182" s="89"/>
      <c r="C182" s="90"/>
      <c r="D182" s="78"/>
      <c r="E182" s="170"/>
      <c r="F182" s="170"/>
      <c r="G182" s="91"/>
      <c r="H182" s="135">
        <f t="shared" si="4"/>
        <v>0</v>
      </c>
      <c r="I182" s="159" t="str">
        <f t="shared" si="5"/>
        <v/>
      </c>
    </row>
    <row r="183" spans="1:9" hidden="1" x14ac:dyDescent="0.2">
      <c r="A183" s="89">
        <v>180</v>
      </c>
      <c r="B183" s="89"/>
      <c r="C183" s="90"/>
      <c r="D183" s="78"/>
      <c r="E183" s="170"/>
      <c r="F183" s="170"/>
      <c r="G183" s="91"/>
      <c r="H183" s="135">
        <f t="shared" si="4"/>
        <v>0</v>
      </c>
      <c r="I183" s="159" t="str">
        <f t="shared" si="5"/>
        <v/>
      </c>
    </row>
    <row r="184" spans="1:9" hidden="1" x14ac:dyDescent="0.2">
      <c r="A184" s="89">
        <v>181</v>
      </c>
      <c r="B184" s="89"/>
      <c r="C184" s="90"/>
      <c r="D184" s="78"/>
      <c r="E184" s="170"/>
      <c r="F184" s="170"/>
      <c r="G184" s="91"/>
      <c r="H184" s="135">
        <f t="shared" si="4"/>
        <v>0</v>
      </c>
      <c r="I184" s="159" t="str">
        <f t="shared" si="5"/>
        <v/>
      </c>
    </row>
    <row r="185" spans="1:9" hidden="1" x14ac:dyDescent="0.2">
      <c r="A185" s="89">
        <v>182</v>
      </c>
      <c r="B185" s="89"/>
      <c r="C185" s="90"/>
      <c r="D185" s="78"/>
      <c r="E185" s="170"/>
      <c r="F185" s="170"/>
      <c r="G185" s="91"/>
      <c r="H185" s="135">
        <f t="shared" si="4"/>
        <v>0</v>
      </c>
      <c r="I185" s="159" t="str">
        <f t="shared" si="5"/>
        <v/>
      </c>
    </row>
    <row r="186" spans="1:9" hidden="1" x14ac:dyDescent="0.2">
      <c r="A186" s="89">
        <v>183</v>
      </c>
      <c r="B186" s="89"/>
      <c r="C186" s="90"/>
      <c r="D186" s="78"/>
      <c r="E186" s="170"/>
      <c r="F186" s="170"/>
      <c r="G186" s="91"/>
      <c r="H186" s="135">
        <f t="shared" si="4"/>
        <v>0</v>
      </c>
      <c r="I186" s="159" t="str">
        <f t="shared" si="5"/>
        <v/>
      </c>
    </row>
    <row r="187" spans="1:9" hidden="1" x14ac:dyDescent="0.2">
      <c r="A187" s="89">
        <v>184</v>
      </c>
      <c r="B187" s="89"/>
      <c r="C187" s="90"/>
      <c r="D187" s="78"/>
      <c r="E187" s="170"/>
      <c r="F187" s="170"/>
      <c r="G187" s="91"/>
      <c r="H187" s="135">
        <f t="shared" si="4"/>
        <v>0</v>
      </c>
      <c r="I187" s="159" t="str">
        <f t="shared" si="5"/>
        <v/>
      </c>
    </row>
    <row r="188" spans="1:9" hidden="1" x14ac:dyDescent="0.2">
      <c r="A188" s="89">
        <v>185</v>
      </c>
      <c r="B188" s="89"/>
      <c r="C188" s="90"/>
      <c r="D188" s="78"/>
      <c r="E188" s="170"/>
      <c r="F188" s="170"/>
      <c r="G188" s="91"/>
      <c r="H188" s="135">
        <f t="shared" si="4"/>
        <v>0</v>
      </c>
      <c r="I188" s="159" t="str">
        <f t="shared" si="5"/>
        <v/>
      </c>
    </row>
    <row r="189" spans="1:9" hidden="1" x14ac:dyDescent="0.2">
      <c r="A189" s="89">
        <v>186</v>
      </c>
      <c r="B189" s="89"/>
      <c r="C189" s="90"/>
      <c r="D189" s="78"/>
      <c r="E189" s="170"/>
      <c r="F189" s="170"/>
      <c r="G189" s="91"/>
      <c r="H189" s="135">
        <f t="shared" si="4"/>
        <v>0</v>
      </c>
      <c r="I189" s="159" t="str">
        <f t="shared" si="5"/>
        <v/>
      </c>
    </row>
    <row r="190" spans="1:9" hidden="1" x14ac:dyDescent="0.2">
      <c r="A190" s="89">
        <v>187</v>
      </c>
      <c r="B190" s="89"/>
      <c r="C190" s="90"/>
      <c r="D190" s="78"/>
      <c r="E190" s="170"/>
      <c r="F190" s="170"/>
      <c r="G190" s="91"/>
      <c r="H190" s="135">
        <f t="shared" si="4"/>
        <v>0</v>
      </c>
      <c r="I190" s="159" t="str">
        <f t="shared" si="5"/>
        <v/>
      </c>
    </row>
    <row r="191" spans="1:9" hidden="1" x14ac:dyDescent="0.2">
      <c r="A191" s="89">
        <v>188</v>
      </c>
      <c r="B191" s="89"/>
      <c r="C191" s="90"/>
      <c r="D191" s="78"/>
      <c r="E191" s="170"/>
      <c r="F191" s="170"/>
      <c r="G191" s="91"/>
      <c r="H191" s="135">
        <f t="shared" si="4"/>
        <v>0</v>
      </c>
      <c r="I191" s="159" t="str">
        <f t="shared" si="5"/>
        <v/>
      </c>
    </row>
    <row r="192" spans="1:9" hidden="1" x14ac:dyDescent="0.2">
      <c r="A192" s="89">
        <v>189</v>
      </c>
      <c r="B192" s="89"/>
      <c r="C192" s="90"/>
      <c r="D192" s="78"/>
      <c r="E192" s="170"/>
      <c r="F192" s="170"/>
      <c r="G192" s="91"/>
      <c r="H192" s="135">
        <f t="shared" si="4"/>
        <v>0</v>
      </c>
      <c r="I192" s="159" t="str">
        <f t="shared" si="5"/>
        <v/>
      </c>
    </row>
    <row r="193" spans="1:9" hidden="1" x14ac:dyDescent="0.2">
      <c r="A193" s="89">
        <v>190</v>
      </c>
      <c r="B193" s="89"/>
      <c r="C193" s="90"/>
      <c r="D193" s="78"/>
      <c r="E193" s="170"/>
      <c r="F193" s="170"/>
      <c r="G193" s="91"/>
      <c r="H193" s="135">
        <f t="shared" si="4"/>
        <v>0</v>
      </c>
      <c r="I193" s="159" t="str">
        <f t="shared" si="5"/>
        <v/>
      </c>
    </row>
    <row r="194" spans="1:9" hidden="1" x14ac:dyDescent="0.2">
      <c r="A194" s="89">
        <v>191</v>
      </c>
      <c r="B194" s="89"/>
      <c r="C194" s="90"/>
      <c r="D194" s="78"/>
      <c r="E194" s="170"/>
      <c r="F194" s="170"/>
      <c r="G194" s="91"/>
      <c r="H194" s="135">
        <f t="shared" si="4"/>
        <v>0</v>
      </c>
      <c r="I194" s="159" t="str">
        <f t="shared" si="5"/>
        <v/>
      </c>
    </row>
    <row r="195" spans="1:9" hidden="1" x14ac:dyDescent="0.2">
      <c r="A195" s="89">
        <v>192</v>
      </c>
      <c r="B195" s="89"/>
      <c r="C195" s="90"/>
      <c r="D195" s="78"/>
      <c r="E195" s="170"/>
      <c r="F195" s="170"/>
      <c r="G195" s="91"/>
      <c r="H195" s="135">
        <f t="shared" si="4"/>
        <v>0</v>
      </c>
      <c r="I195" s="159" t="str">
        <f t="shared" si="5"/>
        <v/>
      </c>
    </row>
    <row r="196" spans="1:9" hidden="1" x14ac:dyDescent="0.2">
      <c r="A196" s="89">
        <v>193</v>
      </c>
      <c r="B196" s="89"/>
      <c r="C196" s="90"/>
      <c r="D196" s="78"/>
      <c r="E196" s="170"/>
      <c r="F196" s="170"/>
      <c r="G196" s="91"/>
      <c r="H196" s="135">
        <f t="shared" si="4"/>
        <v>0</v>
      </c>
      <c r="I196" s="159" t="str">
        <f t="shared" si="5"/>
        <v/>
      </c>
    </row>
    <row r="197" spans="1:9" hidden="1" x14ac:dyDescent="0.2">
      <c r="A197" s="89">
        <v>194</v>
      </c>
      <c r="B197" s="89"/>
      <c r="C197" s="90"/>
      <c r="D197" s="78"/>
      <c r="E197" s="170"/>
      <c r="F197" s="170"/>
      <c r="G197" s="91"/>
      <c r="H197" s="135">
        <f t="shared" ref="H197:H203" si="6">IFERROR((DATEDIF(E197,F197,"M")+1)*D197,0)</f>
        <v>0</v>
      </c>
      <c r="I197" s="159" t="str">
        <f t="shared" ref="I197:I203" si="7">SUBSTITUTE(B197," ","_")</f>
        <v/>
      </c>
    </row>
    <row r="198" spans="1:9" hidden="1" x14ac:dyDescent="0.2">
      <c r="A198" s="89">
        <v>195</v>
      </c>
      <c r="B198" s="89"/>
      <c r="C198" s="90"/>
      <c r="D198" s="78"/>
      <c r="E198" s="170"/>
      <c r="F198" s="170"/>
      <c r="G198" s="91"/>
      <c r="H198" s="135">
        <f t="shared" si="6"/>
        <v>0</v>
      </c>
      <c r="I198" s="159" t="str">
        <f t="shared" si="7"/>
        <v/>
      </c>
    </row>
    <row r="199" spans="1:9" hidden="1" x14ac:dyDescent="0.2">
      <c r="A199" s="89">
        <v>196</v>
      </c>
      <c r="B199" s="89"/>
      <c r="C199" s="90"/>
      <c r="D199" s="78"/>
      <c r="E199" s="170"/>
      <c r="F199" s="170"/>
      <c r="G199" s="91"/>
      <c r="H199" s="135">
        <f t="shared" si="6"/>
        <v>0</v>
      </c>
      <c r="I199" s="159" t="str">
        <f t="shared" si="7"/>
        <v/>
      </c>
    </row>
    <row r="200" spans="1:9" hidden="1" x14ac:dyDescent="0.2">
      <c r="A200" s="89">
        <v>197</v>
      </c>
      <c r="B200" s="89"/>
      <c r="C200" s="90"/>
      <c r="D200" s="78"/>
      <c r="E200" s="170"/>
      <c r="F200" s="170"/>
      <c r="G200" s="91"/>
      <c r="H200" s="135">
        <f t="shared" si="6"/>
        <v>0</v>
      </c>
      <c r="I200" s="159" t="str">
        <f t="shared" si="7"/>
        <v/>
      </c>
    </row>
    <row r="201" spans="1:9" hidden="1" x14ac:dyDescent="0.2">
      <c r="A201" s="89">
        <v>198</v>
      </c>
      <c r="B201" s="89"/>
      <c r="C201" s="90"/>
      <c r="D201" s="78"/>
      <c r="E201" s="170"/>
      <c r="F201" s="170"/>
      <c r="G201" s="91"/>
      <c r="H201" s="135">
        <f t="shared" si="6"/>
        <v>0</v>
      </c>
      <c r="I201" s="159" t="str">
        <f t="shared" si="7"/>
        <v/>
      </c>
    </row>
    <row r="202" spans="1:9" hidden="1" x14ac:dyDescent="0.2">
      <c r="A202" s="89">
        <v>199</v>
      </c>
      <c r="B202" s="89"/>
      <c r="C202" s="90"/>
      <c r="D202" s="78"/>
      <c r="E202" s="170"/>
      <c r="F202" s="170"/>
      <c r="G202" s="91"/>
      <c r="H202" s="135">
        <f t="shared" si="6"/>
        <v>0</v>
      </c>
      <c r="I202" s="159" t="str">
        <f t="shared" si="7"/>
        <v/>
      </c>
    </row>
    <row r="203" spans="1:9" ht="13.5" hidden="1" thickBot="1" x14ac:dyDescent="0.25">
      <c r="A203" s="89">
        <v>200</v>
      </c>
      <c r="B203" s="89"/>
      <c r="C203" s="90"/>
      <c r="D203" s="78"/>
      <c r="E203" s="170"/>
      <c r="F203" s="170"/>
      <c r="G203" s="91"/>
      <c r="H203" s="135">
        <f t="shared" si="6"/>
        <v>0</v>
      </c>
      <c r="I203" s="159" t="str">
        <f t="shared" si="7"/>
        <v/>
      </c>
    </row>
    <row r="204" spans="1:9" ht="20.25" customHeight="1" thickBot="1" x14ac:dyDescent="0.25">
      <c r="A204" s="327"/>
      <c r="B204" s="327"/>
      <c r="C204" s="328"/>
      <c r="D204" s="327"/>
      <c r="E204" s="327"/>
      <c r="F204" s="327"/>
      <c r="G204" s="329" t="s">
        <v>558</v>
      </c>
      <c r="H204" s="330">
        <f>SUM(H4:H203)</f>
        <v>807000</v>
      </c>
      <c r="I204" s="143"/>
    </row>
  </sheetData>
  <sheetProtection formatRows="0" autoFilter="0"/>
  <autoFilter ref="A3:H204"/>
  <mergeCells count="2">
    <mergeCell ref="A1:H1"/>
    <mergeCell ref="A2:H2"/>
  </mergeCells>
  <conditionalFormatting sqref="A4:H203">
    <cfRule type="expression" dxfId="1" priority="2">
      <formula>ISEVEN(ROW())</formula>
    </cfRule>
  </conditionalFormatting>
  <conditionalFormatting sqref="I4:I203">
    <cfRule type="expression" dxfId="0" priority="1" stopIfTrue="1">
      <formula>ISEVEN(ROW())</formula>
    </cfRule>
  </conditionalFormatting>
  <dataValidations count="2">
    <dataValidation type="list" allowBlank="1" showInputMessage="1" showErrorMessage="1" sqref="B4:B203">
      <formula1>Categorias</formula1>
    </dataValidation>
    <dataValidation type="list" allowBlank="1" showInputMessage="1" showErrorMessage="1" sqref="C4:C203">
      <formula1>INDIRECT($I4)</formula1>
    </dataValidation>
  </dataValidations>
  <pageMargins left="0.51181102362204722" right="0.51181102362204722" top="0.78740157480314965" bottom="0.78740157480314965" header="0.31496062992125984" footer="0.31496062992125984"/>
  <pageSetup paperSize="9" scale="84" fitToHeight="0" orientation="landscape" r:id="rId1"/>
  <headerFooter>
    <oddFooter>Página &amp;P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8">
    <tabColor theme="0" tint="-0.249977111117893"/>
    <pageSetUpPr fitToPage="1"/>
  </sheetPr>
  <dimension ref="A1:F18"/>
  <sheetViews>
    <sheetView zoomScale="90" zoomScaleNormal="90" zoomScaleSheetLayoutView="100" zoomScalePageLayoutView="25" workbookViewId="0">
      <selection activeCell="A10" sqref="A10:F10"/>
    </sheetView>
  </sheetViews>
  <sheetFormatPr defaultRowHeight="15" x14ac:dyDescent="0.25"/>
  <cols>
    <col min="1" max="1" width="14.140625" style="5" customWidth="1"/>
    <col min="2" max="2" width="55.42578125" style="5" customWidth="1"/>
    <col min="3" max="3" width="19.28515625" style="7" customWidth="1"/>
    <col min="4" max="5" width="16.140625" style="7" customWidth="1"/>
    <col min="6" max="6" width="15.5703125" style="5" customWidth="1"/>
    <col min="7" max="16384" width="9.140625" style="5"/>
  </cols>
  <sheetData>
    <row r="1" spans="1:6" ht="78" customHeight="1" x14ac:dyDescent="0.25">
      <c r="A1" s="415" t="str">
        <f>Capa!A1</f>
        <v>Memória de Cálculo
Contrato de Gestão nº 008/2021 celebrado entre a SEJUSP e o Instituto Elo</v>
      </c>
      <c r="B1" s="415"/>
      <c r="C1" s="415"/>
      <c r="D1" s="415"/>
      <c r="E1" s="415"/>
      <c r="F1" s="415"/>
    </row>
    <row r="2" spans="1:6" ht="27.75" customHeight="1" x14ac:dyDescent="0.25">
      <c r="A2" s="415" t="str">
        <f>IF(Capa!A2="","",Capa!A2)</f>
        <v>5º Termo Aditivo</v>
      </c>
      <c r="B2" s="415"/>
      <c r="C2" s="415"/>
      <c r="D2" s="415"/>
      <c r="E2" s="415"/>
      <c r="F2" s="415"/>
    </row>
    <row r="3" spans="1:6" ht="24.75" customHeight="1" x14ac:dyDescent="0.35">
      <c r="A3" s="416"/>
      <c r="B3" s="416"/>
      <c r="C3" s="416"/>
      <c r="D3" s="416"/>
      <c r="E3" s="416"/>
      <c r="F3" s="416"/>
    </row>
    <row r="4" spans="1:6" ht="24.75" customHeight="1" x14ac:dyDescent="0.3">
      <c r="A4" s="417" t="s">
        <v>1</v>
      </c>
      <c r="B4" s="417"/>
      <c r="C4" s="417"/>
      <c r="D4" s="417"/>
      <c r="E4" s="417"/>
      <c r="F4" s="417"/>
    </row>
    <row r="5" spans="1:6" ht="51" customHeight="1" x14ac:dyDescent="0.25">
      <c r="A5" s="418" t="str">
        <f>TEXT(Capa!A5,"mmm/aaaa")&amp;" a "&amp;TEXT(Capa!A7,"mmm/aaaa")</f>
        <v>jan/2026 a dez/2028</v>
      </c>
      <c r="B5" s="418"/>
      <c r="C5" s="418"/>
      <c r="D5" s="418"/>
      <c r="E5" s="418"/>
      <c r="F5" s="418"/>
    </row>
    <row r="6" spans="1:6" ht="20.25" customHeight="1" x14ac:dyDescent="0.35">
      <c r="A6" s="419"/>
      <c r="B6" s="419"/>
      <c r="C6" s="419"/>
      <c r="D6" s="419"/>
      <c r="E6" s="419"/>
      <c r="F6" s="419"/>
    </row>
    <row r="7" spans="1:6" ht="32.25" customHeight="1" x14ac:dyDescent="0.4">
      <c r="A7" s="414" t="s">
        <v>559</v>
      </c>
      <c r="B7" s="414"/>
      <c r="C7" s="414"/>
      <c r="D7" s="414"/>
      <c r="E7" s="414"/>
      <c r="F7" s="414"/>
    </row>
    <row r="8" spans="1:6" ht="20.25" customHeight="1" x14ac:dyDescent="0.25">
      <c r="A8" s="411" t="s">
        <v>560</v>
      </c>
      <c r="B8" s="411"/>
      <c r="C8" s="411"/>
      <c r="D8" s="411"/>
      <c r="E8" s="411"/>
      <c r="F8" s="411"/>
    </row>
    <row r="9" spans="1:6" ht="20.25" customHeight="1" x14ac:dyDescent="0.25">
      <c r="A9" s="411" t="s">
        <v>561</v>
      </c>
      <c r="B9" s="411"/>
      <c r="C9" s="411"/>
      <c r="D9" s="411"/>
      <c r="E9" s="411"/>
      <c r="F9" s="411"/>
    </row>
    <row r="10" spans="1:6" ht="20.25" customHeight="1" x14ac:dyDescent="0.25">
      <c r="A10" s="411" t="s">
        <v>562</v>
      </c>
      <c r="B10" s="411"/>
      <c r="C10" s="411"/>
      <c r="D10" s="411"/>
      <c r="E10" s="411"/>
      <c r="F10" s="411"/>
    </row>
    <row r="11" spans="1:6" ht="16.5" customHeight="1" x14ac:dyDescent="0.25">
      <c r="A11" s="412"/>
      <c r="B11" s="412"/>
      <c r="C11" s="412"/>
      <c r="D11" s="412"/>
      <c r="E11" s="412"/>
      <c r="F11" s="412"/>
    </row>
    <row r="12" spans="1:6" ht="16.5" customHeight="1" x14ac:dyDescent="0.25">
      <c r="A12" s="413" t="s">
        <v>563</v>
      </c>
      <c r="B12" s="413"/>
      <c r="C12" s="413"/>
      <c r="D12" s="413"/>
      <c r="E12" s="413"/>
      <c r="F12" s="413"/>
    </row>
    <row r="13" spans="1:6" ht="16.5" customHeight="1" x14ac:dyDescent="0.25">
      <c r="A13" s="180"/>
      <c r="B13" s="180"/>
      <c r="C13" s="180"/>
      <c r="D13" s="180"/>
      <c r="E13" s="180"/>
      <c r="F13" s="180"/>
    </row>
    <row r="14" spans="1:6" ht="38.25" customHeight="1" x14ac:dyDescent="0.25">
      <c r="A14" s="180"/>
      <c r="B14" s="180"/>
      <c r="C14" s="180"/>
      <c r="D14" s="180"/>
      <c r="E14" s="180"/>
      <c r="F14" s="180"/>
    </row>
    <row r="15" spans="1:6" ht="16.5" customHeight="1" x14ac:dyDescent="0.25">
      <c r="A15" s="6"/>
      <c r="B15" s="6"/>
      <c r="C15" s="6"/>
      <c r="D15" s="6"/>
      <c r="E15" s="6"/>
      <c r="F15" s="6"/>
    </row>
    <row r="16" spans="1:6" ht="16.5" customHeight="1" x14ac:dyDescent="0.25">
      <c r="A16" s="6"/>
      <c r="B16" s="6"/>
      <c r="C16" s="6"/>
      <c r="D16" s="6"/>
      <c r="E16" s="6"/>
      <c r="F16" s="6"/>
    </row>
    <row r="17" spans="1:6" ht="16.5" customHeight="1" x14ac:dyDescent="0.25">
      <c r="A17" s="6"/>
      <c r="B17" s="6"/>
      <c r="C17" s="6"/>
      <c r="D17" s="6"/>
      <c r="E17" s="6"/>
      <c r="F17" s="6"/>
    </row>
    <row r="18" spans="1:6" ht="16.5" customHeight="1" x14ac:dyDescent="0.25">
      <c r="A18" s="6"/>
      <c r="B18" s="6"/>
      <c r="C18" s="6"/>
      <c r="D18" s="6"/>
      <c r="E18" s="6"/>
      <c r="F18" s="6"/>
    </row>
  </sheetData>
  <sheetProtection algorithmName="SHA-512" hashValue="GZIvK+1f+AJVwieVjHlAnKwihMm5nt/eTgMbIx+HoODXsQfuWdw3PgARWlw6YjQS/u+bBhyG2uanJoB64SWWLQ==" saltValue="mYvGVmd43XEBFHbHM1px/w==" spinCount="100000" sheet="1" objects="1" scenarios="1" formatCells="0"/>
  <mergeCells count="12">
    <mergeCell ref="A7:F7"/>
    <mergeCell ref="A1:F1"/>
    <mergeCell ref="A3:F3"/>
    <mergeCell ref="A4:F4"/>
    <mergeCell ref="A5:F5"/>
    <mergeCell ref="A6:F6"/>
    <mergeCell ref="A2:F2"/>
    <mergeCell ref="A8:F8"/>
    <mergeCell ref="A9:F9"/>
    <mergeCell ref="A11:F11"/>
    <mergeCell ref="A10:F10"/>
    <mergeCell ref="A12:F12"/>
  </mergeCells>
  <phoneticPr fontId="11" type="noConversion"/>
  <printOptions horizontalCentered="1" verticalCentered="1"/>
  <pageMargins left="0.19685039370078741" right="0.19685039370078741" top="0.59055118110236227" bottom="0.59055118110236227" header="0" footer="0"/>
  <pageSetup paperSize="9" orientation="landscape" r:id="rId1"/>
  <headerFooter>
    <oddFooter>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pageSetUpPr fitToPage="1"/>
  </sheetPr>
  <dimension ref="A1:S78"/>
  <sheetViews>
    <sheetView zoomScaleNormal="100" zoomScaleSheetLayoutView="100" workbookViewId="0"/>
  </sheetViews>
  <sheetFormatPr defaultRowHeight="12.75" x14ac:dyDescent="0.2"/>
  <cols>
    <col min="1" max="1" width="47.85546875" style="153" customWidth="1"/>
    <col min="2" max="2" width="26.28515625" style="153" customWidth="1"/>
    <col min="3" max="3" width="29.5703125" style="153" customWidth="1"/>
    <col min="4" max="4" width="31.42578125" style="153" customWidth="1"/>
    <col min="5" max="6" width="31" style="153" customWidth="1"/>
    <col min="7" max="7" width="28.140625" style="153" customWidth="1"/>
    <col min="8" max="8" width="10.140625" style="153" customWidth="1"/>
    <col min="9" max="9" width="15.140625" style="153" customWidth="1"/>
    <col min="10" max="10" width="2.7109375" style="153" customWidth="1"/>
    <col min="11" max="11" width="9.140625" style="153"/>
    <col min="12" max="14" width="13.28515625" style="153" customWidth="1"/>
    <col min="15" max="15" width="0.7109375" style="153" customWidth="1"/>
    <col min="16" max="16" width="10.28515625" style="153" bestFit="1" customWidth="1"/>
    <col min="17" max="17" width="13.28515625" style="153" customWidth="1"/>
    <col min="18" max="18" width="5.85546875" style="153" customWidth="1"/>
    <col min="19" max="19" width="9.140625" style="153"/>
    <col min="20" max="22" width="13.28515625" style="153" customWidth="1"/>
    <col min="23" max="23" width="1.85546875" style="153" customWidth="1"/>
    <col min="24" max="24" width="9.140625" style="153"/>
    <col min="25" max="25" width="13.28515625" style="153" customWidth="1"/>
    <col min="26" max="16384" width="9.140625" style="153"/>
  </cols>
  <sheetData>
    <row r="1" spans="1:19" s="152" customFormat="1" ht="35.25" customHeight="1" x14ac:dyDescent="0.2">
      <c r="A1" s="150" t="s">
        <v>564</v>
      </c>
      <c r="B1" s="150" t="s">
        <v>565</v>
      </c>
      <c r="C1" s="150" t="s">
        <v>80</v>
      </c>
      <c r="D1" s="150" t="s">
        <v>91</v>
      </c>
      <c r="E1" s="150" t="s">
        <v>93</v>
      </c>
      <c r="F1" s="151" t="s">
        <v>566</v>
      </c>
      <c r="H1" s="153"/>
      <c r="I1" s="153"/>
      <c r="K1" s="153"/>
      <c r="L1" s="153"/>
      <c r="M1" s="153"/>
      <c r="N1" s="153"/>
      <c r="O1" s="153"/>
      <c r="P1" s="153"/>
      <c r="Q1" s="153"/>
      <c r="R1" s="153"/>
      <c r="S1" s="153"/>
    </row>
    <row r="2" spans="1:19" ht="28.5" x14ac:dyDescent="0.2">
      <c r="A2" s="151" t="s">
        <v>567</v>
      </c>
      <c r="B2" s="154"/>
      <c r="C2" s="151" t="s">
        <v>82</v>
      </c>
      <c r="D2" s="155" t="s">
        <v>189</v>
      </c>
      <c r="E2" s="151" t="s">
        <v>358</v>
      </c>
      <c r="F2" s="151" t="s">
        <v>568</v>
      </c>
    </row>
    <row r="3" spans="1:19" ht="28.5" x14ac:dyDescent="0.2">
      <c r="A3" s="151" t="s">
        <v>569</v>
      </c>
      <c r="B3" s="154"/>
      <c r="C3" s="151" t="s">
        <v>125</v>
      </c>
      <c r="D3" s="155" t="s">
        <v>191</v>
      </c>
      <c r="E3" s="151" t="s">
        <v>344</v>
      </c>
      <c r="F3" s="151" t="s">
        <v>570</v>
      </c>
    </row>
    <row r="4" spans="1:19" ht="14.25" x14ac:dyDescent="0.2">
      <c r="A4" s="151" t="s">
        <v>74</v>
      </c>
      <c r="B4" s="154"/>
      <c r="C4" s="151" t="s">
        <v>571</v>
      </c>
      <c r="D4" s="155" t="s">
        <v>193</v>
      </c>
      <c r="E4" s="151" t="s">
        <v>346</v>
      </c>
    </row>
    <row r="5" spans="1:19" ht="28.5" customHeight="1" x14ac:dyDescent="0.2">
      <c r="A5" s="154"/>
      <c r="C5" s="151" t="s">
        <v>572</v>
      </c>
      <c r="D5" s="155" t="s">
        <v>195</v>
      </c>
      <c r="E5" s="151" t="s">
        <v>362</v>
      </c>
      <c r="F5" s="156"/>
    </row>
    <row r="6" spans="1:19" ht="28.5" x14ac:dyDescent="0.2">
      <c r="A6" s="154"/>
      <c r="B6" s="154"/>
      <c r="C6" s="151" t="s">
        <v>137</v>
      </c>
      <c r="D6" s="155" t="s">
        <v>197</v>
      </c>
      <c r="E6" s="151" t="s">
        <v>348</v>
      </c>
      <c r="F6" s="156"/>
    </row>
    <row r="7" spans="1:19" ht="28.5" x14ac:dyDescent="0.2">
      <c r="A7" s="154"/>
      <c r="B7" s="154"/>
      <c r="C7" s="151" t="s">
        <v>573</v>
      </c>
      <c r="D7" s="155" t="s">
        <v>199</v>
      </c>
      <c r="E7" s="151" t="s">
        <v>360</v>
      </c>
      <c r="F7" s="156"/>
    </row>
    <row r="8" spans="1:19" ht="42.75" x14ac:dyDescent="0.2">
      <c r="A8" s="154"/>
      <c r="B8" s="154"/>
      <c r="C8" s="151" t="s">
        <v>142</v>
      </c>
      <c r="D8" s="155" t="s">
        <v>201</v>
      </c>
      <c r="E8" s="151" t="s">
        <v>350</v>
      </c>
      <c r="F8" s="156"/>
    </row>
    <row r="9" spans="1:19" ht="42.75" x14ac:dyDescent="0.2">
      <c r="A9" s="154"/>
      <c r="B9" s="154"/>
      <c r="C9" s="151" t="s">
        <v>145</v>
      </c>
      <c r="D9" s="155" t="s">
        <v>203</v>
      </c>
      <c r="E9" s="151" t="s">
        <v>342</v>
      </c>
      <c r="F9" s="156"/>
    </row>
    <row r="10" spans="1:19" ht="14.25" x14ac:dyDescent="0.2">
      <c r="A10" s="154"/>
      <c r="B10" s="154"/>
      <c r="C10" s="151" t="s">
        <v>147</v>
      </c>
      <c r="D10" s="155" t="s">
        <v>205</v>
      </c>
      <c r="E10" s="151" t="s">
        <v>364</v>
      </c>
      <c r="F10" s="156"/>
    </row>
    <row r="11" spans="1:19" ht="42.75" x14ac:dyDescent="0.2">
      <c r="A11" s="154"/>
      <c r="B11" s="154"/>
      <c r="C11" s="151" t="s">
        <v>149</v>
      </c>
      <c r="D11" s="155" t="s">
        <v>207</v>
      </c>
      <c r="E11" s="151" t="s">
        <v>352</v>
      </c>
      <c r="F11" s="156"/>
    </row>
    <row r="12" spans="1:19" ht="14.25" x14ac:dyDescent="0.2">
      <c r="A12" s="154"/>
      <c r="B12" s="154"/>
      <c r="C12" s="151" t="s">
        <v>151</v>
      </c>
      <c r="D12" s="155" t="s">
        <v>209</v>
      </c>
      <c r="E12" s="151" t="s">
        <v>354</v>
      </c>
      <c r="F12" s="156"/>
    </row>
    <row r="13" spans="1:19" ht="14.25" x14ac:dyDescent="0.2">
      <c r="A13" s="154"/>
      <c r="B13" s="154"/>
      <c r="C13" s="151" t="s">
        <v>153</v>
      </c>
      <c r="D13" s="155" t="s">
        <v>211</v>
      </c>
      <c r="E13" s="151" t="s">
        <v>368</v>
      </c>
      <c r="F13" s="156"/>
    </row>
    <row r="14" spans="1:19" ht="14.25" x14ac:dyDescent="0.2">
      <c r="A14" s="154"/>
      <c r="B14" s="154"/>
      <c r="C14" s="151" t="s">
        <v>155</v>
      </c>
      <c r="D14" s="155" t="s">
        <v>213</v>
      </c>
      <c r="E14" s="151" t="s">
        <v>356</v>
      </c>
      <c r="F14" s="156"/>
    </row>
    <row r="15" spans="1:19" ht="14.25" x14ac:dyDescent="0.2">
      <c r="A15" s="154"/>
      <c r="B15" s="154"/>
      <c r="C15" s="151" t="s">
        <v>157</v>
      </c>
      <c r="D15" s="155" t="s">
        <v>215</v>
      </c>
      <c r="E15" s="154"/>
      <c r="F15" s="156"/>
    </row>
    <row r="16" spans="1:19" ht="28.5" x14ac:dyDescent="0.2">
      <c r="A16" s="154"/>
      <c r="B16" s="154"/>
      <c r="C16" s="151" t="s">
        <v>574</v>
      </c>
      <c r="D16" s="155" t="s">
        <v>217</v>
      </c>
      <c r="E16" s="154"/>
      <c r="F16" s="154"/>
    </row>
    <row r="17" spans="1:6" ht="28.5" x14ac:dyDescent="0.2">
      <c r="A17" s="154"/>
      <c r="B17" s="154"/>
      <c r="C17" s="151" t="s">
        <v>161</v>
      </c>
      <c r="D17" s="151" t="s">
        <v>219</v>
      </c>
      <c r="E17" s="154"/>
      <c r="F17" s="154"/>
    </row>
    <row r="18" spans="1:6" ht="28.5" x14ac:dyDescent="0.2">
      <c r="A18" s="154"/>
      <c r="B18" s="154"/>
      <c r="C18" s="151" t="s">
        <v>163</v>
      </c>
      <c r="D18" s="155" t="s">
        <v>221</v>
      </c>
      <c r="E18" s="154"/>
      <c r="F18" s="154"/>
    </row>
    <row r="19" spans="1:6" ht="28.5" x14ac:dyDescent="0.2">
      <c r="A19" s="154"/>
      <c r="B19" s="154"/>
      <c r="C19" s="151" t="s">
        <v>165</v>
      </c>
      <c r="D19" s="155" t="s">
        <v>223</v>
      </c>
      <c r="E19" s="154"/>
      <c r="F19" s="154"/>
    </row>
    <row r="20" spans="1:6" ht="28.5" x14ac:dyDescent="0.2">
      <c r="A20" s="154"/>
      <c r="B20" s="154"/>
      <c r="C20" s="151" t="s">
        <v>167</v>
      </c>
      <c r="D20" s="155" t="s">
        <v>225</v>
      </c>
      <c r="E20" s="154"/>
      <c r="F20" s="154"/>
    </row>
    <row r="21" spans="1:6" ht="28.5" x14ac:dyDescent="0.2">
      <c r="A21" s="154"/>
      <c r="B21" s="154"/>
      <c r="C21" s="151" t="s">
        <v>170</v>
      </c>
      <c r="D21" s="151" t="s">
        <v>227</v>
      </c>
      <c r="E21" s="154"/>
      <c r="F21" s="154"/>
    </row>
    <row r="22" spans="1:6" ht="42.75" x14ac:dyDescent="0.2">
      <c r="A22" s="154"/>
      <c r="B22" s="154"/>
      <c r="C22" s="151" t="s">
        <v>172</v>
      </c>
      <c r="D22" s="151" t="s">
        <v>229</v>
      </c>
      <c r="E22" s="154"/>
      <c r="F22" s="154"/>
    </row>
    <row r="23" spans="1:6" ht="28.5" x14ac:dyDescent="0.2">
      <c r="A23" s="154"/>
      <c r="B23" s="154"/>
      <c r="C23" s="151" t="s">
        <v>174</v>
      </c>
      <c r="D23" s="151" t="s">
        <v>231</v>
      </c>
      <c r="E23" s="154"/>
      <c r="F23" s="154"/>
    </row>
    <row r="24" spans="1:6" ht="28.5" x14ac:dyDescent="0.2">
      <c r="A24" s="154"/>
      <c r="B24" s="154"/>
      <c r="C24" s="151" t="s">
        <v>176</v>
      </c>
      <c r="D24" s="151" t="s">
        <v>233</v>
      </c>
      <c r="E24" s="154"/>
      <c r="F24" s="154"/>
    </row>
    <row r="25" spans="1:6" ht="28.5" x14ac:dyDescent="0.2">
      <c r="A25" s="154"/>
      <c r="B25" s="154"/>
      <c r="C25" s="151" t="s">
        <v>178</v>
      </c>
      <c r="D25" s="151" t="s">
        <v>235</v>
      </c>
      <c r="E25" s="154"/>
      <c r="F25" s="154"/>
    </row>
    <row r="26" spans="1:6" ht="28.5" x14ac:dyDescent="0.2">
      <c r="A26" s="154"/>
      <c r="B26" s="154"/>
      <c r="C26" s="151" t="s">
        <v>180</v>
      </c>
      <c r="D26" s="151" t="s">
        <v>237</v>
      </c>
      <c r="E26" s="154"/>
      <c r="F26" s="154"/>
    </row>
    <row r="27" spans="1:6" ht="14.25" x14ac:dyDescent="0.2">
      <c r="A27" s="154"/>
      <c r="B27" s="154"/>
      <c r="C27" s="151" t="s">
        <v>186</v>
      </c>
      <c r="D27" s="151" t="s">
        <v>239</v>
      </c>
      <c r="E27" s="154"/>
      <c r="F27" s="154"/>
    </row>
    <row r="28" spans="1:6" ht="28.5" x14ac:dyDescent="0.2">
      <c r="A28" s="154"/>
      <c r="B28" s="154"/>
      <c r="C28" s="154"/>
      <c r="D28" s="151" t="s">
        <v>241</v>
      </c>
      <c r="E28" s="154"/>
      <c r="F28" s="154"/>
    </row>
    <row r="29" spans="1:6" ht="28.5" x14ac:dyDescent="0.2">
      <c r="A29" s="154"/>
      <c r="B29" s="154"/>
      <c r="C29" s="154"/>
      <c r="D29" s="151" t="s">
        <v>243</v>
      </c>
      <c r="E29" s="154"/>
      <c r="F29" s="154"/>
    </row>
    <row r="30" spans="1:6" ht="14.25" x14ac:dyDescent="0.2">
      <c r="A30" s="154"/>
      <c r="B30" s="154"/>
      <c r="C30" s="154"/>
      <c r="D30" s="151" t="s">
        <v>245</v>
      </c>
      <c r="E30" s="154"/>
      <c r="F30" s="154"/>
    </row>
    <row r="31" spans="1:6" ht="14.25" x14ac:dyDescent="0.2">
      <c r="A31" s="154"/>
      <c r="B31" s="154"/>
      <c r="C31" s="154"/>
      <c r="D31" s="151" t="s">
        <v>247</v>
      </c>
      <c r="E31" s="154"/>
      <c r="F31" s="154"/>
    </row>
    <row r="32" spans="1:6" ht="14.25" x14ac:dyDescent="0.2">
      <c r="A32" s="154"/>
      <c r="B32" s="154"/>
      <c r="C32" s="154"/>
      <c r="D32" s="151" t="s">
        <v>249</v>
      </c>
      <c r="E32" s="154"/>
      <c r="F32" s="154"/>
    </row>
    <row r="33" spans="1:6" ht="14.25" x14ac:dyDescent="0.2">
      <c r="A33" s="154"/>
      <c r="B33" s="154"/>
      <c r="C33" s="154"/>
      <c r="D33" s="151" t="s">
        <v>251</v>
      </c>
      <c r="E33" s="154"/>
      <c r="F33" s="154"/>
    </row>
    <row r="34" spans="1:6" ht="14.25" x14ac:dyDescent="0.2">
      <c r="A34" s="154"/>
      <c r="B34" s="154"/>
      <c r="C34" s="154"/>
      <c r="D34" s="151" t="s">
        <v>253</v>
      </c>
      <c r="E34" s="154"/>
      <c r="F34" s="154"/>
    </row>
    <row r="35" spans="1:6" ht="14.25" x14ac:dyDescent="0.2">
      <c r="A35" s="154"/>
      <c r="B35" s="154"/>
      <c r="C35" s="154"/>
      <c r="D35" s="151" t="s">
        <v>255</v>
      </c>
      <c r="E35" s="154"/>
      <c r="F35" s="154"/>
    </row>
    <row r="36" spans="1:6" ht="28.5" x14ac:dyDescent="0.2">
      <c r="A36" s="154"/>
      <c r="B36" s="154"/>
      <c r="C36" s="154"/>
      <c r="D36" s="151" t="s">
        <v>257</v>
      </c>
      <c r="E36" s="154"/>
      <c r="F36" s="154"/>
    </row>
    <row r="37" spans="1:6" ht="14.25" x14ac:dyDescent="0.2">
      <c r="A37" s="154"/>
      <c r="B37" s="154"/>
      <c r="C37" s="154"/>
      <c r="D37" s="151" t="s">
        <v>259</v>
      </c>
      <c r="E37" s="154"/>
      <c r="F37" s="154"/>
    </row>
    <row r="38" spans="1:6" ht="14.25" x14ac:dyDescent="0.2">
      <c r="A38" s="154"/>
      <c r="B38" s="154"/>
      <c r="C38" s="154"/>
      <c r="D38" s="151" t="s">
        <v>261</v>
      </c>
      <c r="E38" s="154"/>
      <c r="F38" s="154"/>
    </row>
    <row r="39" spans="1:6" ht="14.25" x14ac:dyDescent="0.2">
      <c r="A39" s="154"/>
      <c r="B39" s="154"/>
      <c r="C39" s="154"/>
      <c r="D39" s="151" t="s">
        <v>263</v>
      </c>
      <c r="E39" s="154"/>
      <c r="F39" s="154"/>
    </row>
    <row r="40" spans="1:6" ht="14.25" x14ac:dyDescent="0.2">
      <c r="A40" s="154"/>
      <c r="B40" s="154"/>
      <c r="C40" s="154"/>
      <c r="D40" s="151" t="s">
        <v>265</v>
      </c>
      <c r="E40" s="154"/>
      <c r="F40" s="154"/>
    </row>
    <row r="41" spans="1:6" ht="14.25" x14ac:dyDescent="0.2">
      <c r="A41" s="154"/>
      <c r="B41" s="154"/>
      <c r="C41" s="154"/>
      <c r="D41" s="151" t="s">
        <v>267</v>
      </c>
      <c r="E41" s="154"/>
      <c r="F41" s="154"/>
    </row>
    <row r="42" spans="1:6" ht="14.25" x14ac:dyDescent="0.2">
      <c r="A42" s="154"/>
      <c r="B42" s="154"/>
      <c r="C42" s="154"/>
      <c r="D42" s="151" t="s">
        <v>269</v>
      </c>
      <c r="E42" s="154"/>
      <c r="F42" s="154"/>
    </row>
    <row r="43" spans="1:6" ht="14.25" x14ac:dyDescent="0.2">
      <c r="A43" s="154"/>
      <c r="B43" s="154"/>
      <c r="C43" s="154"/>
      <c r="D43" s="151" t="s">
        <v>271</v>
      </c>
      <c r="E43" s="154"/>
      <c r="F43" s="154"/>
    </row>
    <row r="44" spans="1:6" ht="14.25" x14ac:dyDescent="0.2">
      <c r="A44" s="154"/>
      <c r="B44" s="154"/>
      <c r="C44" s="154"/>
      <c r="D44" s="151" t="s">
        <v>273</v>
      </c>
      <c r="E44" s="154"/>
      <c r="F44" s="154"/>
    </row>
    <row r="45" spans="1:6" ht="14.25" x14ac:dyDescent="0.2">
      <c r="A45" s="154"/>
      <c r="B45" s="154"/>
      <c r="C45" s="154"/>
      <c r="D45" s="151" t="s">
        <v>275</v>
      </c>
      <c r="E45" s="154"/>
      <c r="F45" s="154"/>
    </row>
    <row r="46" spans="1:6" ht="14.25" x14ac:dyDescent="0.2">
      <c r="A46" s="154"/>
      <c r="B46" s="154"/>
      <c r="C46" s="154"/>
      <c r="D46" s="151" t="s">
        <v>277</v>
      </c>
      <c r="E46" s="154"/>
      <c r="F46" s="154"/>
    </row>
    <row r="47" spans="1:6" ht="14.25" x14ac:dyDescent="0.2">
      <c r="A47" s="154"/>
      <c r="B47" s="154"/>
      <c r="C47" s="154"/>
      <c r="D47" s="157" t="s">
        <v>279</v>
      </c>
      <c r="E47" s="154"/>
      <c r="F47" s="154"/>
    </row>
    <row r="48" spans="1:6" ht="14.25" x14ac:dyDescent="0.2">
      <c r="A48" s="154"/>
      <c r="B48" s="154"/>
      <c r="C48" s="154"/>
      <c r="D48" s="151" t="s">
        <v>281</v>
      </c>
      <c r="E48" s="154"/>
      <c r="F48" s="154"/>
    </row>
    <row r="49" spans="1:6" ht="14.25" x14ac:dyDescent="0.2">
      <c r="A49" s="154"/>
      <c r="B49" s="154"/>
      <c r="C49" s="154"/>
      <c r="D49" s="151" t="s">
        <v>283</v>
      </c>
      <c r="E49" s="154"/>
      <c r="F49" s="154"/>
    </row>
    <row r="50" spans="1:6" ht="14.25" x14ac:dyDescent="0.2">
      <c r="A50" s="154"/>
      <c r="B50" s="154"/>
      <c r="C50" s="154"/>
      <c r="D50" s="151" t="s">
        <v>285</v>
      </c>
      <c r="E50" s="154"/>
      <c r="F50" s="154"/>
    </row>
    <row r="51" spans="1:6" ht="14.25" x14ac:dyDescent="0.2">
      <c r="A51" s="154"/>
      <c r="B51" s="154"/>
      <c r="C51" s="154"/>
      <c r="D51" s="151" t="s">
        <v>287</v>
      </c>
      <c r="E51" s="154"/>
      <c r="F51" s="154"/>
    </row>
    <row r="52" spans="1:6" ht="14.25" x14ac:dyDescent="0.2">
      <c r="A52" s="154"/>
      <c r="B52" s="154"/>
      <c r="C52" s="154"/>
      <c r="D52" s="151" t="s">
        <v>289</v>
      </c>
      <c r="E52" s="154"/>
      <c r="F52" s="154"/>
    </row>
    <row r="53" spans="1:6" ht="28.5" x14ac:dyDescent="0.2">
      <c r="A53" s="154"/>
      <c r="B53" s="154"/>
      <c r="C53" s="154"/>
      <c r="D53" s="151" t="s">
        <v>291</v>
      </c>
      <c r="E53" s="154"/>
      <c r="F53" s="154"/>
    </row>
    <row r="54" spans="1:6" ht="14.25" x14ac:dyDescent="0.2">
      <c r="A54" s="154"/>
      <c r="B54" s="154"/>
      <c r="C54" s="154"/>
      <c r="D54" s="151" t="s">
        <v>293</v>
      </c>
      <c r="E54" s="154"/>
      <c r="F54" s="154"/>
    </row>
    <row r="55" spans="1:6" ht="14.25" x14ac:dyDescent="0.2">
      <c r="A55" s="154"/>
      <c r="B55" s="154"/>
      <c r="C55" s="154"/>
      <c r="D55" s="151" t="s">
        <v>295</v>
      </c>
      <c r="E55" s="154"/>
      <c r="F55" s="154"/>
    </row>
    <row r="56" spans="1:6" ht="14.25" x14ac:dyDescent="0.2">
      <c r="A56" s="154"/>
      <c r="B56" s="154"/>
      <c r="C56" s="154"/>
      <c r="D56" s="151" t="s">
        <v>297</v>
      </c>
      <c r="E56" s="154"/>
      <c r="F56" s="154"/>
    </row>
    <row r="57" spans="1:6" ht="28.5" x14ac:dyDescent="0.2">
      <c r="A57" s="154"/>
      <c r="B57" s="154"/>
      <c r="C57" s="154"/>
      <c r="D57" s="151" t="s">
        <v>299</v>
      </c>
      <c r="E57" s="154"/>
      <c r="F57" s="154"/>
    </row>
    <row r="58" spans="1:6" ht="14.25" x14ac:dyDescent="0.2">
      <c r="A58" s="154"/>
      <c r="B58" s="154"/>
      <c r="C58" s="154"/>
      <c r="D58" s="151" t="s">
        <v>301</v>
      </c>
      <c r="E58" s="154"/>
      <c r="F58" s="154"/>
    </row>
    <row r="59" spans="1:6" ht="14.25" x14ac:dyDescent="0.2">
      <c r="A59" s="154"/>
      <c r="B59" s="154"/>
      <c r="C59" s="154"/>
      <c r="D59" s="151" t="s">
        <v>303</v>
      </c>
      <c r="E59" s="154"/>
      <c r="F59" s="154"/>
    </row>
    <row r="60" spans="1:6" ht="28.5" x14ac:dyDescent="0.2">
      <c r="A60" s="154"/>
      <c r="B60" s="154"/>
      <c r="C60" s="154"/>
      <c r="D60" s="151" t="s">
        <v>305</v>
      </c>
      <c r="E60" s="154"/>
      <c r="F60" s="154"/>
    </row>
    <row r="61" spans="1:6" ht="28.5" x14ac:dyDescent="0.2">
      <c r="A61" s="154"/>
      <c r="B61" s="154"/>
      <c r="C61" s="154"/>
      <c r="D61" s="151" t="s">
        <v>307</v>
      </c>
      <c r="E61" s="154"/>
      <c r="F61" s="154"/>
    </row>
    <row r="62" spans="1:6" ht="14.25" x14ac:dyDescent="0.2">
      <c r="A62" s="154"/>
      <c r="B62" s="154"/>
      <c r="C62" s="154"/>
      <c r="D62" s="151" t="s">
        <v>309</v>
      </c>
      <c r="E62" s="154"/>
      <c r="F62" s="154"/>
    </row>
    <row r="63" spans="1:6" ht="14.25" x14ac:dyDescent="0.2">
      <c r="A63" s="154"/>
      <c r="B63" s="154"/>
      <c r="C63" s="154"/>
      <c r="D63" s="151" t="s">
        <v>311</v>
      </c>
      <c r="E63" s="154"/>
      <c r="F63" s="154"/>
    </row>
    <row r="64" spans="1:6" ht="42.75" x14ac:dyDescent="0.2">
      <c r="A64" s="154"/>
      <c r="B64" s="154"/>
      <c r="C64" s="154"/>
      <c r="D64" s="151" t="s">
        <v>313</v>
      </c>
      <c r="E64" s="154"/>
      <c r="F64" s="154"/>
    </row>
    <row r="65" spans="1:6" ht="28.5" x14ac:dyDescent="0.2">
      <c r="A65" s="154"/>
      <c r="B65" s="154"/>
      <c r="C65" s="154"/>
      <c r="D65" s="151" t="s">
        <v>315</v>
      </c>
      <c r="E65" s="154"/>
      <c r="F65" s="154"/>
    </row>
    <row r="66" spans="1:6" ht="28.5" x14ac:dyDescent="0.2">
      <c r="A66" s="154"/>
      <c r="B66" s="154"/>
      <c r="C66" s="154"/>
      <c r="D66" s="151" t="s">
        <v>317</v>
      </c>
      <c r="E66" s="154"/>
      <c r="F66" s="154"/>
    </row>
    <row r="67" spans="1:6" ht="14.25" x14ac:dyDescent="0.2">
      <c r="A67" s="154"/>
      <c r="B67" s="154"/>
      <c r="C67" s="154"/>
      <c r="D67" s="151" t="s">
        <v>319</v>
      </c>
      <c r="E67" s="154"/>
      <c r="F67" s="154"/>
    </row>
    <row r="68" spans="1:6" ht="42.75" x14ac:dyDescent="0.2">
      <c r="A68" s="154"/>
      <c r="B68" s="154"/>
      <c r="C68" s="154"/>
      <c r="D68" s="151" t="s">
        <v>321</v>
      </c>
      <c r="E68" s="154"/>
      <c r="F68" s="154"/>
    </row>
    <row r="69" spans="1:6" ht="14.25" x14ac:dyDescent="0.2">
      <c r="A69" s="154"/>
      <c r="B69" s="154"/>
      <c r="C69" s="154"/>
      <c r="D69" s="151" t="s">
        <v>323</v>
      </c>
      <c r="E69" s="154"/>
      <c r="F69" s="154"/>
    </row>
    <row r="70" spans="1:6" ht="14.25" x14ac:dyDescent="0.2">
      <c r="A70" s="154"/>
      <c r="B70" s="154"/>
      <c r="C70" s="154"/>
      <c r="D70" s="151" t="s">
        <v>325</v>
      </c>
      <c r="E70" s="154"/>
      <c r="F70" s="154"/>
    </row>
    <row r="71" spans="1:6" ht="28.5" x14ac:dyDescent="0.2">
      <c r="A71" s="154"/>
      <c r="B71" s="154"/>
      <c r="C71" s="154"/>
      <c r="D71" s="151" t="s">
        <v>327</v>
      </c>
      <c r="E71" s="154"/>
      <c r="F71" s="154"/>
    </row>
    <row r="72" spans="1:6" ht="28.5" x14ac:dyDescent="0.2">
      <c r="A72" s="154"/>
      <c r="B72" s="154"/>
      <c r="C72" s="154"/>
      <c r="D72" s="151" t="s">
        <v>329</v>
      </c>
      <c r="E72" s="154"/>
      <c r="F72" s="154"/>
    </row>
    <row r="73" spans="1:6" ht="14.25" x14ac:dyDescent="0.2">
      <c r="A73" s="154"/>
      <c r="B73" s="154"/>
      <c r="C73" s="154"/>
      <c r="D73" s="151" t="s">
        <v>331</v>
      </c>
      <c r="E73" s="154"/>
      <c r="F73" s="154"/>
    </row>
    <row r="74" spans="1:6" ht="14.25" x14ac:dyDescent="0.2">
      <c r="A74" s="154"/>
      <c r="B74" s="154"/>
      <c r="C74" s="154"/>
      <c r="D74" s="151" t="s">
        <v>333</v>
      </c>
      <c r="E74" s="154"/>
      <c r="F74" s="154"/>
    </row>
    <row r="75" spans="1:6" ht="14.25" x14ac:dyDescent="0.2">
      <c r="A75" s="154"/>
      <c r="B75" s="154"/>
      <c r="C75" s="154"/>
      <c r="D75" s="151" t="s">
        <v>335</v>
      </c>
      <c r="E75" s="154"/>
      <c r="F75" s="154"/>
    </row>
    <row r="76" spans="1:6" ht="14.25" x14ac:dyDescent="0.2">
      <c r="A76" s="154"/>
      <c r="B76" s="154"/>
      <c r="C76" s="154"/>
      <c r="D76" s="151" t="s">
        <v>337</v>
      </c>
      <c r="E76" s="154"/>
      <c r="F76" s="154"/>
    </row>
    <row r="77" spans="1:6" ht="14.25" x14ac:dyDescent="0.2">
      <c r="A77" s="154"/>
      <c r="B77" s="154"/>
      <c r="C77" s="154"/>
      <c r="D77" s="151" t="s">
        <v>339</v>
      </c>
      <c r="E77" s="154"/>
      <c r="F77" s="154"/>
    </row>
    <row r="78" spans="1:6" x14ac:dyDescent="0.2">
      <c r="F78" s="154"/>
    </row>
  </sheetData>
  <pageMargins left="0.19685039370078741" right="0.19685039370078741" top="0.59055118110236227" bottom="0.59055118110236227" header="0" footer="0"/>
  <pageSetup paperSize="9" scale="50" orientation="landscape" r:id="rId1"/>
  <headerFooter>
    <oddFooter>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AH66"/>
  <sheetViews>
    <sheetView showGridLines="0" view="pageBreakPreview" zoomScaleNormal="100" zoomScaleSheetLayoutView="100" workbookViewId="0">
      <pane ySplit="6" topLeftCell="A7" activePane="bottomLeft" state="frozen"/>
      <selection pane="bottomLeft" activeCell="G9" sqref="G9"/>
    </sheetView>
  </sheetViews>
  <sheetFormatPr defaultRowHeight="12.75" x14ac:dyDescent="0.2"/>
  <cols>
    <col min="1" max="1" width="3.5703125" customWidth="1"/>
    <col min="2" max="2" width="10.42578125" customWidth="1"/>
    <col min="3" max="3" width="11.28515625" customWidth="1"/>
    <col min="4" max="4" width="11.7109375" customWidth="1"/>
    <col min="5" max="5" width="5.7109375" customWidth="1"/>
    <col min="6" max="6" width="9.140625" customWidth="1"/>
    <col min="7" max="9" width="13.7109375" customWidth="1"/>
    <col min="10" max="10" width="5.7109375" customWidth="1"/>
    <col min="11" max="11" width="13.28515625" customWidth="1"/>
    <col min="12" max="12" width="22.28515625" customWidth="1"/>
    <col min="13" max="13" width="11" customWidth="1"/>
    <col min="14" max="14" width="5.7109375" customWidth="1"/>
    <col min="15" max="15" width="12.140625" customWidth="1"/>
    <col min="16" max="16" width="16.28515625" customWidth="1"/>
    <col min="17" max="17" width="9.85546875" bestFit="1" customWidth="1"/>
    <col min="18" max="18" width="81.42578125" customWidth="1"/>
    <col min="19" max="19" width="6.42578125" customWidth="1"/>
    <col min="20" max="21" width="6.85546875" hidden="1" customWidth="1"/>
    <col min="22" max="22" width="8.140625" hidden="1" customWidth="1"/>
    <col min="23" max="23" width="10.140625" hidden="1" customWidth="1"/>
    <col min="24" max="24" width="9.140625" hidden="1" customWidth="1"/>
    <col min="25" max="25" width="9.28515625" hidden="1" customWidth="1"/>
    <col min="26" max="26" width="10.85546875" hidden="1" customWidth="1"/>
    <col min="27" max="27" width="9.85546875" hidden="1" customWidth="1"/>
    <col min="28" max="31" width="16.28515625" hidden="1" customWidth="1"/>
    <col min="32" max="32" width="14.140625" hidden="1" customWidth="1"/>
    <col min="33" max="34" width="9.140625" hidden="1" customWidth="1"/>
  </cols>
  <sheetData>
    <row r="1" spans="1:34" ht="24" customHeight="1" x14ac:dyDescent="0.2">
      <c r="A1" s="379" t="str">
        <f>"Cronogramas do "&amp;SUBSTITUTE(Capa!A1,"Memória de Cálculo","",1)</f>
        <v>Cronogramas do 
Contrato de Gestão nº 008/2021 celebrado entre a SEJUSP e o Instituto Elo</v>
      </c>
      <c r="B1" s="379"/>
      <c r="C1" s="379"/>
      <c r="D1" s="379"/>
      <c r="E1" s="379"/>
      <c r="F1" s="379"/>
      <c r="G1" s="379"/>
      <c r="H1" s="379"/>
      <c r="I1" s="379"/>
      <c r="J1" s="379"/>
      <c r="K1" s="379"/>
      <c r="L1" s="379"/>
      <c r="M1" s="379"/>
      <c r="N1" s="379"/>
      <c r="O1" s="379"/>
      <c r="P1" s="379"/>
      <c r="Q1" s="379"/>
      <c r="R1" s="379"/>
      <c r="AB1" t="str">
        <f>Capa!A2</f>
        <v>5º Termo Aditivo</v>
      </c>
    </row>
    <row r="2" spans="1:34" ht="9" customHeight="1" thickBot="1" x14ac:dyDescent="0.25">
      <c r="A2" s="190"/>
      <c r="B2" s="190"/>
      <c r="C2" s="190"/>
      <c r="D2" s="190"/>
      <c r="E2" s="190"/>
      <c r="F2" s="190"/>
      <c r="G2" s="190"/>
      <c r="H2" s="190"/>
      <c r="I2" s="190"/>
      <c r="J2" s="190"/>
      <c r="K2" s="190"/>
      <c r="L2" s="190"/>
      <c r="M2" s="190"/>
      <c r="N2" s="190"/>
      <c r="O2" s="190"/>
      <c r="P2" s="190"/>
      <c r="Q2" s="190"/>
      <c r="R2" s="190"/>
    </row>
    <row r="3" spans="1:34" ht="18.75" customHeight="1" thickBot="1" x14ac:dyDescent="0.25">
      <c r="A3" s="191" t="str">
        <f>"Qual o número do Período Avaliatório de "&amp;TEXT($B$7,"mmm/aaaa")</f>
        <v>Qual o número do Período Avaliatório de jan/2026</v>
      </c>
      <c r="I3" s="206">
        <v>19</v>
      </c>
      <c r="K3" s="192" t="str">
        <f>"Quantos mêses do "&amp;IF(I3="",1,I3)&amp;"º Período compõem essa Memória de Cálculo?"</f>
        <v>Quantos mêses do 19º Período compõem essa Memória de Cálculo?</v>
      </c>
      <c r="P3" s="206">
        <v>3</v>
      </c>
    </row>
    <row r="4" spans="1:34" ht="18.75" customHeight="1" thickBot="1" x14ac:dyDescent="0.25">
      <c r="A4" s="191" t="str">
        <f>"Caso tenha iniciado antes, qual o 1º mês do "&amp;AH7&amp;"º Período Avaliatório? "</f>
        <v xml:space="preserve">Caso tenha iniciado antes, qual o 1º mês do 19º Período Avaliatório? </v>
      </c>
      <c r="B4" s="193"/>
      <c r="C4" s="193"/>
      <c r="D4" s="193"/>
      <c r="E4" s="193"/>
      <c r="F4" s="193"/>
      <c r="G4" s="194"/>
      <c r="I4" s="177"/>
      <c r="K4" s="191" t="str">
        <f>IF(Capa!A5="mmm/aaaa","Preencher a capa antes de qualquer campo destas tabelas","Está prevista Comissão de Avaliação para "&amp;TEXT($B$7,"mmm/aaaa")&amp;"?")</f>
        <v>Está prevista Comissão de Avaliação para jan/2026?</v>
      </c>
      <c r="L4" s="193"/>
      <c r="M4" s="193"/>
      <c r="N4" s="193"/>
      <c r="P4" s="178" t="s">
        <v>25</v>
      </c>
      <c r="AB4" t="s">
        <v>26</v>
      </c>
      <c r="AC4" s="189">
        <f ca="1">AC5+AB5+AF7</f>
        <v>366622883.58817899</v>
      </c>
    </row>
    <row r="5" spans="1:34" ht="38.25" customHeight="1" x14ac:dyDescent="0.2">
      <c r="A5" s="377" t="s">
        <v>27</v>
      </c>
      <c r="B5" s="377"/>
      <c r="C5" s="377"/>
      <c r="D5" s="377"/>
      <c r="F5" s="378" t="s">
        <v>28</v>
      </c>
      <c r="G5" s="378"/>
      <c r="H5" s="378"/>
      <c r="I5" s="378"/>
      <c r="K5" s="378" t="s">
        <v>29</v>
      </c>
      <c r="L5" s="378"/>
      <c r="M5" s="378"/>
      <c r="O5" s="378" t="s">
        <v>30</v>
      </c>
      <c r="P5" s="378"/>
      <c r="Q5" s="378"/>
      <c r="R5" s="378"/>
      <c r="AB5" s="189">
        <f ca="1">SUM(AB7:AB66)</f>
        <v>347594883.58817899</v>
      </c>
      <c r="AC5" s="189">
        <f ca="1">SUM(AC7:AC66)</f>
        <v>0</v>
      </c>
      <c r="AD5" s="189">
        <f t="shared" ref="AD5:AE5" ca="1" si="0">SUM(AD7:AD66)</f>
        <v>0</v>
      </c>
      <c r="AE5" s="189">
        <f t="shared" ca="1" si="0"/>
        <v>365815883.58817893</v>
      </c>
    </row>
    <row r="6" spans="1:34" ht="76.5" x14ac:dyDescent="0.2">
      <c r="A6" s="293" t="s">
        <v>31</v>
      </c>
      <c r="B6" s="293" t="s">
        <v>32</v>
      </c>
      <c r="C6" s="293" t="s">
        <v>33</v>
      </c>
      <c r="D6" s="293" t="s">
        <v>34</v>
      </c>
      <c r="F6" s="293" t="s">
        <v>35</v>
      </c>
      <c r="G6" s="293" t="s">
        <v>36</v>
      </c>
      <c r="H6" s="293" t="s">
        <v>37</v>
      </c>
      <c r="I6" s="293" t="s">
        <v>38</v>
      </c>
      <c r="K6" s="294" t="s">
        <v>39</v>
      </c>
      <c r="L6" s="294" t="s">
        <v>40</v>
      </c>
      <c r="M6" s="294" t="s">
        <v>41</v>
      </c>
      <c r="O6" s="294" t="s">
        <v>42</v>
      </c>
      <c r="P6" s="294" t="s">
        <v>43</v>
      </c>
      <c r="Q6" s="294" t="s">
        <v>44</v>
      </c>
      <c r="R6" s="294" t="s">
        <v>45</v>
      </c>
      <c r="T6" s="169" t="s">
        <v>46</v>
      </c>
      <c r="U6" s="169"/>
      <c r="V6" s="169" t="s">
        <v>47</v>
      </c>
      <c r="W6" s="169" t="s">
        <v>48</v>
      </c>
      <c r="X6" s="169" t="s">
        <v>49</v>
      </c>
      <c r="Y6" s="169" t="s">
        <v>50</v>
      </c>
      <c r="Z6" s="184" t="s">
        <v>51</v>
      </c>
      <c r="AA6" s="184" t="s">
        <v>52</v>
      </c>
      <c r="AB6" s="181" t="s">
        <v>53</v>
      </c>
      <c r="AC6" s="181" t="s">
        <v>54</v>
      </c>
      <c r="AD6" s="182" t="s">
        <v>55</v>
      </c>
      <c r="AE6" s="182" t="s">
        <v>38</v>
      </c>
      <c r="AF6" s="183" t="s">
        <v>56</v>
      </c>
      <c r="AG6" s="188"/>
      <c r="AH6" s="168" t="s">
        <v>57</v>
      </c>
    </row>
    <row r="7" spans="1:34" ht="15" x14ac:dyDescent="0.2">
      <c r="A7" s="195">
        <v>1</v>
      </c>
      <c r="B7" s="196">
        <f>IFERROR(IF(Capa!A5="mmm/aaaa","",DATE(YEAR(Capa!$A$36),MONTH(Capa!$A$36),1)),"")</f>
        <v>46023</v>
      </c>
      <c r="C7" s="195">
        <f>IF(B7="","",IF(I3="",1,I3))</f>
        <v>19</v>
      </c>
      <c r="D7" s="29"/>
      <c r="E7" s="193"/>
      <c r="F7" s="197">
        <f>IF(Capa!A5="mmm/aaaa","",YEAR(Capa!A36))</f>
        <v>2026</v>
      </c>
      <c r="G7" s="198">
        <f t="shared" ref="G7:G12" ca="1" si="1">IF(F7="","",SUMIFS($AB$7:$AB$66,$B$7:$B$66,"&gt;="&amp;DATE(F7,1,1),$B$7:$B$66,"&lt;"&amp;DATE(F7+1,1,1)-1))</f>
        <v>112666482.98019683</v>
      </c>
      <c r="H7" s="198">
        <f t="shared" ref="H7:H12" ca="1" si="2">IF(F7="","",SUMIFS($AD$7:$AD$66,$B$7:$B$66,"&gt;="&amp;DATE(F7,1,1),$B$7:$B$66,"&lt;"&amp;DATE(F7+1,1,1)-1))</f>
        <v>0</v>
      </c>
      <c r="I7" s="198">
        <f ca="1">IF(F7="","",SUMIFS($AE$7:$AE$66,$B$7:$B$66,"&gt;="&amp;DATE(F7,1,1),$B$7:$B$66,"&lt;"&amp;DATE(F7+1,1,1)-1)+IF(F8="",Analítico!$BK$154,0))</f>
        <v>118777430.62178451</v>
      </c>
      <c r="K7" s="199" t="str">
        <f>IF(U7="","",U7&amp;"ª Avaliação")</f>
        <v>19ª Avaliação</v>
      </c>
      <c r="L7" s="199" t="str">
        <f ca="1">IF(K7="","",TEXT(Z7,"mmm/aaaa")&amp;" a "&amp;TEXT(AA7,"mmm/aaaa"))</f>
        <v>jan/2026 a mar/2026</v>
      </c>
      <c r="M7" s="200">
        <f t="shared" ref="M7:M39" ca="1" si="3">IF(K7="","",_xlfn.IFNA(OFFSET($B$6,MATCH(U7+1,$AH$7:$AH$66,0),0),EDATE(MAX($B$7:$B$66),1)))</f>
        <v>46113</v>
      </c>
      <c r="O7" s="199" t="str">
        <f t="shared" ref="O7:O38" ca="1" si="4">(IF(P7="","",OFFSET($Y$6,MATCH(A7,$X$7:$X$66,0),0)&amp;"ª Parcela"))</f>
        <v>19ª Parcela</v>
      </c>
      <c r="P7" s="201">
        <f t="shared" ref="P7:P38" ca="1" si="5">IFERROR(IF(OFFSET($AB$6,MATCH(A7,$X$7:$X$66,0),0)=0,"",OFFSET($AB$6,MATCH(A7,$X$7:$X$66,0),0)),"")</f>
        <v>21312810.207261503</v>
      </c>
      <c r="Q7" s="202">
        <f t="shared" ref="Q7:Q38" ca="1" si="6">IF(P7="","",OFFSET($B$6,MATCH(A7,$X$7:$X$66,0),0))</f>
        <v>46023</v>
      </c>
      <c r="R7" s="203" t="str">
        <f ca="1">IF(P7="","",IFERROR(IF(Capa!$A$2="","Após a celebração do termo de parceria.","Realização da "&amp;OFFSET($Y$6,MATCH(A7,$X$7:$X$66,0),0)-1&amp;"ª reunião da CA e aprovação da liberação de parcela pelo supervisor."),""))</f>
        <v>Realização da 18ª reunião da CA e aprovação da liberação de parcela pelo supervisor.</v>
      </c>
      <c r="T7" s="114" t="str">
        <f>IF($P$4="Sim","Sim","Não")</f>
        <v>Sim</v>
      </c>
      <c r="U7" s="114">
        <f>AH7</f>
        <v>19</v>
      </c>
      <c r="V7" s="114" t="str">
        <f>IF(Capa!$A$2="","Sim",Cronogramas!T7)</f>
        <v>Sim</v>
      </c>
      <c r="W7" s="114">
        <f>IF(Capa!$A$2="",0,IF(Cronogramas!$P$4="Sim",Cronogramas!AH7-1,Cronogramas!AH7))</f>
        <v>18</v>
      </c>
      <c r="X7" s="114">
        <f>COUNTIF(V7:$V$7,"Sim")</f>
        <v>1</v>
      </c>
      <c r="Y7" s="114">
        <f>IF(Capa!$A$2="",1,IF(T7="Não","",AH7))</f>
        <v>19</v>
      </c>
      <c r="Z7" s="185">
        <f>IF(K7="","",IF($I$4=0,Cronogramas!$B$7,$I$4))</f>
        <v>46023</v>
      </c>
      <c r="AA7" s="186">
        <f t="shared" ref="AA7:AA39" ca="1" si="7">IFERROR(EDATE(M7,-1),"")</f>
        <v>46082</v>
      </c>
      <c r="AB7" s="207">
        <f ca="1">_xlfn.IFNA(IF(V7="Sim",(IFERROR(SUM(OFFSET(AE7,1,,MATCH("Sim",V8:$V$66,0),1))-AC7,0)+IF(Y7-$W$7=1,SUM($AE$6:AE7)-$AF$7,0)+IF(SUM(Y8:$Y$66)=0,SUM(AE8:$AE$66)-AC7+Analítico!$BK$154)),0),0)</f>
        <v>21312810.207261503</v>
      </c>
      <c r="AC7" s="207">
        <f ca="1">IFERROR(IF(V7="Sim",IFERROR(SUM(OFFSET(AD7,1,,MATCH("Sim",T8:$T$66,0),1)),0)+IF(Y7-$W$7=1,SUM($AD$6:AD7),0)+IF(SUM(Y8:$Y$66)=0,SUM(AD8:$AD$66),0),0),0)</f>
        <v>0</v>
      </c>
      <c r="AD7" s="214">
        <f ca="1">SUM(OFFSET(Analítico!$B$10,0,A7,2,1))</f>
        <v>0</v>
      </c>
      <c r="AE7" s="214">
        <f ca="1">OFFSET(Analítico!$B$155,,A7)</f>
        <v>10986452.551815376</v>
      </c>
      <c r="AF7" s="214">
        <f>Analítico!BK4</f>
        <v>19028000</v>
      </c>
      <c r="AG7" s="39" t="s">
        <v>25</v>
      </c>
      <c r="AH7" s="176">
        <f>IF(D7="",C7,D7)</f>
        <v>19</v>
      </c>
    </row>
    <row r="8" spans="1:34" ht="15" x14ac:dyDescent="0.2">
      <c r="A8" s="195">
        <v>2</v>
      </c>
      <c r="B8" s="196">
        <f>IFERROR(IF(EDATE(B7,1)&gt;DATE(YEAR(Capa!$A$7),MONTH(Capa!$A$7),1),"",EDATE(B7,1)),"")</f>
        <v>46054</v>
      </c>
      <c r="C8" s="195">
        <f>IF(B8="","",IF(P3="",C7,IF(P3&gt;=2,C7,C7+1)))</f>
        <v>19</v>
      </c>
      <c r="D8" s="29"/>
      <c r="E8" s="195"/>
      <c r="F8" s="197">
        <f>IFERROR(IF((F7+1)&gt;YEAR(Capa!$A$7),"",F7+1),"")</f>
        <v>2027</v>
      </c>
      <c r="G8" s="198">
        <f t="shared" ca="1" si="1"/>
        <v>124188561.3313227</v>
      </c>
      <c r="H8" s="198">
        <f t="shared" ca="1" si="2"/>
        <v>0</v>
      </c>
      <c r="I8" s="198">
        <f ca="1">IF(F8="","",SUMIFS($AE$7:$AE$66,$B$7:$B$66,"&gt;="&amp;DATE(F8,1,1),$B$7:$B$66,"&lt;"&amp;DATE(F8+1,1,1)-1)+IF(F9="",Analítico!$BK$154,0))</f>
        <v>125073628.30094776</v>
      </c>
      <c r="K8" s="199" t="str">
        <f t="shared" ref="K8:K39" si="8">IF(U8="","",U8&amp;"ª Avaliação")</f>
        <v>20ª Avaliação</v>
      </c>
      <c r="L8" s="199" t="str">
        <f t="shared" ref="L8:L39" ca="1" si="9">IF(K8="","",TEXT(Z8,"mmm/aaaa")&amp;" a "&amp;TEXT(AA8,"mmm/aaaa"))</f>
        <v>abr/2026 a jun/2026</v>
      </c>
      <c r="M8" s="200">
        <f t="shared" ca="1" si="3"/>
        <v>46204</v>
      </c>
      <c r="O8" s="199" t="str">
        <f t="shared" ca="1" si="4"/>
        <v>20ª Parcela</v>
      </c>
      <c r="P8" s="201">
        <f t="shared" ca="1" si="5"/>
        <v>30464357.655446127</v>
      </c>
      <c r="Q8" s="202">
        <f t="shared" ca="1" si="6"/>
        <v>46113</v>
      </c>
      <c r="R8" s="203" t="str">
        <f ca="1">IF(P8="","",IFERROR("Realização da "&amp;OFFSET($Y$6,MATCH(A8,$X$7:$X$66,0),0)-1&amp;"ª reunião da CA e aprovação da liberação de parcela pelo supervisor.",""))</f>
        <v>Realização da 19ª reunião da CA e aprovação da liberação de parcela pelo supervisor.</v>
      </c>
      <c r="T8" s="114" t="str">
        <f>IF(AH8="","Não",IF(AH8&gt;AH7,"Sim","Não"))</f>
        <v>Não</v>
      </c>
      <c r="U8" s="114">
        <f>IFERROR(IF(U7+1&gt;MAX(AH7:AH66),"",U7+1),"")</f>
        <v>20</v>
      </c>
      <c r="V8" s="114" t="str">
        <f>Cronogramas!T8</f>
        <v>Não</v>
      </c>
      <c r="W8" s="114"/>
      <c r="X8" s="114">
        <f>COUNTIF(V$7:$V8,"Sim")</f>
        <v>1</v>
      </c>
      <c r="Y8" s="114" t="str">
        <f t="shared" ref="Y8:Y39" si="10">IF(T8="Não","",AH8)</f>
        <v/>
      </c>
      <c r="Z8" s="185">
        <f ca="1">IF(K8="","",EDATE(AA7,1))</f>
        <v>46113</v>
      </c>
      <c r="AA8" s="186">
        <f t="shared" ca="1" si="7"/>
        <v>46174</v>
      </c>
      <c r="AB8" s="207">
        <f ca="1">_xlfn.IFNA(IF(V8="Sim",(IFERROR(SUM(OFFSET(AE8,1,,MATCH("Sim",V9:$V$66,0),1))-AC8,0)+IF(Y8-$W$7=1,SUM($AE$6:AE8)-$AF$7,0)+IF(SUM(Y9:$Y$66)=0,SUM(AE9:$AE$66)-AC8+Analítico!$BK$154)),0),0)</f>
        <v>0</v>
      </c>
      <c r="AC8" s="207">
        <f ca="1">IFERROR(IF(V8="Sim",IFERROR(SUM(OFFSET(AD8,1,,MATCH("Sim",T9:$T$66,0),1)),0)+IF(Y8-$W$7=1,SUM($AD$6:AD8),0)+IF(SUM(Y9:$Y$66)=0,SUM(AD9:$AD$66),0),0),0)</f>
        <v>0</v>
      </c>
      <c r="AD8" s="214">
        <f ca="1">SUM(OFFSET(Analítico!$B$10,0,A8,2,1))</f>
        <v>0</v>
      </c>
      <c r="AE8" s="214">
        <f ca="1">OFFSET(Analítico!$B$155,,A8)</f>
        <v>9581452.5518153757</v>
      </c>
      <c r="AF8" s="114"/>
      <c r="AG8" s="39" t="s">
        <v>58</v>
      </c>
      <c r="AH8" s="176">
        <f t="shared" ref="AH8:AH66" si="11">IF(D8="",C8,D8)</f>
        <v>19</v>
      </c>
    </row>
    <row r="9" spans="1:34" ht="15" x14ac:dyDescent="0.2">
      <c r="A9" s="195">
        <v>3</v>
      </c>
      <c r="B9" s="196">
        <f>IFERROR(IF(EDATE(B8,1)&gt;DATE(YEAR(Capa!$A$7),MONTH(Capa!$A$7),1),"",EDATE(B8,1)),"")</f>
        <v>46082</v>
      </c>
      <c r="C9" s="195">
        <f>IF(B9="","",IF(P3="",C7,IF(P3=3,C7,C7+1)))</f>
        <v>19</v>
      </c>
      <c r="D9" s="29"/>
      <c r="E9" s="195"/>
      <c r="F9" s="197">
        <f>IFERROR(IF((F8+1)&gt;YEAR(Capa!$A$7),"",F8+1),"")</f>
        <v>2028</v>
      </c>
      <c r="G9" s="198">
        <f t="shared" ca="1" si="1"/>
        <v>110739839.27665947</v>
      </c>
      <c r="H9" s="198">
        <f t="shared" ca="1" si="2"/>
        <v>0</v>
      </c>
      <c r="I9" s="198">
        <f ca="1">IF(F9="","",SUMIFS($AE$7:$AE$66,$B$7:$B$66,"&gt;="&amp;DATE(F9,1,1),$B$7:$B$66,"&lt;"&amp;DATE(F9+1,1,1)-1)+IF(F10="",Analítico!$BK$154,0))</f>
        <v>122771824.6654467</v>
      </c>
      <c r="K9" s="199" t="str">
        <f t="shared" si="8"/>
        <v>21ª Avaliação</v>
      </c>
      <c r="L9" s="199" t="str">
        <f t="shared" ca="1" si="9"/>
        <v>jul/2026 a set/2026</v>
      </c>
      <c r="M9" s="200">
        <f t="shared" ca="1" si="3"/>
        <v>46296</v>
      </c>
      <c r="O9" s="199" t="str">
        <f t="shared" ca="1" si="4"/>
        <v>21ª Parcela</v>
      </c>
      <c r="P9" s="201">
        <f t="shared" ca="1" si="5"/>
        <v>28744357.655446127</v>
      </c>
      <c r="Q9" s="202">
        <f t="shared" ca="1" si="6"/>
        <v>46204</v>
      </c>
      <c r="R9" s="203" t="str">
        <f t="shared" ref="R9:R12" ca="1" si="12">IF(P9="","",IFERROR("Realização da "&amp;OFFSET($Y$6,MATCH(A9,$X$7:$X$66,0),0)-1&amp;"ª reunião da CA e aprovação da liberação de parcela pelo supervisor.",""))</f>
        <v>Realização da 20ª reunião da CA e aprovação da liberação de parcela pelo supervisor.</v>
      </c>
      <c r="T9" s="114" t="str">
        <f t="shared" ref="T9:T66" si="13">IF(AH9="","Não",IF(AH9&gt;AH8,"Sim","Não"))</f>
        <v>Não</v>
      </c>
      <c r="U9" s="114">
        <f>IFERROR(IF(U8+1&gt;MAX(AH8:AH67),"",U8+1),"")</f>
        <v>21</v>
      </c>
      <c r="V9" s="114" t="str">
        <f>Cronogramas!T9</f>
        <v>Não</v>
      </c>
      <c r="W9" s="114"/>
      <c r="X9" s="114">
        <f>COUNTIF(V$7:$V9,"Sim")</f>
        <v>1</v>
      </c>
      <c r="Y9" s="114" t="str">
        <f t="shared" si="10"/>
        <v/>
      </c>
      <c r="Z9" s="185">
        <f t="shared" ref="Z9:Z39" ca="1" si="14">IF(K9="","",EDATE(AA8,1))</f>
        <v>46204</v>
      </c>
      <c r="AA9" s="186">
        <f t="shared" ca="1" si="7"/>
        <v>46266</v>
      </c>
      <c r="AB9" s="207">
        <f ca="1">_xlfn.IFNA(IF(V9="Sim",(IFERROR(SUM(OFFSET(AE9,1,,MATCH("Sim",V10:$V$66,0),1))-AC9,0)+IF(Y9-$W$7=1,SUM($AE$6:AE9)-$AF$7,0)+IF(SUM(Y10:$Y$66)=0,SUM(AE10:$AE$66)-AC9+Analítico!$BK$154)),0),0)</f>
        <v>0</v>
      </c>
      <c r="AC9" s="207">
        <f ca="1">IFERROR(IF(V9="Sim",IFERROR(SUM(OFFSET(AD9,1,,MATCH("Sim",T10:$T$66,0),1)),0)+IF(Y9-$W$7=1,SUM($AD$6:AD9),0)+IF(SUM(Y10:$Y$66)=0,SUM(AD10:$AD$66),0),0),0)</f>
        <v>0</v>
      </c>
      <c r="AD9" s="214">
        <f ca="1">SUM(OFFSET(Analítico!$B$10,0,A9,2,1))</f>
        <v>0</v>
      </c>
      <c r="AE9" s="214">
        <f ca="1">OFFSET(Analítico!$B$155,,A9)</f>
        <v>9781452.5518153757</v>
      </c>
      <c r="AF9" s="114"/>
      <c r="AG9" s="114"/>
      <c r="AH9" s="176">
        <f t="shared" si="11"/>
        <v>19</v>
      </c>
    </row>
    <row r="10" spans="1:34" ht="15" x14ac:dyDescent="0.2">
      <c r="A10" s="195">
        <v>4</v>
      </c>
      <c r="B10" s="196">
        <f>IFERROR(IF(EDATE(B9,1)&gt;DATE(YEAR(Capa!$A$7),MONTH(Capa!$A$7),1),"",EDATE(B9,1)),"")</f>
        <v>46113</v>
      </c>
      <c r="C10" s="195">
        <f>IF(B10="","",C7+1)</f>
        <v>20</v>
      </c>
      <c r="D10" s="29"/>
      <c r="E10" s="195"/>
      <c r="F10" s="197" t="str">
        <f>IFERROR(IF((F9+1)&gt;YEAR(Capa!$A$7),"",F9+1),"")</f>
        <v/>
      </c>
      <c r="G10" s="198" t="str">
        <f t="shared" si="1"/>
        <v/>
      </c>
      <c r="H10" s="198" t="str">
        <f t="shared" si="2"/>
        <v/>
      </c>
      <c r="I10" s="198" t="str">
        <f>IF(F10="","",SUMIFS($AE$7:$AE$66,$B$7:$B$66,"&gt;="&amp;DATE(F10,1,1),$B$7:$B$66,"&lt;"&amp;DATE(F10+1,1,1)-1)+IF(F11="",Analítico!$BK$154,0))</f>
        <v/>
      </c>
      <c r="K10" s="199" t="str">
        <f t="shared" si="8"/>
        <v>22ª Avaliação</v>
      </c>
      <c r="L10" s="199" t="str">
        <f t="shared" ca="1" si="9"/>
        <v>out/2026 a dez/2026</v>
      </c>
      <c r="M10" s="200">
        <f t="shared" ca="1" si="3"/>
        <v>46388</v>
      </c>
      <c r="O10" s="199" t="str">
        <f t="shared" ca="1" si="4"/>
        <v>22ª Parcela</v>
      </c>
      <c r="P10" s="201">
        <f t="shared" ca="1" si="5"/>
        <v>32144957.462043069</v>
      </c>
      <c r="Q10" s="202">
        <f t="shared" ca="1" si="6"/>
        <v>46296</v>
      </c>
      <c r="R10" s="203" t="str">
        <f t="shared" ca="1" si="12"/>
        <v>Realização da 21ª reunião da CA e aprovação da liberação de parcela pelo supervisor.</v>
      </c>
      <c r="T10" s="114" t="str">
        <f t="shared" si="13"/>
        <v>Sim</v>
      </c>
      <c r="U10" s="114">
        <f t="shared" ref="U10:U66" si="15">IFERROR(IF(U9+1&gt;MAX(AH9:AH68),"",U9+1),"")</f>
        <v>22</v>
      </c>
      <c r="V10" s="114" t="str">
        <f>Cronogramas!T10</f>
        <v>Sim</v>
      </c>
      <c r="W10" s="114"/>
      <c r="X10" s="114">
        <f>COUNTIF(V$7:$V10,"Sim")</f>
        <v>2</v>
      </c>
      <c r="Y10" s="114">
        <f t="shared" si="10"/>
        <v>20</v>
      </c>
      <c r="Z10" s="185">
        <f t="shared" ca="1" si="14"/>
        <v>46296</v>
      </c>
      <c r="AA10" s="186">
        <f t="shared" ca="1" si="7"/>
        <v>46357</v>
      </c>
      <c r="AB10" s="207">
        <f ca="1">_xlfn.IFNA(IF(V10="Sim",(IFERROR(SUM(OFFSET(AE10,1,,MATCH("Sim",V11:$V$66,0),1))-AC10,0)+IF(Y10-$W$7=1,SUM($AE$6:AE10)-$AF$7,0)+IF(SUM(Y11:$Y$66)=0,SUM(AE11:$AE$66)-AC10+Analítico!$BK$154)),0),0)</f>
        <v>30464357.655446127</v>
      </c>
      <c r="AC10" s="207">
        <f ca="1">IFERROR(IF(V10="Sim",IFERROR(SUM(OFFSET(AD10,1,,MATCH("Sim",T11:$T$66,0),1)),0)+IF(Y10-$W$7=1,SUM($AD$6:AD10),0)+IF(SUM(Y11:$Y$66)=0,SUM(AD11:$AD$66),0),0),0)</f>
        <v>0</v>
      </c>
      <c r="AD10" s="214">
        <f ca="1">SUM(OFFSET(Analítico!$B$10,0,A10,2,1))</f>
        <v>0</v>
      </c>
      <c r="AE10" s="214">
        <f ca="1">OFFSET(Analítico!$B$155,,A10)</f>
        <v>9991452.5518153757</v>
      </c>
      <c r="AF10" s="114"/>
      <c r="AG10" s="114"/>
      <c r="AH10" s="176">
        <f t="shared" si="11"/>
        <v>20</v>
      </c>
    </row>
    <row r="11" spans="1:34" ht="15" x14ac:dyDescent="0.2">
      <c r="A11" s="195">
        <v>5</v>
      </c>
      <c r="B11" s="196">
        <f>IFERROR(IF(EDATE(B10,1)&gt;DATE(YEAR(Capa!$A$7),MONTH(Capa!$A$7),1),"",EDATE(B10,1)),"")</f>
        <v>46143</v>
      </c>
      <c r="C11" s="195">
        <f t="shared" ref="C11:C66" si="16">IF(B11="","",C8+1)</f>
        <v>20</v>
      </c>
      <c r="D11" s="29"/>
      <c r="E11" s="195"/>
      <c r="F11" s="197" t="str">
        <f>IFERROR(IF((F10+1)&gt;YEAR(Capa!$A$7),"",F10+1),"")</f>
        <v/>
      </c>
      <c r="G11" s="198" t="str">
        <f t="shared" si="1"/>
        <v/>
      </c>
      <c r="H11" s="198" t="str">
        <f t="shared" si="2"/>
        <v/>
      </c>
      <c r="I11" s="198" t="str">
        <f>IF(F11="","",SUMIFS($AE$7:$AE$66,$B$7:$B$66,"&gt;="&amp;DATE(F11,1,1),$B$7:$B$66,"&lt;"&amp;DATE(F11+1,1,1)-1)+IF(F12="",Analítico!$BK$154,0))</f>
        <v/>
      </c>
      <c r="K11" s="199" t="str">
        <f t="shared" si="8"/>
        <v>23ª Avaliação</v>
      </c>
      <c r="L11" s="199" t="str">
        <f t="shared" ca="1" si="9"/>
        <v>jan/2027 a mar/2027</v>
      </c>
      <c r="M11" s="200">
        <f t="shared" ca="1" si="3"/>
        <v>46478</v>
      </c>
      <c r="O11" s="199" t="str">
        <f t="shared" ca="1" si="4"/>
        <v>23ª Parcela</v>
      </c>
      <c r="P11" s="201">
        <f t="shared" ca="1" si="5"/>
        <v>35088157.075236946</v>
      </c>
      <c r="Q11" s="202">
        <f t="shared" ca="1" si="6"/>
        <v>46388</v>
      </c>
      <c r="R11" s="203" t="str">
        <f t="shared" ca="1" si="12"/>
        <v>Realização da 22ª reunião da CA e aprovação da liberação de parcela pelo supervisor.</v>
      </c>
      <c r="T11" s="114" t="str">
        <f t="shared" si="13"/>
        <v>Não</v>
      </c>
      <c r="U11" s="114">
        <f t="shared" si="15"/>
        <v>23</v>
      </c>
      <c r="V11" s="114" t="str">
        <f>Cronogramas!T11</f>
        <v>Não</v>
      </c>
      <c r="W11" s="114"/>
      <c r="X11" s="114">
        <f>COUNTIF(V$7:$V11,"Sim")</f>
        <v>2</v>
      </c>
      <c r="Y11" s="114" t="str">
        <f t="shared" si="10"/>
        <v/>
      </c>
      <c r="Z11" s="185">
        <f t="shared" ca="1" si="14"/>
        <v>46388</v>
      </c>
      <c r="AA11" s="186">
        <f t="shared" ca="1" si="7"/>
        <v>46447</v>
      </c>
      <c r="AB11" s="207">
        <f ca="1">_xlfn.IFNA(IF(V11="Sim",(IFERROR(SUM(OFFSET(AE11,1,,MATCH("Sim",V12:$V$66,0),1))-AC11,0)+IF(Y11-$W$7=1,SUM($AE$6:AE11)-$AF$7,0)+IF(SUM(Y12:$Y$66)=0,SUM(AE12:$AE$66)-AC11+Analítico!$BK$154)),0),0)</f>
        <v>0</v>
      </c>
      <c r="AC11" s="207">
        <f ca="1">IFERROR(IF(V11="Sim",IFERROR(SUM(OFFSET(AD11,1,,MATCH("Sim",T12:$T$66,0),1)),0)+IF(Y11-$W$7=1,SUM($AD$6:AD11),0)+IF(SUM(Y12:$Y$66)=0,SUM(AD12:$AD$66),0),0),0)</f>
        <v>0</v>
      </c>
      <c r="AD11" s="214">
        <f ca="1">SUM(OFFSET(Analítico!$B$10,0,A11,2,1))</f>
        <v>0</v>
      </c>
      <c r="AE11" s="214">
        <f ca="1">OFFSET(Analítico!$B$155,,A11)</f>
        <v>10581452.551815376</v>
      </c>
      <c r="AF11" s="114"/>
      <c r="AG11" s="114"/>
      <c r="AH11" s="176">
        <f t="shared" si="11"/>
        <v>20</v>
      </c>
    </row>
    <row r="12" spans="1:34" ht="15" x14ac:dyDescent="0.2">
      <c r="A12" s="195">
        <v>6</v>
      </c>
      <c r="B12" s="196">
        <f>IFERROR(IF(EDATE(B11,1)&gt;DATE(YEAR(Capa!$A$7),MONTH(Capa!$A$7),1),"",EDATE(B11,1)),"")</f>
        <v>46174</v>
      </c>
      <c r="C12" s="195">
        <f t="shared" si="16"/>
        <v>20</v>
      </c>
      <c r="D12" s="29"/>
      <c r="E12" s="195"/>
      <c r="F12" s="197" t="str">
        <f>IFERROR(IF((F11+1)&gt;YEAR(Capa!$A$7),"",F11+1),"")</f>
        <v/>
      </c>
      <c r="G12" s="198" t="str">
        <f t="shared" si="1"/>
        <v/>
      </c>
      <c r="H12" s="198" t="str">
        <f t="shared" si="2"/>
        <v/>
      </c>
      <c r="I12" s="198" t="str">
        <f>IF(F12="","",SUMIFS($AE$7:$AE$66,$B$7:$B$66,"&gt;="&amp;DATE(F12,1,1),$B$7:$B$66,"&lt;"&amp;DATE(F12+1,1,1)-1)+IF(F13="",Analítico!$BK$154,0))</f>
        <v/>
      </c>
      <c r="K12" s="199" t="str">
        <f t="shared" si="8"/>
        <v>24ª Avaliação</v>
      </c>
      <c r="L12" s="199" t="str">
        <f t="shared" ca="1" si="9"/>
        <v>abr/2027 a jun/2027</v>
      </c>
      <c r="M12" s="200">
        <f t="shared" ca="1" si="3"/>
        <v>46569</v>
      </c>
      <c r="O12" s="199" t="str">
        <f t="shared" ca="1" si="4"/>
        <v>24ª Parcela</v>
      </c>
      <c r="P12" s="201">
        <f t="shared" ca="1" si="5"/>
        <v>29058157.075236946</v>
      </c>
      <c r="Q12" s="202">
        <f t="shared" ca="1" si="6"/>
        <v>46478</v>
      </c>
      <c r="R12" s="203" t="str">
        <f t="shared" ca="1" si="12"/>
        <v>Realização da 23ª reunião da CA e aprovação da liberação de parcela pelo supervisor.</v>
      </c>
      <c r="T12" s="114" t="str">
        <f t="shared" si="13"/>
        <v>Não</v>
      </c>
      <c r="U12" s="114">
        <f t="shared" si="15"/>
        <v>24</v>
      </c>
      <c r="V12" s="114" t="str">
        <f>Cronogramas!T12</f>
        <v>Não</v>
      </c>
      <c r="W12" s="114"/>
      <c r="X12" s="114">
        <f>COUNTIF(V$7:$V12,"Sim")</f>
        <v>2</v>
      </c>
      <c r="Y12" s="114" t="str">
        <f t="shared" si="10"/>
        <v/>
      </c>
      <c r="Z12" s="185">
        <f t="shared" ca="1" si="14"/>
        <v>46478</v>
      </c>
      <c r="AA12" s="186">
        <f t="shared" ca="1" si="7"/>
        <v>46539</v>
      </c>
      <c r="AB12" s="207">
        <f ca="1">_xlfn.IFNA(IF(V12="Sim",(IFERROR(SUM(OFFSET(AE12,1,,MATCH("Sim",V13:$V$66,0),1))-AC12,0)+IF(Y12-$W$7=1,SUM($AE$6:AE12)-$AF$7,0)+IF(SUM(Y13:$Y$66)=0,SUM(AE13:$AE$66)-AC12+Analítico!$BK$154)),0),0)</f>
        <v>0</v>
      </c>
      <c r="AC12" s="207">
        <f ca="1">IFERROR(IF(V12="Sim",IFERROR(SUM(OFFSET(AD12,1,,MATCH("Sim",T13:$T$66,0),1)),0)+IF(Y12-$W$7=1,SUM($AD$6:AD12),0)+IF(SUM(Y13:$Y$66)=0,SUM(AD13:$AD$66),0),0),0)</f>
        <v>0</v>
      </c>
      <c r="AD12" s="214">
        <f ca="1">SUM(OFFSET(Analítico!$B$10,0,A12,2,1))</f>
        <v>0</v>
      </c>
      <c r="AE12" s="214">
        <f ca="1">OFFSET(Analítico!$B$155,,A12)</f>
        <v>10301452.551815376</v>
      </c>
      <c r="AF12" s="114"/>
      <c r="AG12" s="114"/>
      <c r="AH12" s="176">
        <f t="shared" si="11"/>
        <v>20</v>
      </c>
    </row>
    <row r="13" spans="1:34" ht="15" x14ac:dyDescent="0.2">
      <c r="A13" s="195">
        <v>7</v>
      </c>
      <c r="B13" s="196">
        <f>IFERROR(IF(EDATE(B12,1)&gt;DATE(YEAR(Capa!$A$7),MONTH(Capa!$A$7),1),"",EDATE(B12,1)),"")</f>
        <v>46204</v>
      </c>
      <c r="C13" s="195">
        <f t="shared" si="16"/>
        <v>21</v>
      </c>
      <c r="D13" s="29"/>
      <c r="E13" s="195"/>
      <c r="F13" s="197"/>
      <c r="G13" s="195"/>
      <c r="H13" s="195"/>
      <c r="I13" s="195"/>
      <c r="K13" s="199" t="str">
        <f t="shared" si="8"/>
        <v>25ª Avaliação</v>
      </c>
      <c r="L13" s="199" t="str">
        <f t="shared" ca="1" si="9"/>
        <v>jul/2027 a set/2027</v>
      </c>
      <c r="M13" s="200">
        <f t="shared" ca="1" si="3"/>
        <v>46661</v>
      </c>
      <c r="O13" s="199" t="str">
        <f t="shared" ref="O13:O37" ca="1" si="17">(IF(P13="","",OFFSET($Y$6,MATCH(A13,$X$7:$X$66,0),0)&amp;"ª Parcela"))</f>
        <v>25ª Parcela</v>
      </c>
      <c r="P13" s="201">
        <f t="shared" ref="P13:P37" ca="1" si="18">IFERROR(IF(OFFSET($AB$6,MATCH(A13,$X$7:$X$66,0),0)=0,"",OFFSET($AB$6,MATCH(A13,$X$7:$X$66,0),0)),"")</f>
        <v>28758157.075236946</v>
      </c>
      <c r="Q13" s="202">
        <f t="shared" ref="Q13:Q37" ca="1" si="19">IF(P13="","",OFFSET($B$6,MATCH(A13,$X$7:$X$66,0),0))</f>
        <v>46569</v>
      </c>
      <c r="R13" s="203" t="str">
        <f t="shared" ref="R13:R37" ca="1" si="20">IF(P13="","",IFERROR("Realização da "&amp;OFFSET($Y$6,MATCH(A13,$X$7:$X$66,0),0)-1&amp;"ª reunião da CA e aprovação da liberação de parcela pelo supervisor.",""))</f>
        <v>Realização da 24ª reunião da CA e aprovação da liberação de parcela pelo supervisor.</v>
      </c>
      <c r="T13" s="114" t="str">
        <f t="shared" si="13"/>
        <v>Sim</v>
      </c>
      <c r="U13" s="114">
        <f t="shared" si="15"/>
        <v>25</v>
      </c>
      <c r="V13" s="114" t="str">
        <f>Cronogramas!T13</f>
        <v>Sim</v>
      </c>
      <c r="W13" s="114"/>
      <c r="X13" s="114">
        <f>COUNTIF(V$7:$V13,"Sim")</f>
        <v>3</v>
      </c>
      <c r="Y13" s="114">
        <f t="shared" si="10"/>
        <v>21</v>
      </c>
      <c r="Z13" s="185">
        <f t="shared" ca="1" si="14"/>
        <v>46569</v>
      </c>
      <c r="AA13" s="186">
        <f t="shared" ca="1" si="7"/>
        <v>46631</v>
      </c>
      <c r="AB13" s="207">
        <f ca="1">_xlfn.IFNA(IF(V13="Sim",(IFERROR(SUM(OFFSET(AE13,1,,MATCH("Sim",V14:$V$66,0),1))-AC13,0)+IF(Y13-$W$7=1,SUM($AE$6:AE13)-$AF$7,0)+IF(SUM(Y14:$Y$66)=0,SUM(AE14:$AE$66)-AC13+Analítico!$BK$154)),0),0)</f>
        <v>28744357.655446127</v>
      </c>
      <c r="AC13" s="207">
        <f ca="1">IFERROR(IF(V13="Sim",IFERROR(SUM(OFFSET(AD13,1,,MATCH("Sim",T14:$T$66,0),1)),0)+IF(Y13-$W$7=1,SUM($AD$6:AD13),0)+IF(SUM(Y14:$Y$66)=0,SUM(AD14:$AD$66),0),0),0)</f>
        <v>0</v>
      </c>
      <c r="AD13" s="214">
        <f ca="1">SUM(OFFSET(Analítico!$B$10,0,A13,2,1))</f>
        <v>0</v>
      </c>
      <c r="AE13" s="214">
        <f ca="1">OFFSET(Analítico!$B$155,,A13)</f>
        <v>9581452.5518153757</v>
      </c>
      <c r="AF13" s="114"/>
      <c r="AG13" s="114"/>
      <c r="AH13" s="176">
        <f t="shared" si="11"/>
        <v>21</v>
      </c>
    </row>
    <row r="14" spans="1:34" ht="15" x14ac:dyDescent="0.2">
      <c r="A14" s="195">
        <v>8</v>
      </c>
      <c r="B14" s="196">
        <f>IFERROR(IF(EDATE(B13,1)&gt;DATE(YEAR(Capa!$A$7),MONTH(Capa!$A$7),1),"",EDATE(B13,1)),"")</f>
        <v>46235</v>
      </c>
      <c r="C14" s="195">
        <f t="shared" si="16"/>
        <v>21</v>
      </c>
      <c r="D14" s="29"/>
      <c r="E14" s="195"/>
      <c r="F14" s="197"/>
      <c r="G14" s="195"/>
      <c r="H14" s="195"/>
      <c r="I14" s="195"/>
      <c r="K14" s="199" t="str">
        <f t="shared" si="8"/>
        <v>26ª Avaliação</v>
      </c>
      <c r="L14" s="199" t="str">
        <f t="shared" ca="1" si="9"/>
        <v>out/2027 a dez/2027</v>
      </c>
      <c r="M14" s="200">
        <f t="shared" ca="1" si="3"/>
        <v>46753</v>
      </c>
      <c r="O14" s="199" t="str">
        <f t="shared" ca="1" si="17"/>
        <v>26ª Parcela</v>
      </c>
      <c r="P14" s="201">
        <f t="shared" ca="1" si="18"/>
        <v>31284090.105611857</v>
      </c>
      <c r="Q14" s="202">
        <f t="shared" ca="1" si="19"/>
        <v>46661</v>
      </c>
      <c r="R14" s="203" t="str">
        <f t="shared" ca="1" si="20"/>
        <v>Realização da 25ª reunião da CA e aprovação da liberação de parcela pelo supervisor.</v>
      </c>
      <c r="T14" s="114" t="str">
        <f t="shared" si="13"/>
        <v>Não</v>
      </c>
      <c r="U14" s="114">
        <f t="shared" si="15"/>
        <v>26</v>
      </c>
      <c r="V14" s="114" t="str">
        <f>Cronogramas!T14</f>
        <v>Não</v>
      </c>
      <c r="W14" s="114"/>
      <c r="X14" s="114">
        <f>COUNTIF(V$7:$V14,"Sim")</f>
        <v>3</v>
      </c>
      <c r="Y14" s="114" t="str">
        <f t="shared" si="10"/>
        <v/>
      </c>
      <c r="Z14" s="185">
        <f t="shared" ca="1" si="14"/>
        <v>46661</v>
      </c>
      <c r="AA14" s="186">
        <f t="shared" ca="1" si="7"/>
        <v>46722</v>
      </c>
      <c r="AB14" s="207">
        <f ca="1">_xlfn.IFNA(IF(V14="Sim",(IFERROR(SUM(OFFSET(AE14,1,,MATCH("Sim",V15:$V$66,0),1))-AC14,0)+IF(Y14-$W$7=1,SUM($AE$6:AE14)-$AF$7,0)+IF(SUM(Y15:$Y$66)=0,SUM(AE15:$AE$66)-AC14+Analítico!$BK$154)),0),0)</f>
        <v>0</v>
      </c>
      <c r="AC14" s="207">
        <f ca="1">IFERROR(IF(V14="Sim",IFERROR(SUM(OFFSET(AD14,1,,MATCH("Sim",T15:$T$66,0),1)),0)+IF(Y14-$W$7=1,SUM($AD$6:AD14),0)+IF(SUM(Y15:$Y$66)=0,SUM(AD15:$AD$66),0),0),0)</f>
        <v>0</v>
      </c>
      <c r="AD14" s="214">
        <f ca="1">SUM(OFFSET(Analítico!$B$10,0,A14,2,1))</f>
        <v>0</v>
      </c>
      <c r="AE14" s="214">
        <f ca="1">OFFSET(Analítico!$B$155,,A14)</f>
        <v>9581452.5518153757</v>
      </c>
      <c r="AF14" s="114"/>
      <c r="AG14" s="114"/>
      <c r="AH14" s="176">
        <f t="shared" si="11"/>
        <v>21</v>
      </c>
    </row>
    <row r="15" spans="1:34" ht="15" x14ac:dyDescent="0.2">
      <c r="A15" s="195">
        <v>9</v>
      </c>
      <c r="B15" s="196">
        <f>IFERROR(IF(EDATE(B14,1)&gt;DATE(YEAR(Capa!$A$7),MONTH(Capa!$A$7),1),"",EDATE(B14,1)),"")</f>
        <v>46266</v>
      </c>
      <c r="C15" s="195">
        <f t="shared" si="16"/>
        <v>21</v>
      </c>
      <c r="D15" s="29"/>
      <c r="E15" s="195"/>
      <c r="F15" s="197"/>
      <c r="G15" s="195"/>
      <c r="H15" s="195"/>
      <c r="I15" s="195"/>
      <c r="K15" s="199" t="str">
        <f t="shared" si="8"/>
        <v>27ª Avaliação</v>
      </c>
      <c r="L15" s="199" t="str">
        <f t="shared" ca="1" si="9"/>
        <v>jan/2028 a mar/2028</v>
      </c>
      <c r="M15" s="200">
        <f t="shared" ca="1" si="3"/>
        <v>46844</v>
      </c>
      <c r="O15" s="199" t="str">
        <f t="shared" ca="1" si="17"/>
        <v>27ª Parcela</v>
      </c>
      <c r="P15" s="201">
        <f t="shared" ca="1" si="18"/>
        <v>30153956.166361675</v>
      </c>
      <c r="Q15" s="202">
        <f t="shared" ca="1" si="19"/>
        <v>46753</v>
      </c>
      <c r="R15" s="203" t="str">
        <f t="shared" ca="1" si="20"/>
        <v>Realização da 26ª reunião da CA e aprovação da liberação de parcela pelo supervisor.</v>
      </c>
      <c r="S15" s="165"/>
      <c r="T15" s="114" t="str">
        <f t="shared" si="13"/>
        <v>Não</v>
      </c>
      <c r="U15" s="114">
        <f t="shared" si="15"/>
        <v>27</v>
      </c>
      <c r="V15" s="114" t="str">
        <f>Cronogramas!T15</f>
        <v>Não</v>
      </c>
      <c r="W15" s="114"/>
      <c r="X15" s="114">
        <f>COUNTIF(V$7:$V15,"Sim")</f>
        <v>3</v>
      </c>
      <c r="Y15" s="114" t="str">
        <f t="shared" si="10"/>
        <v/>
      </c>
      <c r="Z15" s="185">
        <f t="shared" ca="1" si="14"/>
        <v>46753</v>
      </c>
      <c r="AA15" s="186">
        <f t="shared" ca="1" si="7"/>
        <v>46813</v>
      </c>
      <c r="AB15" s="207">
        <f ca="1">_xlfn.IFNA(IF(V15="Sim",(IFERROR(SUM(OFFSET(AE15,1,,MATCH("Sim",V16:$V$66,0),1))-AC15,0)+IF(Y15-$W$7=1,SUM($AE$6:AE15)-$AF$7,0)+IF(SUM(Y16:$Y$66)=0,SUM(AE16:$AE$66)-AC15+Analítico!$BK$154)),0),0)</f>
        <v>0</v>
      </c>
      <c r="AC15" s="207">
        <f ca="1">IFERROR(IF(V15="Sim",IFERROR(SUM(OFFSET(AD15,1,,MATCH("Sim",T16:$T$66,0),1)),0)+IF(Y15-$W$7=1,SUM($AD$6:AD15),0)+IF(SUM(Y16:$Y$66)=0,SUM(AD16:$AD$66),0),0),0)</f>
        <v>0</v>
      </c>
      <c r="AD15" s="214">
        <f ca="1">SUM(OFFSET(Analítico!$B$10,0,A15,2,1))</f>
        <v>0</v>
      </c>
      <c r="AE15" s="214">
        <f ca="1">OFFSET(Analítico!$B$155,,A15)</f>
        <v>9581452.5518153757</v>
      </c>
      <c r="AF15" s="114"/>
      <c r="AG15" s="114"/>
      <c r="AH15" s="176">
        <f t="shared" si="11"/>
        <v>21</v>
      </c>
    </row>
    <row r="16" spans="1:34" ht="15" x14ac:dyDescent="0.2">
      <c r="A16" s="195">
        <v>10</v>
      </c>
      <c r="B16" s="196">
        <f>IFERROR(IF(EDATE(B15,1)&gt;DATE(YEAR(Capa!$A$7),MONTH(Capa!$A$7),1),"",EDATE(B15,1)),"")</f>
        <v>46296</v>
      </c>
      <c r="C16" s="195">
        <f t="shared" si="16"/>
        <v>22</v>
      </c>
      <c r="D16" s="29"/>
      <c r="E16" s="195"/>
      <c r="F16" s="197"/>
      <c r="G16" s="195"/>
      <c r="H16" s="195"/>
      <c r="I16" s="195"/>
      <c r="K16" s="199" t="str">
        <f t="shared" si="8"/>
        <v>28ª Avaliação</v>
      </c>
      <c r="L16" s="199" t="str">
        <f t="shared" ca="1" si="9"/>
        <v>abr/2028 a jun/2028</v>
      </c>
      <c r="M16" s="200">
        <f t="shared" ca="1" si="3"/>
        <v>46935</v>
      </c>
      <c r="O16" s="199" t="str">
        <f t="shared" ca="1" si="17"/>
        <v>28ª Parcela</v>
      </c>
      <c r="P16" s="201">
        <f t="shared" ca="1" si="18"/>
        <v>30103956.166361675</v>
      </c>
      <c r="Q16" s="202">
        <f t="shared" ca="1" si="19"/>
        <v>46844</v>
      </c>
      <c r="R16" s="203" t="str">
        <f t="shared" ca="1" si="20"/>
        <v>Realização da 27ª reunião da CA e aprovação da liberação de parcela pelo supervisor.</v>
      </c>
      <c r="S16" s="165"/>
      <c r="T16" s="114" t="str">
        <f t="shared" si="13"/>
        <v>Sim</v>
      </c>
      <c r="U16" s="114">
        <f t="shared" si="15"/>
        <v>28</v>
      </c>
      <c r="V16" s="114" t="str">
        <f>Cronogramas!T16</f>
        <v>Sim</v>
      </c>
      <c r="W16" s="114"/>
      <c r="X16" s="114">
        <f>COUNTIF(V$7:$V16,"Sim")</f>
        <v>4</v>
      </c>
      <c r="Y16" s="114">
        <f t="shared" si="10"/>
        <v>22</v>
      </c>
      <c r="Z16" s="185">
        <f t="shared" ca="1" si="14"/>
        <v>46844</v>
      </c>
      <c r="AA16" s="186">
        <f t="shared" ca="1" si="7"/>
        <v>46905</v>
      </c>
      <c r="AB16" s="207">
        <f ca="1">_xlfn.IFNA(IF(V16="Sim",(IFERROR(SUM(OFFSET(AE16,1,,MATCH("Sim",V17:$V$66,0),1))-AC16,0)+IF(Y16-$W$7=1,SUM($AE$6:AE16)-$AF$7,0)+IF(SUM(Y17:$Y$66)=0,SUM(AE17:$AE$66)-AC16+Analítico!$BK$154)),0),0)</f>
        <v>32144957.462043069</v>
      </c>
      <c r="AC16" s="207">
        <f ca="1">IFERROR(IF(V16="Sim",IFERROR(SUM(OFFSET(AD16,1,,MATCH("Sim",T17:$T$66,0),1)),0)+IF(Y16-$W$7=1,SUM($AD$6:AD16),0)+IF(SUM(Y17:$Y$66)=0,SUM(AD17:$AD$66),0),0),0)</f>
        <v>0</v>
      </c>
      <c r="AD16" s="214">
        <f ca="1">SUM(OFFSET(Analítico!$B$10,0,A16,2,1))</f>
        <v>0</v>
      </c>
      <c r="AE16" s="214">
        <f ca="1">OFFSET(Analítico!$B$155,,A16)</f>
        <v>9581452.5518153757</v>
      </c>
      <c r="AF16" s="114"/>
      <c r="AG16" s="114"/>
      <c r="AH16" s="176">
        <f t="shared" si="11"/>
        <v>22</v>
      </c>
    </row>
    <row r="17" spans="1:34" ht="15" x14ac:dyDescent="0.2">
      <c r="A17" s="195">
        <v>11</v>
      </c>
      <c r="B17" s="196">
        <f>IFERROR(IF(EDATE(B16,1)&gt;DATE(YEAR(Capa!$A$7),MONTH(Capa!$A$7),1),"",EDATE(B16,1)),"")</f>
        <v>46327</v>
      </c>
      <c r="C17" s="195">
        <f t="shared" si="16"/>
        <v>22</v>
      </c>
      <c r="D17" s="29"/>
      <c r="E17" s="195"/>
      <c r="F17" s="197"/>
      <c r="G17" s="195"/>
      <c r="H17" s="195"/>
      <c r="I17" s="195"/>
      <c r="K17" s="199" t="str">
        <f t="shared" si="8"/>
        <v>29ª Avaliação</v>
      </c>
      <c r="L17" s="199" t="str">
        <f t="shared" ca="1" si="9"/>
        <v>jul/2028 a set/2028</v>
      </c>
      <c r="M17" s="200">
        <f t="shared" ca="1" si="3"/>
        <v>47027</v>
      </c>
      <c r="O17" s="199" t="str">
        <f t="shared" ca="1" si="17"/>
        <v>29ª Parcela</v>
      </c>
      <c r="P17" s="201">
        <f t="shared" ca="1" si="18"/>
        <v>29753956.166361675</v>
      </c>
      <c r="Q17" s="202">
        <f t="shared" ca="1" si="19"/>
        <v>46935</v>
      </c>
      <c r="R17" s="203" t="str">
        <f t="shared" ca="1" si="20"/>
        <v>Realização da 28ª reunião da CA e aprovação da liberação de parcela pelo supervisor.</v>
      </c>
      <c r="S17" s="165"/>
      <c r="T17" s="114" t="str">
        <f t="shared" si="13"/>
        <v>Não</v>
      </c>
      <c r="U17" s="114">
        <f t="shared" si="15"/>
        <v>29</v>
      </c>
      <c r="V17" s="114" t="str">
        <f>Cronogramas!T17</f>
        <v>Não</v>
      </c>
      <c r="W17" s="114"/>
      <c r="X17" s="114">
        <f>COUNTIF(V$7:$V17,"Sim")</f>
        <v>4</v>
      </c>
      <c r="Y17" s="114" t="str">
        <f t="shared" si="10"/>
        <v/>
      </c>
      <c r="Z17" s="185">
        <f t="shared" ca="1" si="14"/>
        <v>46935</v>
      </c>
      <c r="AA17" s="186">
        <f t="shared" ca="1" si="7"/>
        <v>46997</v>
      </c>
      <c r="AB17" s="207">
        <f ca="1">_xlfn.IFNA(IF(V17="Sim",(IFERROR(SUM(OFFSET(AE17,1,,MATCH("Sim",V18:$V$66,0),1))-AC17,0)+IF(Y17-$W$7=1,SUM($AE$6:AE17)-$AF$7,0)+IF(SUM(Y18:$Y$66)=0,SUM(AE18:$AE$66)-AC17+Analítico!$BK$154)),0),0)</f>
        <v>0</v>
      </c>
      <c r="AC17" s="207">
        <f ca="1">IFERROR(IF(V17="Sim",IFERROR(SUM(OFFSET(AD17,1,,MATCH("Sim",T18:$T$66,0),1)),0)+IF(Y17-$W$7=1,SUM($AD$6:AD17),0)+IF(SUM(Y18:$Y$66)=0,SUM(AD18:$AD$66),0),0),0)</f>
        <v>0</v>
      </c>
      <c r="AD17" s="214">
        <f ca="1">SUM(OFFSET(Analítico!$B$10,0,A17,2,1))</f>
        <v>0</v>
      </c>
      <c r="AE17" s="214">
        <f ca="1">OFFSET(Analítico!$B$155,,A17)</f>
        <v>9581452.5518153757</v>
      </c>
      <c r="AF17" s="114"/>
      <c r="AG17" s="114"/>
      <c r="AH17" s="176">
        <f t="shared" si="11"/>
        <v>22</v>
      </c>
    </row>
    <row r="18" spans="1:34" ht="15" x14ac:dyDescent="0.2">
      <c r="A18" s="195">
        <v>12</v>
      </c>
      <c r="B18" s="196">
        <f>IFERROR(IF(EDATE(B17,1)&gt;DATE(YEAR(Capa!$A$7),MONTH(Capa!$A$7),1),"",EDATE(B17,1)),"")</f>
        <v>46357</v>
      </c>
      <c r="C18" s="195">
        <f t="shared" si="16"/>
        <v>22</v>
      </c>
      <c r="D18" s="29"/>
      <c r="E18" s="195"/>
      <c r="F18" s="197"/>
      <c r="G18" s="195"/>
      <c r="H18" s="195"/>
      <c r="I18" s="195"/>
      <c r="K18" s="199" t="str">
        <f t="shared" si="8"/>
        <v>30ª Avaliação</v>
      </c>
      <c r="L18" s="199" t="str">
        <f t="shared" ca="1" si="9"/>
        <v>out/2028 a dez/2028</v>
      </c>
      <c r="M18" s="200">
        <f t="shared" ca="1" si="3"/>
        <v>47119</v>
      </c>
      <c r="O18" s="199" t="str">
        <f t="shared" ca="1" si="17"/>
        <v>30ª Parcela</v>
      </c>
      <c r="P18" s="201">
        <f t="shared" ca="1" si="18"/>
        <v>20727970.77757445</v>
      </c>
      <c r="Q18" s="202">
        <f t="shared" ca="1" si="19"/>
        <v>47027</v>
      </c>
      <c r="R18" s="203" t="str">
        <f t="shared" ca="1" si="20"/>
        <v>Realização da 29ª reunião da CA e aprovação da liberação de parcela pelo supervisor.</v>
      </c>
      <c r="T18" s="114" t="str">
        <f t="shared" si="13"/>
        <v>Não</v>
      </c>
      <c r="U18" s="114">
        <f t="shared" si="15"/>
        <v>30</v>
      </c>
      <c r="V18" s="114" t="str">
        <f>Cronogramas!T18</f>
        <v>Não</v>
      </c>
      <c r="W18" s="114"/>
      <c r="X18" s="114">
        <f>COUNTIF(V$7:$V18,"Sim")</f>
        <v>4</v>
      </c>
      <c r="Y18" s="114" t="str">
        <f t="shared" si="10"/>
        <v/>
      </c>
      <c r="Z18" s="185">
        <f t="shared" ca="1" si="14"/>
        <v>47027</v>
      </c>
      <c r="AA18" s="186">
        <f t="shared" ca="1" si="7"/>
        <v>47088</v>
      </c>
      <c r="AB18" s="207">
        <f ca="1">_xlfn.IFNA(IF(V18="Sim",(IFERROR(SUM(OFFSET(AE18,1,,MATCH("Sim",V19:$V$66,0),1))-AC18,0)+IF(Y18-$W$7=1,SUM($AE$6:AE18)-$AF$7,0)+IF(SUM(Y19:$Y$66)=0,SUM(AE19:$AE$66)-AC18+Analítico!$BK$154)),0),0)</f>
        <v>0</v>
      </c>
      <c r="AC18" s="207">
        <f ca="1">IFERROR(IF(V18="Sim",IFERROR(SUM(OFFSET(AD18,1,,MATCH("Sim",T19:$T$66,0),1)),0)+IF(Y18-$W$7=1,SUM($AD$6:AD18),0)+IF(SUM(Y19:$Y$66)=0,SUM(AD19:$AD$66),0),0),0)</f>
        <v>0</v>
      </c>
      <c r="AD18" s="214">
        <f ca="1">SUM(OFFSET(Analítico!$B$10,0,A18,2,1))</f>
        <v>0</v>
      </c>
      <c r="AE18" s="214">
        <f ca="1">OFFSET(Analítico!$B$155,,A18)</f>
        <v>9646452.5518153757</v>
      </c>
      <c r="AF18" s="114"/>
      <c r="AG18" s="114"/>
      <c r="AH18" s="176">
        <f t="shared" si="11"/>
        <v>22</v>
      </c>
    </row>
    <row r="19" spans="1:34" ht="15" x14ac:dyDescent="0.2">
      <c r="A19" s="195">
        <v>13</v>
      </c>
      <c r="B19" s="196">
        <f>IFERROR(IF(EDATE(B18,1)&gt;DATE(YEAR(Capa!$A$7),MONTH(Capa!$A$7),1),"",EDATE(B18,1)),"")</f>
        <v>46388</v>
      </c>
      <c r="C19" s="195">
        <f t="shared" si="16"/>
        <v>23</v>
      </c>
      <c r="D19" s="29"/>
      <c r="E19" s="195"/>
      <c r="F19" s="197"/>
      <c r="G19" s="195"/>
      <c r="H19" s="195"/>
      <c r="I19" s="195"/>
      <c r="K19" s="199" t="str">
        <f t="shared" si="8"/>
        <v/>
      </c>
      <c r="L19" s="199" t="str">
        <f t="shared" si="9"/>
        <v/>
      </c>
      <c r="M19" s="200" t="str">
        <f t="shared" ca="1" si="3"/>
        <v/>
      </c>
      <c r="O19" s="199" t="str">
        <f t="shared" ca="1" si="17"/>
        <v/>
      </c>
      <c r="P19" s="201" t="str">
        <f t="shared" ca="1" si="18"/>
        <v/>
      </c>
      <c r="Q19" s="202" t="str">
        <f t="shared" ca="1" si="19"/>
        <v/>
      </c>
      <c r="R19" s="203" t="str">
        <f t="shared" ca="1" si="20"/>
        <v/>
      </c>
      <c r="T19" s="114" t="str">
        <f t="shared" si="13"/>
        <v>Sim</v>
      </c>
      <c r="U19" s="114" t="str">
        <f t="shared" si="15"/>
        <v/>
      </c>
      <c r="V19" s="114" t="str">
        <f>Cronogramas!T19</f>
        <v>Sim</v>
      </c>
      <c r="W19" s="114"/>
      <c r="X19" s="114">
        <f>COUNTIF(V$7:$V19,"Sim")</f>
        <v>5</v>
      </c>
      <c r="Y19" s="114">
        <f t="shared" si="10"/>
        <v>23</v>
      </c>
      <c r="Z19" s="185" t="str">
        <f t="shared" si="14"/>
        <v/>
      </c>
      <c r="AA19" s="186" t="str">
        <f t="shared" ca="1" si="7"/>
        <v/>
      </c>
      <c r="AB19" s="207">
        <f ca="1">_xlfn.IFNA(IF(V19="Sim",(IFERROR(SUM(OFFSET(AE19,1,,MATCH("Sim",V20:$V$66,0),1))-AC19,0)+IF(Y19-$W$7=1,SUM($AE$6:AE19)-$AF$7,0)+IF(SUM(Y20:$Y$66)=0,SUM(AE20:$AE$66)-AC19+Analítico!$BK$154)),0),0)</f>
        <v>35088157.075236946</v>
      </c>
      <c r="AC19" s="207">
        <f ca="1">IFERROR(IF(V19="Sim",IFERROR(SUM(OFFSET(AD19,1,,MATCH("Sim",T20:$T$66,0),1)),0)+IF(Y19-$W$7=1,SUM($AD$6:AD19),0)+IF(SUM(Y20:$Y$66)=0,SUM(AD20:$AD$66),0),0),0)</f>
        <v>0</v>
      </c>
      <c r="AD19" s="214">
        <f ca="1">SUM(OFFSET(Analítico!$B$10,0,A19,2,1))</f>
        <v>0</v>
      </c>
      <c r="AE19" s="214">
        <f ca="1">OFFSET(Analítico!$B$155,,A19)</f>
        <v>12917052.358412316</v>
      </c>
      <c r="AF19" s="114"/>
      <c r="AG19" s="114"/>
      <c r="AH19" s="176">
        <f t="shared" si="11"/>
        <v>23</v>
      </c>
    </row>
    <row r="20" spans="1:34" ht="15" x14ac:dyDescent="0.2">
      <c r="A20" s="195">
        <v>14</v>
      </c>
      <c r="B20" s="196">
        <f>IFERROR(IF(EDATE(B19,1)&gt;DATE(YEAR(Capa!$A$7),MONTH(Capa!$A$7),1),"",EDATE(B19,1)),"")</f>
        <v>46419</v>
      </c>
      <c r="C20" s="195">
        <f t="shared" si="16"/>
        <v>23</v>
      </c>
      <c r="D20" s="29"/>
      <c r="E20" s="195"/>
      <c r="F20" s="197"/>
      <c r="G20" s="195"/>
      <c r="H20" s="195"/>
      <c r="I20" s="195"/>
      <c r="K20" s="199" t="str">
        <f t="shared" si="8"/>
        <v/>
      </c>
      <c r="L20" s="199" t="str">
        <f t="shared" si="9"/>
        <v/>
      </c>
      <c r="M20" s="200" t="str">
        <f t="shared" ca="1" si="3"/>
        <v/>
      </c>
      <c r="O20" s="199" t="str">
        <f t="shared" ca="1" si="17"/>
        <v/>
      </c>
      <c r="P20" s="201" t="str">
        <f t="shared" ca="1" si="18"/>
        <v/>
      </c>
      <c r="Q20" s="202" t="str">
        <f t="shared" ca="1" si="19"/>
        <v/>
      </c>
      <c r="R20" s="203" t="str">
        <f t="shared" ca="1" si="20"/>
        <v/>
      </c>
      <c r="T20" s="114" t="str">
        <f t="shared" si="13"/>
        <v>Não</v>
      </c>
      <c r="U20" s="114" t="str">
        <f t="shared" si="15"/>
        <v/>
      </c>
      <c r="V20" s="114" t="str">
        <f>Cronogramas!T20</f>
        <v>Não</v>
      </c>
      <c r="W20" s="114"/>
      <c r="X20" s="114">
        <f>COUNTIF(V$7:$V20,"Sim")</f>
        <v>5</v>
      </c>
      <c r="Y20" s="114" t="str">
        <f t="shared" si="10"/>
        <v/>
      </c>
      <c r="Z20" s="185" t="str">
        <f t="shared" si="14"/>
        <v/>
      </c>
      <c r="AA20" s="186" t="str">
        <f t="shared" ca="1" si="7"/>
        <v/>
      </c>
      <c r="AB20" s="207">
        <f ca="1">_xlfn.IFNA(IF(V20="Sim",(IFERROR(SUM(OFFSET(AE20,1,,MATCH("Sim",V21:$V$66,0),1))-AC20,0)+IF(Y20-$W$7=1,SUM($AE$6:AE20)-$AF$7,0)+IF(SUM(Y21:$Y$66)=0,SUM(AE21:$AE$66)-AC20+Analítico!$BK$154)),0),0)</f>
        <v>0</v>
      </c>
      <c r="AC20" s="207">
        <f ca="1">IFERROR(IF(V20="Sim",IFERROR(SUM(OFFSET(AD20,1,,MATCH("Sim",T21:$T$66,0),1)),0)+IF(Y20-$W$7=1,SUM($AD$6:AD20),0)+IF(SUM(Y21:$Y$66)=0,SUM(AD21:$AD$66),0),0),0)</f>
        <v>0</v>
      </c>
      <c r="AD20" s="214">
        <f ca="1">SUM(OFFSET(Analítico!$B$10,0,A20,2,1))</f>
        <v>0</v>
      </c>
      <c r="AE20" s="214">
        <f ca="1">OFFSET(Analítico!$B$155,,A20)</f>
        <v>10286052.358412316</v>
      </c>
      <c r="AF20" s="114"/>
      <c r="AG20" s="114"/>
      <c r="AH20" s="176">
        <f t="shared" si="11"/>
        <v>23</v>
      </c>
    </row>
    <row r="21" spans="1:34" ht="15" x14ac:dyDescent="0.2">
      <c r="A21" s="195">
        <v>15</v>
      </c>
      <c r="B21" s="196">
        <f>IFERROR(IF(EDATE(B20,1)&gt;DATE(YEAR(Capa!$A$7),MONTH(Capa!$A$7),1),"",EDATE(B20,1)),"")</f>
        <v>46447</v>
      </c>
      <c r="C21" s="195">
        <f t="shared" si="16"/>
        <v>23</v>
      </c>
      <c r="D21" s="29"/>
      <c r="E21" s="195"/>
      <c r="F21" s="197"/>
      <c r="G21" s="195"/>
      <c r="H21" s="195"/>
      <c r="I21" s="195"/>
      <c r="K21" s="199" t="str">
        <f t="shared" si="8"/>
        <v/>
      </c>
      <c r="L21" s="199" t="str">
        <f t="shared" si="9"/>
        <v/>
      </c>
      <c r="M21" s="200" t="str">
        <f t="shared" ca="1" si="3"/>
        <v/>
      </c>
      <c r="O21" s="199" t="str">
        <f t="shared" ca="1" si="17"/>
        <v/>
      </c>
      <c r="P21" s="201" t="str">
        <f t="shared" ca="1" si="18"/>
        <v/>
      </c>
      <c r="Q21" s="202" t="str">
        <f t="shared" ca="1" si="19"/>
        <v/>
      </c>
      <c r="R21" s="203" t="str">
        <f t="shared" ca="1" si="20"/>
        <v/>
      </c>
      <c r="T21" s="114" t="str">
        <f t="shared" si="13"/>
        <v>Não</v>
      </c>
      <c r="U21" s="114" t="str">
        <f t="shared" si="15"/>
        <v/>
      </c>
      <c r="V21" s="114" t="str">
        <f>Cronogramas!T21</f>
        <v>Não</v>
      </c>
      <c r="W21" s="114"/>
      <c r="X21" s="114">
        <f>COUNTIF(V$7:$V21,"Sim")</f>
        <v>5</v>
      </c>
      <c r="Y21" s="114" t="str">
        <f t="shared" si="10"/>
        <v/>
      </c>
      <c r="Z21" s="185" t="str">
        <f t="shared" si="14"/>
        <v/>
      </c>
      <c r="AA21" s="186" t="str">
        <f t="shared" ca="1" si="7"/>
        <v/>
      </c>
      <c r="AB21" s="207">
        <f ca="1">_xlfn.IFNA(IF(V21="Sim",(IFERROR(SUM(OFFSET(AE21,1,,MATCH("Sim",V22:$V$66,0),1))-AC21,0)+IF(Y21-$W$7=1,SUM($AE$6:AE21)-$AF$7,0)+IF(SUM(Y22:$Y$66)=0,SUM(AE22:$AE$66)-AC21+Analítico!$BK$154)),0),0)</f>
        <v>0</v>
      </c>
      <c r="AC21" s="207">
        <f ca="1">IFERROR(IF(V21="Sim",IFERROR(SUM(OFFSET(AD21,1,,MATCH("Sim",T22:$T$66,0),1)),0)+IF(Y21-$W$7=1,SUM($AD$6:AD21),0)+IF(SUM(Y22:$Y$66)=0,SUM(AD22:$AD$66),0),0),0)</f>
        <v>0</v>
      </c>
      <c r="AD21" s="214">
        <f ca="1">SUM(OFFSET(Analítico!$B$10,0,A21,2,1))</f>
        <v>0</v>
      </c>
      <c r="AE21" s="214">
        <f ca="1">OFFSET(Analítico!$B$155,,A21)</f>
        <v>14466052.358412316</v>
      </c>
      <c r="AF21" s="114"/>
      <c r="AG21" s="114"/>
      <c r="AH21" s="176">
        <f t="shared" si="11"/>
        <v>23</v>
      </c>
    </row>
    <row r="22" spans="1:34" ht="15" x14ac:dyDescent="0.2">
      <c r="A22" s="195">
        <v>16</v>
      </c>
      <c r="B22" s="196">
        <f>IFERROR(IF(EDATE(B21,1)&gt;DATE(YEAR(Capa!$A$7),MONTH(Capa!$A$7),1),"",EDATE(B21,1)),"")</f>
        <v>46478</v>
      </c>
      <c r="C22" s="195">
        <f t="shared" si="16"/>
        <v>24</v>
      </c>
      <c r="D22" s="29"/>
      <c r="E22" s="195"/>
      <c r="F22" s="197"/>
      <c r="G22" s="195"/>
      <c r="H22" s="195"/>
      <c r="I22" s="195"/>
      <c r="K22" s="199" t="str">
        <f t="shared" si="8"/>
        <v/>
      </c>
      <c r="L22" s="199" t="str">
        <f t="shared" si="9"/>
        <v/>
      </c>
      <c r="M22" s="200" t="str">
        <f t="shared" ca="1" si="3"/>
        <v/>
      </c>
      <c r="O22" s="199" t="str">
        <f t="shared" ca="1" si="17"/>
        <v/>
      </c>
      <c r="P22" s="201" t="str">
        <f t="shared" ca="1" si="18"/>
        <v/>
      </c>
      <c r="Q22" s="202" t="str">
        <f t="shared" ca="1" si="19"/>
        <v/>
      </c>
      <c r="R22" s="203" t="str">
        <f t="shared" ca="1" si="20"/>
        <v/>
      </c>
      <c r="T22" s="114" t="str">
        <f t="shared" si="13"/>
        <v>Sim</v>
      </c>
      <c r="U22" s="114" t="str">
        <f t="shared" si="15"/>
        <v/>
      </c>
      <c r="V22" s="114" t="str">
        <f>Cronogramas!T22</f>
        <v>Sim</v>
      </c>
      <c r="W22" s="114"/>
      <c r="X22" s="114">
        <f>COUNTIF(V$7:$V22,"Sim")</f>
        <v>6</v>
      </c>
      <c r="Y22" s="114">
        <f t="shared" si="10"/>
        <v>24</v>
      </c>
      <c r="Z22" s="185" t="str">
        <f t="shared" si="14"/>
        <v/>
      </c>
      <c r="AA22" s="186" t="str">
        <f t="shared" ca="1" si="7"/>
        <v/>
      </c>
      <c r="AB22" s="207">
        <f ca="1">_xlfn.IFNA(IF(V22="Sim",(IFERROR(SUM(OFFSET(AE22,1,,MATCH("Sim",V23:$V$66,0),1))-AC22,0)+IF(Y22-$W$7=1,SUM($AE$6:AE22)-$AF$7,0)+IF(SUM(Y23:$Y$66)=0,SUM(AE23:$AE$66)-AC22+Analítico!$BK$154)),0),0)</f>
        <v>29058157.075236946</v>
      </c>
      <c r="AC22" s="207">
        <f ca="1">IFERROR(IF(V22="Sim",IFERROR(SUM(OFFSET(AD22,1,,MATCH("Sim",T23:$T$66,0),1)),0)+IF(Y22-$W$7=1,SUM($AD$6:AD22),0)+IF(SUM(Y23:$Y$66)=0,SUM(AD23:$AD$66),0),0),0)</f>
        <v>0</v>
      </c>
      <c r="AD22" s="214">
        <f ca="1">SUM(OFFSET(Analítico!$B$10,0,A22,2,1))</f>
        <v>0</v>
      </c>
      <c r="AE22" s="214">
        <f ca="1">OFFSET(Analítico!$B$155,,A22)</f>
        <v>10336052.358412316</v>
      </c>
      <c r="AF22" s="114"/>
      <c r="AG22" s="114"/>
      <c r="AH22" s="176">
        <f t="shared" si="11"/>
        <v>24</v>
      </c>
    </row>
    <row r="23" spans="1:34" ht="15" x14ac:dyDescent="0.2">
      <c r="A23" s="195">
        <v>17</v>
      </c>
      <c r="B23" s="196">
        <f>IFERROR(IF(EDATE(B22,1)&gt;DATE(YEAR(Capa!$A$7),MONTH(Capa!$A$7),1),"",EDATE(B22,1)),"")</f>
        <v>46508</v>
      </c>
      <c r="C23" s="195">
        <f t="shared" si="16"/>
        <v>24</v>
      </c>
      <c r="D23" s="29"/>
      <c r="E23" s="195"/>
      <c r="F23" s="197"/>
      <c r="G23" s="195"/>
      <c r="H23" s="195"/>
      <c r="I23" s="195"/>
      <c r="K23" s="199" t="str">
        <f t="shared" si="8"/>
        <v/>
      </c>
      <c r="L23" s="199" t="str">
        <f t="shared" si="9"/>
        <v/>
      </c>
      <c r="M23" s="200" t="str">
        <f t="shared" ca="1" si="3"/>
        <v/>
      </c>
      <c r="O23" s="199" t="str">
        <f t="shared" ca="1" si="17"/>
        <v/>
      </c>
      <c r="P23" s="201" t="str">
        <f t="shared" ca="1" si="18"/>
        <v/>
      </c>
      <c r="Q23" s="202" t="str">
        <f t="shared" ca="1" si="19"/>
        <v/>
      </c>
      <c r="R23" s="203" t="str">
        <f t="shared" ca="1" si="20"/>
        <v/>
      </c>
      <c r="T23" s="114" t="str">
        <f t="shared" si="13"/>
        <v>Não</v>
      </c>
      <c r="U23" s="114" t="str">
        <f t="shared" si="15"/>
        <v/>
      </c>
      <c r="V23" s="114" t="str">
        <f>Cronogramas!T23</f>
        <v>Não</v>
      </c>
      <c r="W23" s="114"/>
      <c r="X23" s="114">
        <f>COUNTIF(V$7:$V23,"Sim")</f>
        <v>6</v>
      </c>
      <c r="Y23" s="114" t="str">
        <f t="shared" si="10"/>
        <v/>
      </c>
      <c r="Z23" s="185" t="str">
        <f t="shared" si="14"/>
        <v/>
      </c>
      <c r="AA23" s="186" t="str">
        <f t="shared" ca="1" si="7"/>
        <v/>
      </c>
      <c r="AB23" s="207">
        <f ca="1">_xlfn.IFNA(IF(V23="Sim",(IFERROR(SUM(OFFSET(AE23,1,,MATCH("Sim",V24:$V$66,0),1))-AC23,0)+IF(Y23-$W$7=1,SUM($AE$6:AE23)-$AF$7,0)+IF(SUM(Y24:$Y$66)=0,SUM(AE24:$AE$66)-AC23+Analítico!$BK$154)),0),0)</f>
        <v>0</v>
      </c>
      <c r="AC23" s="207">
        <f ca="1">IFERROR(IF(V23="Sim",IFERROR(SUM(OFFSET(AD23,1,,MATCH("Sim",T24:$T$66,0),1)),0)+IF(Y23-$W$7=1,SUM($AD$6:AD23),0)+IF(SUM(Y24:$Y$66)=0,SUM(AD24:$AD$66),0),0),0)</f>
        <v>0</v>
      </c>
      <c r="AD23" s="214">
        <f ca="1">SUM(OFFSET(Analítico!$B$10,0,A23,2,1))</f>
        <v>0</v>
      </c>
      <c r="AE23" s="214">
        <f ca="1">OFFSET(Analítico!$B$155,,A23)</f>
        <v>9586052.3584123161</v>
      </c>
      <c r="AF23" s="114"/>
      <c r="AG23" s="114"/>
      <c r="AH23" s="176">
        <f t="shared" si="11"/>
        <v>24</v>
      </c>
    </row>
    <row r="24" spans="1:34" ht="15" x14ac:dyDescent="0.2">
      <c r="A24" s="195">
        <v>18</v>
      </c>
      <c r="B24" s="196">
        <f>IFERROR(IF(EDATE(B23,1)&gt;DATE(YEAR(Capa!$A$7),MONTH(Capa!$A$7),1),"",EDATE(B23,1)),"")</f>
        <v>46539</v>
      </c>
      <c r="C24" s="195">
        <f t="shared" si="16"/>
        <v>24</v>
      </c>
      <c r="D24" s="29"/>
      <c r="E24" s="195"/>
      <c r="F24" s="195"/>
      <c r="G24" s="195"/>
      <c r="H24" s="195"/>
      <c r="I24" s="195"/>
      <c r="K24" s="199" t="str">
        <f t="shared" si="8"/>
        <v/>
      </c>
      <c r="L24" s="199" t="str">
        <f t="shared" si="9"/>
        <v/>
      </c>
      <c r="M24" s="200" t="str">
        <f t="shared" ca="1" si="3"/>
        <v/>
      </c>
      <c r="O24" s="199" t="str">
        <f t="shared" ca="1" si="17"/>
        <v/>
      </c>
      <c r="P24" s="201" t="str">
        <f t="shared" ca="1" si="18"/>
        <v/>
      </c>
      <c r="Q24" s="202" t="str">
        <f t="shared" ca="1" si="19"/>
        <v/>
      </c>
      <c r="R24" s="203" t="str">
        <f t="shared" ca="1" si="20"/>
        <v/>
      </c>
      <c r="T24" s="114" t="str">
        <f t="shared" si="13"/>
        <v>Não</v>
      </c>
      <c r="U24" s="114" t="str">
        <f t="shared" si="15"/>
        <v/>
      </c>
      <c r="V24" s="114" t="str">
        <f>Cronogramas!T24</f>
        <v>Não</v>
      </c>
      <c r="W24" s="114"/>
      <c r="X24" s="114">
        <f>COUNTIF(V$7:$V24,"Sim")</f>
        <v>6</v>
      </c>
      <c r="Y24" s="114" t="str">
        <f t="shared" si="10"/>
        <v/>
      </c>
      <c r="Z24" s="185" t="str">
        <f t="shared" si="14"/>
        <v/>
      </c>
      <c r="AA24" s="186" t="str">
        <f t="shared" ca="1" si="7"/>
        <v/>
      </c>
      <c r="AB24" s="207">
        <f ca="1">_xlfn.IFNA(IF(V24="Sim",(IFERROR(SUM(OFFSET(AE24,1,,MATCH("Sim",V25:$V$66,0),1))-AC24,0)+IF(Y24-$W$7=1,SUM($AE$6:AE24)-$AF$7,0)+IF(SUM(Y25:$Y$66)=0,SUM(AE25:$AE$66)-AC24+Analítico!$BK$154)),0),0)</f>
        <v>0</v>
      </c>
      <c r="AC24" s="207">
        <f ca="1">IFERROR(IF(V24="Sim",IFERROR(SUM(OFFSET(AD24,1,,MATCH("Sim",T25:$T$66,0),1)),0)+IF(Y24-$W$7=1,SUM($AD$6:AD24),0)+IF(SUM(Y25:$Y$66)=0,SUM(AD25:$AD$66),0),0),0)</f>
        <v>0</v>
      </c>
      <c r="AD24" s="207">
        <f ca="1">SUM(OFFSET(Analítico!$B$10,0,A24,2,1))</f>
        <v>0</v>
      </c>
      <c r="AE24" s="207">
        <f ca="1">OFFSET(Analítico!$B$155,,A24)</f>
        <v>9886052.3584123161</v>
      </c>
      <c r="AH24" s="176">
        <f t="shared" si="11"/>
        <v>24</v>
      </c>
    </row>
    <row r="25" spans="1:34" ht="15" x14ac:dyDescent="0.2">
      <c r="A25" s="195">
        <v>19</v>
      </c>
      <c r="B25" s="196">
        <f>IFERROR(IF(EDATE(B24,1)&gt;DATE(YEAR(Capa!$A$7),MONTH(Capa!$A$7),1),"",EDATE(B24,1)),"")</f>
        <v>46569</v>
      </c>
      <c r="C25" s="195">
        <f t="shared" si="16"/>
        <v>25</v>
      </c>
      <c r="D25" s="29"/>
      <c r="E25" s="195"/>
      <c r="F25" s="195"/>
      <c r="G25" s="195"/>
      <c r="H25" s="195"/>
      <c r="I25" s="195"/>
      <c r="K25" s="199" t="str">
        <f t="shared" si="8"/>
        <v/>
      </c>
      <c r="L25" s="199" t="str">
        <f t="shared" si="9"/>
        <v/>
      </c>
      <c r="M25" s="200" t="str">
        <f t="shared" ca="1" si="3"/>
        <v/>
      </c>
      <c r="O25" s="199" t="str">
        <f t="shared" ca="1" si="17"/>
        <v/>
      </c>
      <c r="P25" s="201" t="str">
        <f t="shared" ca="1" si="18"/>
        <v/>
      </c>
      <c r="Q25" s="202" t="str">
        <f t="shared" ca="1" si="19"/>
        <v/>
      </c>
      <c r="R25" s="203" t="str">
        <f t="shared" ca="1" si="20"/>
        <v/>
      </c>
      <c r="T25" s="114" t="str">
        <f t="shared" si="13"/>
        <v>Sim</v>
      </c>
      <c r="U25" s="114" t="str">
        <f t="shared" si="15"/>
        <v/>
      </c>
      <c r="V25" s="114" t="str">
        <f>Cronogramas!T25</f>
        <v>Sim</v>
      </c>
      <c r="W25" s="114"/>
      <c r="X25" s="114">
        <f>COUNTIF(V$7:$V25,"Sim")</f>
        <v>7</v>
      </c>
      <c r="Y25" s="114">
        <f t="shared" si="10"/>
        <v>25</v>
      </c>
      <c r="Z25" s="185" t="str">
        <f t="shared" si="14"/>
        <v/>
      </c>
      <c r="AA25" s="186" t="str">
        <f t="shared" ca="1" si="7"/>
        <v/>
      </c>
      <c r="AB25" s="207">
        <f ca="1">_xlfn.IFNA(IF(V25="Sim",(IFERROR(SUM(OFFSET(AE25,1,,MATCH("Sim",V26:$V$66,0),1))-AC25,0)+IF(Y25-$W$7=1,SUM($AE$6:AE25)-$AF$7,0)+IF(SUM(Y26:$Y$66)=0,SUM(AE26:$AE$66)-AC25+Analítico!$BK$154)),0),0)</f>
        <v>28758157.075236946</v>
      </c>
      <c r="AC25" s="207">
        <f ca="1">IFERROR(IF(V25="Sim",IFERROR(SUM(OFFSET(AD25,1,,MATCH("Sim",T26:$T$66,0),1)),0)+IF(Y25-$W$7=1,SUM($AD$6:AD25),0)+IF(SUM(Y26:$Y$66)=0,SUM(AD26:$AD$66),0),0),0)</f>
        <v>0</v>
      </c>
      <c r="AD25" s="207">
        <f ca="1">SUM(OFFSET(Analítico!$B$10,0,A25,2,1))</f>
        <v>0</v>
      </c>
      <c r="AE25" s="207">
        <f ca="1">OFFSET(Analítico!$B$155,,A25)</f>
        <v>9586052.3584123161</v>
      </c>
      <c r="AH25" s="176">
        <f t="shared" si="11"/>
        <v>25</v>
      </c>
    </row>
    <row r="26" spans="1:34" ht="15" x14ac:dyDescent="0.2">
      <c r="A26" s="195">
        <v>20</v>
      </c>
      <c r="B26" s="196">
        <f>IFERROR(IF(EDATE(B25,1)&gt;DATE(YEAR(Capa!$A$7),MONTH(Capa!$A$7),1),"",EDATE(B25,1)),"")</f>
        <v>46600</v>
      </c>
      <c r="C26" s="195">
        <f t="shared" si="16"/>
        <v>25</v>
      </c>
      <c r="D26" s="29"/>
      <c r="E26" s="195"/>
      <c r="F26" s="195"/>
      <c r="G26" s="195"/>
      <c r="H26" s="195"/>
      <c r="I26" s="195"/>
      <c r="K26" s="199" t="str">
        <f t="shared" si="8"/>
        <v/>
      </c>
      <c r="L26" s="199" t="str">
        <f t="shared" si="9"/>
        <v/>
      </c>
      <c r="M26" s="200" t="str">
        <f t="shared" ca="1" si="3"/>
        <v/>
      </c>
      <c r="O26" s="199" t="str">
        <f t="shared" ca="1" si="17"/>
        <v/>
      </c>
      <c r="P26" s="201" t="str">
        <f t="shared" ca="1" si="18"/>
        <v/>
      </c>
      <c r="Q26" s="202" t="str">
        <f t="shared" ca="1" si="19"/>
        <v/>
      </c>
      <c r="R26" s="203" t="str">
        <f t="shared" ca="1" si="20"/>
        <v/>
      </c>
      <c r="T26" s="114" t="str">
        <f t="shared" si="13"/>
        <v>Não</v>
      </c>
      <c r="U26" s="114" t="str">
        <f t="shared" si="15"/>
        <v/>
      </c>
      <c r="V26" s="114" t="str">
        <f>Cronogramas!T26</f>
        <v>Não</v>
      </c>
      <c r="W26" s="114"/>
      <c r="X26" s="114">
        <f>COUNTIF(V$7:$V26,"Sim")</f>
        <v>7</v>
      </c>
      <c r="Y26" s="114" t="str">
        <f t="shared" si="10"/>
        <v/>
      </c>
      <c r="Z26" s="185" t="str">
        <f t="shared" si="14"/>
        <v/>
      </c>
      <c r="AA26" s="186" t="str">
        <f t="shared" ca="1" si="7"/>
        <v/>
      </c>
      <c r="AB26" s="207">
        <f ca="1">_xlfn.IFNA(IF(V26="Sim",(IFERROR(SUM(OFFSET(AE26,1,,MATCH("Sim",V27:$V$66,0),1))-AC26,0)+IF(Y26-$W$7=1,SUM($AE$6:AE26)-$AF$7,0)+IF(SUM(Y27:$Y$66)=0,SUM(AE27:$AE$66)-AC26+Analítico!$BK$154)),0),0)</f>
        <v>0</v>
      </c>
      <c r="AC26" s="207">
        <f ca="1">IFERROR(IF(V26="Sim",IFERROR(SUM(OFFSET(AD26,1,,MATCH("Sim",T27:$T$66,0),1)),0)+IF(Y26-$W$7=1,SUM($AD$6:AD26),0)+IF(SUM(Y27:$Y$66)=0,SUM(AD27:$AD$66),0),0),0)</f>
        <v>0</v>
      </c>
      <c r="AD26" s="207">
        <f ca="1">SUM(OFFSET(Analítico!$B$10,0,A26,2,1))</f>
        <v>0</v>
      </c>
      <c r="AE26" s="207">
        <f ca="1">OFFSET(Analítico!$B$155,,A26)</f>
        <v>9586052.3584123161</v>
      </c>
      <c r="AH26" s="176">
        <f t="shared" si="11"/>
        <v>25</v>
      </c>
    </row>
    <row r="27" spans="1:34" ht="15" x14ac:dyDescent="0.2">
      <c r="A27" s="195">
        <v>21</v>
      </c>
      <c r="B27" s="196">
        <f>IFERROR(IF(EDATE(B26,1)&gt;DATE(YEAR(Capa!$A$7),MONTH(Capa!$A$7),1),"",EDATE(B26,1)),"")</f>
        <v>46631</v>
      </c>
      <c r="C27" s="195">
        <f t="shared" si="16"/>
        <v>25</v>
      </c>
      <c r="D27" s="29"/>
      <c r="E27" s="195"/>
      <c r="F27" s="195"/>
      <c r="G27" s="195"/>
      <c r="H27" s="195"/>
      <c r="I27" s="195"/>
      <c r="K27" s="199" t="str">
        <f t="shared" si="8"/>
        <v/>
      </c>
      <c r="L27" s="199" t="str">
        <f t="shared" si="9"/>
        <v/>
      </c>
      <c r="M27" s="200" t="str">
        <f t="shared" ca="1" si="3"/>
        <v/>
      </c>
      <c r="O27" s="199" t="str">
        <f t="shared" ca="1" si="17"/>
        <v/>
      </c>
      <c r="P27" s="201" t="str">
        <f t="shared" ca="1" si="18"/>
        <v/>
      </c>
      <c r="Q27" s="202" t="str">
        <f t="shared" ca="1" si="19"/>
        <v/>
      </c>
      <c r="R27" s="203" t="str">
        <f t="shared" ca="1" si="20"/>
        <v/>
      </c>
      <c r="T27" s="114" t="str">
        <f t="shared" si="13"/>
        <v>Não</v>
      </c>
      <c r="U27" s="114" t="str">
        <f t="shared" si="15"/>
        <v/>
      </c>
      <c r="V27" s="114" t="str">
        <f>Cronogramas!T27</f>
        <v>Não</v>
      </c>
      <c r="W27" s="114"/>
      <c r="X27" s="114">
        <f>COUNTIF(V$7:$V27,"Sim")</f>
        <v>7</v>
      </c>
      <c r="Y27" s="114" t="str">
        <f t="shared" si="10"/>
        <v/>
      </c>
      <c r="Z27" s="185" t="str">
        <f t="shared" si="14"/>
        <v/>
      </c>
      <c r="AA27" s="186" t="str">
        <f t="shared" ca="1" si="7"/>
        <v/>
      </c>
      <c r="AB27" s="207">
        <f ca="1">_xlfn.IFNA(IF(V27="Sim",(IFERROR(SUM(OFFSET(AE27,1,,MATCH("Sim",V28:$V$66,0),1))-AC27,0)+IF(Y27-$W$7=1,SUM($AE$6:AE27)-$AF$7,0)+IF(SUM(Y28:$Y$66)=0,SUM(AE28:$AE$66)-AC27+Analítico!$BK$154)),0),0)</f>
        <v>0</v>
      </c>
      <c r="AC27" s="207">
        <f ca="1">IFERROR(IF(V27="Sim",IFERROR(SUM(OFFSET(AD27,1,,MATCH("Sim",T28:$T$66,0),1)),0)+IF(Y27-$W$7=1,SUM($AD$6:AD27),0)+IF(SUM(Y28:$Y$66)=0,SUM(AD28:$AD$66),0),0),0)</f>
        <v>0</v>
      </c>
      <c r="AD27" s="207">
        <f ca="1">SUM(OFFSET(Analítico!$B$10,0,A27,2,1))</f>
        <v>0</v>
      </c>
      <c r="AE27" s="207">
        <f ca="1">OFFSET(Analítico!$B$155,,A27)</f>
        <v>9586052.3584123161</v>
      </c>
      <c r="AH27" s="176">
        <f t="shared" si="11"/>
        <v>25</v>
      </c>
    </row>
    <row r="28" spans="1:34" ht="15" x14ac:dyDescent="0.2">
      <c r="A28" s="195">
        <v>22</v>
      </c>
      <c r="B28" s="196">
        <f>IFERROR(IF(EDATE(B27,1)&gt;DATE(YEAR(Capa!$A$7),MONTH(Capa!$A$7),1),"",EDATE(B27,1)),"")</f>
        <v>46661</v>
      </c>
      <c r="C28" s="195">
        <f t="shared" si="16"/>
        <v>26</v>
      </c>
      <c r="D28" s="29"/>
      <c r="E28" s="195"/>
      <c r="F28" s="195"/>
      <c r="G28" s="195"/>
      <c r="H28" s="195"/>
      <c r="I28" s="195"/>
      <c r="K28" s="199" t="str">
        <f t="shared" si="8"/>
        <v/>
      </c>
      <c r="L28" s="199" t="str">
        <f t="shared" si="9"/>
        <v/>
      </c>
      <c r="M28" s="200" t="str">
        <f t="shared" ca="1" si="3"/>
        <v/>
      </c>
      <c r="O28" s="199" t="str">
        <f t="shared" ca="1" si="17"/>
        <v/>
      </c>
      <c r="P28" s="201" t="str">
        <f t="shared" ca="1" si="18"/>
        <v/>
      </c>
      <c r="Q28" s="202" t="str">
        <f t="shared" ca="1" si="19"/>
        <v/>
      </c>
      <c r="R28" s="203" t="str">
        <f t="shared" ca="1" si="20"/>
        <v/>
      </c>
      <c r="T28" s="114" t="str">
        <f t="shared" si="13"/>
        <v>Sim</v>
      </c>
      <c r="U28" s="114" t="str">
        <f t="shared" si="15"/>
        <v/>
      </c>
      <c r="V28" s="114" t="str">
        <f>Cronogramas!T28</f>
        <v>Sim</v>
      </c>
      <c r="W28" s="114"/>
      <c r="X28" s="114">
        <f>COUNTIF(V$7:$V28,"Sim")</f>
        <v>8</v>
      </c>
      <c r="Y28" s="114">
        <f t="shared" si="10"/>
        <v>26</v>
      </c>
      <c r="Z28" s="185" t="str">
        <f t="shared" si="14"/>
        <v/>
      </c>
      <c r="AA28" s="186" t="str">
        <f t="shared" ca="1" si="7"/>
        <v/>
      </c>
      <c r="AB28" s="207">
        <f ca="1">_xlfn.IFNA(IF(V28="Sim",(IFERROR(SUM(OFFSET(AE28,1,,MATCH("Sim",V29:$V$66,0),1))-AC28,0)+IF(Y28-$W$7=1,SUM($AE$6:AE28)-$AF$7,0)+IF(SUM(Y29:$Y$66)=0,SUM(AE29:$AE$66)-AC28+Analítico!$BK$154)),0),0)</f>
        <v>31284090.105611857</v>
      </c>
      <c r="AC28" s="207">
        <f ca="1">IFERROR(IF(V28="Sim",IFERROR(SUM(OFFSET(AD28,1,,MATCH("Sim",T29:$T$66,0),1)),0)+IF(Y28-$W$7=1,SUM($AD$6:AD28),0)+IF(SUM(Y29:$Y$66)=0,SUM(AD29:$AD$66),0),0),0)</f>
        <v>0</v>
      </c>
      <c r="AD28" s="207">
        <f ca="1">SUM(OFFSET(Analítico!$B$10,0,A28,2,1))</f>
        <v>0</v>
      </c>
      <c r="AE28" s="207">
        <f ca="1">OFFSET(Analítico!$B$155,,A28)</f>
        <v>9586052.3584123161</v>
      </c>
      <c r="AH28" s="176">
        <f t="shared" si="11"/>
        <v>26</v>
      </c>
    </row>
    <row r="29" spans="1:34" ht="15" x14ac:dyDescent="0.2">
      <c r="A29" s="195">
        <v>23</v>
      </c>
      <c r="B29" s="196">
        <f>IFERROR(IF(EDATE(B28,1)&gt;DATE(YEAR(Capa!$A$7),MONTH(Capa!$A$7),1),"",EDATE(B28,1)),"")</f>
        <v>46692</v>
      </c>
      <c r="C29" s="195">
        <f t="shared" si="16"/>
        <v>26</v>
      </c>
      <c r="D29" s="29"/>
      <c r="E29" s="195"/>
      <c r="F29" s="195"/>
      <c r="G29" s="195"/>
      <c r="H29" s="195"/>
      <c r="I29" s="195"/>
      <c r="K29" s="199" t="str">
        <f t="shared" si="8"/>
        <v/>
      </c>
      <c r="L29" s="199" t="str">
        <f t="shared" si="9"/>
        <v/>
      </c>
      <c r="M29" s="200" t="str">
        <f t="shared" ca="1" si="3"/>
        <v/>
      </c>
      <c r="O29" s="199" t="str">
        <f t="shared" ca="1" si="17"/>
        <v/>
      </c>
      <c r="P29" s="201" t="str">
        <f t="shared" ca="1" si="18"/>
        <v/>
      </c>
      <c r="Q29" s="202" t="str">
        <f t="shared" ca="1" si="19"/>
        <v/>
      </c>
      <c r="R29" s="203" t="str">
        <f t="shared" ca="1" si="20"/>
        <v/>
      </c>
      <c r="T29" s="114" t="str">
        <f t="shared" si="13"/>
        <v>Não</v>
      </c>
      <c r="U29" s="114" t="str">
        <f t="shared" si="15"/>
        <v/>
      </c>
      <c r="V29" s="114" t="str">
        <f>Cronogramas!T29</f>
        <v>Não</v>
      </c>
      <c r="W29" s="114"/>
      <c r="X29" s="114">
        <f>COUNTIF(V$7:$V29,"Sim")</f>
        <v>8</v>
      </c>
      <c r="Y29" s="114" t="str">
        <f t="shared" si="10"/>
        <v/>
      </c>
      <c r="Z29" s="185" t="str">
        <f t="shared" si="14"/>
        <v/>
      </c>
      <c r="AA29" s="186" t="str">
        <f t="shared" ca="1" si="7"/>
        <v/>
      </c>
      <c r="AB29" s="207">
        <f ca="1">_xlfn.IFNA(IF(V29="Sim",(IFERROR(SUM(OFFSET(AE29,1,,MATCH("Sim",V30:$V$66,0),1))-AC29,0)+IF(Y29-$W$7=1,SUM($AE$6:AE29)-$AF$7,0)+IF(SUM(Y30:$Y$66)=0,SUM(AE30:$AE$66)-AC29+Analítico!$BK$154)),0),0)</f>
        <v>0</v>
      </c>
      <c r="AC29" s="207">
        <f ca="1">IFERROR(IF(V29="Sim",IFERROR(SUM(OFFSET(AD29,1,,MATCH("Sim",T30:$T$66,0),1)),0)+IF(Y29-$W$7=1,SUM($AD$6:AD29),0)+IF(SUM(Y30:$Y$66)=0,SUM(AD30:$AD$66),0),0),0)</f>
        <v>0</v>
      </c>
      <c r="AD29" s="207">
        <f ca="1">SUM(OFFSET(Analítico!$B$10,0,A29,2,1))</f>
        <v>0</v>
      </c>
      <c r="AE29" s="207">
        <f ca="1">OFFSET(Analítico!$B$155,,A29)</f>
        <v>9586052.3584123161</v>
      </c>
      <c r="AH29" s="176">
        <f t="shared" si="11"/>
        <v>26</v>
      </c>
    </row>
    <row r="30" spans="1:34" ht="15" x14ac:dyDescent="0.2">
      <c r="A30" s="195">
        <v>24</v>
      </c>
      <c r="B30" s="196">
        <f>IFERROR(IF(EDATE(B29,1)&gt;DATE(YEAR(Capa!$A$7),MONTH(Capa!$A$7),1),"",EDATE(B29,1)),"")</f>
        <v>46722</v>
      </c>
      <c r="C30" s="195">
        <f t="shared" si="16"/>
        <v>26</v>
      </c>
      <c r="D30" s="29"/>
      <c r="E30" s="195"/>
      <c r="F30" s="195"/>
      <c r="G30" s="195"/>
      <c r="H30" s="195"/>
      <c r="I30" s="195"/>
      <c r="K30" s="199" t="str">
        <f t="shared" si="8"/>
        <v/>
      </c>
      <c r="L30" s="199" t="str">
        <f t="shared" si="9"/>
        <v/>
      </c>
      <c r="M30" s="200" t="str">
        <f t="shared" ca="1" si="3"/>
        <v/>
      </c>
      <c r="O30" s="199" t="str">
        <f t="shared" ca="1" si="17"/>
        <v/>
      </c>
      <c r="P30" s="201" t="str">
        <f t="shared" ca="1" si="18"/>
        <v/>
      </c>
      <c r="Q30" s="202" t="str">
        <f t="shared" ca="1" si="19"/>
        <v/>
      </c>
      <c r="R30" s="203" t="str">
        <f t="shared" ca="1" si="20"/>
        <v/>
      </c>
      <c r="T30" s="114" t="str">
        <f t="shared" si="13"/>
        <v>Não</v>
      </c>
      <c r="U30" s="114" t="str">
        <f t="shared" si="15"/>
        <v/>
      </c>
      <c r="V30" s="114" t="str">
        <f>Cronogramas!T30</f>
        <v>Não</v>
      </c>
      <c r="W30" s="114"/>
      <c r="X30" s="114">
        <f>COUNTIF(V$7:$V30,"Sim")</f>
        <v>8</v>
      </c>
      <c r="Y30" s="114" t="str">
        <f t="shared" si="10"/>
        <v/>
      </c>
      <c r="Z30" s="185" t="str">
        <f t="shared" si="14"/>
        <v/>
      </c>
      <c r="AA30" s="186" t="str">
        <f t="shared" ca="1" si="7"/>
        <v/>
      </c>
      <c r="AB30" s="207">
        <f ca="1">_xlfn.IFNA(IF(V30="Sim",(IFERROR(SUM(OFFSET(AE30,1,,MATCH("Sim",V31:$V$66,0),1))-AC30,0)+IF(Y30-$W$7=1,SUM($AE$6:AE30)-$AF$7,0)+IF(SUM(Y31:$Y$66)=0,SUM(AE31:$AE$66)-AC30+Analítico!$BK$154)),0),0)</f>
        <v>0</v>
      </c>
      <c r="AC30" s="207">
        <f ca="1">IFERROR(IF(V30="Sim",IFERROR(SUM(OFFSET(AD30,1,,MATCH("Sim",T31:$T$66,0),1)),0)+IF(Y30-$W$7=1,SUM($AD$6:AD30),0)+IF(SUM(Y31:$Y$66)=0,SUM(AD31:$AD$66),0),0),0)</f>
        <v>0</v>
      </c>
      <c r="AD30" s="207">
        <f ca="1">SUM(OFFSET(Analítico!$B$10,0,A30,2,1))</f>
        <v>0</v>
      </c>
      <c r="AE30" s="207">
        <f ca="1">OFFSET(Analítico!$B$155,,A30)</f>
        <v>9666052.3584123161</v>
      </c>
      <c r="AH30" s="176">
        <f t="shared" si="11"/>
        <v>26</v>
      </c>
    </row>
    <row r="31" spans="1:34" ht="15" x14ac:dyDescent="0.2">
      <c r="A31" s="195">
        <v>25</v>
      </c>
      <c r="B31" s="196">
        <f>IFERROR(IF(EDATE(B30,1)&gt;DATE(YEAR(Capa!$A$7),MONTH(Capa!$A$7),1),"",EDATE(B30,1)),"")</f>
        <v>46753</v>
      </c>
      <c r="C31" s="195">
        <f t="shared" si="16"/>
        <v>27</v>
      </c>
      <c r="D31" s="29"/>
      <c r="E31" s="195"/>
      <c r="F31" s="195"/>
      <c r="G31" s="195"/>
      <c r="H31" s="195"/>
      <c r="I31" s="195"/>
      <c r="K31" s="199" t="str">
        <f t="shared" si="8"/>
        <v/>
      </c>
      <c r="L31" s="199" t="str">
        <f t="shared" si="9"/>
        <v/>
      </c>
      <c r="M31" s="200" t="str">
        <f t="shared" ca="1" si="3"/>
        <v/>
      </c>
      <c r="O31" s="199" t="str">
        <f t="shared" ca="1" si="17"/>
        <v/>
      </c>
      <c r="P31" s="201" t="str">
        <f t="shared" ca="1" si="18"/>
        <v/>
      </c>
      <c r="Q31" s="202" t="str">
        <f t="shared" ca="1" si="19"/>
        <v/>
      </c>
      <c r="R31" s="203" t="str">
        <f t="shared" ca="1" si="20"/>
        <v/>
      </c>
      <c r="T31" s="114" t="str">
        <f t="shared" si="13"/>
        <v>Sim</v>
      </c>
      <c r="U31" s="114" t="str">
        <f t="shared" si="15"/>
        <v/>
      </c>
      <c r="V31" s="114" t="str">
        <f>Cronogramas!T31</f>
        <v>Sim</v>
      </c>
      <c r="W31" s="114"/>
      <c r="X31" s="114">
        <f>COUNTIF(V$7:$V31,"Sim")</f>
        <v>9</v>
      </c>
      <c r="Y31" s="114">
        <f t="shared" si="10"/>
        <v>27</v>
      </c>
      <c r="Z31" s="185" t="str">
        <f t="shared" si="14"/>
        <v/>
      </c>
      <c r="AA31" s="186" t="str">
        <f t="shared" ca="1" si="7"/>
        <v/>
      </c>
      <c r="AB31" s="207">
        <f ca="1">_xlfn.IFNA(IF(V31="Sim",(IFERROR(SUM(OFFSET(AE31,1,,MATCH("Sim",V32:$V$66,0),1))-AC31,0)+IF(Y31-$W$7=1,SUM($AE$6:AE31)-$AF$7,0)+IF(SUM(Y32:$Y$66)=0,SUM(AE32:$AE$66)-AC31+Analítico!$BK$154)),0),0)</f>
        <v>30153956.166361675</v>
      </c>
      <c r="AC31" s="207">
        <f ca="1">IFERROR(IF(V31="Sim",IFERROR(SUM(OFFSET(AD31,1,,MATCH("Sim",T32:$T$66,0),1)),0)+IF(Y31-$W$7=1,SUM($AD$6:AD31),0)+IF(SUM(Y32:$Y$66)=0,SUM(AD32:$AD$66),0),0),0)</f>
        <v>0</v>
      </c>
      <c r="AD31" s="207">
        <f ca="1">SUM(OFFSET(Analítico!$B$10,0,A31,2,1))</f>
        <v>0</v>
      </c>
      <c r="AE31" s="207">
        <f ca="1">OFFSET(Analítico!$B$155,,A31)</f>
        <v>12031985.388787225</v>
      </c>
      <c r="AH31" s="176">
        <f t="shared" si="11"/>
        <v>27</v>
      </c>
    </row>
    <row r="32" spans="1:34" ht="15" x14ac:dyDescent="0.2">
      <c r="A32" s="195">
        <v>26</v>
      </c>
      <c r="B32" s="196">
        <f>IFERROR(IF(EDATE(B31,1)&gt;DATE(YEAR(Capa!$A$7),MONTH(Capa!$A$7),1),"",EDATE(B31,1)),"")</f>
        <v>46784</v>
      </c>
      <c r="C32" s="195">
        <f t="shared" si="16"/>
        <v>27</v>
      </c>
      <c r="D32" s="29"/>
      <c r="E32" s="195"/>
      <c r="F32" s="195"/>
      <c r="G32" s="195"/>
      <c r="H32" s="195"/>
      <c r="I32" s="195"/>
      <c r="K32" s="199" t="str">
        <f t="shared" si="8"/>
        <v/>
      </c>
      <c r="L32" s="199" t="str">
        <f t="shared" si="9"/>
        <v/>
      </c>
      <c r="M32" s="200" t="str">
        <f t="shared" ca="1" si="3"/>
        <v/>
      </c>
      <c r="O32" s="199" t="str">
        <f t="shared" ca="1" si="17"/>
        <v/>
      </c>
      <c r="P32" s="201" t="str">
        <f t="shared" ca="1" si="18"/>
        <v/>
      </c>
      <c r="Q32" s="202" t="str">
        <f t="shared" ca="1" si="19"/>
        <v/>
      </c>
      <c r="R32" s="203" t="str">
        <f t="shared" ca="1" si="20"/>
        <v/>
      </c>
      <c r="T32" s="114" t="str">
        <f t="shared" si="13"/>
        <v>Não</v>
      </c>
      <c r="U32" s="114" t="str">
        <f t="shared" si="15"/>
        <v/>
      </c>
      <c r="V32" s="114" t="str">
        <f>Cronogramas!T32</f>
        <v>Não</v>
      </c>
      <c r="W32" s="114"/>
      <c r="X32" s="114">
        <f>COUNTIF(V$7:$V32,"Sim")</f>
        <v>9</v>
      </c>
      <c r="Y32" s="114" t="str">
        <f t="shared" si="10"/>
        <v/>
      </c>
      <c r="Z32" s="185" t="str">
        <f t="shared" si="14"/>
        <v/>
      </c>
      <c r="AA32" s="186" t="str">
        <f t="shared" ca="1" si="7"/>
        <v/>
      </c>
      <c r="AB32" s="207">
        <f ca="1">_xlfn.IFNA(IF(V32="Sim",(IFERROR(SUM(OFFSET(AE32,1,,MATCH("Sim",V33:$V$66,0),1))-AC32,0)+IF(Y32-$W$7=1,SUM($AE$6:AE32)-$AF$7,0)+IF(SUM(Y33:$Y$66)=0,SUM(AE33:$AE$66)-AC32+Analítico!$BK$154)),0),0)</f>
        <v>0</v>
      </c>
      <c r="AC32" s="207">
        <f ca="1">IFERROR(IF(V32="Sim",IFERROR(SUM(OFFSET(AD32,1,,MATCH("Sim",T33:$T$66,0),1)),0)+IF(Y32-$W$7=1,SUM($AD$6:AD32),0)+IF(SUM(Y33:$Y$66)=0,SUM(AD33:$AD$66),0),0),0)</f>
        <v>0</v>
      </c>
      <c r="AD32" s="207">
        <f ca="1">SUM(OFFSET(Analítico!$B$10,0,A32,2,1))</f>
        <v>0</v>
      </c>
      <c r="AE32" s="207">
        <f ca="1">OFFSET(Analítico!$B$155,,A32)</f>
        <v>9917985.3887872249</v>
      </c>
      <c r="AH32" s="176">
        <f t="shared" si="11"/>
        <v>27</v>
      </c>
    </row>
    <row r="33" spans="1:34" ht="15" x14ac:dyDescent="0.2">
      <c r="A33" s="195">
        <v>27</v>
      </c>
      <c r="B33" s="196">
        <f>IFERROR(IF(EDATE(B32,1)&gt;DATE(YEAR(Capa!$A$7),MONTH(Capa!$A$7),1),"",EDATE(B32,1)),"")</f>
        <v>46813</v>
      </c>
      <c r="C33" s="195">
        <f t="shared" si="16"/>
        <v>27</v>
      </c>
      <c r="D33" s="29"/>
      <c r="E33" s="195"/>
      <c r="F33" s="195"/>
      <c r="G33" s="195"/>
      <c r="H33" s="195"/>
      <c r="I33" s="195"/>
      <c r="K33" s="199" t="str">
        <f t="shared" si="8"/>
        <v/>
      </c>
      <c r="L33" s="199" t="str">
        <f t="shared" si="9"/>
        <v/>
      </c>
      <c r="M33" s="200" t="str">
        <f t="shared" ca="1" si="3"/>
        <v/>
      </c>
      <c r="O33" s="199" t="str">
        <f t="shared" ca="1" si="17"/>
        <v/>
      </c>
      <c r="P33" s="201" t="str">
        <f t="shared" ca="1" si="18"/>
        <v/>
      </c>
      <c r="Q33" s="202" t="str">
        <f t="shared" ca="1" si="19"/>
        <v/>
      </c>
      <c r="R33" s="203" t="str">
        <f t="shared" ca="1" si="20"/>
        <v/>
      </c>
      <c r="T33" s="114" t="str">
        <f t="shared" si="13"/>
        <v>Não</v>
      </c>
      <c r="U33" s="114" t="str">
        <f t="shared" si="15"/>
        <v/>
      </c>
      <c r="V33" s="114" t="str">
        <f>Cronogramas!T33</f>
        <v>Não</v>
      </c>
      <c r="W33" s="114"/>
      <c r="X33" s="114">
        <f>COUNTIF(V$7:$V33,"Sim")</f>
        <v>9</v>
      </c>
      <c r="Y33" s="114" t="str">
        <f t="shared" si="10"/>
        <v/>
      </c>
      <c r="Z33" s="185" t="str">
        <f t="shared" si="14"/>
        <v/>
      </c>
      <c r="AA33" s="186" t="str">
        <f t="shared" ca="1" si="7"/>
        <v/>
      </c>
      <c r="AB33" s="207">
        <f ca="1">_xlfn.IFNA(IF(V33="Sim",(IFERROR(SUM(OFFSET(AE33,1,,MATCH("Sim",V34:$V$66,0),1))-AC33,0)+IF(Y33-$W$7=1,SUM($AE$6:AE33)-$AF$7,0)+IF(SUM(Y34:$Y$66)=0,SUM(AE34:$AE$66)-AC33+Analítico!$BK$154)),0),0)</f>
        <v>0</v>
      </c>
      <c r="AC33" s="207">
        <f ca="1">IFERROR(IF(V33="Sim",IFERROR(SUM(OFFSET(AD33,1,,MATCH("Sim",T34:$T$66,0),1)),0)+IF(Y33-$W$7=1,SUM($AD$6:AD33),0)+IF(SUM(Y34:$Y$66)=0,SUM(AD34:$AD$66),0),0),0)</f>
        <v>0</v>
      </c>
      <c r="AD33" s="207">
        <f ca="1">SUM(OFFSET(Analítico!$B$10,0,A33,2,1))</f>
        <v>0</v>
      </c>
      <c r="AE33" s="207">
        <f ca="1">OFFSET(Analítico!$B$155,,A33)</f>
        <v>9917985.3887872249</v>
      </c>
      <c r="AH33" s="176">
        <f t="shared" si="11"/>
        <v>27</v>
      </c>
    </row>
    <row r="34" spans="1:34" ht="15" x14ac:dyDescent="0.2">
      <c r="A34" s="195">
        <v>28</v>
      </c>
      <c r="B34" s="196">
        <f>IFERROR(IF(EDATE(B33,1)&gt;DATE(YEAR(Capa!$A$7),MONTH(Capa!$A$7),1),"",EDATE(B33,1)),"")</f>
        <v>46844</v>
      </c>
      <c r="C34" s="195">
        <f t="shared" si="16"/>
        <v>28</v>
      </c>
      <c r="D34" s="29"/>
      <c r="E34" s="195"/>
      <c r="F34" s="195"/>
      <c r="G34" s="195"/>
      <c r="H34" s="195"/>
      <c r="I34" s="195"/>
      <c r="K34" s="199" t="str">
        <f t="shared" si="8"/>
        <v/>
      </c>
      <c r="L34" s="199" t="str">
        <f t="shared" si="9"/>
        <v/>
      </c>
      <c r="M34" s="200" t="str">
        <f t="shared" ca="1" si="3"/>
        <v/>
      </c>
      <c r="O34" s="199" t="str">
        <f t="shared" ca="1" si="17"/>
        <v/>
      </c>
      <c r="P34" s="201" t="str">
        <f t="shared" ca="1" si="18"/>
        <v/>
      </c>
      <c r="Q34" s="202" t="str">
        <f t="shared" ca="1" si="19"/>
        <v/>
      </c>
      <c r="R34" s="203" t="str">
        <f t="shared" ca="1" si="20"/>
        <v/>
      </c>
      <c r="T34" s="114" t="str">
        <f t="shared" si="13"/>
        <v>Sim</v>
      </c>
      <c r="U34" s="114" t="str">
        <f t="shared" si="15"/>
        <v/>
      </c>
      <c r="V34" s="114" t="str">
        <f>Cronogramas!T34</f>
        <v>Sim</v>
      </c>
      <c r="W34" s="114"/>
      <c r="X34" s="114">
        <f>COUNTIF(V$7:$V34,"Sim")</f>
        <v>10</v>
      </c>
      <c r="Y34" s="114">
        <f t="shared" si="10"/>
        <v>28</v>
      </c>
      <c r="Z34" s="185" t="str">
        <f t="shared" si="14"/>
        <v/>
      </c>
      <c r="AA34" s="186" t="str">
        <f t="shared" ca="1" si="7"/>
        <v/>
      </c>
      <c r="AB34" s="207">
        <f ca="1">_xlfn.IFNA(IF(V34="Sim",(IFERROR(SUM(OFFSET(AE34,1,,MATCH("Sim",V35:$V$66,0),1))-AC34,0)+IF(Y34-$W$7=1,SUM($AE$6:AE34)-$AF$7,0)+IF(SUM(Y35:$Y$66)=0,SUM(AE35:$AE$66)-AC34+Analítico!$BK$154)),0),0)</f>
        <v>30103956.166361675</v>
      </c>
      <c r="AC34" s="207">
        <f ca="1">IFERROR(IF(V34="Sim",IFERROR(SUM(OFFSET(AD34,1,,MATCH("Sim",T35:$T$66,0),1)),0)+IF(Y34-$W$7=1,SUM($AD$6:AD34),0)+IF(SUM(Y35:$Y$66)=0,SUM(AD35:$AD$66),0),0),0)</f>
        <v>0</v>
      </c>
      <c r="AD34" s="207">
        <f ca="1">SUM(OFFSET(Analítico!$B$10,0,A34,2,1))</f>
        <v>0</v>
      </c>
      <c r="AE34" s="207">
        <f ca="1">OFFSET(Analítico!$B$155,,A34)</f>
        <v>10317985.388787225</v>
      </c>
      <c r="AH34" s="176">
        <f t="shared" si="11"/>
        <v>28</v>
      </c>
    </row>
    <row r="35" spans="1:34" ht="15" x14ac:dyDescent="0.2">
      <c r="A35" s="195">
        <v>29</v>
      </c>
      <c r="B35" s="196">
        <f>IFERROR(IF(EDATE(B34,1)&gt;DATE(YEAR(Capa!$A$7),MONTH(Capa!$A$7),1),"",EDATE(B34,1)),"")</f>
        <v>46874</v>
      </c>
      <c r="C35" s="195">
        <f t="shared" si="16"/>
        <v>28</v>
      </c>
      <c r="D35" s="29"/>
      <c r="E35" s="195"/>
      <c r="F35" s="195"/>
      <c r="G35" s="195"/>
      <c r="H35" s="195"/>
      <c r="I35" s="195"/>
      <c r="K35" s="199" t="str">
        <f t="shared" si="8"/>
        <v/>
      </c>
      <c r="L35" s="199" t="str">
        <f t="shared" si="9"/>
        <v/>
      </c>
      <c r="M35" s="200" t="str">
        <f t="shared" ca="1" si="3"/>
        <v/>
      </c>
      <c r="O35" s="199" t="str">
        <f t="shared" ca="1" si="17"/>
        <v/>
      </c>
      <c r="P35" s="201" t="str">
        <f t="shared" ca="1" si="18"/>
        <v/>
      </c>
      <c r="Q35" s="202" t="str">
        <f t="shared" ca="1" si="19"/>
        <v/>
      </c>
      <c r="R35" s="203" t="str">
        <f t="shared" ca="1" si="20"/>
        <v/>
      </c>
      <c r="T35" s="114" t="str">
        <f t="shared" si="13"/>
        <v>Não</v>
      </c>
      <c r="U35" s="114" t="str">
        <f t="shared" si="15"/>
        <v/>
      </c>
      <c r="V35" s="114" t="str">
        <f>Cronogramas!T35</f>
        <v>Não</v>
      </c>
      <c r="W35" s="114"/>
      <c r="X35" s="114">
        <f>COUNTIF(V$7:$V35,"Sim")</f>
        <v>10</v>
      </c>
      <c r="Y35" s="114" t="str">
        <f t="shared" si="10"/>
        <v/>
      </c>
      <c r="Z35" s="185" t="str">
        <f t="shared" si="14"/>
        <v/>
      </c>
      <c r="AA35" s="186" t="str">
        <f t="shared" ca="1" si="7"/>
        <v/>
      </c>
      <c r="AB35" s="207">
        <f ca="1">_xlfn.IFNA(IF(V35="Sim",(IFERROR(SUM(OFFSET(AE35,1,,MATCH("Sim",V36:$V$66,0),1))-AC35,0)+IF(Y35-$W$7=1,SUM($AE$6:AE35)-$AF$7,0)+IF(SUM(Y36:$Y$66)=0,SUM(AE36:$AE$66)-AC35+Analítico!$BK$154)),0),0)</f>
        <v>0</v>
      </c>
      <c r="AC35" s="207">
        <f ca="1">IFERROR(IF(V35="Sim",IFERROR(SUM(OFFSET(AD35,1,,MATCH("Sim",T36:$T$66,0),1)),0)+IF(Y35-$W$7=1,SUM($AD$6:AD35),0)+IF(SUM(Y36:$Y$66)=0,SUM(AD36:$AD$66),0),0),0)</f>
        <v>0</v>
      </c>
      <c r="AD35" s="207">
        <f ca="1">SUM(OFFSET(Analítico!$B$10,0,A35,2,1))</f>
        <v>0</v>
      </c>
      <c r="AE35" s="207">
        <f ca="1">OFFSET(Analítico!$B$155,,A35)</f>
        <v>9917985.3887872249</v>
      </c>
      <c r="AH35" s="176">
        <f t="shared" si="11"/>
        <v>28</v>
      </c>
    </row>
    <row r="36" spans="1:34" ht="15" x14ac:dyDescent="0.2">
      <c r="A36" s="195">
        <v>30</v>
      </c>
      <c r="B36" s="196">
        <f>IFERROR(IF(EDATE(B35,1)&gt;DATE(YEAR(Capa!$A$7),MONTH(Capa!$A$7),1),"",EDATE(B35,1)),"")</f>
        <v>46905</v>
      </c>
      <c r="C36" s="195">
        <f t="shared" si="16"/>
        <v>28</v>
      </c>
      <c r="D36" s="29"/>
      <c r="E36" s="195"/>
      <c r="F36" s="195"/>
      <c r="G36" s="195"/>
      <c r="H36" s="195"/>
      <c r="I36" s="195"/>
      <c r="K36" s="199" t="str">
        <f t="shared" si="8"/>
        <v/>
      </c>
      <c r="L36" s="199" t="str">
        <f t="shared" si="9"/>
        <v/>
      </c>
      <c r="M36" s="200" t="str">
        <f t="shared" ca="1" si="3"/>
        <v/>
      </c>
      <c r="O36" s="199" t="str">
        <f t="shared" ca="1" si="17"/>
        <v/>
      </c>
      <c r="P36" s="201" t="str">
        <f t="shared" ca="1" si="18"/>
        <v/>
      </c>
      <c r="Q36" s="202" t="str">
        <f t="shared" ca="1" si="19"/>
        <v/>
      </c>
      <c r="R36" s="203" t="str">
        <f t="shared" ca="1" si="20"/>
        <v/>
      </c>
      <c r="T36" s="114" t="str">
        <f t="shared" si="13"/>
        <v>Não</v>
      </c>
      <c r="U36" s="114" t="str">
        <f t="shared" si="15"/>
        <v/>
      </c>
      <c r="V36" s="114" t="str">
        <f>Cronogramas!T36</f>
        <v>Não</v>
      </c>
      <c r="W36" s="114"/>
      <c r="X36" s="114">
        <f>COUNTIF(V$7:$V36,"Sim")</f>
        <v>10</v>
      </c>
      <c r="Y36" s="114" t="str">
        <f t="shared" si="10"/>
        <v/>
      </c>
      <c r="Z36" s="185" t="str">
        <f t="shared" si="14"/>
        <v/>
      </c>
      <c r="AA36" s="186" t="str">
        <f t="shared" ca="1" si="7"/>
        <v/>
      </c>
      <c r="AB36" s="207">
        <f ca="1">_xlfn.IFNA(IF(V36="Sim",(IFERROR(SUM(OFFSET(AE36,1,,MATCH("Sim",V37:$V$66,0),1))-AC36,0)+IF(Y36-$W$7=1,SUM($AE$6:AE36)-$AF$7,0)+IF(SUM(Y37:$Y$66)=0,SUM(AE37:$AE$66)-AC36+Analítico!$BK$154)),0),0)</f>
        <v>0</v>
      </c>
      <c r="AC36" s="207">
        <f ca="1">IFERROR(IF(V36="Sim",IFERROR(SUM(OFFSET(AD36,1,,MATCH("Sim",T37:$T$66,0),1)),0)+IF(Y36-$W$7=1,SUM($AD$6:AD36),0)+IF(SUM(Y37:$Y$66)=0,SUM(AD37:$AD$66),0),0),0)</f>
        <v>0</v>
      </c>
      <c r="AD36" s="207">
        <f ca="1">SUM(OFFSET(Analítico!$B$10,0,A36,2,1))</f>
        <v>0</v>
      </c>
      <c r="AE36" s="207">
        <f ca="1">OFFSET(Analítico!$B$155,,A36)</f>
        <v>10267985.388787225</v>
      </c>
      <c r="AH36" s="176">
        <f t="shared" si="11"/>
        <v>28</v>
      </c>
    </row>
    <row r="37" spans="1:34" ht="15" x14ac:dyDescent="0.2">
      <c r="A37" s="195">
        <v>31</v>
      </c>
      <c r="B37" s="196">
        <f>IFERROR(IF(EDATE(B36,1)&gt;DATE(YEAR(Capa!$A$7),MONTH(Capa!$A$7),1),"",EDATE(B36,1)),"")</f>
        <v>46935</v>
      </c>
      <c r="C37" s="195">
        <f t="shared" si="16"/>
        <v>29</v>
      </c>
      <c r="D37" s="29"/>
      <c r="E37" s="195"/>
      <c r="F37" s="195"/>
      <c r="G37" s="195"/>
      <c r="H37" s="195"/>
      <c r="I37" s="195"/>
      <c r="K37" s="199" t="str">
        <f t="shared" si="8"/>
        <v/>
      </c>
      <c r="L37" s="199" t="str">
        <f t="shared" si="9"/>
        <v/>
      </c>
      <c r="M37" s="200" t="str">
        <f t="shared" ca="1" si="3"/>
        <v/>
      </c>
      <c r="O37" s="199" t="str">
        <f t="shared" ca="1" si="17"/>
        <v/>
      </c>
      <c r="P37" s="201" t="str">
        <f t="shared" ca="1" si="18"/>
        <v/>
      </c>
      <c r="Q37" s="202" t="str">
        <f t="shared" ca="1" si="19"/>
        <v/>
      </c>
      <c r="R37" s="203" t="str">
        <f t="shared" ca="1" si="20"/>
        <v/>
      </c>
      <c r="T37" s="114" t="str">
        <f t="shared" si="13"/>
        <v>Sim</v>
      </c>
      <c r="U37" s="114" t="str">
        <f t="shared" si="15"/>
        <v/>
      </c>
      <c r="V37" s="114" t="str">
        <f>Cronogramas!T37</f>
        <v>Sim</v>
      </c>
      <c r="W37" s="114"/>
      <c r="X37" s="114">
        <f>COUNTIF(V$7:$V37,"Sim")</f>
        <v>11</v>
      </c>
      <c r="Y37" s="114">
        <f t="shared" si="10"/>
        <v>29</v>
      </c>
      <c r="Z37" s="185" t="str">
        <f t="shared" si="14"/>
        <v/>
      </c>
      <c r="AA37" s="186" t="str">
        <f t="shared" ca="1" si="7"/>
        <v/>
      </c>
      <c r="AB37" s="207">
        <f ca="1">_xlfn.IFNA(IF(V37="Sim",(IFERROR(SUM(OFFSET(AE37,1,,MATCH("Sim",V38:$V$66,0),1))-AC37,0)+IF(Y37-$W$7=1,SUM($AE$6:AE37)-$AF$7,0)+IF(SUM(Y38:$Y$66)=0,SUM(AE38:$AE$66)-AC37+Analítico!$BK$154)),0),0)</f>
        <v>29753956.166361675</v>
      </c>
      <c r="AC37" s="207">
        <f ca="1">IFERROR(IF(V37="Sim",IFERROR(SUM(OFFSET(AD37,1,,MATCH("Sim",T38:$T$66,0),1)),0)+IF(Y37-$W$7=1,SUM($AD$6:AD37),0)+IF(SUM(Y38:$Y$66)=0,SUM(AD38:$AD$66),0),0),0)</f>
        <v>0</v>
      </c>
      <c r="AD37" s="207">
        <f ca="1">SUM(OFFSET(Analítico!$B$10,0,A37,2,1))</f>
        <v>0</v>
      </c>
      <c r="AE37" s="207">
        <f ca="1">OFFSET(Analítico!$B$155,,A37)</f>
        <v>9917985.3887872249</v>
      </c>
      <c r="AH37" s="176">
        <f t="shared" si="11"/>
        <v>29</v>
      </c>
    </row>
    <row r="38" spans="1:34" ht="15" x14ac:dyDescent="0.2">
      <c r="A38" s="195">
        <v>32</v>
      </c>
      <c r="B38" s="196">
        <f>IFERROR(IF(EDATE(B37,1)&gt;DATE(YEAR(Capa!$A$7),MONTH(Capa!$A$7),1),"",EDATE(B37,1)),"")</f>
        <v>46966</v>
      </c>
      <c r="C38" s="195">
        <f t="shared" si="16"/>
        <v>29</v>
      </c>
      <c r="D38" s="29"/>
      <c r="E38" s="195"/>
      <c r="F38" s="195"/>
      <c r="G38" s="195"/>
      <c r="H38" s="195"/>
      <c r="I38" s="195"/>
      <c r="K38" s="199" t="str">
        <f t="shared" si="8"/>
        <v/>
      </c>
      <c r="L38" s="199" t="str">
        <f t="shared" si="9"/>
        <v/>
      </c>
      <c r="M38" s="200" t="str">
        <f t="shared" ca="1" si="3"/>
        <v/>
      </c>
      <c r="O38" s="199" t="str">
        <f t="shared" ca="1" si="4"/>
        <v/>
      </c>
      <c r="P38" s="201" t="str">
        <f t="shared" ca="1" si="5"/>
        <v/>
      </c>
      <c r="Q38" s="202" t="str">
        <f t="shared" ca="1" si="6"/>
        <v/>
      </c>
      <c r="R38" s="203" t="str">
        <f ca="1">IF(P38="","",IFERROR(IF(Capa!$A$2="","Após a celebração do termo de parceria.","Realização da "&amp;OFFSET($Y$6,MATCH(A38,$X$7:$X$66,0),0)-1&amp;"ª reunião da CA e aprovação da liberação de parcela pelo supervisor."),""))</f>
        <v/>
      </c>
      <c r="T38" s="114" t="str">
        <f t="shared" si="13"/>
        <v>Não</v>
      </c>
      <c r="U38" s="114" t="str">
        <f t="shared" si="15"/>
        <v/>
      </c>
      <c r="V38" s="114" t="str">
        <f>Cronogramas!T38</f>
        <v>Não</v>
      </c>
      <c r="W38" s="114"/>
      <c r="X38" s="114">
        <f>COUNTIF(V$7:$V38,"Sim")</f>
        <v>11</v>
      </c>
      <c r="Y38" s="114" t="str">
        <f t="shared" si="10"/>
        <v/>
      </c>
      <c r="Z38" s="185" t="str">
        <f t="shared" si="14"/>
        <v/>
      </c>
      <c r="AA38" s="186" t="str">
        <f t="shared" ca="1" si="7"/>
        <v/>
      </c>
      <c r="AB38" s="207">
        <f ca="1">_xlfn.IFNA(IF(V38="Sim",(IFERROR(SUM(OFFSET(AE38,1,,MATCH("Sim",V39:$V$66,0),1))-AC38,0)+IF(Y38-$W$7=1,SUM($AE$6:AE38)-$AF$7,0)+IF(SUM(Y39:$Y$66)=0,SUM(AE39:$AE$66)-AC38+Analítico!$BK$154)),0),0)</f>
        <v>0</v>
      </c>
      <c r="AC38" s="207">
        <f ca="1">IFERROR(IF(V38="Sim",IFERROR(SUM(OFFSET(AD38,1,,MATCH("Sim",T39:$T$66,0),1)),0)+IF(Y38-$W$7=1,SUM($AD$6:AD38),0)+IF(SUM(Y39:$Y$66)=0,SUM(AD39:$AD$66),0),0),0)</f>
        <v>0</v>
      </c>
      <c r="AD38" s="207">
        <f ca="1">SUM(OFFSET(Analítico!$B$10,0,A38,2,1))</f>
        <v>0</v>
      </c>
      <c r="AE38" s="207">
        <f ca="1">OFFSET(Analítico!$B$155,,A38)</f>
        <v>9917985.3887872249</v>
      </c>
      <c r="AH38" s="176">
        <f t="shared" si="11"/>
        <v>29</v>
      </c>
    </row>
    <row r="39" spans="1:34" ht="15" x14ac:dyDescent="0.2">
      <c r="A39" s="195">
        <v>33</v>
      </c>
      <c r="B39" s="196">
        <f>IFERROR(IF(EDATE(B38,1)&gt;DATE(YEAR(Capa!$A$7),MONTH(Capa!$A$7),1),"",EDATE(B38,1)),"")</f>
        <v>46997</v>
      </c>
      <c r="C39" s="195">
        <f t="shared" si="16"/>
        <v>29</v>
      </c>
      <c r="D39" s="29"/>
      <c r="E39" s="195"/>
      <c r="F39" s="195"/>
      <c r="G39" s="195"/>
      <c r="H39" s="195"/>
      <c r="I39" s="195"/>
      <c r="K39" s="199" t="str">
        <f t="shared" si="8"/>
        <v/>
      </c>
      <c r="L39" s="199" t="str">
        <f t="shared" si="9"/>
        <v/>
      </c>
      <c r="M39" s="200" t="str">
        <f t="shared" ca="1" si="3"/>
        <v/>
      </c>
      <c r="O39" s="114"/>
      <c r="P39" s="201"/>
      <c r="Q39" s="114"/>
      <c r="R39" s="203" t="str">
        <f ca="1">IF(P39="","",IFERROR(IF(Capa!$A$2="","Após a celebração do termo de parceria.","Realização da "&amp;OFFSET($Y$6,MATCH(A39,$X$7:$X$66,0),0)-1&amp;"ª reunião da CA e aprovação da liberação de parcela pelo supervisor."),""))</f>
        <v/>
      </c>
      <c r="T39" s="114" t="str">
        <f t="shared" si="13"/>
        <v>Não</v>
      </c>
      <c r="U39" s="114" t="str">
        <f t="shared" si="15"/>
        <v/>
      </c>
      <c r="V39" s="114" t="str">
        <f>Cronogramas!T39</f>
        <v>Não</v>
      </c>
      <c r="W39" s="114"/>
      <c r="X39" s="114">
        <f>COUNTIF(V$7:$V39,"Sim")</f>
        <v>11</v>
      </c>
      <c r="Y39" s="114" t="str">
        <f t="shared" si="10"/>
        <v/>
      </c>
      <c r="Z39" s="185" t="str">
        <f t="shared" si="14"/>
        <v/>
      </c>
      <c r="AA39" s="186" t="str">
        <f t="shared" ca="1" si="7"/>
        <v/>
      </c>
      <c r="AB39" s="207">
        <f ca="1">_xlfn.IFNA(IF(V39="Sim",(IFERROR(SUM(OFFSET(AE39,1,,MATCH("Sim",V40:$V$66,0),1))-AC39,0)+IF(Y39-$W$7=1,SUM($AE$6:AE39)-$AF$7,0)+IF(SUM(Y40:$Y$66)=0,SUM(AE40:$AE$66)-AC39+Analítico!$BK$154)),0),0)</f>
        <v>0</v>
      </c>
      <c r="AC39" s="207">
        <f ca="1">IFERROR(IF(V39="Sim",IFERROR(SUM(OFFSET(AD39,1,,MATCH("Sim",T40:$T$66,0),1)),0)+IF(Y39-$W$7=1,SUM($AD$6:AD39),0)+IF(SUM(Y40:$Y$66)=0,SUM(AD40:$AD$66),0),0),0)</f>
        <v>0</v>
      </c>
      <c r="AD39" s="207">
        <f ca="1">SUM(OFFSET(Analítico!$B$10,0,A39,2,1))</f>
        <v>0</v>
      </c>
      <c r="AE39" s="207">
        <f ca="1">OFFSET(Analítico!$B$155,,A39)</f>
        <v>9917985.3887872249</v>
      </c>
      <c r="AH39" s="176">
        <f t="shared" si="11"/>
        <v>29</v>
      </c>
    </row>
    <row r="40" spans="1:34" ht="15" x14ac:dyDescent="0.2">
      <c r="A40" s="195">
        <v>34</v>
      </c>
      <c r="B40" s="196">
        <f>IFERROR(IF(EDATE(B39,1)&gt;DATE(YEAR(Capa!$A$7),MONTH(Capa!$A$7),1),"",EDATE(B39,1)),"")</f>
        <v>47027</v>
      </c>
      <c r="C40" s="195">
        <f t="shared" si="16"/>
        <v>30</v>
      </c>
      <c r="D40" s="29"/>
      <c r="E40" s="195"/>
      <c r="F40" s="195"/>
      <c r="G40" s="195"/>
      <c r="H40" s="195"/>
      <c r="I40" s="195"/>
      <c r="O40" s="114"/>
      <c r="P40" s="114"/>
      <c r="Q40" s="114"/>
      <c r="R40" s="203" t="str">
        <f ca="1">IF(P40="","",IFERROR(IF(Capa!$A$2="","Após a celebração do termo de parceria.","Realização da "&amp;OFFSET($Y$6,MATCH(A40,$X$7:$X$66,0),0)-1&amp;"ª reunião da CA e aprovação da liberação de parcela pelo supervisor."),""))</f>
        <v/>
      </c>
      <c r="T40" s="114" t="str">
        <f t="shared" si="13"/>
        <v>Sim</v>
      </c>
      <c r="U40" s="114" t="str">
        <f t="shared" si="15"/>
        <v/>
      </c>
      <c r="V40" s="114" t="str">
        <f>Cronogramas!T40</f>
        <v>Sim</v>
      </c>
      <c r="W40" s="114"/>
      <c r="X40" s="114">
        <f>COUNTIF(V$7:$V40,"Sim")</f>
        <v>12</v>
      </c>
      <c r="Y40" s="114">
        <f t="shared" ref="Y40:Y66" si="21">IF(T40="Não","",AH40)</f>
        <v>30</v>
      </c>
      <c r="Z40" s="185"/>
      <c r="AA40" s="187"/>
      <c r="AB40" s="207">
        <f ca="1">_xlfn.IFNA(IF(V40="Sim",(IFERROR(SUM(OFFSET(AE40,1,,MATCH("Sim",V41:$V$66,0),1))-AC40,0)+IF(Y40-$W$7=1,SUM($AE$6:AE40)-$AF$7,0)+IF(SUM(Y41:$Y$66)=0,SUM(AE41:$AE$66)-AC40+Analítico!$BK$154)),0),0)</f>
        <v>20727970.77757445</v>
      </c>
      <c r="AC40" s="207">
        <f ca="1">IFERROR(IF(V40="Sim",IFERROR(SUM(OFFSET(AD40,1,,MATCH("Sim",T41:$T$66,0),1)),0)+IF(Y40-$W$7=1,SUM($AD$6:AD40),0)+IF(SUM(Y41:$Y$66)=0,SUM(AD41:$AD$66),0),0),0)</f>
        <v>0</v>
      </c>
      <c r="AD40" s="207">
        <f ca="1">SUM(OFFSET(Analítico!$B$10,0,A40,2,1))</f>
        <v>0</v>
      </c>
      <c r="AE40" s="207">
        <f ca="1">OFFSET(Analítico!$B$155,,A40)</f>
        <v>9917985.3887872249</v>
      </c>
      <c r="AH40" s="176">
        <f t="shared" si="11"/>
        <v>30</v>
      </c>
    </row>
    <row r="41" spans="1:34" ht="15" x14ac:dyDescent="0.2">
      <c r="A41" s="195">
        <v>35</v>
      </c>
      <c r="B41" s="196">
        <f>IFERROR(IF(EDATE(B40,1)&gt;DATE(YEAR(Capa!$A$7),MONTH(Capa!$A$7),1),"",EDATE(B40,1)),"")</f>
        <v>47058</v>
      </c>
      <c r="C41" s="195">
        <f t="shared" si="16"/>
        <v>30</v>
      </c>
      <c r="D41" s="29"/>
      <c r="E41" s="195"/>
      <c r="F41" s="195"/>
      <c r="G41" s="195"/>
      <c r="H41" s="195"/>
      <c r="I41" s="195"/>
      <c r="R41" s="203" t="str">
        <f ca="1">IF(P41="","",IFERROR(IF(Capa!$A$2="","Após a celebração do termo de parceria.","Realização da "&amp;OFFSET($Y$6,MATCH(A41,$X$7:$X$66,0),0)-1&amp;"ª reunião da CA e aprovação da liberação de parcela pelo supervisor."),""))</f>
        <v/>
      </c>
      <c r="T41" s="114" t="str">
        <f t="shared" si="13"/>
        <v>Não</v>
      </c>
      <c r="U41" s="114" t="str">
        <f t="shared" si="15"/>
        <v/>
      </c>
      <c r="V41" s="114" t="str">
        <f>Cronogramas!T41</f>
        <v>Não</v>
      </c>
      <c r="W41" s="114"/>
      <c r="X41" s="114">
        <f>COUNTIF(V$7:$V41,"Sim")</f>
        <v>12</v>
      </c>
      <c r="Y41" s="114" t="str">
        <f t="shared" si="21"/>
        <v/>
      </c>
      <c r="Z41" s="185"/>
      <c r="AA41" s="187"/>
      <c r="AB41" s="207">
        <f ca="1">_xlfn.IFNA(IF(V41="Sim",(IFERROR(SUM(OFFSET(AE41,1,,MATCH("Sim",V42:$V$66,0),1))-AC41,0)+IF(Y41-$W$7=1,SUM($AE$6:AE41)-$AF$7,0)+IF(SUM(Y42:$Y$66)=0,SUM(AE42:$AE$66)-AC41+Analítico!$BK$154)),0),0)</f>
        <v>0</v>
      </c>
      <c r="AC41" s="207">
        <f ca="1">IFERROR(IF(V41="Sim",IFERROR(SUM(OFFSET(AD41,1,,MATCH("Sim",T42:$T$66,0),1)),0)+IF(Y41-$W$7=1,SUM($AD$6:AD41),0)+IF(SUM(Y42:$Y$66)=0,SUM(AD42:$AD$66),0),0),0)</f>
        <v>0</v>
      </c>
      <c r="AD41" s="207">
        <f ca="1">SUM(OFFSET(Analítico!$B$10,0,A41,2,1))</f>
        <v>0</v>
      </c>
      <c r="AE41" s="207">
        <f ca="1">OFFSET(Analítico!$B$155,,A41)</f>
        <v>9917985.3887872249</v>
      </c>
      <c r="AH41" s="176">
        <f t="shared" si="11"/>
        <v>30</v>
      </c>
    </row>
    <row r="42" spans="1:34" ht="15" x14ac:dyDescent="0.2">
      <c r="A42" s="195">
        <v>36</v>
      </c>
      <c r="B42" s="196">
        <f>IFERROR(IF(EDATE(B41,1)&gt;DATE(YEAR(Capa!$A$7),MONTH(Capa!$A$7),1),"",EDATE(B41,1)),"")</f>
        <v>47088</v>
      </c>
      <c r="C42" s="195">
        <f t="shared" si="16"/>
        <v>30</v>
      </c>
      <c r="D42" s="29"/>
      <c r="E42" s="195"/>
      <c r="F42" s="195"/>
      <c r="G42" s="195"/>
      <c r="H42" s="195"/>
      <c r="I42" s="195"/>
      <c r="R42" s="203" t="str">
        <f ca="1">IF(P42="","",IFERROR(IF(Capa!$A$2="","Após a celebração do termo de parceria.","Realização da "&amp;OFFSET($Y$6,MATCH(A42,$X$7:$X$66,0),0)-1&amp;"ª reunião da CA e aprovação da liberação de parcela pelo supervisor."),""))</f>
        <v/>
      </c>
      <c r="T42" s="114" t="str">
        <f t="shared" si="13"/>
        <v>Não</v>
      </c>
      <c r="U42" s="114" t="str">
        <f t="shared" si="15"/>
        <v/>
      </c>
      <c r="V42" s="114" t="str">
        <f>Cronogramas!T42</f>
        <v>Não</v>
      </c>
      <c r="W42" s="114"/>
      <c r="X42" s="114">
        <f>COUNTIF(V$7:$V42,"Sim")</f>
        <v>12</v>
      </c>
      <c r="Y42" s="114" t="str">
        <f t="shared" si="21"/>
        <v/>
      </c>
      <c r="Z42" s="185"/>
      <c r="AA42" s="187"/>
      <c r="AB42" s="207">
        <f ca="1">_xlfn.IFNA(IF(V42="Sim",(IFERROR(SUM(OFFSET(AE42,1,,MATCH("Sim",V43:$V$66,0),1))-AC42,0)+IF(Y42-$W$7=1,SUM($AE$6:AE42)-$AF$7,0)+IF(SUM(Y43:$Y$66)=0,SUM(AE43:$AE$66)-AC42+Analítico!$BK$154)),0),0)</f>
        <v>0</v>
      </c>
      <c r="AC42" s="207">
        <f ca="1">IFERROR(IF(V42="Sim",IFERROR(SUM(OFFSET(AD42,1,,MATCH("Sim",T43:$T$66,0),1)),0)+IF(Y42-$W$7=1,SUM($AD$6:AD42),0)+IF(SUM(Y43:$Y$66)=0,SUM(AD43:$AD$66),0),0),0)</f>
        <v>0</v>
      </c>
      <c r="AD42" s="207">
        <f ca="1">SUM(OFFSET(Analítico!$B$10,0,A42,2,1))</f>
        <v>0</v>
      </c>
      <c r="AE42" s="207">
        <f ca="1">OFFSET(Analítico!$B$155,,A42)</f>
        <v>10002985.388787225</v>
      </c>
      <c r="AH42" s="176">
        <f t="shared" si="11"/>
        <v>30</v>
      </c>
    </row>
    <row r="43" spans="1:34" ht="15" x14ac:dyDescent="0.2">
      <c r="A43" s="195">
        <v>37</v>
      </c>
      <c r="B43" s="196" t="str">
        <f>IFERROR(IF(EDATE(B42,1)&gt;DATE(YEAR(Capa!$A$7),MONTH(Capa!$A$7),1),"",EDATE(B42,1)),"")</f>
        <v/>
      </c>
      <c r="C43" s="195" t="str">
        <f t="shared" si="16"/>
        <v/>
      </c>
      <c r="D43" s="29"/>
      <c r="E43" s="195"/>
      <c r="F43" s="195"/>
      <c r="G43" s="195"/>
      <c r="H43" s="195"/>
      <c r="I43" s="195"/>
      <c r="R43" s="203" t="str">
        <f ca="1">IF(P43="","",IFERROR(IF(Capa!$A$2="","Após a celebração do termo de parceria.","Realização da "&amp;OFFSET($Y$6,MATCH(A43,$X$7:$X$66,0),0)-1&amp;"ª reunião da CA e aprovação da liberação de parcela pelo supervisor."),""))</f>
        <v/>
      </c>
      <c r="T43" s="114" t="str">
        <f t="shared" si="13"/>
        <v>Não</v>
      </c>
      <c r="U43" s="114" t="str">
        <f t="shared" si="15"/>
        <v/>
      </c>
      <c r="V43" s="114" t="str">
        <f>Cronogramas!T43</f>
        <v>Não</v>
      </c>
      <c r="W43" s="114"/>
      <c r="X43" s="114">
        <f>COUNTIF(V$7:$V43,"Sim")</f>
        <v>12</v>
      </c>
      <c r="Y43" s="114" t="str">
        <f t="shared" si="21"/>
        <v/>
      </c>
      <c r="Z43" s="187"/>
      <c r="AA43" s="187"/>
      <c r="AB43" s="207">
        <f ca="1">_xlfn.IFNA(IF(V43="Sim",(IFERROR(SUM(OFFSET(AE43,1,,MATCH("Sim",V44:$V$66,0),1))-AC43,0)+IF(Y43-$W$7=1,SUM($AE$6:AE43)-$AF$7,0)+IF(SUM(Y44:$Y$66)=0,SUM(AE44:$AE$66)-AC43+Analítico!$BK$154)),0),0)</f>
        <v>0</v>
      </c>
      <c r="AC43" s="207">
        <f ca="1">IFERROR(IF(V43="Sim",IFERROR(SUM(OFFSET(AD43,1,,MATCH("Sim",T44:$T$66,0),1)),0)+IF(Y43-$W$7=1,SUM($AD$6:AD43),0)+IF(SUM(Y44:$Y$66)=0,SUM(AD44:$AD$66),0),0),0)</f>
        <v>0</v>
      </c>
      <c r="AD43" s="207">
        <f ca="1">SUM(OFFSET(Analítico!$B$10,0,A43,2,1))</f>
        <v>0</v>
      </c>
      <c r="AE43" s="207">
        <f ca="1">OFFSET(Analítico!$B$155,,A43)</f>
        <v>0</v>
      </c>
      <c r="AH43" s="176" t="str">
        <f t="shared" si="11"/>
        <v/>
      </c>
    </row>
    <row r="44" spans="1:34" ht="15" x14ac:dyDescent="0.2">
      <c r="A44" s="195">
        <v>38</v>
      </c>
      <c r="B44" s="196" t="str">
        <f>IFERROR(IF(EDATE(B43,1)&gt;DATE(YEAR(Capa!$A$7),MONTH(Capa!$A$7),1),"",EDATE(B43,1)),"")</f>
        <v/>
      </c>
      <c r="C44" s="195" t="str">
        <f t="shared" si="16"/>
        <v/>
      </c>
      <c r="D44" s="29"/>
      <c r="E44" s="195"/>
      <c r="F44" s="195"/>
      <c r="G44" s="195"/>
      <c r="H44" s="195"/>
      <c r="I44" s="195"/>
      <c r="R44" s="203" t="str">
        <f ca="1">IF(P44="","",IFERROR(IF(Capa!$A$2="","Após a celebração do termo de parceria.","Realização da "&amp;OFFSET($Y$6,MATCH(A44,$X$7:$X$66,0),0)-1&amp;"ª reunião da CA e aprovação da liberação de parcela pelo supervisor."),""))</f>
        <v/>
      </c>
      <c r="T44" s="114" t="str">
        <f t="shared" si="13"/>
        <v>Não</v>
      </c>
      <c r="U44" s="114" t="str">
        <f t="shared" si="15"/>
        <v/>
      </c>
      <c r="V44" s="114" t="str">
        <f>Cronogramas!T44</f>
        <v>Não</v>
      </c>
      <c r="W44" s="114"/>
      <c r="X44" s="114">
        <f>COUNTIF(V$7:$V44,"Sim")</f>
        <v>12</v>
      </c>
      <c r="Y44" s="114" t="str">
        <f t="shared" si="21"/>
        <v/>
      </c>
      <c r="Z44" s="187"/>
      <c r="AA44" s="187"/>
      <c r="AB44" s="207">
        <f ca="1">_xlfn.IFNA(IF(V44="Sim",(IFERROR(SUM(OFFSET(AE44,1,,MATCH("Sim",V45:$V$66,0),1))-AC44,0)+IF(Y44-$W$7=1,SUM($AE$6:AE44)-$AF$7,0)+IF(SUM(Y45:$Y$66)=0,SUM(AE45:$AE$66)-AC44+Analítico!$BK$154)),0),0)</f>
        <v>0</v>
      </c>
      <c r="AC44" s="207">
        <f ca="1">IFERROR(IF(V44="Sim",IFERROR(SUM(OFFSET(AD44,1,,MATCH("Sim",T45:$T$66,0),1)),0)+IF(Y44-$W$7=1,SUM($AD$6:AD44),0)+IF(SUM(Y45:$Y$66)=0,SUM(AD45:$AD$66),0),0),0)</f>
        <v>0</v>
      </c>
      <c r="AD44" s="207">
        <f ca="1">SUM(OFFSET(Analítico!$B$10,0,A44,2,1))</f>
        <v>0</v>
      </c>
      <c r="AE44" s="207">
        <f ca="1">OFFSET(Analítico!$B$155,,A44)</f>
        <v>0</v>
      </c>
      <c r="AH44" s="176" t="str">
        <f t="shared" si="11"/>
        <v/>
      </c>
    </row>
    <row r="45" spans="1:34" ht="15" x14ac:dyDescent="0.2">
      <c r="A45" s="195">
        <v>39</v>
      </c>
      <c r="B45" s="196" t="str">
        <f>IFERROR(IF(EDATE(B44,1)&gt;DATE(YEAR(Capa!$A$7),MONTH(Capa!$A$7),1),"",EDATE(B44,1)),"")</f>
        <v/>
      </c>
      <c r="C45" s="195" t="str">
        <f t="shared" si="16"/>
        <v/>
      </c>
      <c r="D45" s="29"/>
      <c r="E45" s="195"/>
      <c r="F45" s="195"/>
      <c r="G45" s="195"/>
      <c r="H45" s="195"/>
      <c r="I45" s="195"/>
      <c r="R45" s="203" t="str">
        <f ca="1">IF(P45="","",IFERROR(IF(Capa!$A$2="","Após a celebração do termo de parceria.","Realização da "&amp;OFFSET($Y$6,MATCH(A45,$X$7:$X$66,0),0)-1&amp;"ª reunião da CA e aprovação da liberação de parcela pelo supervisor."),""))</f>
        <v/>
      </c>
      <c r="T45" s="114" t="str">
        <f t="shared" si="13"/>
        <v>Não</v>
      </c>
      <c r="U45" s="114" t="str">
        <f t="shared" si="15"/>
        <v/>
      </c>
      <c r="V45" s="114" t="str">
        <f>Cronogramas!T45</f>
        <v>Não</v>
      </c>
      <c r="W45" s="114"/>
      <c r="X45" s="114">
        <f>COUNTIF(V$7:$V45,"Sim")</f>
        <v>12</v>
      </c>
      <c r="Y45" s="114" t="str">
        <f t="shared" si="21"/>
        <v/>
      </c>
      <c r="Z45" s="187"/>
      <c r="AA45" s="187"/>
      <c r="AB45" s="207">
        <f ca="1">_xlfn.IFNA(IF(V45="Sim",(IFERROR(SUM(OFFSET(AE45,1,,MATCH("Sim",V46:$V$66,0),1))-AC45,0)+IF(Y45-$W$7=1,SUM($AE$6:AE45)-$AF$7,0)+IF(SUM(Y46:$Y$66)=0,SUM(AE46:$AE$66)-AC45+Analítico!$BK$154)),0),0)</f>
        <v>0</v>
      </c>
      <c r="AC45" s="207">
        <f ca="1">IFERROR(IF(V45="Sim",IFERROR(SUM(OFFSET(AD45,1,,MATCH("Sim",T46:$T$66,0),1)),0)+IF(Y45-$W$7=1,SUM($AD$6:AD45),0)+IF(SUM(Y46:$Y$66)=0,SUM(AD46:$AD$66),0),0),0)</f>
        <v>0</v>
      </c>
      <c r="AD45" s="207">
        <f ca="1">SUM(OFFSET(Analítico!$B$10,0,A45,2,1))</f>
        <v>0</v>
      </c>
      <c r="AE45" s="207">
        <f ca="1">OFFSET(Analítico!$B$155,,A45)</f>
        <v>0</v>
      </c>
      <c r="AH45" s="176" t="str">
        <f t="shared" si="11"/>
        <v/>
      </c>
    </row>
    <row r="46" spans="1:34" ht="15" x14ac:dyDescent="0.2">
      <c r="A46" s="195">
        <v>40</v>
      </c>
      <c r="B46" s="196" t="str">
        <f>IFERROR(IF(EDATE(B45,1)&gt;DATE(YEAR(Capa!$A$7),MONTH(Capa!$A$7),1),"",EDATE(B45,1)),"")</f>
        <v/>
      </c>
      <c r="C46" s="195" t="str">
        <f t="shared" si="16"/>
        <v/>
      </c>
      <c r="D46" s="29"/>
      <c r="E46" s="195"/>
      <c r="F46" s="195"/>
      <c r="G46" s="195"/>
      <c r="H46" s="195"/>
      <c r="I46" s="195"/>
      <c r="R46" s="203" t="str">
        <f ca="1">IF(P46="","",IFERROR(IF(Capa!$A$2="","Após a celebração do termo de parceria.","Realização da "&amp;OFFSET($Y$6,MATCH(A46,$X$7:$X$66,0),0)-1&amp;"ª reunião da CA e aprovação da liberação de parcela pelo supervisor."),""))</f>
        <v/>
      </c>
      <c r="T46" s="114" t="str">
        <f t="shared" si="13"/>
        <v>Não</v>
      </c>
      <c r="U46" s="114" t="str">
        <f t="shared" si="15"/>
        <v/>
      </c>
      <c r="V46" s="114" t="str">
        <f>Cronogramas!T46</f>
        <v>Não</v>
      </c>
      <c r="W46" s="114"/>
      <c r="X46" s="114">
        <f>COUNTIF(V$7:$V46,"Sim")</f>
        <v>12</v>
      </c>
      <c r="Y46" s="114" t="str">
        <f t="shared" si="21"/>
        <v/>
      </c>
      <c r="Z46" s="187"/>
      <c r="AA46" s="187"/>
      <c r="AB46" s="207">
        <f ca="1">_xlfn.IFNA(IF(V46="Sim",(IFERROR(SUM(OFFSET(AE46,1,,MATCH("Sim",V47:$V$66,0),1))-AC46,0)+IF(Y46-$W$7=1,SUM($AE$6:AE46)-$AF$7,0)+IF(SUM(Y47:$Y$66)=0,SUM(AE47:$AE$66)-AC46+Analítico!$BK$154)),0),0)</f>
        <v>0</v>
      </c>
      <c r="AC46" s="207">
        <f ca="1">IFERROR(IF(V46="Sim",IFERROR(SUM(OFFSET(AD46,1,,MATCH("Sim",T47:$T$66,0),1)),0)+IF(Y46-$W$7=1,SUM($AD$6:AD46),0)+IF(SUM(Y47:$Y$66)=0,SUM(AD47:$AD$66),0),0),0)</f>
        <v>0</v>
      </c>
      <c r="AD46" s="207">
        <f ca="1">SUM(OFFSET(Analítico!$B$10,0,A46,2,1))</f>
        <v>0</v>
      </c>
      <c r="AE46" s="207">
        <f ca="1">OFFSET(Analítico!$B$155,,A46)</f>
        <v>0</v>
      </c>
      <c r="AH46" s="176" t="str">
        <f t="shared" si="11"/>
        <v/>
      </c>
    </row>
    <row r="47" spans="1:34" ht="15" x14ac:dyDescent="0.2">
      <c r="A47" s="195">
        <v>41</v>
      </c>
      <c r="B47" s="196" t="str">
        <f>IFERROR(IF(EDATE(B46,1)&gt;DATE(YEAR(Capa!$A$7),MONTH(Capa!$A$7),1),"",EDATE(B46,1)),"")</f>
        <v/>
      </c>
      <c r="C47" s="195" t="str">
        <f t="shared" si="16"/>
        <v/>
      </c>
      <c r="D47" s="29"/>
      <c r="E47" s="195"/>
      <c r="F47" s="195"/>
      <c r="G47" s="195"/>
      <c r="H47" s="195"/>
      <c r="I47" s="195"/>
      <c r="R47" s="203" t="str">
        <f ca="1">IF(P47="","",IFERROR(IF(Capa!$A$2="","Após a celebração do termo de parceria.","Realização da "&amp;OFFSET($Y$6,MATCH(A47,$X$7:$X$66,0),0)-1&amp;"ª reunião da CA e aprovação da liberação de parcela pelo supervisor."),""))</f>
        <v/>
      </c>
      <c r="T47" s="114" t="str">
        <f t="shared" si="13"/>
        <v>Não</v>
      </c>
      <c r="U47" s="114" t="str">
        <f t="shared" si="15"/>
        <v/>
      </c>
      <c r="V47" s="114" t="str">
        <f>Cronogramas!T47</f>
        <v>Não</v>
      </c>
      <c r="W47" s="114"/>
      <c r="X47" s="114">
        <f>COUNTIF(V$7:$V47,"Sim")</f>
        <v>12</v>
      </c>
      <c r="Y47" s="114" t="str">
        <f t="shared" si="21"/>
        <v/>
      </c>
      <c r="Z47" s="187"/>
      <c r="AA47" s="187"/>
      <c r="AB47" s="207">
        <f ca="1">_xlfn.IFNA(IF(V47="Sim",(IFERROR(SUM(OFFSET(AE47,1,,MATCH("Sim",V48:$V$66,0),1))-AC47,0)+IF(Y47-$W$7=1,SUM($AE$6:AE47)-$AF$7,0)+IF(SUM(Y48:$Y$66)=0,SUM(AE48:$AE$66)-AC47+Analítico!$BK$154)),0),0)</f>
        <v>0</v>
      </c>
      <c r="AC47" s="207">
        <f ca="1">IFERROR(IF(V47="Sim",IFERROR(SUM(OFFSET(AD47,1,,MATCH("Sim",T48:$T$66,0),1)),0)+IF(Y47-$W$7=1,SUM($AD$6:AD47),0)+IF(SUM(Y48:$Y$66)=0,SUM(AD48:$AD$66),0),0),0)</f>
        <v>0</v>
      </c>
      <c r="AD47" s="207">
        <f ca="1">SUM(OFFSET(Analítico!$B$10,0,A47,2,1))</f>
        <v>0</v>
      </c>
      <c r="AE47" s="207">
        <f ca="1">OFFSET(Analítico!$B$155,,A47)</f>
        <v>0</v>
      </c>
      <c r="AH47" s="176" t="str">
        <f t="shared" si="11"/>
        <v/>
      </c>
    </row>
    <row r="48" spans="1:34" ht="15" x14ac:dyDescent="0.2">
      <c r="A48" s="195">
        <v>42</v>
      </c>
      <c r="B48" s="196" t="str">
        <f>IFERROR(IF(EDATE(B47,1)&gt;DATE(YEAR(Capa!$A$7),MONTH(Capa!$A$7),1),"",EDATE(B47,1)),"")</f>
        <v/>
      </c>
      <c r="C48" s="195" t="str">
        <f t="shared" si="16"/>
        <v/>
      </c>
      <c r="D48" s="29"/>
      <c r="E48" s="195"/>
      <c r="F48" s="195"/>
      <c r="G48" s="195"/>
      <c r="H48" s="195"/>
      <c r="I48" s="195"/>
      <c r="R48" s="203" t="str">
        <f ca="1">IF(P48="","",IFERROR(IF(Capa!$A$2="","Após a celebração do termo de parceria.","Realização da "&amp;OFFSET($Y$6,MATCH(A48,$X$7:$X$66,0),0)-1&amp;"ª reunião da CA e aprovação da liberação de parcela pelo supervisor."),""))</f>
        <v/>
      </c>
      <c r="T48" s="114" t="str">
        <f t="shared" si="13"/>
        <v>Não</v>
      </c>
      <c r="U48" s="114" t="str">
        <f t="shared" si="15"/>
        <v/>
      </c>
      <c r="V48" s="114" t="str">
        <f>Cronogramas!T48</f>
        <v>Não</v>
      </c>
      <c r="W48" s="114"/>
      <c r="X48" s="114">
        <f>COUNTIF(V$7:$V48,"Sim")</f>
        <v>12</v>
      </c>
      <c r="Y48" s="114" t="str">
        <f t="shared" si="21"/>
        <v/>
      </c>
      <c r="Z48" s="187"/>
      <c r="AA48" s="187"/>
      <c r="AB48" s="207">
        <f ca="1">_xlfn.IFNA(IF(V48="Sim",(IFERROR(SUM(OFFSET(AE48,1,,MATCH("Sim",V49:$V$66,0),1))-AC48,0)+IF(Y48-$W$7=1,SUM($AE$6:AE48)-$AF$7,0)+IF(SUM(Y49:$Y$66)=0,SUM(AE49:$AE$66)-AC48+Analítico!$BK$154)),0),0)</f>
        <v>0</v>
      </c>
      <c r="AC48" s="207">
        <f ca="1">IFERROR(IF(V48="Sim",IFERROR(SUM(OFFSET(AD48,1,,MATCH("Sim",T49:$T$66,0),1)),0)+IF(Y48-$W$7=1,SUM($AD$6:AD48),0)+IF(SUM(Y49:$Y$66)=0,SUM(AD49:$AD$66),0),0),0)</f>
        <v>0</v>
      </c>
      <c r="AD48" s="207">
        <f ca="1">SUM(OFFSET(Analítico!$B$10,0,A48,2,1))</f>
        <v>0</v>
      </c>
      <c r="AE48" s="207">
        <f ca="1">OFFSET(Analítico!$B$155,,A48)</f>
        <v>0</v>
      </c>
      <c r="AH48" s="176" t="str">
        <f t="shared" si="11"/>
        <v/>
      </c>
    </row>
    <row r="49" spans="1:34" ht="15" x14ac:dyDescent="0.2">
      <c r="A49" s="195">
        <v>43</v>
      </c>
      <c r="B49" s="196" t="str">
        <f>IFERROR(IF(EDATE(B48,1)&gt;DATE(YEAR(Capa!$A$7),MONTH(Capa!$A$7),1),"",EDATE(B48,1)),"")</f>
        <v/>
      </c>
      <c r="C49" s="195" t="str">
        <f t="shared" si="16"/>
        <v/>
      </c>
      <c r="D49" s="29"/>
      <c r="E49" s="195"/>
      <c r="F49" s="195"/>
      <c r="G49" s="195"/>
      <c r="H49" s="195"/>
      <c r="I49" s="195"/>
      <c r="R49" s="203" t="str">
        <f ca="1">IF(P49="","",IFERROR(IF(Capa!$A$2="","Após a celebração do termo de parceria.","Realização da "&amp;OFFSET($Y$6,MATCH(A49,$X$7:$X$66,0),0)-1&amp;"ª reunião da CA e aprovação da liberação de parcela pelo supervisor."),""))</f>
        <v/>
      </c>
      <c r="T49" s="114" t="str">
        <f t="shared" si="13"/>
        <v>Não</v>
      </c>
      <c r="U49" s="114" t="str">
        <f t="shared" si="15"/>
        <v/>
      </c>
      <c r="V49" s="114" t="str">
        <f>Cronogramas!T49</f>
        <v>Não</v>
      </c>
      <c r="W49" s="114"/>
      <c r="X49" s="114">
        <f>COUNTIF(V$7:$V49,"Sim")</f>
        <v>12</v>
      </c>
      <c r="Y49" s="114" t="str">
        <f t="shared" si="21"/>
        <v/>
      </c>
      <c r="Z49" s="187"/>
      <c r="AA49" s="187"/>
      <c r="AB49" s="207">
        <f ca="1">_xlfn.IFNA(IF(V49="Sim",(IFERROR(SUM(OFFSET(AE49,1,,MATCH("Sim",V50:$V$66,0),1))-AC49,0)+IF(Y49-$W$7=1,SUM($AE$6:AE49)-$AF$7,0)+IF(SUM(Y50:$Y$66)=0,SUM(AE50:$AE$66)-AC49+Analítico!$BK$154)),0),0)</f>
        <v>0</v>
      </c>
      <c r="AC49" s="207">
        <f ca="1">IFERROR(IF(V49="Sim",IFERROR(SUM(OFFSET(AD49,1,,MATCH("Sim",T50:$T$66,0),1)),0)+IF(Y49-$W$7=1,SUM($AD$6:AD49),0)+IF(SUM(Y50:$Y$66)=0,SUM(AD50:$AD$66),0),0),0)</f>
        <v>0</v>
      </c>
      <c r="AD49" s="207">
        <f ca="1">SUM(OFFSET(Analítico!$B$10,0,A49,2,1))</f>
        <v>0</v>
      </c>
      <c r="AE49" s="207">
        <f ca="1">OFFSET(Analítico!$B$155,,A49)</f>
        <v>0</v>
      </c>
      <c r="AH49" s="176" t="str">
        <f t="shared" si="11"/>
        <v/>
      </c>
    </row>
    <row r="50" spans="1:34" ht="15" x14ac:dyDescent="0.2">
      <c r="A50" s="195">
        <v>44</v>
      </c>
      <c r="B50" s="196" t="str">
        <f>IFERROR(IF(EDATE(B49,1)&gt;DATE(YEAR(Capa!$A$7),MONTH(Capa!$A$7),1),"",EDATE(B49,1)),"")</f>
        <v/>
      </c>
      <c r="C50" s="195" t="str">
        <f t="shared" si="16"/>
        <v/>
      </c>
      <c r="D50" s="29"/>
      <c r="E50" s="195"/>
      <c r="F50" s="195"/>
      <c r="G50" s="195"/>
      <c r="H50" s="195"/>
      <c r="I50" s="195"/>
      <c r="R50" s="203" t="str">
        <f ca="1">IF(P50="","",IFERROR(IF(Capa!$A$2="","Após a celebração do termo de parceria.","Realização da "&amp;OFFSET($Y$6,MATCH(A50,$X$7:$X$66,0),0)-1&amp;"ª reunião da CA e aprovação da liberação de parcela pelo supervisor."),""))</f>
        <v/>
      </c>
      <c r="T50" s="114" t="str">
        <f t="shared" si="13"/>
        <v>Não</v>
      </c>
      <c r="U50" s="114" t="str">
        <f t="shared" si="15"/>
        <v/>
      </c>
      <c r="V50" s="114" t="str">
        <f>Cronogramas!T50</f>
        <v>Não</v>
      </c>
      <c r="W50" s="114"/>
      <c r="X50" s="114">
        <f>COUNTIF(V$7:$V50,"Sim")</f>
        <v>12</v>
      </c>
      <c r="Y50" s="114" t="str">
        <f t="shared" si="21"/>
        <v/>
      </c>
      <c r="Z50" s="187"/>
      <c r="AA50" s="187"/>
      <c r="AB50" s="207">
        <f ca="1">_xlfn.IFNA(IF(V50="Sim",(IFERROR(SUM(OFFSET(AE50,1,,MATCH("Sim",V51:$V$66,0),1))-AC50,0)+IF(Y50-$W$7=1,SUM($AE$6:AE50)-$AF$7,0)+IF(SUM(Y51:$Y$66)=0,SUM(AE51:$AE$66)-AC50+Analítico!$BK$154)),0),0)</f>
        <v>0</v>
      </c>
      <c r="AC50" s="207">
        <f ca="1">IFERROR(IF(V50="Sim",IFERROR(SUM(OFFSET(AD50,1,,MATCH("Sim",T51:$T$66,0),1)),0)+IF(Y50-$W$7=1,SUM($AD$6:AD50),0)+IF(SUM(Y51:$Y$66)=0,SUM(AD51:$AD$66),0),0),0)</f>
        <v>0</v>
      </c>
      <c r="AD50" s="207">
        <f ca="1">SUM(OFFSET(Analítico!$B$10,0,A50,2,1))</f>
        <v>0</v>
      </c>
      <c r="AE50" s="207">
        <f ca="1">OFFSET(Analítico!$B$155,,A50)</f>
        <v>0</v>
      </c>
      <c r="AH50" s="176" t="str">
        <f t="shared" si="11"/>
        <v/>
      </c>
    </row>
    <row r="51" spans="1:34" ht="15" x14ac:dyDescent="0.2">
      <c r="A51" s="195">
        <v>45</v>
      </c>
      <c r="B51" s="196" t="str">
        <f>IFERROR(IF(EDATE(B50,1)&gt;DATE(YEAR(Capa!$A$7),MONTH(Capa!$A$7),1),"",EDATE(B50,1)),"")</f>
        <v/>
      </c>
      <c r="C51" s="195" t="str">
        <f t="shared" si="16"/>
        <v/>
      </c>
      <c r="D51" s="29"/>
      <c r="E51" s="195"/>
      <c r="F51" s="195"/>
      <c r="G51" s="195"/>
      <c r="H51" s="195"/>
      <c r="I51" s="195"/>
      <c r="R51" s="203" t="str">
        <f ca="1">IF(P51="","",IFERROR(IF(Capa!$A$2="","Após a celebração do termo de parceria.","Realização da "&amp;OFFSET($Y$6,MATCH(A51,$X$7:$X$66,0),0)-1&amp;"ª reunião da CA e aprovação da liberação de parcela pelo supervisor."),""))</f>
        <v/>
      </c>
      <c r="T51" s="114" t="str">
        <f t="shared" si="13"/>
        <v>Não</v>
      </c>
      <c r="U51" s="114" t="str">
        <f t="shared" si="15"/>
        <v/>
      </c>
      <c r="V51" s="114" t="str">
        <f>Cronogramas!T51</f>
        <v>Não</v>
      </c>
      <c r="W51" s="114"/>
      <c r="X51" s="114">
        <f>COUNTIF(V$7:$V51,"Sim")</f>
        <v>12</v>
      </c>
      <c r="Y51" s="114" t="str">
        <f t="shared" si="21"/>
        <v/>
      </c>
      <c r="Z51" s="187"/>
      <c r="AA51" s="187"/>
      <c r="AB51" s="207">
        <f ca="1">_xlfn.IFNA(IF(V51="Sim",(IFERROR(SUM(OFFSET(AE51,1,,MATCH("Sim",V52:$V$66,0),1))-AC51,0)+IF(Y51-$W$7=1,SUM($AE$6:AE51)-$AF$7,0)+IF(SUM(Y52:$Y$66)=0,SUM(AE52:$AE$66)-AC51+Analítico!$BK$154)),0),0)</f>
        <v>0</v>
      </c>
      <c r="AC51" s="207">
        <f ca="1">IFERROR(IF(V51="Sim",IFERROR(SUM(OFFSET(AD51,1,,MATCH("Sim",T52:$T$66,0),1)),0)+IF(Y51-$W$7=1,SUM($AD$6:AD51),0)+IF(SUM(Y52:$Y$66)=0,SUM(AD52:$AD$66),0),0),0)</f>
        <v>0</v>
      </c>
      <c r="AD51" s="207">
        <f ca="1">SUM(OFFSET(Analítico!$B$10,0,A51,2,1))</f>
        <v>0</v>
      </c>
      <c r="AE51" s="207">
        <f ca="1">OFFSET(Analítico!$B$155,,A51)</f>
        <v>0</v>
      </c>
      <c r="AH51" s="176" t="str">
        <f t="shared" si="11"/>
        <v/>
      </c>
    </row>
    <row r="52" spans="1:34" ht="15" x14ac:dyDescent="0.2">
      <c r="A52" s="195">
        <v>46</v>
      </c>
      <c r="B52" s="196" t="str">
        <f>IFERROR(IF(EDATE(B51,1)&gt;DATE(YEAR(Capa!$A$7),MONTH(Capa!$A$7),1),"",EDATE(B51,1)),"")</f>
        <v/>
      </c>
      <c r="C52" s="195" t="str">
        <f t="shared" si="16"/>
        <v/>
      </c>
      <c r="D52" s="29"/>
      <c r="E52" s="195"/>
      <c r="F52" s="195"/>
      <c r="G52" s="195"/>
      <c r="H52" s="195"/>
      <c r="I52" s="195"/>
      <c r="R52" s="203" t="str">
        <f ca="1">IF(P52="","",IFERROR(IF(Capa!$A$2="","Após a celebração do termo de parceria.","Realização da "&amp;OFFSET($Y$6,MATCH(A52,$X$7:$X$66,0),0)-1&amp;"ª reunião da CA e aprovação da liberação de parcela pelo supervisor."),""))</f>
        <v/>
      </c>
      <c r="T52" s="114" t="str">
        <f t="shared" si="13"/>
        <v>Não</v>
      </c>
      <c r="U52" s="114" t="str">
        <f t="shared" si="15"/>
        <v/>
      </c>
      <c r="V52" s="114" t="str">
        <f>Cronogramas!T52</f>
        <v>Não</v>
      </c>
      <c r="W52" s="114"/>
      <c r="X52" s="114">
        <f>COUNTIF(V$7:$V52,"Sim")</f>
        <v>12</v>
      </c>
      <c r="Y52" s="114" t="str">
        <f t="shared" si="21"/>
        <v/>
      </c>
      <c r="Z52" s="187"/>
      <c r="AA52" s="187"/>
      <c r="AB52" s="207">
        <f ca="1">_xlfn.IFNA(IF(V52="Sim",(IFERROR(SUM(OFFSET(AE52,1,,MATCH("Sim",V53:$V$66,0),1))-AC52,0)+IF(Y52-$W$7=1,SUM($AE$6:AE52)-$AF$7,0)+IF(SUM(Y53:$Y$66)=0,SUM(AE53:$AE$66)-AC52+Analítico!$BK$154)),0),0)</f>
        <v>0</v>
      </c>
      <c r="AC52" s="207">
        <f ca="1">IFERROR(IF(V52="Sim",IFERROR(SUM(OFFSET(AD52,1,,MATCH("Sim",T53:$T$66,0),1)),0)+IF(Y52-$W$7=1,SUM($AD$6:AD52),0)+IF(SUM(Y53:$Y$66)=0,SUM(AD53:$AD$66),0),0),0)</f>
        <v>0</v>
      </c>
      <c r="AD52" s="207">
        <f ca="1">SUM(OFFSET(Analítico!$B$10,0,A52,2,1))</f>
        <v>0</v>
      </c>
      <c r="AE52" s="207">
        <f ca="1">OFFSET(Analítico!$B$155,,A52)</f>
        <v>0</v>
      </c>
      <c r="AH52" s="176" t="str">
        <f t="shared" si="11"/>
        <v/>
      </c>
    </row>
    <row r="53" spans="1:34" ht="15" x14ac:dyDescent="0.2">
      <c r="A53" s="195">
        <v>47</v>
      </c>
      <c r="B53" s="196" t="str">
        <f>IFERROR(IF(EDATE(B52,1)&gt;DATE(YEAR(Capa!$A$7),MONTH(Capa!$A$7),1),"",EDATE(B52,1)),"")</f>
        <v/>
      </c>
      <c r="C53" s="195" t="str">
        <f t="shared" si="16"/>
        <v/>
      </c>
      <c r="D53" s="29"/>
      <c r="E53" s="195"/>
      <c r="F53" s="195"/>
      <c r="G53" s="195"/>
      <c r="H53" s="195"/>
      <c r="I53" s="195"/>
      <c r="R53" s="203" t="str">
        <f ca="1">IF(P53="","",IFERROR(IF(Capa!$A$2="","Após a celebração do termo de parceria.","Realização da "&amp;OFFSET($Y$6,MATCH(A53,$X$7:$X$66,0),0)-1&amp;"ª reunião da CA e aprovação da liberação de parcela pelo supervisor."),""))</f>
        <v/>
      </c>
      <c r="T53" s="114" t="str">
        <f t="shared" si="13"/>
        <v>Não</v>
      </c>
      <c r="U53" s="114" t="str">
        <f t="shared" si="15"/>
        <v/>
      </c>
      <c r="V53" s="114" t="str">
        <f>Cronogramas!T53</f>
        <v>Não</v>
      </c>
      <c r="W53" s="114"/>
      <c r="X53" s="114">
        <f>COUNTIF(V$7:$V53,"Sim")</f>
        <v>12</v>
      </c>
      <c r="Y53" s="114" t="str">
        <f t="shared" si="21"/>
        <v/>
      </c>
      <c r="Z53" s="187"/>
      <c r="AA53" s="187"/>
      <c r="AB53" s="207">
        <f ca="1">_xlfn.IFNA(IF(V53="Sim",(IFERROR(SUM(OFFSET(AE53,1,,MATCH("Sim",V54:$V$66,0),1))-AC53,0)+IF(Y53-$W$7=1,SUM($AE$6:AE53)-$AF$7,0)+IF(SUM(Y54:$Y$66)=0,SUM(AE54:$AE$66)-AC53+Analítico!$BK$154)),0),0)</f>
        <v>0</v>
      </c>
      <c r="AC53" s="207">
        <f ca="1">IFERROR(IF(V53="Sim",IFERROR(SUM(OFFSET(AD53,1,,MATCH("Sim",T54:$T$66,0),1)),0)+IF(Y53-$W$7=1,SUM($AD$6:AD53),0)+IF(SUM(Y54:$Y$66)=0,SUM(AD54:$AD$66),0),0),0)</f>
        <v>0</v>
      </c>
      <c r="AD53" s="207">
        <f ca="1">SUM(OFFSET(Analítico!$B$10,0,A53,2,1))</f>
        <v>0</v>
      </c>
      <c r="AE53" s="207">
        <f ca="1">OFFSET(Analítico!$B$155,,A53)</f>
        <v>0</v>
      </c>
      <c r="AH53" s="176" t="str">
        <f t="shared" si="11"/>
        <v/>
      </c>
    </row>
    <row r="54" spans="1:34" ht="15" x14ac:dyDescent="0.2">
      <c r="A54" s="195">
        <v>48</v>
      </c>
      <c r="B54" s="196" t="str">
        <f>IFERROR(IF(EDATE(B53,1)&gt;DATE(YEAR(Capa!$A$7),MONTH(Capa!$A$7),1),"",EDATE(B53,1)),"")</f>
        <v/>
      </c>
      <c r="C54" s="195" t="str">
        <f t="shared" si="16"/>
        <v/>
      </c>
      <c r="D54" s="29"/>
      <c r="E54" s="195"/>
      <c r="F54" s="195"/>
      <c r="G54" s="195"/>
      <c r="H54" s="195"/>
      <c r="I54" s="195"/>
      <c r="R54" s="203" t="str">
        <f ca="1">IF(P54="","",IFERROR(IF(Capa!$A$2="","Após a celebração do termo de parceria.","Realização da "&amp;OFFSET($Y$6,MATCH(A54,$X$7:$X$66,0),0)-1&amp;"ª reunião da CA e aprovação da liberação de parcela pelo supervisor."),""))</f>
        <v/>
      </c>
      <c r="T54" s="114" t="str">
        <f t="shared" si="13"/>
        <v>Não</v>
      </c>
      <c r="U54" s="114" t="str">
        <f t="shared" si="15"/>
        <v/>
      </c>
      <c r="V54" s="114" t="str">
        <f>Cronogramas!T54</f>
        <v>Não</v>
      </c>
      <c r="W54" s="114"/>
      <c r="X54" s="114">
        <f>COUNTIF(V$7:$V54,"Sim")</f>
        <v>12</v>
      </c>
      <c r="Y54" s="114" t="str">
        <f t="shared" si="21"/>
        <v/>
      </c>
      <c r="Z54" s="187"/>
      <c r="AA54" s="187"/>
      <c r="AB54" s="207">
        <f ca="1">_xlfn.IFNA(IF(V54="Sim",(IFERROR(SUM(OFFSET(AE54,1,,MATCH("Sim",V55:$V$66,0),1))-AC54,0)+IF(Y54-$W$7=1,SUM($AE$6:AE54)-$AF$7,0)+IF(SUM(Y55:$Y$66)=0,SUM(AE55:$AE$66)-AC54+Analítico!$BK$154)),0),0)</f>
        <v>0</v>
      </c>
      <c r="AC54" s="207">
        <f ca="1">IFERROR(IF(V54="Sim",IFERROR(SUM(OFFSET(AD54,1,,MATCH("Sim",T55:$T$66,0),1)),0)+IF(Y54-$W$7=1,SUM($AD$6:AD54),0)+IF(SUM(Y55:$Y$66)=0,SUM(AD55:$AD$66),0),0),0)</f>
        <v>0</v>
      </c>
      <c r="AD54" s="207">
        <f ca="1">SUM(OFFSET(Analítico!$B$10,0,A54,2,1))</f>
        <v>0</v>
      </c>
      <c r="AE54" s="207">
        <f ca="1">OFFSET(Analítico!$B$155,,A54)</f>
        <v>0</v>
      </c>
      <c r="AH54" s="176" t="str">
        <f t="shared" si="11"/>
        <v/>
      </c>
    </row>
    <row r="55" spans="1:34" ht="15" x14ac:dyDescent="0.2">
      <c r="A55" s="195">
        <v>49</v>
      </c>
      <c r="B55" s="196" t="str">
        <f>IFERROR(IF(EDATE(B54,1)&gt;DATE(YEAR(Capa!$A$7),MONTH(Capa!$A$7),1),"",EDATE(B54,1)),"")</f>
        <v/>
      </c>
      <c r="C55" s="195" t="str">
        <f t="shared" si="16"/>
        <v/>
      </c>
      <c r="D55" s="29"/>
      <c r="E55" s="195"/>
      <c r="F55" s="195"/>
      <c r="G55" s="195"/>
      <c r="H55" s="195"/>
      <c r="I55" s="195"/>
      <c r="R55" s="203" t="str">
        <f ca="1">IF(P55="","",IFERROR(IF(Capa!$A$2="","Após a celebração do termo de parceria.","Realização da "&amp;OFFSET($Y$6,MATCH(A55,$X$7:$X$66,0),0)-1&amp;"ª reunião da CA e aprovação da liberação de parcela pelo supervisor."),""))</f>
        <v/>
      </c>
      <c r="T55" s="114" t="str">
        <f t="shared" si="13"/>
        <v>Não</v>
      </c>
      <c r="U55" s="114" t="str">
        <f t="shared" si="15"/>
        <v/>
      </c>
      <c r="V55" s="114" t="str">
        <f>Cronogramas!T55</f>
        <v>Não</v>
      </c>
      <c r="W55" s="114"/>
      <c r="X55" s="114">
        <f>COUNTIF(V$7:$V55,"Sim")</f>
        <v>12</v>
      </c>
      <c r="Y55" s="114" t="str">
        <f t="shared" si="21"/>
        <v/>
      </c>
      <c r="Z55" s="187"/>
      <c r="AA55" s="187"/>
      <c r="AB55" s="207">
        <f ca="1">_xlfn.IFNA(IF(V55="Sim",(IFERROR(SUM(OFFSET(AE55,1,,MATCH("Sim",V56:$V$66,0),1))-AC55,0)+IF(Y55-$W$7=1,SUM($AE$6:AE55)-$AF$7,0)+IF(SUM(Y56:$Y$66)=0,SUM(AE56:$AE$66)-AC55+Analítico!$BK$154)),0),0)</f>
        <v>0</v>
      </c>
      <c r="AC55" s="207">
        <f ca="1">IFERROR(IF(V55="Sim",IFERROR(SUM(OFFSET(AD55,1,,MATCH("Sim",T56:$T$66,0),1)),0)+IF(Y55-$W$7=1,SUM($AD$6:AD55),0)+IF(SUM(Y56:$Y$66)=0,SUM(AD56:$AD$66),0),0),0)</f>
        <v>0</v>
      </c>
      <c r="AD55" s="207">
        <f ca="1">SUM(OFFSET(Analítico!$B$10,0,A55,2,1))</f>
        <v>0</v>
      </c>
      <c r="AE55" s="207">
        <f ca="1">OFFSET(Analítico!$B$155,,A55)</f>
        <v>0</v>
      </c>
      <c r="AH55" s="176" t="str">
        <f t="shared" si="11"/>
        <v/>
      </c>
    </row>
    <row r="56" spans="1:34" ht="15" x14ac:dyDescent="0.2">
      <c r="A56" s="195">
        <v>50</v>
      </c>
      <c r="B56" s="196" t="str">
        <f>IFERROR(IF(EDATE(B55,1)&gt;DATE(YEAR(Capa!$A$7),MONTH(Capa!$A$7),1),"",EDATE(B55,1)),"")</f>
        <v/>
      </c>
      <c r="C56" s="195" t="str">
        <f t="shared" si="16"/>
        <v/>
      </c>
      <c r="D56" s="29"/>
      <c r="E56" s="195"/>
      <c r="F56" s="195"/>
      <c r="G56" s="195"/>
      <c r="H56" s="195"/>
      <c r="I56" s="195"/>
      <c r="R56" s="203" t="str">
        <f ca="1">IF(P56="","",IFERROR(IF(Capa!$A$2="","Após a celebração do termo de parceria.","Realização da "&amp;OFFSET($Y$6,MATCH(A56,$X$7:$X$66,0),0)-1&amp;"ª reunião da CA e aprovação da liberação de parcela pelo supervisor."),""))</f>
        <v/>
      </c>
      <c r="T56" s="114" t="str">
        <f t="shared" si="13"/>
        <v>Não</v>
      </c>
      <c r="U56" s="114" t="str">
        <f t="shared" si="15"/>
        <v/>
      </c>
      <c r="V56" s="114" t="str">
        <f>Cronogramas!T56</f>
        <v>Não</v>
      </c>
      <c r="W56" s="114"/>
      <c r="X56" s="114">
        <f>COUNTIF(V$7:$V56,"Sim")</f>
        <v>12</v>
      </c>
      <c r="Y56" s="114" t="str">
        <f t="shared" si="21"/>
        <v/>
      </c>
      <c r="Z56" s="187"/>
      <c r="AA56" s="187"/>
      <c r="AB56" s="207">
        <f ca="1">_xlfn.IFNA(IF(V56="Sim",(IFERROR(SUM(OFFSET(AE56,1,,MATCH("Sim",V57:$V$66,0),1))-AC56,0)+IF(Y56-$W$7=1,SUM($AE$6:AE56)-$AF$7,0)+IF(SUM(Y57:$Y$66)=0,SUM(AE57:$AE$66)-AC56+Analítico!$BK$154)),0),0)</f>
        <v>0</v>
      </c>
      <c r="AC56" s="207">
        <f ca="1">IFERROR(IF(V56="Sim",IFERROR(SUM(OFFSET(AD56,1,,MATCH("Sim",T57:$T$66,0),1)),0)+IF(Y56-$W$7=1,SUM($AD$6:AD56),0)+IF(SUM(Y57:$Y$66)=0,SUM(AD57:$AD$66),0),0),0)</f>
        <v>0</v>
      </c>
      <c r="AD56" s="207">
        <f ca="1">SUM(OFFSET(Analítico!$B$10,0,A56,2,1))</f>
        <v>0</v>
      </c>
      <c r="AE56" s="207">
        <f ca="1">OFFSET(Analítico!$B$155,,A56)</f>
        <v>0</v>
      </c>
      <c r="AH56" s="176" t="str">
        <f t="shared" si="11"/>
        <v/>
      </c>
    </row>
    <row r="57" spans="1:34" ht="15" x14ac:dyDescent="0.2">
      <c r="A57" s="195">
        <v>51</v>
      </c>
      <c r="B57" s="196" t="str">
        <f>IFERROR(IF(EDATE(B56,1)&gt;DATE(YEAR(Capa!$A$7),MONTH(Capa!$A$7),1),"",EDATE(B56,1)),"")</f>
        <v/>
      </c>
      <c r="C57" s="195" t="str">
        <f t="shared" si="16"/>
        <v/>
      </c>
      <c r="D57" s="29"/>
      <c r="E57" s="195"/>
      <c r="F57" s="195"/>
      <c r="G57" s="195"/>
      <c r="H57" s="195"/>
      <c r="I57" s="195"/>
      <c r="R57" s="203" t="str">
        <f ca="1">IF(P57="","",IFERROR(IF(Capa!$A$2="","Após a celebração do termo de parceria.","Realização da "&amp;OFFSET($Y$6,MATCH(A57,$X$7:$X$66,0),0)-1&amp;"ª reunião da CA e aprovação da liberação de parcela pelo supervisor."),""))</f>
        <v/>
      </c>
      <c r="T57" s="114" t="str">
        <f t="shared" si="13"/>
        <v>Não</v>
      </c>
      <c r="U57" s="114" t="str">
        <f t="shared" si="15"/>
        <v/>
      </c>
      <c r="V57" s="114" t="str">
        <f>Cronogramas!T57</f>
        <v>Não</v>
      </c>
      <c r="W57" s="114"/>
      <c r="X57" s="114">
        <f>COUNTIF(V$7:$V57,"Sim")</f>
        <v>12</v>
      </c>
      <c r="Y57" s="114" t="str">
        <f t="shared" si="21"/>
        <v/>
      </c>
      <c r="Z57" s="187"/>
      <c r="AA57" s="187"/>
      <c r="AB57" s="207">
        <f ca="1">_xlfn.IFNA(IF(V57="Sim",(IFERROR(SUM(OFFSET(AE57,1,,MATCH("Sim",V58:$V$66,0),1))-AC57,0)+IF(Y57-$W$7=1,SUM($AE$6:AE57)-$AF$7,0)+IF(SUM(Y58:$Y$66)=0,SUM(AE58:$AE$66)-AC57+Analítico!$BK$154)),0),0)</f>
        <v>0</v>
      </c>
      <c r="AC57" s="207">
        <f ca="1">IFERROR(IF(V57="Sim",IFERROR(SUM(OFFSET(AD57,1,,MATCH("Sim",T58:$T$66,0),1)),0)+IF(Y57-$W$7=1,SUM($AD$6:AD57),0)+IF(SUM(Y58:$Y$66)=0,SUM(AD58:$AD$66),0),0),0)</f>
        <v>0</v>
      </c>
      <c r="AD57" s="207">
        <f ca="1">SUM(OFFSET(Analítico!$B$10,0,A57,2,1))</f>
        <v>0</v>
      </c>
      <c r="AE57" s="207">
        <f ca="1">OFFSET(Analítico!$B$155,,A57)</f>
        <v>0</v>
      </c>
      <c r="AH57" s="176" t="str">
        <f t="shared" si="11"/>
        <v/>
      </c>
    </row>
    <row r="58" spans="1:34" ht="15" x14ac:dyDescent="0.2">
      <c r="A58" s="195">
        <v>52</v>
      </c>
      <c r="B58" s="196" t="str">
        <f>IFERROR(IF(EDATE(B57,1)&gt;DATE(YEAR(Capa!$A$7),MONTH(Capa!$A$7),1),"",EDATE(B57,1)),"")</f>
        <v/>
      </c>
      <c r="C58" s="195" t="str">
        <f t="shared" si="16"/>
        <v/>
      </c>
      <c r="D58" s="29"/>
      <c r="E58" s="195"/>
      <c r="F58" s="195"/>
      <c r="G58" s="195"/>
      <c r="H58" s="195"/>
      <c r="I58" s="195"/>
      <c r="R58" s="203" t="str">
        <f ca="1">IF(P58="","",IFERROR(IF(Capa!$A$2="","Após a celebração do termo de parceria.","Realização da "&amp;OFFSET($Y$6,MATCH(A58,$X$7:$X$66,0),0)-1&amp;"ª reunião da CA e aprovação da liberação de parcela pelo supervisor."),""))</f>
        <v/>
      </c>
      <c r="T58" s="114" t="str">
        <f t="shared" si="13"/>
        <v>Não</v>
      </c>
      <c r="U58" s="114" t="str">
        <f t="shared" si="15"/>
        <v/>
      </c>
      <c r="V58" s="114" t="str">
        <f>Cronogramas!T58</f>
        <v>Não</v>
      </c>
      <c r="W58" s="114"/>
      <c r="X58" s="114">
        <f>COUNTIF(V$7:$V58,"Sim")</f>
        <v>12</v>
      </c>
      <c r="Y58" s="114" t="str">
        <f t="shared" si="21"/>
        <v/>
      </c>
      <c r="Z58" s="187"/>
      <c r="AA58" s="187"/>
      <c r="AB58" s="207">
        <f ca="1">_xlfn.IFNA(IF(V58="Sim",(IFERROR(SUM(OFFSET(AE58,1,,MATCH("Sim",V59:$V$66,0),1))-AC58,0)+IF(Y58-$W$7=1,SUM($AE$6:AE58)-$AF$7,0)+IF(SUM(Y59:$Y$66)=0,SUM(AE59:$AE$66)-AC58+Analítico!$BK$154)),0),0)</f>
        <v>0</v>
      </c>
      <c r="AC58" s="207">
        <f ca="1">IFERROR(IF(V58="Sim",IFERROR(SUM(OFFSET(AD58,1,,MATCH("Sim",T59:$T$66,0),1)),0)+IF(Y58-$W$7=1,SUM($AD$6:AD58),0)+IF(SUM(Y59:$Y$66)=0,SUM(AD59:$AD$66),0),0),0)</f>
        <v>0</v>
      </c>
      <c r="AD58" s="207">
        <f ca="1">SUM(OFFSET(Analítico!$B$10,0,A58,2,1))</f>
        <v>0</v>
      </c>
      <c r="AE58" s="207">
        <f ca="1">OFFSET(Analítico!$B$155,,A58)</f>
        <v>0</v>
      </c>
      <c r="AH58" s="176" t="str">
        <f t="shared" si="11"/>
        <v/>
      </c>
    </row>
    <row r="59" spans="1:34" ht="15" x14ac:dyDescent="0.2">
      <c r="A59" s="195">
        <v>53</v>
      </c>
      <c r="B59" s="196" t="str">
        <f>IFERROR(IF(EDATE(B58,1)&gt;DATE(YEAR(Capa!$A$7),MONTH(Capa!$A$7),1),"",EDATE(B58,1)),"")</f>
        <v/>
      </c>
      <c r="C59" s="195" t="str">
        <f t="shared" si="16"/>
        <v/>
      </c>
      <c r="D59" s="29"/>
      <c r="E59" s="195"/>
      <c r="F59" s="195"/>
      <c r="G59" s="195"/>
      <c r="H59" s="195"/>
      <c r="I59" s="195"/>
      <c r="R59" s="203" t="str">
        <f ca="1">IF(P59="","",IFERROR(IF(Capa!$A$2="","Após a celebração do termo de parceria.","Realização da "&amp;OFFSET($Y$6,MATCH(A59,$X$7:$X$66,0),0)-1&amp;"ª reunião da CA e aprovação da liberação de parcela pelo supervisor."),""))</f>
        <v/>
      </c>
      <c r="T59" s="114" t="str">
        <f t="shared" si="13"/>
        <v>Não</v>
      </c>
      <c r="U59" s="114" t="str">
        <f t="shared" si="15"/>
        <v/>
      </c>
      <c r="V59" s="114" t="str">
        <f>Cronogramas!T59</f>
        <v>Não</v>
      </c>
      <c r="W59" s="114"/>
      <c r="X59" s="114">
        <f>COUNTIF(V$7:$V59,"Sim")</f>
        <v>12</v>
      </c>
      <c r="Y59" s="114" t="str">
        <f t="shared" si="21"/>
        <v/>
      </c>
      <c r="Z59" s="187"/>
      <c r="AA59" s="187"/>
      <c r="AB59" s="207">
        <f ca="1">_xlfn.IFNA(IF(V59="Sim",(IFERROR(SUM(OFFSET(AE59,1,,MATCH("Sim",V60:$V$66,0),1))-AC59,0)+IF(Y59-$W$7=1,SUM($AE$6:AE59)-$AF$7,0)+IF(SUM(Y60:$Y$66)=0,SUM(AE60:$AE$66)-AC59+Analítico!$BK$154)),0),0)</f>
        <v>0</v>
      </c>
      <c r="AC59" s="207">
        <f ca="1">IFERROR(IF(V59="Sim",IFERROR(SUM(OFFSET(AD59,1,,MATCH("Sim",T60:$T$66,0),1)),0)+IF(Y59-$W$7=1,SUM($AD$6:AD59),0)+IF(SUM(Y60:$Y$66)=0,SUM(AD60:$AD$66),0),0),0)</f>
        <v>0</v>
      </c>
      <c r="AD59" s="207">
        <f ca="1">SUM(OFFSET(Analítico!$B$10,0,A59,2,1))</f>
        <v>0</v>
      </c>
      <c r="AE59" s="207">
        <f ca="1">OFFSET(Analítico!$B$155,,A59)</f>
        <v>0</v>
      </c>
      <c r="AH59" s="176" t="str">
        <f t="shared" si="11"/>
        <v/>
      </c>
    </row>
    <row r="60" spans="1:34" ht="15" x14ac:dyDescent="0.2">
      <c r="A60" s="195">
        <v>54</v>
      </c>
      <c r="B60" s="196" t="str">
        <f>IFERROR(IF(EDATE(B59,1)&gt;DATE(YEAR(Capa!$A$7),MONTH(Capa!$A$7),1),"",EDATE(B59,1)),"")</f>
        <v/>
      </c>
      <c r="C60" s="195" t="str">
        <f t="shared" si="16"/>
        <v/>
      </c>
      <c r="D60" s="29"/>
      <c r="E60" s="195"/>
      <c r="F60" s="195"/>
      <c r="G60" s="195"/>
      <c r="H60" s="195"/>
      <c r="I60" s="195"/>
      <c r="R60" s="203" t="str">
        <f ca="1">IF(P60="","",IFERROR(IF(Capa!$A$2="","Após a celebração do termo de parceria.","Realização da "&amp;OFFSET($Y$6,MATCH(A60,$X$7:$X$66,0),0)-1&amp;"ª reunião da CA e aprovação da liberação de parcela pelo supervisor."),""))</f>
        <v/>
      </c>
      <c r="T60" s="114" t="str">
        <f t="shared" si="13"/>
        <v>Não</v>
      </c>
      <c r="U60" s="114" t="str">
        <f t="shared" si="15"/>
        <v/>
      </c>
      <c r="V60" s="114" t="str">
        <f>Cronogramas!T60</f>
        <v>Não</v>
      </c>
      <c r="W60" s="114"/>
      <c r="X60" s="114">
        <f>COUNTIF(V$7:$V60,"Sim")</f>
        <v>12</v>
      </c>
      <c r="Y60" s="114" t="str">
        <f t="shared" si="21"/>
        <v/>
      </c>
      <c r="Z60" s="187"/>
      <c r="AA60" s="187"/>
      <c r="AB60" s="207">
        <f ca="1">_xlfn.IFNA(IF(V60="Sim",(IFERROR(SUM(OFFSET(AE60,1,,MATCH("Sim",V61:$V$66,0),1))-AC60,0)+IF(Y60-$W$7=1,SUM($AE$6:AE60)-$AF$7,0)+IF(SUM(Y61:$Y$66)=0,SUM(AE61:$AE$66)-AC60+Analítico!$BK$154)),0),0)</f>
        <v>0</v>
      </c>
      <c r="AC60" s="207">
        <f ca="1">IFERROR(IF(V60="Sim",IFERROR(SUM(OFFSET(AD60,1,,MATCH("Sim",T61:$T$66,0),1)),0)+IF(Y60-$W$7=1,SUM($AD$6:AD60),0)+IF(SUM(Y61:$Y$66)=0,SUM(AD61:$AD$66),0),0),0)</f>
        <v>0</v>
      </c>
      <c r="AD60" s="207">
        <f ca="1">SUM(OFFSET(Analítico!$B$10,0,A60,2,1))</f>
        <v>0</v>
      </c>
      <c r="AE60" s="207">
        <f ca="1">OFFSET(Analítico!$B$155,,A60)</f>
        <v>0</v>
      </c>
      <c r="AH60" s="176" t="str">
        <f t="shared" si="11"/>
        <v/>
      </c>
    </row>
    <row r="61" spans="1:34" ht="15" x14ac:dyDescent="0.2">
      <c r="A61" s="195">
        <v>55</v>
      </c>
      <c r="B61" s="196" t="str">
        <f>IFERROR(IF(EDATE(B60,1)&gt;DATE(YEAR(Capa!$A$7),MONTH(Capa!$A$7),1),"",EDATE(B60,1)),"")</f>
        <v/>
      </c>
      <c r="C61" s="195" t="str">
        <f t="shared" si="16"/>
        <v/>
      </c>
      <c r="D61" s="29"/>
      <c r="E61" s="195"/>
      <c r="F61" s="195"/>
      <c r="G61" s="195"/>
      <c r="H61" s="195"/>
      <c r="I61" s="195"/>
      <c r="R61" s="203" t="str">
        <f ca="1">IF(P61="","",IFERROR(IF(Capa!$A$2="","Após a celebração do termo de parceria.","Realização da "&amp;OFFSET($Y$6,MATCH(A61,$X$7:$X$66,0),0)-1&amp;"ª reunião da CA e aprovação da liberação de parcela pelo supervisor."),""))</f>
        <v/>
      </c>
      <c r="T61" s="114" t="str">
        <f t="shared" si="13"/>
        <v>Não</v>
      </c>
      <c r="U61" s="114" t="str">
        <f t="shared" si="15"/>
        <v/>
      </c>
      <c r="V61" s="114" t="str">
        <f>Cronogramas!T61</f>
        <v>Não</v>
      </c>
      <c r="W61" s="114"/>
      <c r="X61" s="114">
        <f>COUNTIF(V$7:$V61,"Sim")</f>
        <v>12</v>
      </c>
      <c r="Y61" s="114" t="str">
        <f t="shared" si="21"/>
        <v/>
      </c>
      <c r="Z61" s="187"/>
      <c r="AA61" s="187"/>
      <c r="AB61" s="207">
        <f ca="1">_xlfn.IFNA(IF(V61="Sim",(IFERROR(SUM(OFFSET(AE61,1,,MATCH("Sim",V62:$V$66,0),1))-AC61,0)+IF(Y61-$W$7=1,SUM($AE$6:AE61)-$AF$7,0)+IF(SUM(Y62:$Y$66)=0,SUM(AE62:$AE$66)-AC61+Analítico!$BK$154)),0),0)</f>
        <v>0</v>
      </c>
      <c r="AC61" s="207">
        <f ca="1">IFERROR(IF(V61="Sim",IFERROR(SUM(OFFSET(AD61,1,,MATCH("Sim",T62:$T$66,0),1)),0)+IF(Y61-$W$7=1,SUM($AD$6:AD61),0)+IF(SUM(Y62:$Y$66)=0,SUM(AD62:$AD$66),0),0),0)</f>
        <v>0</v>
      </c>
      <c r="AD61" s="207">
        <f ca="1">SUM(OFFSET(Analítico!$B$10,0,A61,2,1))</f>
        <v>0</v>
      </c>
      <c r="AE61" s="207">
        <f ca="1">OFFSET(Analítico!$B$155,,A61)</f>
        <v>0</v>
      </c>
      <c r="AH61" s="176" t="str">
        <f t="shared" si="11"/>
        <v/>
      </c>
    </row>
    <row r="62" spans="1:34" ht="15" x14ac:dyDescent="0.2">
      <c r="A62" s="195">
        <v>56</v>
      </c>
      <c r="B62" s="196" t="str">
        <f>IFERROR(IF(EDATE(B61,1)&gt;DATE(YEAR(Capa!$A$7),MONTH(Capa!$A$7),1),"",EDATE(B61,1)),"")</f>
        <v/>
      </c>
      <c r="C62" s="195" t="str">
        <f t="shared" si="16"/>
        <v/>
      </c>
      <c r="D62" s="29"/>
      <c r="E62" s="195"/>
      <c r="F62" s="195"/>
      <c r="G62" s="195"/>
      <c r="H62" s="195"/>
      <c r="I62" s="195"/>
      <c r="R62" s="203" t="str">
        <f ca="1">IF(P62="","",IFERROR(IF(Capa!$A$2="","Após a celebração do termo de parceria.","Realização da "&amp;OFFSET($Y$6,MATCH(A62,$X$7:$X$66,0),0)-1&amp;"ª reunião da CA e aprovação da liberação de parcela pelo supervisor."),""))</f>
        <v/>
      </c>
      <c r="T62" s="114" t="str">
        <f t="shared" si="13"/>
        <v>Não</v>
      </c>
      <c r="U62" s="114" t="str">
        <f t="shared" si="15"/>
        <v/>
      </c>
      <c r="V62" s="114" t="str">
        <f>Cronogramas!T62</f>
        <v>Não</v>
      </c>
      <c r="W62" s="114"/>
      <c r="X62" s="114">
        <f>COUNTIF(V$7:$V62,"Sim")</f>
        <v>12</v>
      </c>
      <c r="Y62" s="114" t="str">
        <f t="shared" si="21"/>
        <v/>
      </c>
      <c r="Z62" s="187"/>
      <c r="AA62" s="187"/>
      <c r="AB62" s="207">
        <f ca="1">_xlfn.IFNA(IF(V62="Sim",(IFERROR(SUM(OFFSET(AE62,1,,MATCH("Sim",V63:$V$66,0),1))-AC62,0)+IF(Y62-$W$7=1,SUM($AE$6:AE62)-$AF$7,0)+IF(SUM(Y63:$Y$66)=0,SUM(AE63:$AE$66)-AC62+Analítico!$BK$154)),0),0)</f>
        <v>0</v>
      </c>
      <c r="AC62" s="207">
        <f ca="1">IFERROR(IF(V62="Sim",IFERROR(SUM(OFFSET(AD62,1,,MATCH("Sim",T63:$T$66,0),1)),0)+IF(Y62-$W$7=1,SUM($AD$6:AD62),0)+IF(SUM(Y63:$Y$66)=0,SUM(AD63:$AD$66),0),0),0)</f>
        <v>0</v>
      </c>
      <c r="AD62" s="207">
        <f ca="1">SUM(OFFSET(Analítico!$B$10,0,A62,2,1))</f>
        <v>0</v>
      </c>
      <c r="AE62" s="207">
        <f ca="1">OFFSET(Analítico!$B$155,,A62)</f>
        <v>0</v>
      </c>
      <c r="AH62" s="176" t="str">
        <f t="shared" si="11"/>
        <v/>
      </c>
    </row>
    <row r="63" spans="1:34" ht="15" x14ac:dyDescent="0.2">
      <c r="A63" s="195">
        <v>57</v>
      </c>
      <c r="B63" s="196" t="str">
        <f>IFERROR(IF(EDATE(B62,1)&gt;DATE(YEAR(Capa!$A$7),MONTH(Capa!$A$7),1),"",EDATE(B62,1)),"")</f>
        <v/>
      </c>
      <c r="C63" s="195" t="str">
        <f t="shared" si="16"/>
        <v/>
      </c>
      <c r="D63" s="29"/>
      <c r="E63" s="195"/>
      <c r="F63" s="195"/>
      <c r="G63" s="195"/>
      <c r="H63" s="195"/>
      <c r="I63" s="195"/>
      <c r="R63" s="203" t="str">
        <f ca="1">IF(P63="","",IFERROR(IF(Capa!$A$2="","Após a celebração do termo de parceria.","Realização da "&amp;OFFSET($Y$6,MATCH(A63,$X$7:$X$66,0),0)-1&amp;"ª reunião da CA e aprovação da liberação de parcela pelo supervisor."),""))</f>
        <v/>
      </c>
      <c r="T63" s="114" t="str">
        <f t="shared" si="13"/>
        <v>Não</v>
      </c>
      <c r="U63" s="114" t="str">
        <f t="shared" si="15"/>
        <v/>
      </c>
      <c r="V63" s="114" t="str">
        <f>Cronogramas!T63</f>
        <v>Não</v>
      </c>
      <c r="W63" s="114"/>
      <c r="X63" s="114">
        <f>COUNTIF(V$7:$V63,"Sim")</f>
        <v>12</v>
      </c>
      <c r="Y63" s="114" t="str">
        <f t="shared" si="21"/>
        <v/>
      </c>
      <c r="Z63" s="187"/>
      <c r="AA63" s="187"/>
      <c r="AB63" s="207">
        <f ca="1">_xlfn.IFNA(IF(V63="Sim",(IFERROR(SUM(OFFSET(AE63,1,,MATCH("Sim",V64:$V$66,0),1))-AC63,0)+IF(Y63-$W$7=1,SUM($AE$6:AE63)-$AF$7,0)+IF(SUM(Y64:$Y$66)=0,SUM(AE64:$AE$66)-AC63+Analítico!$BK$154)),0),0)</f>
        <v>0</v>
      </c>
      <c r="AC63" s="207">
        <f ca="1">IFERROR(IF(V63="Sim",IFERROR(SUM(OFFSET(AD63,1,,MATCH("Sim",T64:$T$66,0),1)),0)+IF(Y63-$W$7=1,SUM($AD$6:AD63),0)+IF(SUM(Y64:$Y$66)=0,SUM(AD64:$AD$66),0),0),0)</f>
        <v>0</v>
      </c>
      <c r="AD63" s="207">
        <f ca="1">SUM(OFFSET(Analítico!$B$10,0,A63,2,1))</f>
        <v>0</v>
      </c>
      <c r="AE63" s="207">
        <f ca="1">OFFSET(Analítico!$B$155,,A63)</f>
        <v>0</v>
      </c>
      <c r="AH63" s="176" t="str">
        <f t="shared" si="11"/>
        <v/>
      </c>
    </row>
    <row r="64" spans="1:34" ht="15" x14ac:dyDescent="0.2">
      <c r="A64" s="195">
        <v>58</v>
      </c>
      <c r="B64" s="196" t="str">
        <f>IFERROR(IF(EDATE(B63,1)&gt;DATE(YEAR(Capa!$A$7),MONTH(Capa!$A$7),1),"",EDATE(B63,1)),"")</f>
        <v/>
      </c>
      <c r="C64" s="195" t="str">
        <f t="shared" si="16"/>
        <v/>
      </c>
      <c r="D64" s="29"/>
      <c r="E64" s="195"/>
      <c r="F64" s="195"/>
      <c r="G64" s="195"/>
      <c r="H64" s="195"/>
      <c r="I64" s="195"/>
      <c r="R64" s="203" t="str">
        <f ca="1">IF(P64="","",IFERROR(IF(Capa!$A$2="","Após a celebração do termo de parceria.","Realização da "&amp;OFFSET($Y$6,MATCH(A64,$X$7:$X$66,0),0)-1&amp;"ª reunião da CA e aprovação da liberação de parcela pelo supervisor."),""))</f>
        <v/>
      </c>
      <c r="T64" s="114" t="str">
        <f t="shared" si="13"/>
        <v>Não</v>
      </c>
      <c r="U64" s="114" t="str">
        <f t="shared" si="15"/>
        <v/>
      </c>
      <c r="V64" s="114" t="str">
        <f>Cronogramas!T64</f>
        <v>Não</v>
      </c>
      <c r="W64" s="114"/>
      <c r="X64" s="114">
        <f>COUNTIF(V$7:$V64,"Sim")</f>
        <v>12</v>
      </c>
      <c r="Y64" s="114" t="str">
        <f t="shared" si="21"/>
        <v/>
      </c>
      <c r="Z64" s="187"/>
      <c r="AA64" s="187"/>
      <c r="AB64" s="207">
        <f ca="1">_xlfn.IFNA(IF(V64="Sim",(IFERROR(SUM(OFFSET(AE64,1,,MATCH("Sim",V65:$V$66,0),1))-AC64,0)+IF(Y64-$W$7=1,SUM($AE$6:AE64)-$AF$7,0)+IF(SUM(Y65:$Y$66)=0,SUM(AE65:$AE$66)-AC64+Analítico!$BK$154)),0),0)</f>
        <v>0</v>
      </c>
      <c r="AC64" s="207">
        <f ca="1">IFERROR(IF(V64="Sim",IFERROR(SUM(OFFSET(AD64,1,,MATCH("Sim",T65:$T$66,0),1)),0)+IF(Y64-$W$7=1,SUM($AD$6:AD64),0)+IF(SUM(Y65:$Y$66)=0,SUM(AD65:$AD$66),0),0),0)</f>
        <v>0</v>
      </c>
      <c r="AD64" s="207">
        <f ca="1">SUM(OFFSET(Analítico!$B$10,0,A64,2,1))</f>
        <v>0</v>
      </c>
      <c r="AE64" s="207">
        <f ca="1">OFFSET(Analítico!$B$155,,A64)</f>
        <v>0</v>
      </c>
      <c r="AH64" s="176" t="str">
        <f t="shared" si="11"/>
        <v/>
      </c>
    </row>
    <row r="65" spans="1:34" ht="15" x14ac:dyDescent="0.2">
      <c r="A65" s="195">
        <v>59</v>
      </c>
      <c r="B65" s="196" t="str">
        <f>IFERROR(IF(EDATE(B64,1)&gt;DATE(YEAR(Capa!$A$7),MONTH(Capa!$A$7),1),"",EDATE(B64,1)),"")</f>
        <v/>
      </c>
      <c r="C65" s="195" t="str">
        <f t="shared" si="16"/>
        <v/>
      </c>
      <c r="D65" s="29"/>
      <c r="E65" s="195"/>
      <c r="F65" s="195"/>
      <c r="G65" s="195"/>
      <c r="H65" s="195"/>
      <c r="I65" s="195"/>
      <c r="R65" s="203" t="str">
        <f ca="1">IF(P65="","",IFERROR(IF(Capa!$A$2="","Após a celebração do termo de parceria.","Realização da "&amp;OFFSET($Y$6,MATCH(A65,$X$7:$X$66,0),0)-1&amp;"ª reunião da CA e aprovação da liberação de parcela pelo supervisor."),""))</f>
        <v/>
      </c>
      <c r="T65" s="114" t="str">
        <f t="shared" si="13"/>
        <v>Não</v>
      </c>
      <c r="U65" s="114" t="str">
        <f t="shared" si="15"/>
        <v/>
      </c>
      <c r="V65" s="114" t="str">
        <f>Cronogramas!T65</f>
        <v>Não</v>
      </c>
      <c r="W65" s="114"/>
      <c r="X65" s="114">
        <f>COUNTIF(V$7:$V65,"Sim")</f>
        <v>12</v>
      </c>
      <c r="Y65" s="114" t="str">
        <f t="shared" si="21"/>
        <v/>
      </c>
      <c r="Z65" s="187"/>
      <c r="AA65" s="187"/>
      <c r="AB65" s="207">
        <f ca="1">_xlfn.IFNA(IF(V65="Sim",(IFERROR(SUM(OFFSET(AE65,1,,MATCH("Sim",V66:$V$66,0),1))-AC65,0)+IF(Y65-$W$7=1,SUM($AE$6:AE65)-$AF$7,0)+IF(SUM(Y66:$Y$66)=0,SUM(AE66:$AE$66)-AC65+Analítico!$BK$154)),0),0)</f>
        <v>0</v>
      </c>
      <c r="AC65" s="207">
        <f ca="1">IFERROR(IF(V65="Sim",IFERROR(SUM(OFFSET(AD65,1,,MATCH("Sim",T66:$T$66,0),1)),0)+IF(Y65-$W$7=1,SUM($AD$6:AD65),0)+IF(SUM(Y66:$Y$66)=0,SUM(AD66:$AD$66),0),0),0)</f>
        <v>0</v>
      </c>
      <c r="AD65" s="207">
        <f ca="1">SUM(OFFSET(Analítico!$B$10,0,A65,2,1))</f>
        <v>0</v>
      </c>
      <c r="AE65" s="207">
        <f ca="1">OFFSET(Analítico!$B$155,,A65)</f>
        <v>0</v>
      </c>
      <c r="AH65" s="176" t="str">
        <f t="shared" si="11"/>
        <v/>
      </c>
    </row>
    <row r="66" spans="1:34" ht="15" x14ac:dyDescent="0.2">
      <c r="A66" s="204">
        <v>60</v>
      </c>
      <c r="B66" s="205" t="str">
        <f>IFERROR(IF(EDATE(B65,1)&gt;DATE(YEAR(Capa!$A$7),MONTH(Capa!$A$7),1),"",EDATE(B65,1)),"")</f>
        <v/>
      </c>
      <c r="C66" s="195" t="str">
        <f t="shared" si="16"/>
        <v/>
      </c>
      <c r="D66" s="29"/>
      <c r="E66" s="195"/>
      <c r="F66" s="195"/>
      <c r="G66" s="195"/>
      <c r="H66" s="195"/>
      <c r="I66" s="195"/>
      <c r="R66" s="203" t="str">
        <f ca="1">IF(P66="","",IFERROR(IF(Capa!$A$2="","Após a celebração do termo de parceria.","Realização da "&amp;OFFSET($Y$6,MATCH(A66,$X$7:$X$66,0),0)-1&amp;"ª reunião da CA e aprovação da liberação de parcela pelo supervisor."),""))</f>
        <v/>
      </c>
      <c r="T66" s="114" t="str">
        <f t="shared" si="13"/>
        <v>Não</v>
      </c>
      <c r="U66" s="114" t="str">
        <f t="shared" si="15"/>
        <v/>
      </c>
      <c r="V66" s="114" t="str">
        <f>Cronogramas!T66</f>
        <v>Não</v>
      </c>
      <c r="W66" s="114"/>
      <c r="X66" s="114">
        <f>COUNTIF(V$7:$V66,"Sim")</f>
        <v>12</v>
      </c>
      <c r="Y66" s="114" t="str">
        <f t="shared" si="21"/>
        <v/>
      </c>
      <c r="Z66" s="187"/>
      <c r="AA66" s="187"/>
      <c r="AB66" s="207">
        <f ca="1">_xlfn.IFNA(IF(V66="Sim",(IFERROR(SUM(OFFSET(AE66,1,,MATCH("Sim",V$66:$V67,0),1))-AC66,0)+IF(Y66-$W$7=1,SUM($AE$6:AE66)-$AF$7,0)+IF(SUM(Y$66:$Y67)=0,SUM(AE$66:$AE67)-AC66+Analítico!$BK$154)),0),0)</f>
        <v>0</v>
      </c>
      <c r="AC66" s="207">
        <f ca="1">IFERROR(IF(V66="Sim",IFERROR(SUM(OFFSET(AD66,1,,MATCH("Sim",T$66:$T67,0),1)),0)+IF(Y66-$W$7=1,SUM($AD$6:AD66),0)+IF(SUM(Y$66:$Y67)=0,SUM(AD$66:$AD67),0),0),0)</f>
        <v>0</v>
      </c>
      <c r="AD66" s="207">
        <f ca="1">SUM(OFFSET(Analítico!$B$10,0,A66,2,1))</f>
        <v>0</v>
      </c>
      <c r="AE66" s="207">
        <f ca="1">OFFSET(Analítico!$B$155,,A66)</f>
        <v>0</v>
      </c>
      <c r="AH66" s="176" t="str">
        <f t="shared" si="11"/>
        <v/>
      </c>
    </row>
  </sheetData>
  <sheetProtection algorithmName="SHA-512" hashValue="tfDQABnrEZ+HOI70twvrfh3Jn/XkzhoqNHEXJB669SQAiQiSJhxsqAWJceDkGM9YRzOG83jxYTwNftGocsGK+Q==" saltValue="cleJSftF5fYXOVxfW6A8UA==" spinCount="100000" sheet="1" objects="1" scenarios="1"/>
  <mergeCells count="5">
    <mergeCell ref="A5:D5"/>
    <mergeCell ref="F5:I5"/>
    <mergeCell ref="K5:M5"/>
    <mergeCell ref="O5:R5"/>
    <mergeCell ref="A1:R1"/>
  </mergeCells>
  <conditionalFormatting sqref="K4:O4">
    <cfRule type="expression" dxfId="30" priority="1">
      <formula>$K$4="Preencher a capa antes de qualquer campo destas tabelas"</formula>
    </cfRule>
  </conditionalFormatting>
  <dataValidations count="1">
    <dataValidation type="list" allowBlank="1" showInputMessage="1" showErrorMessage="1" sqref="AG9 P4">
      <formula1>$AG$6:$AG$8</formula1>
    </dataValidation>
  </dataValidations>
  <pageMargins left="0.511811024" right="0.511811024" top="0.78740157499999996" bottom="0.78740157499999996" header="0.31496062000000002" footer="0.31496062000000002"/>
  <pageSetup orientation="portrait" r:id="rId1"/>
  <ignoredErrors>
    <ignoredError sqref="C7:C66"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7">
    <tabColor theme="6" tint="0.39997558519241921"/>
  </sheetPr>
  <dimension ref="A1:BP107"/>
  <sheetViews>
    <sheetView showGridLines="0" zoomScale="86" zoomScaleNormal="86" zoomScaleSheetLayoutView="100" workbookViewId="0">
      <pane xSplit="2" ySplit="3" topLeftCell="C4" activePane="bottomRight" state="frozen"/>
      <selection pane="topRight" activeCell="C14" sqref="C14"/>
      <selection pane="bottomLeft" activeCell="C14" sqref="C14"/>
      <selection pane="bottomRight" activeCell="C7" sqref="C7"/>
    </sheetView>
  </sheetViews>
  <sheetFormatPr defaultColWidth="17" defaultRowHeight="30" customHeight="1" x14ac:dyDescent="0.2"/>
  <cols>
    <col min="1" max="1" width="5.140625" style="101" customWidth="1"/>
    <col min="2" max="2" width="17.85546875" style="101" customWidth="1"/>
    <col min="3" max="3" width="16" style="101" customWidth="1"/>
    <col min="4" max="4" width="13.7109375" style="101" bestFit="1" customWidth="1"/>
    <col min="5" max="5" width="13.85546875" style="101" customWidth="1"/>
    <col min="6" max="6" width="14.5703125" style="101" customWidth="1"/>
    <col min="7" max="7" width="13.7109375" style="101" bestFit="1" customWidth="1"/>
    <col min="8" max="8" width="14.140625" style="101" customWidth="1"/>
    <col min="9" max="9" width="13.42578125" style="101" bestFit="1" customWidth="1"/>
    <col min="10" max="10" width="14" style="101" bestFit="1" customWidth="1"/>
    <col min="11" max="11" width="13.7109375" style="101" customWidth="1"/>
    <col min="12" max="13" width="14" style="101" customWidth="1"/>
    <col min="14" max="15" width="14.5703125" style="101" customWidth="1"/>
    <col min="16" max="17" width="13.7109375" style="101" bestFit="1" customWidth="1"/>
    <col min="18" max="18" width="14.5703125" style="101" customWidth="1"/>
    <col min="19" max="19" width="15" style="101" customWidth="1"/>
    <col min="20" max="20" width="13.7109375" style="101" bestFit="1" customWidth="1"/>
    <col min="21" max="21" width="14.140625" style="101" bestFit="1" customWidth="1"/>
    <col min="22" max="28" width="13.7109375" style="101" bestFit="1" customWidth="1"/>
    <col min="29" max="29" width="13.42578125" style="101" customWidth="1"/>
    <col min="30" max="30" width="14.7109375" style="101" customWidth="1"/>
    <col min="31" max="32" width="13.7109375" style="101" bestFit="1" customWidth="1"/>
    <col min="33" max="33" width="15.140625" style="101" customWidth="1"/>
    <col min="34" max="35" width="13.7109375" style="101" bestFit="1" customWidth="1"/>
    <col min="36" max="36" width="14.85546875" style="101" customWidth="1"/>
    <col min="37" max="38" width="13.7109375" style="101" bestFit="1" customWidth="1"/>
    <col min="39" max="46" width="12.5703125" style="101" hidden="1" customWidth="1"/>
    <col min="47" max="56" width="12.85546875" style="101" hidden="1" customWidth="1"/>
    <col min="57" max="62" width="12.5703125" style="101" hidden="1" customWidth="1"/>
    <col min="63" max="63" width="19.7109375" style="105" customWidth="1"/>
    <col min="64" max="64" width="11.7109375" style="104" customWidth="1"/>
    <col min="65" max="67" width="17" style="101"/>
    <col min="68" max="68" width="17" style="102"/>
    <col min="69" max="16384" width="17" style="101"/>
  </cols>
  <sheetData>
    <row r="1" spans="1:68" s="100" customFormat="1" ht="42" customHeight="1" x14ac:dyDescent="0.2">
      <c r="B1" s="134"/>
      <c r="C1" s="385" t="str">
        <f>Capa!A1</f>
        <v>Memória de Cálculo
Contrato de Gestão nº 008/2021 celebrado entre a SEJUSP e o Instituto Elo</v>
      </c>
      <c r="D1" s="385"/>
      <c r="E1" s="385"/>
      <c r="F1" s="385"/>
      <c r="G1" s="385"/>
      <c r="H1" s="385"/>
      <c r="I1" s="385"/>
      <c r="J1" s="385"/>
      <c r="K1" s="385"/>
      <c r="L1" s="385"/>
      <c r="M1" s="385"/>
      <c r="N1" s="385"/>
      <c r="O1" s="134"/>
      <c r="P1" s="134"/>
      <c r="Q1" s="134"/>
      <c r="R1" s="134"/>
      <c r="S1" s="134"/>
      <c r="T1" s="134"/>
      <c r="U1" s="134"/>
      <c r="V1" s="134"/>
      <c r="W1" s="134"/>
      <c r="X1" s="134"/>
      <c r="Y1" s="134"/>
      <c r="Z1" s="134"/>
      <c r="AA1" s="134"/>
      <c r="AB1" s="134"/>
      <c r="AC1" s="134"/>
      <c r="AD1" s="134"/>
      <c r="AE1" s="134"/>
      <c r="AF1" s="134"/>
      <c r="AG1" s="134"/>
      <c r="AH1" s="134"/>
      <c r="AI1" s="134"/>
      <c r="AJ1" s="134"/>
      <c r="AK1" s="134"/>
      <c r="AL1" s="134"/>
      <c r="AM1" s="134"/>
      <c r="AN1" s="134"/>
      <c r="AO1" s="134"/>
      <c r="AP1" s="134"/>
      <c r="AQ1" s="134"/>
      <c r="AR1" s="134"/>
      <c r="AS1" s="134"/>
      <c r="AT1" s="134"/>
      <c r="AU1" s="134"/>
      <c r="AV1" s="134"/>
      <c r="AW1" s="134"/>
      <c r="AX1" s="134"/>
      <c r="AY1" s="134"/>
      <c r="AZ1" s="134"/>
      <c r="BA1" s="134"/>
      <c r="BB1" s="134"/>
      <c r="BC1" s="134"/>
      <c r="BD1" s="134"/>
      <c r="BE1" s="134"/>
      <c r="BF1" s="134"/>
      <c r="BG1" s="134"/>
      <c r="BH1" s="134"/>
      <c r="BI1" s="134"/>
      <c r="BJ1" s="134"/>
      <c r="BK1" s="134"/>
      <c r="BL1" s="134"/>
      <c r="BM1" s="98"/>
      <c r="BN1" s="98"/>
      <c r="BO1" s="98"/>
      <c r="BP1" s="99"/>
    </row>
    <row r="2" spans="1:68" s="100" customFormat="1" ht="16.5" customHeight="1" thickBot="1" x14ac:dyDescent="0.25">
      <c r="A2" s="139"/>
      <c r="B2" s="140"/>
      <c r="C2" s="380" t="s">
        <v>59</v>
      </c>
      <c r="D2" s="380"/>
      <c r="E2" s="380"/>
      <c r="F2" s="380"/>
      <c r="G2" s="380"/>
      <c r="H2" s="380"/>
      <c r="I2" s="380"/>
      <c r="J2" s="380"/>
      <c r="K2" s="380"/>
      <c r="L2" s="380"/>
      <c r="M2" s="380"/>
      <c r="N2" s="380"/>
      <c r="O2" s="380" t="s">
        <v>59</v>
      </c>
      <c r="P2" s="380"/>
      <c r="Q2" s="380"/>
      <c r="R2" s="380"/>
      <c r="S2" s="380"/>
      <c r="T2" s="380"/>
      <c r="U2" s="380"/>
      <c r="V2" s="380"/>
      <c r="W2" s="380"/>
      <c r="X2" s="380"/>
      <c r="Y2" s="380"/>
      <c r="Z2" s="380"/>
      <c r="AA2" s="380" t="s">
        <v>59</v>
      </c>
      <c r="AB2" s="380"/>
      <c r="AC2" s="380"/>
      <c r="AD2" s="380"/>
      <c r="AE2" s="380"/>
      <c r="AF2" s="380"/>
      <c r="AG2" s="380"/>
      <c r="AH2" s="380"/>
      <c r="AI2" s="380"/>
      <c r="AJ2" s="380"/>
      <c r="AK2" s="380"/>
      <c r="AL2" s="380"/>
      <c r="AM2" s="380"/>
      <c r="AN2" s="380"/>
      <c r="AO2" s="380"/>
      <c r="AP2" s="380"/>
      <c r="AQ2" s="380"/>
      <c r="AR2" s="380"/>
      <c r="AS2" s="380"/>
      <c r="AT2" s="380"/>
      <c r="AU2" s="380"/>
      <c r="AV2" s="380"/>
      <c r="AW2" s="380"/>
      <c r="AX2" s="380"/>
      <c r="AY2" s="380"/>
      <c r="AZ2" s="380"/>
      <c r="BA2" s="380"/>
      <c r="BB2" s="380"/>
      <c r="BC2" s="380"/>
      <c r="BD2" s="380"/>
      <c r="BE2" s="380"/>
      <c r="BF2" s="380"/>
      <c r="BG2" s="380"/>
      <c r="BH2" s="380"/>
      <c r="BI2" s="380"/>
      <c r="BJ2" s="380"/>
      <c r="BK2" s="380"/>
      <c r="BL2" s="380"/>
      <c r="BM2" s="98"/>
      <c r="BN2" s="98"/>
      <c r="BO2" s="98"/>
      <c r="BP2" s="99"/>
    </row>
    <row r="3" spans="1:68" ht="21" customHeight="1" thickBot="1" x14ac:dyDescent="0.25">
      <c r="A3" s="236"/>
      <c r="B3" s="236"/>
      <c r="C3" s="285">
        <f>Analítico!C3</f>
        <v>46023</v>
      </c>
      <c r="D3" s="285">
        <f>Analítico!D3</f>
        <v>46054</v>
      </c>
      <c r="E3" s="285">
        <f>Analítico!E3</f>
        <v>46082</v>
      </c>
      <c r="F3" s="285">
        <f>Analítico!F3</f>
        <v>46113</v>
      </c>
      <c r="G3" s="285">
        <f>Analítico!G3</f>
        <v>46143</v>
      </c>
      <c r="H3" s="285">
        <f>Analítico!H3</f>
        <v>46174</v>
      </c>
      <c r="I3" s="285">
        <f>Analítico!I3</f>
        <v>46204</v>
      </c>
      <c r="J3" s="285">
        <f>Analítico!J3</f>
        <v>46235</v>
      </c>
      <c r="K3" s="285">
        <f>Analítico!K3</f>
        <v>46266</v>
      </c>
      <c r="L3" s="285">
        <f>Analítico!L3</f>
        <v>46296</v>
      </c>
      <c r="M3" s="285">
        <f>Analítico!M3</f>
        <v>46327</v>
      </c>
      <c r="N3" s="285">
        <f>Analítico!N3</f>
        <v>46357</v>
      </c>
      <c r="O3" s="285">
        <f>Analítico!O3</f>
        <v>46388</v>
      </c>
      <c r="P3" s="285">
        <f>Analítico!P3</f>
        <v>46419</v>
      </c>
      <c r="Q3" s="285">
        <f>Analítico!Q3</f>
        <v>46447</v>
      </c>
      <c r="R3" s="285">
        <f>Analítico!R3</f>
        <v>46478</v>
      </c>
      <c r="S3" s="285">
        <f>Analítico!S3</f>
        <v>46508</v>
      </c>
      <c r="T3" s="285">
        <f>Analítico!T3</f>
        <v>46539</v>
      </c>
      <c r="U3" s="285">
        <f>Analítico!U3</f>
        <v>46569</v>
      </c>
      <c r="V3" s="285">
        <f>Analítico!V3</f>
        <v>46600</v>
      </c>
      <c r="W3" s="285">
        <f>Analítico!W3</f>
        <v>46631</v>
      </c>
      <c r="X3" s="285">
        <f>Analítico!X3</f>
        <v>46661</v>
      </c>
      <c r="Y3" s="285">
        <f>Analítico!Y3</f>
        <v>46692</v>
      </c>
      <c r="Z3" s="285">
        <f>Analítico!Z3</f>
        <v>46722</v>
      </c>
      <c r="AA3" s="285">
        <f>Analítico!AA3</f>
        <v>46753</v>
      </c>
      <c r="AB3" s="285">
        <f>Analítico!AB3</f>
        <v>46784</v>
      </c>
      <c r="AC3" s="285">
        <f>Analítico!AC3</f>
        <v>46813</v>
      </c>
      <c r="AD3" s="285">
        <f>Analítico!AD3</f>
        <v>46844</v>
      </c>
      <c r="AE3" s="285">
        <f>Analítico!AE3</f>
        <v>46874</v>
      </c>
      <c r="AF3" s="285">
        <f>Analítico!AF3</f>
        <v>46905</v>
      </c>
      <c r="AG3" s="285">
        <f>Analítico!AG3</f>
        <v>46935</v>
      </c>
      <c r="AH3" s="285">
        <f>Analítico!AH3</f>
        <v>46966</v>
      </c>
      <c r="AI3" s="285">
        <f>Analítico!AI3</f>
        <v>46997</v>
      </c>
      <c r="AJ3" s="285">
        <f>Analítico!AJ3</f>
        <v>47027</v>
      </c>
      <c r="AK3" s="285">
        <f>Analítico!AK3</f>
        <v>47058</v>
      </c>
      <c r="AL3" s="285">
        <f>Analítico!AL3</f>
        <v>47088</v>
      </c>
      <c r="AM3" s="285">
        <f>Analítico!AM3</f>
        <v>47119</v>
      </c>
      <c r="AN3" s="285">
        <f>Analítico!AN3</f>
        <v>47150</v>
      </c>
      <c r="AO3" s="285">
        <f>Analítico!AO3</f>
        <v>47178</v>
      </c>
      <c r="AP3" s="285">
        <f>Analítico!AP3</f>
        <v>47209</v>
      </c>
      <c r="AQ3" s="285">
        <f>Analítico!AQ3</f>
        <v>47239</v>
      </c>
      <c r="AR3" s="285">
        <f>Analítico!AR3</f>
        <v>47270</v>
      </c>
      <c r="AS3" s="285">
        <f>Analítico!AS3</f>
        <v>47300</v>
      </c>
      <c r="AT3" s="285">
        <f>Analítico!AT3</f>
        <v>47331</v>
      </c>
      <c r="AU3" s="285">
        <f>Analítico!AU3</f>
        <v>47362</v>
      </c>
      <c r="AV3" s="285">
        <f>Analítico!AV3</f>
        <v>47392</v>
      </c>
      <c r="AW3" s="285">
        <f>Analítico!AW3</f>
        <v>47423</v>
      </c>
      <c r="AX3" s="285">
        <f>Analítico!AX3</f>
        <v>47453</v>
      </c>
      <c r="AY3" s="285">
        <f>Analítico!AY3</f>
        <v>47484</v>
      </c>
      <c r="AZ3" s="285">
        <f>Analítico!AZ3</f>
        <v>47515</v>
      </c>
      <c r="BA3" s="285">
        <f>Analítico!BA3</f>
        <v>47543</v>
      </c>
      <c r="BB3" s="285">
        <f>Analítico!BB3</f>
        <v>47574</v>
      </c>
      <c r="BC3" s="285">
        <f>Analítico!BC3</f>
        <v>47604</v>
      </c>
      <c r="BD3" s="285">
        <f>Analítico!BD3</f>
        <v>47635</v>
      </c>
      <c r="BE3" s="285">
        <f>Analítico!BE3</f>
        <v>47665</v>
      </c>
      <c r="BF3" s="285">
        <f>Analítico!BF3</f>
        <v>47696</v>
      </c>
      <c r="BG3" s="285">
        <f>Analítico!BG3</f>
        <v>47727</v>
      </c>
      <c r="BH3" s="285">
        <f>Analítico!BH3</f>
        <v>47757</v>
      </c>
      <c r="BI3" s="285">
        <f>Analítico!BI3</f>
        <v>47788</v>
      </c>
      <c r="BJ3" s="285">
        <f>Analítico!BJ3</f>
        <v>47818</v>
      </c>
      <c r="BK3" s="235" t="s">
        <v>60</v>
      </c>
      <c r="BL3" s="234" t="s">
        <v>61</v>
      </c>
    </row>
    <row r="4" spans="1:68" ht="16.5" customHeight="1" thickBot="1" x14ac:dyDescent="0.25">
      <c r="A4" s="58" t="s">
        <v>62</v>
      </c>
      <c r="B4" s="58" t="s">
        <v>63</v>
      </c>
      <c r="C4" s="70">
        <f>Analítico!C4</f>
        <v>19028000</v>
      </c>
      <c r="D4" s="70">
        <f>Analítico!D4</f>
        <v>0</v>
      </c>
      <c r="E4" s="70">
        <f>Analítico!E4</f>
        <v>0</v>
      </c>
      <c r="F4" s="70">
        <f>Analítico!F4</f>
        <v>0</v>
      </c>
      <c r="G4" s="70">
        <f>Analítico!G4</f>
        <v>0</v>
      </c>
      <c r="H4" s="70">
        <f>Analítico!H4</f>
        <v>0</v>
      </c>
      <c r="I4" s="70">
        <f>Analítico!I4</f>
        <v>0</v>
      </c>
      <c r="J4" s="70">
        <f>Analítico!J4</f>
        <v>0</v>
      </c>
      <c r="K4" s="70">
        <f>Analítico!K4</f>
        <v>0</v>
      </c>
      <c r="L4" s="70">
        <f>Analítico!L4</f>
        <v>0</v>
      </c>
      <c r="M4" s="70">
        <f>Analítico!M4</f>
        <v>0</v>
      </c>
      <c r="N4" s="70">
        <f>Analítico!N4</f>
        <v>0</v>
      </c>
      <c r="O4" s="70">
        <f>Analítico!O4</f>
        <v>0</v>
      </c>
      <c r="P4" s="70">
        <f>Analítico!P4</f>
        <v>0</v>
      </c>
      <c r="Q4" s="70">
        <f>Analítico!Q4</f>
        <v>0</v>
      </c>
      <c r="R4" s="70">
        <f>Analítico!R4</f>
        <v>0</v>
      </c>
      <c r="S4" s="70">
        <f>Analítico!S4</f>
        <v>0</v>
      </c>
      <c r="T4" s="70">
        <f>Analítico!T4</f>
        <v>0</v>
      </c>
      <c r="U4" s="70">
        <f>Analítico!U4</f>
        <v>0</v>
      </c>
      <c r="V4" s="70">
        <f>Analítico!V4</f>
        <v>0</v>
      </c>
      <c r="W4" s="70">
        <f>Analítico!W4</f>
        <v>0</v>
      </c>
      <c r="X4" s="70">
        <f>Analítico!X4</f>
        <v>0</v>
      </c>
      <c r="Y4" s="70">
        <f>Analítico!Y4</f>
        <v>0</v>
      </c>
      <c r="Z4" s="70">
        <f>Analítico!Z4</f>
        <v>0</v>
      </c>
      <c r="AA4" s="70">
        <f>Analítico!AA4</f>
        <v>0</v>
      </c>
      <c r="AB4" s="70">
        <f>Analítico!AB4</f>
        <v>0</v>
      </c>
      <c r="AC4" s="70">
        <f>Analítico!AC4</f>
        <v>0</v>
      </c>
      <c r="AD4" s="70">
        <f>Analítico!AD4</f>
        <v>0</v>
      </c>
      <c r="AE4" s="70">
        <f>Analítico!AE4</f>
        <v>0</v>
      </c>
      <c r="AF4" s="70">
        <f>Analítico!AF4</f>
        <v>0</v>
      </c>
      <c r="AG4" s="70">
        <f>Analítico!AG4</f>
        <v>0</v>
      </c>
      <c r="AH4" s="70">
        <f>Analítico!AH4</f>
        <v>0</v>
      </c>
      <c r="AI4" s="70">
        <f>Analítico!AI4</f>
        <v>0</v>
      </c>
      <c r="AJ4" s="70">
        <f>Analítico!AJ4</f>
        <v>0</v>
      </c>
      <c r="AK4" s="70">
        <f>Analítico!AK4</f>
        <v>0</v>
      </c>
      <c r="AL4" s="70">
        <f>Analítico!AL4</f>
        <v>0</v>
      </c>
      <c r="AM4" s="70">
        <f>Analítico!AM4</f>
        <v>0</v>
      </c>
      <c r="AN4" s="70">
        <f>Analítico!AN4</f>
        <v>0</v>
      </c>
      <c r="AO4" s="70">
        <f>Analítico!AO4</f>
        <v>0</v>
      </c>
      <c r="AP4" s="70">
        <f>Analítico!AP4</f>
        <v>0</v>
      </c>
      <c r="AQ4" s="70">
        <f>Analítico!AQ4</f>
        <v>0</v>
      </c>
      <c r="AR4" s="70">
        <f>Analítico!AR4</f>
        <v>0</v>
      </c>
      <c r="AS4" s="70">
        <f>Analítico!AS4</f>
        <v>0</v>
      </c>
      <c r="AT4" s="70">
        <f>Analítico!AT4</f>
        <v>0</v>
      </c>
      <c r="AU4" s="70">
        <f>Analítico!AU4</f>
        <v>0</v>
      </c>
      <c r="AV4" s="70">
        <f>Analítico!AV4</f>
        <v>0</v>
      </c>
      <c r="AW4" s="70">
        <f>Analítico!AW4</f>
        <v>0</v>
      </c>
      <c r="AX4" s="70">
        <f>Analítico!AX4</f>
        <v>0</v>
      </c>
      <c r="AY4" s="70">
        <f>Analítico!AY4</f>
        <v>0</v>
      </c>
      <c r="AZ4" s="70">
        <f>Analítico!AZ4</f>
        <v>0</v>
      </c>
      <c r="BA4" s="70">
        <f>Analítico!BA4</f>
        <v>0</v>
      </c>
      <c r="BB4" s="70">
        <f>Analítico!BB4</f>
        <v>0</v>
      </c>
      <c r="BC4" s="70">
        <f>Analítico!BC4</f>
        <v>0</v>
      </c>
      <c r="BD4" s="70">
        <f>Analítico!BD4</f>
        <v>0</v>
      </c>
      <c r="BE4" s="70">
        <f>Analítico!BE4</f>
        <v>0</v>
      </c>
      <c r="BF4" s="70">
        <f>Analítico!BF4</f>
        <v>0</v>
      </c>
      <c r="BG4" s="70">
        <f>Analítico!BG4</f>
        <v>0</v>
      </c>
      <c r="BH4" s="70">
        <f>Analítico!BH4</f>
        <v>0</v>
      </c>
      <c r="BI4" s="70">
        <f>Analítico!BI4</f>
        <v>0</v>
      </c>
      <c r="BJ4" s="70">
        <f>Analítico!BJ4</f>
        <v>0</v>
      </c>
      <c r="BK4" s="69">
        <f>C4</f>
        <v>19028000</v>
      </c>
      <c r="BL4" s="54">
        <f ca="1">IF($C$4=0,0,C4/$BK$15)</f>
        <v>5.1900742838992604E-2</v>
      </c>
    </row>
    <row r="5" spans="1:68" ht="7.5" customHeight="1" thickBot="1" x14ac:dyDescent="0.25">
      <c r="A5" s="381"/>
      <c r="B5" s="381"/>
      <c r="C5" s="15"/>
      <c r="D5" s="162"/>
      <c r="E5" s="162"/>
      <c r="F5" s="162"/>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62"/>
      <c r="AW5" s="162"/>
      <c r="AX5" s="162"/>
      <c r="AY5" s="162"/>
      <c r="AZ5" s="162"/>
      <c r="BA5" s="162"/>
      <c r="BB5" s="162"/>
      <c r="BC5" s="162"/>
      <c r="BD5" s="162"/>
      <c r="BE5" s="162"/>
      <c r="BF5" s="162"/>
      <c r="BG5" s="162"/>
      <c r="BH5" s="162"/>
      <c r="BI5" s="162"/>
      <c r="BJ5" s="162"/>
      <c r="BK5" s="224"/>
      <c r="BL5" s="225"/>
    </row>
    <row r="6" spans="1:68" ht="21" customHeight="1" thickBot="1" x14ac:dyDescent="0.25">
      <c r="A6" s="232">
        <v>1</v>
      </c>
      <c r="B6" s="232" t="s">
        <v>64</v>
      </c>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33"/>
      <c r="BD6" s="233"/>
      <c r="BE6" s="233"/>
      <c r="BF6" s="233"/>
      <c r="BG6" s="233"/>
      <c r="BH6" s="233"/>
      <c r="BI6" s="233"/>
      <c r="BJ6" s="233"/>
      <c r="BK6" s="235"/>
      <c r="BL6" s="234"/>
    </row>
    <row r="7" spans="1:68" ht="21" customHeight="1" x14ac:dyDescent="0.2">
      <c r="A7" s="290" t="s">
        <v>65</v>
      </c>
      <c r="B7" s="229" t="s">
        <v>36</v>
      </c>
      <c r="C7" s="230">
        <f ca="1">Analítico!C7</f>
        <v>21312810.207261503</v>
      </c>
      <c r="D7" s="230">
        <f ca="1">Analítico!D7</f>
        <v>0</v>
      </c>
      <c r="E7" s="230">
        <f ca="1">Analítico!E7</f>
        <v>0</v>
      </c>
      <c r="F7" s="230">
        <f ca="1">Analítico!F7</f>
        <v>30464357.655446127</v>
      </c>
      <c r="G7" s="230">
        <f ca="1">Analítico!G7</f>
        <v>0</v>
      </c>
      <c r="H7" s="230">
        <f ca="1">Analítico!H7</f>
        <v>0</v>
      </c>
      <c r="I7" s="230">
        <f ca="1">Analítico!I7</f>
        <v>28744357.655446127</v>
      </c>
      <c r="J7" s="230">
        <f ca="1">Analítico!J7</f>
        <v>0</v>
      </c>
      <c r="K7" s="230">
        <f ca="1">Analítico!K7</f>
        <v>0</v>
      </c>
      <c r="L7" s="230">
        <f ca="1">Analítico!L7</f>
        <v>32144957.462043069</v>
      </c>
      <c r="M7" s="230">
        <f ca="1">Analítico!M7</f>
        <v>0</v>
      </c>
      <c r="N7" s="230">
        <f ca="1">Analítico!N7</f>
        <v>0</v>
      </c>
      <c r="O7" s="230">
        <f ca="1">Analítico!O7</f>
        <v>35088157.075236946</v>
      </c>
      <c r="P7" s="230">
        <f ca="1">Analítico!P7</f>
        <v>0</v>
      </c>
      <c r="Q7" s="230">
        <f ca="1">Analítico!Q7</f>
        <v>0</v>
      </c>
      <c r="R7" s="230">
        <f ca="1">Analítico!R7</f>
        <v>29058157.075236946</v>
      </c>
      <c r="S7" s="230">
        <f ca="1">Analítico!S7</f>
        <v>0</v>
      </c>
      <c r="T7" s="230">
        <f ca="1">Analítico!T7</f>
        <v>0</v>
      </c>
      <c r="U7" s="230">
        <f ca="1">Analítico!U7</f>
        <v>28758157.075236946</v>
      </c>
      <c r="V7" s="230">
        <f ca="1">Analítico!V7</f>
        <v>0</v>
      </c>
      <c r="W7" s="230">
        <f ca="1">Analítico!W7</f>
        <v>0</v>
      </c>
      <c r="X7" s="230">
        <f ca="1">Analítico!X7</f>
        <v>31284090.105611857</v>
      </c>
      <c r="Y7" s="230">
        <f ca="1">Analítico!Y7</f>
        <v>0</v>
      </c>
      <c r="Z7" s="230">
        <f ca="1">Analítico!Z7</f>
        <v>0</v>
      </c>
      <c r="AA7" s="230">
        <f ca="1">Analítico!AA7</f>
        <v>30153956.166361675</v>
      </c>
      <c r="AB7" s="230">
        <f ca="1">Analítico!AB7</f>
        <v>0</v>
      </c>
      <c r="AC7" s="230">
        <f ca="1">Analítico!AC7</f>
        <v>0</v>
      </c>
      <c r="AD7" s="230">
        <f ca="1">Analítico!AD7</f>
        <v>30103956.166361675</v>
      </c>
      <c r="AE7" s="230">
        <f ca="1">Analítico!AE7</f>
        <v>0</v>
      </c>
      <c r="AF7" s="230">
        <f ca="1">Analítico!AF7</f>
        <v>0</v>
      </c>
      <c r="AG7" s="230">
        <f ca="1">Analítico!AG7</f>
        <v>29753956.166361675</v>
      </c>
      <c r="AH7" s="230">
        <f ca="1">Analítico!AH7</f>
        <v>0</v>
      </c>
      <c r="AI7" s="230">
        <f ca="1">Analítico!AI7</f>
        <v>0</v>
      </c>
      <c r="AJ7" s="230">
        <f ca="1">Analítico!AJ7</f>
        <v>20727970.77757445</v>
      </c>
      <c r="AK7" s="230">
        <f ca="1">Analítico!AK7</f>
        <v>0</v>
      </c>
      <c r="AL7" s="230">
        <f ca="1">Analítico!AL7</f>
        <v>0</v>
      </c>
      <c r="AM7" s="230">
        <f ca="1">Analítico!AM7</f>
        <v>0</v>
      </c>
      <c r="AN7" s="230">
        <f ca="1">Analítico!AN7</f>
        <v>0</v>
      </c>
      <c r="AO7" s="230">
        <f ca="1">Analítico!AO7</f>
        <v>0</v>
      </c>
      <c r="AP7" s="230">
        <f ca="1">Analítico!AP7</f>
        <v>0</v>
      </c>
      <c r="AQ7" s="230">
        <f ca="1">Analítico!AQ7</f>
        <v>0</v>
      </c>
      <c r="AR7" s="230">
        <f ca="1">Analítico!AR7</f>
        <v>0</v>
      </c>
      <c r="AS7" s="230">
        <f ca="1">Analítico!AS7</f>
        <v>0</v>
      </c>
      <c r="AT7" s="230">
        <f ca="1">Analítico!AT7</f>
        <v>0</v>
      </c>
      <c r="AU7" s="230">
        <f ca="1">Analítico!AU7</f>
        <v>0</v>
      </c>
      <c r="AV7" s="230">
        <f ca="1">Analítico!AV7</f>
        <v>0</v>
      </c>
      <c r="AW7" s="230">
        <f ca="1">Analítico!AW7</f>
        <v>0</v>
      </c>
      <c r="AX7" s="230">
        <f ca="1">Analítico!AX7</f>
        <v>0</v>
      </c>
      <c r="AY7" s="230">
        <f ca="1">Analítico!AY7</f>
        <v>0</v>
      </c>
      <c r="AZ7" s="230">
        <f ca="1">Analítico!AZ7</f>
        <v>0</v>
      </c>
      <c r="BA7" s="230">
        <f ca="1">Analítico!BA7</f>
        <v>0</v>
      </c>
      <c r="BB7" s="230">
        <f ca="1">Analítico!BB7</f>
        <v>0</v>
      </c>
      <c r="BC7" s="230">
        <f ca="1">Analítico!BC7</f>
        <v>0</v>
      </c>
      <c r="BD7" s="230">
        <f ca="1">Analítico!BD7</f>
        <v>0</v>
      </c>
      <c r="BE7" s="230">
        <f ca="1">Analítico!BE7</f>
        <v>0</v>
      </c>
      <c r="BF7" s="230">
        <f ca="1">Analítico!BF7</f>
        <v>0</v>
      </c>
      <c r="BG7" s="230">
        <f ca="1">Analítico!BG7</f>
        <v>0</v>
      </c>
      <c r="BH7" s="230">
        <f ca="1">Analítico!BH7</f>
        <v>0</v>
      </c>
      <c r="BI7" s="230">
        <f ca="1">Analítico!BI7</f>
        <v>0</v>
      </c>
      <c r="BJ7" s="230">
        <f ca="1">Analítico!BJ7</f>
        <v>0</v>
      </c>
      <c r="BK7" s="230">
        <f t="shared" ref="BK7:BK15" ca="1" si="0">SUM(C7:BJ7)</f>
        <v>347594883.58817899</v>
      </c>
      <c r="BL7" s="231">
        <f ca="1">IF($BK$15=0,0,BK7/$BK$15)</f>
        <v>0.9480992571610074</v>
      </c>
    </row>
    <row r="8" spans="1:68" ht="21" customHeight="1" x14ac:dyDescent="0.2">
      <c r="A8" s="291" t="s">
        <v>66</v>
      </c>
      <c r="B8" s="292" t="s">
        <v>67</v>
      </c>
      <c r="C8" s="288">
        <f>Analítico!C8</f>
        <v>0</v>
      </c>
      <c r="D8" s="288">
        <f>Analítico!D8</f>
        <v>0</v>
      </c>
      <c r="E8" s="288">
        <f>Analítico!E8</f>
        <v>0</v>
      </c>
      <c r="F8" s="288">
        <f>Analítico!F8</f>
        <v>0</v>
      </c>
      <c r="G8" s="288">
        <f>Analítico!G8</f>
        <v>0</v>
      </c>
      <c r="H8" s="288">
        <f>Analítico!H8</f>
        <v>0</v>
      </c>
      <c r="I8" s="288">
        <f>Analítico!I8</f>
        <v>0</v>
      </c>
      <c r="J8" s="288">
        <f>Analítico!J8</f>
        <v>0</v>
      </c>
      <c r="K8" s="288">
        <f>Analítico!K8</f>
        <v>0</v>
      </c>
      <c r="L8" s="288">
        <f>Analítico!L8</f>
        <v>0</v>
      </c>
      <c r="M8" s="288">
        <f>Analítico!M8</f>
        <v>0</v>
      </c>
      <c r="N8" s="288">
        <f>Analítico!N8</f>
        <v>0</v>
      </c>
      <c r="O8" s="288">
        <f>Analítico!O8</f>
        <v>0</v>
      </c>
      <c r="P8" s="288">
        <f>Analítico!P8</f>
        <v>0</v>
      </c>
      <c r="Q8" s="288">
        <f>Analítico!Q8</f>
        <v>0</v>
      </c>
      <c r="R8" s="288">
        <f>Analítico!R8</f>
        <v>0</v>
      </c>
      <c r="S8" s="288">
        <f>Analítico!S8</f>
        <v>0</v>
      </c>
      <c r="T8" s="288">
        <f>Analítico!T8</f>
        <v>0</v>
      </c>
      <c r="U8" s="288">
        <f>Analítico!U8</f>
        <v>0</v>
      </c>
      <c r="V8" s="288">
        <f>Analítico!V8</f>
        <v>0</v>
      </c>
      <c r="W8" s="288">
        <f>Analítico!W8</f>
        <v>0</v>
      </c>
      <c r="X8" s="288">
        <f>Analítico!X8</f>
        <v>0</v>
      </c>
      <c r="Y8" s="288">
        <f>Analítico!Y8</f>
        <v>0</v>
      </c>
      <c r="Z8" s="288">
        <f>Analítico!Z8</f>
        <v>0</v>
      </c>
      <c r="AA8" s="288">
        <f>Analítico!AA8</f>
        <v>0</v>
      </c>
      <c r="AB8" s="288">
        <f>Analítico!AB8</f>
        <v>0</v>
      </c>
      <c r="AC8" s="288">
        <f>Analítico!AC8</f>
        <v>0</v>
      </c>
      <c r="AD8" s="288">
        <f>Analítico!AD8</f>
        <v>0</v>
      </c>
      <c r="AE8" s="288">
        <f>Analítico!AE8</f>
        <v>0</v>
      </c>
      <c r="AF8" s="288">
        <f>Analítico!AF8</f>
        <v>0</v>
      </c>
      <c r="AG8" s="288">
        <f>Analítico!AG8</f>
        <v>0</v>
      </c>
      <c r="AH8" s="288">
        <f>Analítico!AH8</f>
        <v>0</v>
      </c>
      <c r="AI8" s="288">
        <f>Analítico!AI8</f>
        <v>0</v>
      </c>
      <c r="AJ8" s="288">
        <f>Analítico!AJ8</f>
        <v>0</v>
      </c>
      <c r="AK8" s="288">
        <f>Analítico!AK8</f>
        <v>0</v>
      </c>
      <c r="AL8" s="288">
        <f>Analítico!AL8</f>
        <v>0</v>
      </c>
      <c r="AM8" s="288">
        <f>Analítico!AM8</f>
        <v>0</v>
      </c>
      <c r="AN8" s="288">
        <f>Analítico!AN8</f>
        <v>0</v>
      </c>
      <c r="AO8" s="288">
        <f>Analítico!AO8</f>
        <v>0</v>
      </c>
      <c r="AP8" s="288">
        <f>Analítico!AP8</f>
        <v>0</v>
      </c>
      <c r="AQ8" s="288">
        <f>Analítico!AQ8</f>
        <v>0</v>
      </c>
      <c r="AR8" s="288">
        <f>Analítico!AR8</f>
        <v>0</v>
      </c>
      <c r="AS8" s="288">
        <f>Analítico!AS8</f>
        <v>0</v>
      </c>
      <c r="AT8" s="288">
        <f>Analítico!AT8</f>
        <v>0</v>
      </c>
      <c r="AU8" s="288">
        <f>Analítico!AU8</f>
        <v>0</v>
      </c>
      <c r="AV8" s="288">
        <f>Analítico!AV8</f>
        <v>0</v>
      </c>
      <c r="AW8" s="288">
        <f>Analítico!AW8</f>
        <v>0</v>
      </c>
      <c r="AX8" s="288">
        <f>Analítico!AX8</f>
        <v>0</v>
      </c>
      <c r="AY8" s="288">
        <f>Analítico!AY8</f>
        <v>0</v>
      </c>
      <c r="AZ8" s="288">
        <f>Analítico!AZ8</f>
        <v>0</v>
      </c>
      <c r="BA8" s="288">
        <f>Analítico!BA8</f>
        <v>0</v>
      </c>
      <c r="BB8" s="288">
        <f>Analítico!BB8</f>
        <v>0</v>
      </c>
      <c r="BC8" s="288">
        <f>Analítico!BC8</f>
        <v>0</v>
      </c>
      <c r="BD8" s="288">
        <f>Analítico!BD8</f>
        <v>0</v>
      </c>
      <c r="BE8" s="288">
        <f>Analítico!BE8</f>
        <v>0</v>
      </c>
      <c r="BF8" s="288">
        <f>Analítico!BF8</f>
        <v>0</v>
      </c>
      <c r="BG8" s="288">
        <f>Analítico!BG8</f>
        <v>0</v>
      </c>
      <c r="BH8" s="288">
        <f>Analítico!BH8</f>
        <v>0</v>
      </c>
      <c r="BI8" s="288">
        <f>Analítico!BI8</f>
        <v>0</v>
      </c>
      <c r="BJ8" s="288">
        <f>Analítico!BJ8</f>
        <v>0</v>
      </c>
      <c r="BK8" s="288">
        <f>SUM(C8:BJ8)</f>
        <v>0</v>
      </c>
      <c r="BL8" s="289">
        <f ca="1">IF($BK$15=0,0,BK8/$BK$15)</f>
        <v>0</v>
      </c>
    </row>
    <row r="9" spans="1:68" ht="11.25" x14ac:dyDescent="0.2">
      <c r="A9" s="18" t="s">
        <v>68</v>
      </c>
      <c r="B9" s="12" t="s">
        <v>37</v>
      </c>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67"/>
    </row>
    <row r="10" spans="1:68" ht="21.75" customHeight="1" x14ac:dyDescent="0.2">
      <c r="A10" s="87" t="s">
        <v>69</v>
      </c>
      <c r="B10" s="12" t="s">
        <v>70</v>
      </c>
      <c r="C10" s="14">
        <f>Analítico!C10</f>
        <v>0</v>
      </c>
      <c r="D10" s="14">
        <f>Analítico!D10</f>
        <v>0</v>
      </c>
      <c r="E10" s="14">
        <f>Analítico!E10</f>
        <v>0</v>
      </c>
      <c r="F10" s="14">
        <f>Analítico!F10</f>
        <v>0</v>
      </c>
      <c r="G10" s="14">
        <f>Analítico!G10</f>
        <v>0</v>
      </c>
      <c r="H10" s="14">
        <f>Analítico!H10</f>
        <v>0</v>
      </c>
      <c r="I10" s="14">
        <f>Analítico!I10</f>
        <v>0</v>
      </c>
      <c r="J10" s="14">
        <f>Analítico!J10</f>
        <v>0</v>
      </c>
      <c r="K10" s="14">
        <f>Analítico!K10</f>
        <v>0</v>
      </c>
      <c r="L10" s="14">
        <f>Analítico!L10</f>
        <v>0</v>
      </c>
      <c r="M10" s="14">
        <f>Analítico!M10</f>
        <v>0</v>
      </c>
      <c r="N10" s="14">
        <f>Analítico!N10</f>
        <v>0</v>
      </c>
      <c r="O10" s="14">
        <f>Analítico!O10</f>
        <v>0</v>
      </c>
      <c r="P10" s="14">
        <f>Analítico!P10</f>
        <v>0</v>
      </c>
      <c r="Q10" s="14">
        <f>Analítico!Q10</f>
        <v>0</v>
      </c>
      <c r="R10" s="14">
        <f>Analítico!R10</f>
        <v>0</v>
      </c>
      <c r="S10" s="14">
        <f>Analítico!S10</f>
        <v>0</v>
      </c>
      <c r="T10" s="14">
        <f>Analítico!T10</f>
        <v>0</v>
      </c>
      <c r="U10" s="14">
        <f>Analítico!U10</f>
        <v>0</v>
      </c>
      <c r="V10" s="14">
        <f>Analítico!V10</f>
        <v>0</v>
      </c>
      <c r="W10" s="14">
        <f>Analítico!W10</f>
        <v>0</v>
      </c>
      <c r="X10" s="14">
        <f>Analítico!X10</f>
        <v>0</v>
      </c>
      <c r="Y10" s="14">
        <f>Analítico!Y10</f>
        <v>0</v>
      </c>
      <c r="Z10" s="14">
        <f>Analítico!Z10</f>
        <v>0</v>
      </c>
      <c r="AA10" s="14">
        <f>Analítico!AA10</f>
        <v>0</v>
      </c>
      <c r="AB10" s="14">
        <f>Analítico!AB10</f>
        <v>0</v>
      </c>
      <c r="AC10" s="14">
        <f>Analítico!AC10</f>
        <v>0</v>
      </c>
      <c r="AD10" s="14">
        <f>Analítico!AD10</f>
        <v>0</v>
      </c>
      <c r="AE10" s="14">
        <f>Analítico!AE10</f>
        <v>0</v>
      </c>
      <c r="AF10" s="14">
        <f>Analítico!AF10</f>
        <v>0</v>
      </c>
      <c r="AG10" s="14">
        <f>Analítico!AG10</f>
        <v>0</v>
      </c>
      <c r="AH10" s="14">
        <f>Analítico!AH10</f>
        <v>0</v>
      </c>
      <c r="AI10" s="14">
        <f>Analítico!AI10</f>
        <v>0</v>
      </c>
      <c r="AJ10" s="14">
        <f>Analítico!AJ10</f>
        <v>0</v>
      </c>
      <c r="AK10" s="14">
        <f>Analítico!AK10</f>
        <v>0</v>
      </c>
      <c r="AL10" s="14">
        <f>Analítico!AL10</f>
        <v>0</v>
      </c>
      <c r="AM10" s="14">
        <f>Analítico!AM10</f>
        <v>0</v>
      </c>
      <c r="AN10" s="14">
        <f>Analítico!AN10</f>
        <v>0</v>
      </c>
      <c r="AO10" s="14">
        <f>Analítico!AO10</f>
        <v>0</v>
      </c>
      <c r="AP10" s="14">
        <f>Analítico!AP10</f>
        <v>0</v>
      </c>
      <c r="AQ10" s="14">
        <f>Analítico!AQ10</f>
        <v>0</v>
      </c>
      <c r="AR10" s="14">
        <f>Analítico!AR10</f>
        <v>0</v>
      </c>
      <c r="AS10" s="14">
        <f>Analítico!AS10</f>
        <v>0</v>
      </c>
      <c r="AT10" s="14">
        <f>Analítico!AT10</f>
        <v>0</v>
      </c>
      <c r="AU10" s="14">
        <f>Analítico!AU10</f>
        <v>0</v>
      </c>
      <c r="AV10" s="14">
        <f>Analítico!AV10</f>
        <v>0</v>
      </c>
      <c r="AW10" s="14">
        <f>Analítico!AW10</f>
        <v>0</v>
      </c>
      <c r="AX10" s="14">
        <f>Analítico!AX10</f>
        <v>0</v>
      </c>
      <c r="AY10" s="14">
        <f>Analítico!AY10</f>
        <v>0</v>
      </c>
      <c r="AZ10" s="14">
        <f>Analítico!AZ10</f>
        <v>0</v>
      </c>
      <c r="BA10" s="14">
        <f>Analítico!BA10</f>
        <v>0</v>
      </c>
      <c r="BB10" s="14">
        <f>Analítico!BB10</f>
        <v>0</v>
      </c>
      <c r="BC10" s="14">
        <f>Analítico!BC10</f>
        <v>0</v>
      </c>
      <c r="BD10" s="14">
        <f>Analítico!BD10</f>
        <v>0</v>
      </c>
      <c r="BE10" s="14">
        <f>Analítico!BE10</f>
        <v>0</v>
      </c>
      <c r="BF10" s="14">
        <f>Analítico!BF10</f>
        <v>0</v>
      </c>
      <c r="BG10" s="14">
        <f>Analítico!BG10</f>
        <v>0</v>
      </c>
      <c r="BH10" s="14">
        <f>Analítico!BH10</f>
        <v>0</v>
      </c>
      <c r="BI10" s="14">
        <f>Analítico!BI10</f>
        <v>0</v>
      </c>
      <c r="BJ10" s="14">
        <f>Analítico!BJ10</f>
        <v>0</v>
      </c>
      <c r="BK10" s="14">
        <f>SUM(C10:BJ10)</f>
        <v>0</v>
      </c>
      <c r="BL10" s="67">
        <f t="shared" ref="BL10:BL15" ca="1" si="1">IF($BK$15=0,0,BK10/$BK$15)</f>
        <v>0</v>
      </c>
    </row>
    <row r="11" spans="1:68" ht="21.75" customHeight="1" x14ac:dyDescent="0.2">
      <c r="A11" s="87" t="s">
        <v>71</v>
      </c>
      <c r="B11" s="12" t="s">
        <v>72</v>
      </c>
      <c r="C11" s="14">
        <f>Analítico!C11</f>
        <v>0</v>
      </c>
      <c r="D11" s="14">
        <f>Analítico!D11</f>
        <v>0</v>
      </c>
      <c r="E11" s="14">
        <f>Analítico!E11</f>
        <v>0</v>
      </c>
      <c r="F11" s="14">
        <f>Analítico!F11</f>
        <v>0</v>
      </c>
      <c r="G11" s="14">
        <f>Analítico!G11</f>
        <v>0</v>
      </c>
      <c r="H11" s="14">
        <f>Analítico!H11</f>
        <v>0</v>
      </c>
      <c r="I11" s="14">
        <f>Analítico!I11</f>
        <v>0</v>
      </c>
      <c r="J11" s="14">
        <f>Analítico!J11</f>
        <v>0</v>
      </c>
      <c r="K11" s="14">
        <f>Analítico!K11</f>
        <v>0</v>
      </c>
      <c r="L11" s="14">
        <f>Analítico!L11</f>
        <v>0</v>
      </c>
      <c r="M11" s="14">
        <f>Analítico!M11</f>
        <v>0</v>
      </c>
      <c r="N11" s="14">
        <f>Analítico!N11</f>
        <v>0</v>
      </c>
      <c r="O11" s="14">
        <f>Analítico!O11</f>
        <v>0</v>
      </c>
      <c r="P11" s="14">
        <f>Analítico!P11</f>
        <v>0</v>
      </c>
      <c r="Q11" s="14">
        <f>Analítico!Q11</f>
        <v>0</v>
      </c>
      <c r="R11" s="14">
        <f>Analítico!R11</f>
        <v>0</v>
      </c>
      <c r="S11" s="14">
        <f>Analítico!S11</f>
        <v>0</v>
      </c>
      <c r="T11" s="14">
        <f>Analítico!T11</f>
        <v>0</v>
      </c>
      <c r="U11" s="14">
        <f>Analítico!U11</f>
        <v>0</v>
      </c>
      <c r="V11" s="14">
        <f>Analítico!V11</f>
        <v>0</v>
      </c>
      <c r="W11" s="14">
        <f>Analítico!W11</f>
        <v>0</v>
      </c>
      <c r="X11" s="14">
        <f>Analítico!X11</f>
        <v>0</v>
      </c>
      <c r="Y11" s="14">
        <f>Analítico!Y11</f>
        <v>0</v>
      </c>
      <c r="Z11" s="14">
        <f>Analítico!Z11</f>
        <v>0</v>
      </c>
      <c r="AA11" s="14">
        <f>Analítico!AA11</f>
        <v>0</v>
      </c>
      <c r="AB11" s="14">
        <f>Analítico!AB11</f>
        <v>0</v>
      </c>
      <c r="AC11" s="14">
        <f>Analítico!AC11</f>
        <v>0</v>
      </c>
      <c r="AD11" s="14">
        <f>Analítico!AD11</f>
        <v>0</v>
      </c>
      <c r="AE11" s="14">
        <f>Analítico!AE11</f>
        <v>0</v>
      </c>
      <c r="AF11" s="14">
        <f>Analítico!AF11</f>
        <v>0</v>
      </c>
      <c r="AG11" s="14">
        <f>Analítico!AG11</f>
        <v>0</v>
      </c>
      <c r="AH11" s="14">
        <f>Analítico!AH11</f>
        <v>0</v>
      </c>
      <c r="AI11" s="14">
        <f>Analítico!AI11</f>
        <v>0</v>
      </c>
      <c r="AJ11" s="14">
        <f>Analítico!AJ11</f>
        <v>0</v>
      </c>
      <c r="AK11" s="14">
        <f>Analítico!AK11</f>
        <v>0</v>
      </c>
      <c r="AL11" s="14">
        <f>Analítico!AL11</f>
        <v>0</v>
      </c>
      <c r="AM11" s="14">
        <f>Analítico!AM11</f>
        <v>0</v>
      </c>
      <c r="AN11" s="14">
        <f>Analítico!AN11</f>
        <v>0</v>
      </c>
      <c r="AO11" s="14">
        <f>Analítico!AO11</f>
        <v>0</v>
      </c>
      <c r="AP11" s="14">
        <f>Analítico!AP11</f>
        <v>0</v>
      </c>
      <c r="AQ11" s="14">
        <f>Analítico!AQ11</f>
        <v>0</v>
      </c>
      <c r="AR11" s="14">
        <f>Analítico!AR11</f>
        <v>0</v>
      </c>
      <c r="AS11" s="14">
        <f>Analítico!AS11</f>
        <v>0</v>
      </c>
      <c r="AT11" s="14">
        <f>Analítico!AT11</f>
        <v>0</v>
      </c>
      <c r="AU11" s="14">
        <f>Analítico!AU11</f>
        <v>0</v>
      </c>
      <c r="AV11" s="14">
        <f>Analítico!AV11</f>
        <v>0</v>
      </c>
      <c r="AW11" s="14">
        <f>Analítico!AW11</f>
        <v>0</v>
      </c>
      <c r="AX11" s="14">
        <f>Analítico!AX11</f>
        <v>0</v>
      </c>
      <c r="AY11" s="14">
        <f>Analítico!AY11</f>
        <v>0</v>
      </c>
      <c r="AZ11" s="14">
        <f>Analítico!AZ11</f>
        <v>0</v>
      </c>
      <c r="BA11" s="14">
        <f>Analítico!BA11</f>
        <v>0</v>
      </c>
      <c r="BB11" s="14">
        <f>Analítico!BB11</f>
        <v>0</v>
      </c>
      <c r="BC11" s="14">
        <f>Analítico!BC11</f>
        <v>0</v>
      </c>
      <c r="BD11" s="14">
        <f>Analítico!BD11</f>
        <v>0</v>
      </c>
      <c r="BE11" s="14">
        <f>Analítico!BE11</f>
        <v>0</v>
      </c>
      <c r="BF11" s="14">
        <f>Analítico!BF11</f>
        <v>0</v>
      </c>
      <c r="BG11" s="14">
        <f>Analítico!BG11</f>
        <v>0</v>
      </c>
      <c r="BH11" s="14">
        <f>Analítico!BH11</f>
        <v>0</v>
      </c>
      <c r="BI11" s="14">
        <f>Analítico!BI11</f>
        <v>0</v>
      </c>
      <c r="BJ11" s="14">
        <f>Analítico!BJ11</f>
        <v>0</v>
      </c>
      <c r="BK11" s="14">
        <f t="shared" si="0"/>
        <v>0</v>
      </c>
      <c r="BL11" s="67">
        <f t="shared" ca="1" si="1"/>
        <v>0</v>
      </c>
    </row>
    <row r="12" spans="1:68" ht="21.75" customHeight="1" x14ac:dyDescent="0.2">
      <c r="A12" s="87" t="s">
        <v>73</v>
      </c>
      <c r="B12" s="23" t="s">
        <v>74</v>
      </c>
      <c r="C12" s="24">
        <f>Analítico!C12</f>
        <v>0</v>
      </c>
      <c r="D12" s="24">
        <f>Analítico!D12</f>
        <v>0</v>
      </c>
      <c r="E12" s="24">
        <f>Analítico!E12</f>
        <v>0</v>
      </c>
      <c r="F12" s="24">
        <f>Analítico!F12</f>
        <v>0</v>
      </c>
      <c r="G12" s="24">
        <f>Analítico!G12</f>
        <v>0</v>
      </c>
      <c r="H12" s="24">
        <f>Analítico!H12</f>
        <v>0</v>
      </c>
      <c r="I12" s="24">
        <f>Analítico!I12</f>
        <v>0</v>
      </c>
      <c r="J12" s="24">
        <f>Analítico!J12</f>
        <v>0</v>
      </c>
      <c r="K12" s="24">
        <f>Analítico!K12</f>
        <v>0</v>
      </c>
      <c r="L12" s="24">
        <f>Analítico!L12</f>
        <v>0</v>
      </c>
      <c r="M12" s="24">
        <f>Analítico!M12</f>
        <v>0</v>
      </c>
      <c r="N12" s="24">
        <f>Analítico!N12</f>
        <v>0</v>
      </c>
      <c r="O12" s="24">
        <f>Analítico!O12</f>
        <v>0</v>
      </c>
      <c r="P12" s="24">
        <f>Analítico!P12</f>
        <v>0</v>
      </c>
      <c r="Q12" s="24">
        <f>Analítico!Q12</f>
        <v>0</v>
      </c>
      <c r="R12" s="24">
        <f>Analítico!R12</f>
        <v>0</v>
      </c>
      <c r="S12" s="24">
        <f>Analítico!S12</f>
        <v>0</v>
      </c>
      <c r="T12" s="24">
        <f>Analítico!T12</f>
        <v>0</v>
      </c>
      <c r="U12" s="24">
        <f>Analítico!U12</f>
        <v>0</v>
      </c>
      <c r="V12" s="24">
        <f>Analítico!V12</f>
        <v>0</v>
      </c>
      <c r="W12" s="24">
        <f>Analítico!W12</f>
        <v>0</v>
      </c>
      <c r="X12" s="24">
        <f>Analítico!X12</f>
        <v>0</v>
      </c>
      <c r="Y12" s="24">
        <f>Analítico!Y12</f>
        <v>0</v>
      </c>
      <c r="Z12" s="24">
        <f>Analítico!Z12</f>
        <v>0</v>
      </c>
      <c r="AA12" s="24">
        <f>Analítico!AA12</f>
        <v>0</v>
      </c>
      <c r="AB12" s="24">
        <f>Analítico!AB12</f>
        <v>0</v>
      </c>
      <c r="AC12" s="24">
        <f>Analítico!AC12</f>
        <v>0</v>
      </c>
      <c r="AD12" s="24">
        <f>Analítico!AD12</f>
        <v>0</v>
      </c>
      <c r="AE12" s="24">
        <f>Analítico!AE12</f>
        <v>0</v>
      </c>
      <c r="AF12" s="24">
        <f>Analítico!AF12</f>
        <v>0</v>
      </c>
      <c r="AG12" s="24">
        <f>Analítico!AG12</f>
        <v>0</v>
      </c>
      <c r="AH12" s="24">
        <f>Analítico!AH12</f>
        <v>0</v>
      </c>
      <c r="AI12" s="24">
        <f>Analítico!AI12</f>
        <v>0</v>
      </c>
      <c r="AJ12" s="24">
        <f>Analítico!AJ12</f>
        <v>0</v>
      </c>
      <c r="AK12" s="24">
        <f>Analítico!AK12</f>
        <v>0</v>
      </c>
      <c r="AL12" s="24">
        <f>Analítico!AL12</f>
        <v>0</v>
      </c>
      <c r="AM12" s="24">
        <f>Analítico!AM12</f>
        <v>0</v>
      </c>
      <c r="AN12" s="24">
        <f>Analítico!AN12</f>
        <v>0</v>
      </c>
      <c r="AO12" s="24">
        <f>Analítico!AO12</f>
        <v>0</v>
      </c>
      <c r="AP12" s="24">
        <f>Analítico!AP12</f>
        <v>0</v>
      </c>
      <c r="AQ12" s="24">
        <f>Analítico!AQ12</f>
        <v>0</v>
      </c>
      <c r="AR12" s="24">
        <f>Analítico!AR12</f>
        <v>0</v>
      </c>
      <c r="AS12" s="24">
        <f>Analítico!AS12</f>
        <v>0</v>
      </c>
      <c r="AT12" s="24">
        <f>Analítico!AT12</f>
        <v>0</v>
      </c>
      <c r="AU12" s="24">
        <f>Analítico!AU12</f>
        <v>0</v>
      </c>
      <c r="AV12" s="24">
        <f>Analítico!AV12</f>
        <v>0</v>
      </c>
      <c r="AW12" s="24">
        <f>Analítico!AW12</f>
        <v>0</v>
      </c>
      <c r="AX12" s="24">
        <f>Analítico!AX12</f>
        <v>0</v>
      </c>
      <c r="AY12" s="24">
        <f>Analítico!AY12</f>
        <v>0</v>
      </c>
      <c r="AZ12" s="24">
        <f>Analítico!AZ12</f>
        <v>0</v>
      </c>
      <c r="BA12" s="24">
        <f>Analítico!BA12</f>
        <v>0</v>
      </c>
      <c r="BB12" s="24">
        <f>Analítico!BB12</f>
        <v>0</v>
      </c>
      <c r="BC12" s="24">
        <f>Analítico!BC12</f>
        <v>0</v>
      </c>
      <c r="BD12" s="24">
        <f>Analítico!BD12</f>
        <v>0</v>
      </c>
      <c r="BE12" s="24">
        <f>Analítico!BE12</f>
        <v>0</v>
      </c>
      <c r="BF12" s="24">
        <f>Analítico!BF12</f>
        <v>0</v>
      </c>
      <c r="BG12" s="24">
        <f>Analítico!BG12</f>
        <v>0</v>
      </c>
      <c r="BH12" s="24">
        <f>Analítico!BH12</f>
        <v>0</v>
      </c>
      <c r="BI12" s="24">
        <f>Analítico!BI12</f>
        <v>0</v>
      </c>
      <c r="BJ12" s="24">
        <f>Analítico!BJ12</f>
        <v>0</v>
      </c>
      <c r="BK12" s="24">
        <f t="shared" si="0"/>
        <v>0</v>
      </c>
      <c r="BL12" s="68">
        <f t="shared" ca="1" si="1"/>
        <v>0</v>
      </c>
    </row>
    <row r="13" spans="1:68" ht="21" customHeight="1" x14ac:dyDescent="0.2">
      <c r="A13" s="382" t="s">
        <v>75</v>
      </c>
      <c r="B13" s="382"/>
      <c r="C13" s="16">
        <f>SUBTOTAL(109,C10:C12)</f>
        <v>0</v>
      </c>
      <c r="D13" s="16">
        <f t="shared" ref="D13:BJ13" si="2">SUBTOTAL(109,D10:D12)</f>
        <v>0</v>
      </c>
      <c r="E13" s="16">
        <f t="shared" si="2"/>
        <v>0</v>
      </c>
      <c r="F13" s="16">
        <f t="shared" si="2"/>
        <v>0</v>
      </c>
      <c r="G13" s="16">
        <f t="shared" si="2"/>
        <v>0</v>
      </c>
      <c r="H13" s="16">
        <f t="shared" si="2"/>
        <v>0</v>
      </c>
      <c r="I13" s="16">
        <f t="shared" si="2"/>
        <v>0</v>
      </c>
      <c r="J13" s="16">
        <f t="shared" si="2"/>
        <v>0</v>
      </c>
      <c r="K13" s="16">
        <f t="shared" si="2"/>
        <v>0</v>
      </c>
      <c r="L13" s="16">
        <f t="shared" si="2"/>
        <v>0</v>
      </c>
      <c r="M13" s="16">
        <f t="shared" si="2"/>
        <v>0</v>
      </c>
      <c r="N13" s="16">
        <f t="shared" si="2"/>
        <v>0</v>
      </c>
      <c r="O13" s="16">
        <f t="shared" si="2"/>
        <v>0</v>
      </c>
      <c r="P13" s="16">
        <f t="shared" si="2"/>
        <v>0</v>
      </c>
      <c r="Q13" s="16">
        <f t="shared" si="2"/>
        <v>0</v>
      </c>
      <c r="R13" s="16">
        <f t="shared" si="2"/>
        <v>0</v>
      </c>
      <c r="S13" s="16">
        <f t="shared" si="2"/>
        <v>0</v>
      </c>
      <c r="T13" s="16">
        <f t="shared" si="2"/>
        <v>0</v>
      </c>
      <c r="U13" s="16">
        <f t="shared" si="2"/>
        <v>0</v>
      </c>
      <c r="V13" s="16">
        <f t="shared" si="2"/>
        <v>0</v>
      </c>
      <c r="W13" s="16">
        <f t="shared" si="2"/>
        <v>0</v>
      </c>
      <c r="X13" s="16">
        <f t="shared" si="2"/>
        <v>0</v>
      </c>
      <c r="Y13" s="16">
        <f t="shared" si="2"/>
        <v>0</v>
      </c>
      <c r="Z13" s="16">
        <f t="shared" si="2"/>
        <v>0</v>
      </c>
      <c r="AA13" s="16">
        <f t="shared" si="2"/>
        <v>0</v>
      </c>
      <c r="AB13" s="16">
        <f t="shared" si="2"/>
        <v>0</v>
      </c>
      <c r="AC13" s="16">
        <f t="shared" si="2"/>
        <v>0</v>
      </c>
      <c r="AD13" s="16">
        <f t="shared" si="2"/>
        <v>0</v>
      </c>
      <c r="AE13" s="16">
        <f t="shared" si="2"/>
        <v>0</v>
      </c>
      <c r="AF13" s="16">
        <f t="shared" si="2"/>
        <v>0</v>
      </c>
      <c r="AG13" s="16">
        <f t="shared" si="2"/>
        <v>0</v>
      </c>
      <c r="AH13" s="16">
        <f t="shared" si="2"/>
        <v>0</v>
      </c>
      <c r="AI13" s="16">
        <f t="shared" si="2"/>
        <v>0</v>
      </c>
      <c r="AJ13" s="16">
        <f t="shared" si="2"/>
        <v>0</v>
      </c>
      <c r="AK13" s="16">
        <f t="shared" si="2"/>
        <v>0</v>
      </c>
      <c r="AL13" s="16">
        <f t="shared" si="2"/>
        <v>0</v>
      </c>
      <c r="AM13" s="16">
        <f t="shared" si="2"/>
        <v>0</v>
      </c>
      <c r="AN13" s="16">
        <f t="shared" si="2"/>
        <v>0</v>
      </c>
      <c r="AO13" s="16">
        <f t="shared" si="2"/>
        <v>0</v>
      </c>
      <c r="AP13" s="16">
        <f t="shared" si="2"/>
        <v>0</v>
      </c>
      <c r="AQ13" s="16">
        <f t="shared" si="2"/>
        <v>0</v>
      </c>
      <c r="AR13" s="16">
        <f t="shared" si="2"/>
        <v>0</v>
      </c>
      <c r="AS13" s="16">
        <f t="shared" si="2"/>
        <v>0</v>
      </c>
      <c r="AT13" s="16">
        <f t="shared" si="2"/>
        <v>0</v>
      </c>
      <c r="AU13" s="16">
        <f t="shared" si="2"/>
        <v>0</v>
      </c>
      <c r="AV13" s="16">
        <f t="shared" si="2"/>
        <v>0</v>
      </c>
      <c r="AW13" s="16">
        <f t="shared" si="2"/>
        <v>0</v>
      </c>
      <c r="AX13" s="16">
        <f t="shared" si="2"/>
        <v>0</v>
      </c>
      <c r="AY13" s="16">
        <f t="shared" si="2"/>
        <v>0</v>
      </c>
      <c r="AZ13" s="16">
        <f t="shared" si="2"/>
        <v>0</v>
      </c>
      <c r="BA13" s="16">
        <f t="shared" si="2"/>
        <v>0</v>
      </c>
      <c r="BB13" s="16">
        <f t="shared" si="2"/>
        <v>0</v>
      </c>
      <c r="BC13" s="16">
        <f t="shared" si="2"/>
        <v>0</v>
      </c>
      <c r="BD13" s="16">
        <f t="shared" si="2"/>
        <v>0</v>
      </c>
      <c r="BE13" s="16">
        <f t="shared" si="2"/>
        <v>0</v>
      </c>
      <c r="BF13" s="16">
        <f t="shared" si="2"/>
        <v>0</v>
      </c>
      <c r="BG13" s="16">
        <f t="shared" si="2"/>
        <v>0</v>
      </c>
      <c r="BH13" s="16">
        <f t="shared" si="2"/>
        <v>0</v>
      </c>
      <c r="BI13" s="16">
        <f t="shared" si="2"/>
        <v>0</v>
      </c>
      <c r="BJ13" s="16">
        <f t="shared" si="2"/>
        <v>0</v>
      </c>
      <c r="BK13" s="16">
        <f t="shared" ref="BK13" si="3">SUM(C13:BJ13)</f>
        <v>0</v>
      </c>
      <c r="BL13" s="65">
        <f t="shared" ca="1" si="1"/>
        <v>0</v>
      </c>
    </row>
    <row r="14" spans="1:68" ht="21" customHeight="1" thickBot="1" x14ac:dyDescent="0.25">
      <c r="A14" s="384" t="s">
        <v>76</v>
      </c>
      <c r="B14" s="384"/>
      <c r="C14" s="62">
        <f ca="1">SUBTOTAL(109,C7:C13)</f>
        <v>21312810.207261503</v>
      </c>
      <c r="D14" s="62">
        <f t="shared" ref="D14:BJ14" ca="1" si="4">SUBTOTAL(109,D7:D13)</f>
        <v>0</v>
      </c>
      <c r="E14" s="62">
        <f t="shared" ca="1" si="4"/>
        <v>0</v>
      </c>
      <c r="F14" s="62">
        <f t="shared" ca="1" si="4"/>
        <v>30464357.655446127</v>
      </c>
      <c r="G14" s="62">
        <f t="shared" ca="1" si="4"/>
        <v>0</v>
      </c>
      <c r="H14" s="62">
        <f t="shared" ca="1" si="4"/>
        <v>0</v>
      </c>
      <c r="I14" s="62">
        <f t="shared" ca="1" si="4"/>
        <v>28744357.655446127</v>
      </c>
      <c r="J14" s="62">
        <f t="shared" ca="1" si="4"/>
        <v>0</v>
      </c>
      <c r="K14" s="62">
        <f t="shared" ca="1" si="4"/>
        <v>0</v>
      </c>
      <c r="L14" s="62">
        <f t="shared" ca="1" si="4"/>
        <v>32144957.462043069</v>
      </c>
      <c r="M14" s="62">
        <f t="shared" ca="1" si="4"/>
        <v>0</v>
      </c>
      <c r="N14" s="62">
        <f t="shared" ca="1" si="4"/>
        <v>0</v>
      </c>
      <c r="O14" s="62">
        <f t="shared" ca="1" si="4"/>
        <v>35088157.075236946</v>
      </c>
      <c r="P14" s="62">
        <f t="shared" ca="1" si="4"/>
        <v>0</v>
      </c>
      <c r="Q14" s="62">
        <f t="shared" ca="1" si="4"/>
        <v>0</v>
      </c>
      <c r="R14" s="62">
        <f t="shared" ca="1" si="4"/>
        <v>29058157.075236946</v>
      </c>
      <c r="S14" s="62">
        <f t="shared" ca="1" si="4"/>
        <v>0</v>
      </c>
      <c r="T14" s="62">
        <f t="shared" ca="1" si="4"/>
        <v>0</v>
      </c>
      <c r="U14" s="62">
        <f t="shared" ca="1" si="4"/>
        <v>28758157.075236946</v>
      </c>
      <c r="V14" s="62">
        <f t="shared" ca="1" si="4"/>
        <v>0</v>
      </c>
      <c r="W14" s="62">
        <f t="shared" ca="1" si="4"/>
        <v>0</v>
      </c>
      <c r="X14" s="62">
        <f t="shared" ca="1" si="4"/>
        <v>31284090.105611857</v>
      </c>
      <c r="Y14" s="62">
        <f t="shared" ca="1" si="4"/>
        <v>0</v>
      </c>
      <c r="Z14" s="62">
        <f t="shared" ca="1" si="4"/>
        <v>0</v>
      </c>
      <c r="AA14" s="62">
        <f t="shared" ca="1" si="4"/>
        <v>30153956.166361675</v>
      </c>
      <c r="AB14" s="62">
        <f t="shared" ca="1" si="4"/>
        <v>0</v>
      </c>
      <c r="AC14" s="62">
        <f t="shared" ca="1" si="4"/>
        <v>0</v>
      </c>
      <c r="AD14" s="62">
        <f t="shared" ca="1" si="4"/>
        <v>30103956.166361675</v>
      </c>
      <c r="AE14" s="62">
        <f t="shared" ca="1" si="4"/>
        <v>0</v>
      </c>
      <c r="AF14" s="62">
        <f t="shared" ca="1" si="4"/>
        <v>0</v>
      </c>
      <c r="AG14" s="62">
        <f t="shared" ca="1" si="4"/>
        <v>29753956.166361675</v>
      </c>
      <c r="AH14" s="62">
        <f t="shared" ca="1" si="4"/>
        <v>0</v>
      </c>
      <c r="AI14" s="62">
        <f t="shared" ca="1" si="4"/>
        <v>0</v>
      </c>
      <c r="AJ14" s="62">
        <f t="shared" ca="1" si="4"/>
        <v>20727970.77757445</v>
      </c>
      <c r="AK14" s="62">
        <f t="shared" ca="1" si="4"/>
        <v>0</v>
      </c>
      <c r="AL14" s="62">
        <f t="shared" ca="1" si="4"/>
        <v>0</v>
      </c>
      <c r="AM14" s="62">
        <f t="shared" ca="1" si="4"/>
        <v>0</v>
      </c>
      <c r="AN14" s="62">
        <f t="shared" ca="1" si="4"/>
        <v>0</v>
      </c>
      <c r="AO14" s="62">
        <f t="shared" ca="1" si="4"/>
        <v>0</v>
      </c>
      <c r="AP14" s="62">
        <f t="shared" ca="1" si="4"/>
        <v>0</v>
      </c>
      <c r="AQ14" s="62">
        <f t="shared" ca="1" si="4"/>
        <v>0</v>
      </c>
      <c r="AR14" s="62">
        <f t="shared" ca="1" si="4"/>
        <v>0</v>
      </c>
      <c r="AS14" s="62">
        <f t="shared" ca="1" si="4"/>
        <v>0</v>
      </c>
      <c r="AT14" s="62">
        <f t="shared" ca="1" si="4"/>
        <v>0</v>
      </c>
      <c r="AU14" s="62">
        <f t="shared" ca="1" si="4"/>
        <v>0</v>
      </c>
      <c r="AV14" s="62">
        <f t="shared" ca="1" si="4"/>
        <v>0</v>
      </c>
      <c r="AW14" s="62">
        <f t="shared" ca="1" si="4"/>
        <v>0</v>
      </c>
      <c r="AX14" s="62">
        <f t="shared" ca="1" si="4"/>
        <v>0</v>
      </c>
      <c r="AY14" s="62">
        <f t="shared" ca="1" si="4"/>
        <v>0</v>
      </c>
      <c r="AZ14" s="62">
        <f t="shared" ca="1" si="4"/>
        <v>0</v>
      </c>
      <c r="BA14" s="62">
        <f t="shared" ca="1" si="4"/>
        <v>0</v>
      </c>
      <c r="BB14" s="62">
        <f t="shared" ca="1" si="4"/>
        <v>0</v>
      </c>
      <c r="BC14" s="62">
        <f t="shared" ca="1" si="4"/>
        <v>0</v>
      </c>
      <c r="BD14" s="62">
        <f t="shared" ca="1" si="4"/>
        <v>0</v>
      </c>
      <c r="BE14" s="62">
        <f t="shared" ca="1" si="4"/>
        <v>0</v>
      </c>
      <c r="BF14" s="62">
        <f t="shared" ca="1" si="4"/>
        <v>0</v>
      </c>
      <c r="BG14" s="62">
        <f t="shared" ca="1" si="4"/>
        <v>0</v>
      </c>
      <c r="BH14" s="62">
        <f t="shared" ca="1" si="4"/>
        <v>0</v>
      </c>
      <c r="BI14" s="62">
        <f t="shared" ca="1" si="4"/>
        <v>0</v>
      </c>
      <c r="BJ14" s="62">
        <f t="shared" ca="1" si="4"/>
        <v>0</v>
      </c>
      <c r="BK14" s="25">
        <f t="shared" ca="1" si="0"/>
        <v>347594883.58817899</v>
      </c>
      <c r="BL14" s="63">
        <f t="shared" ca="1" si="1"/>
        <v>0.9480992571610074</v>
      </c>
    </row>
    <row r="15" spans="1:68" ht="21" customHeight="1" thickBot="1" x14ac:dyDescent="0.25">
      <c r="A15" s="383" t="s">
        <v>77</v>
      </c>
      <c r="B15" s="383"/>
      <c r="C15" s="279">
        <f ca="1">SUBTOTAL(109,C4:C14)</f>
        <v>40340810.207261503</v>
      </c>
      <c r="D15" s="279">
        <f t="shared" ref="D15:BJ15" ca="1" si="5">SUBTOTAL(109,D4:D14)</f>
        <v>0</v>
      </c>
      <c r="E15" s="279">
        <f t="shared" ca="1" si="5"/>
        <v>0</v>
      </c>
      <c r="F15" s="279">
        <f t="shared" ca="1" si="5"/>
        <v>30464357.655446127</v>
      </c>
      <c r="G15" s="279">
        <f t="shared" ca="1" si="5"/>
        <v>0</v>
      </c>
      <c r="H15" s="279">
        <f t="shared" ca="1" si="5"/>
        <v>0</v>
      </c>
      <c r="I15" s="279">
        <f t="shared" ca="1" si="5"/>
        <v>28744357.655446127</v>
      </c>
      <c r="J15" s="279">
        <f t="shared" ca="1" si="5"/>
        <v>0</v>
      </c>
      <c r="K15" s="279">
        <f t="shared" ca="1" si="5"/>
        <v>0</v>
      </c>
      <c r="L15" s="279">
        <f t="shared" ca="1" si="5"/>
        <v>32144957.462043069</v>
      </c>
      <c r="M15" s="279">
        <f t="shared" ca="1" si="5"/>
        <v>0</v>
      </c>
      <c r="N15" s="279">
        <f t="shared" ca="1" si="5"/>
        <v>0</v>
      </c>
      <c r="O15" s="279">
        <f t="shared" ca="1" si="5"/>
        <v>35088157.075236946</v>
      </c>
      <c r="P15" s="279">
        <f t="shared" ca="1" si="5"/>
        <v>0</v>
      </c>
      <c r="Q15" s="279">
        <f t="shared" ca="1" si="5"/>
        <v>0</v>
      </c>
      <c r="R15" s="279">
        <f t="shared" ca="1" si="5"/>
        <v>29058157.075236946</v>
      </c>
      <c r="S15" s="279">
        <f t="shared" ca="1" si="5"/>
        <v>0</v>
      </c>
      <c r="T15" s="279">
        <f t="shared" ca="1" si="5"/>
        <v>0</v>
      </c>
      <c r="U15" s="279">
        <f t="shared" ca="1" si="5"/>
        <v>28758157.075236946</v>
      </c>
      <c r="V15" s="279">
        <f t="shared" ca="1" si="5"/>
        <v>0</v>
      </c>
      <c r="W15" s="279">
        <f t="shared" ca="1" si="5"/>
        <v>0</v>
      </c>
      <c r="X15" s="279">
        <f t="shared" ca="1" si="5"/>
        <v>31284090.105611857</v>
      </c>
      <c r="Y15" s="279">
        <f t="shared" ca="1" si="5"/>
        <v>0</v>
      </c>
      <c r="Z15" s="279">
        <f t="shared" ca="1" si="5"/>
        <v>0</v>
      </c>
      <c r="AA15" s="279">
        <f t="shared" ca="1" si="5"/>
        <v>30153956.166361675</v>
      </c>
      <c r="AB15" s="279">
        <f t="shared" ca="1" si="5"/>
        <v>0</v>
      </c>
      <c r="AC15" s="279">
        <f t="shared" ca="1" si="5"/>
        <v>0</v>
      </c>
      <c r="AD15" s="279">
        <f t="shared" ca="1" si="5"/>
        <v>30103956.166361675</v>
      </c>
      <c r="AE15" s="279">
        <f t="shared" ca="1" si="5"/>
        <v>0</v>
      </c>
      <c r="AF15" s="279">
        <f t="shared" ca="1" si="5"/>
        <v>0</v>
      </c>
      <c r="AG15" s="279">
        <f t="shared" ca="1" si="5"/>
        <v>29753956.166361675</v>
      </c>
      <c r="AH15" s="279">
        <f t="shared" ca="1" si="5"/>
        <v>0</v>
      </c>
      <c r="AI15" s="279">
        <f t="shared" ca="1" si="5"/>
        <v>0</v>
      </c>
      <c r="AJ15" s="279">
        <f t="shared" ca="1" si="5"/>
        <v>20727970.77757445</v>
      </c>
      <c r="AK15" s="279">
        <f t="shared" ca="1" si="5"/>
        <v>0</v>
      </c>
      <c r="AL15" s="279">
        <f t="shared" ca="1" si="5"/>
        <v>0</v>
      </c>
      <c r="AM15" s="279">
        <f t="shared" ca="1" si="5"/>
        <v>0</v>
      </c>
      <c r="AN15" s="279">
        <f t="shared" ca="1" si="5"/>
        <v>0</v>
      </c>
      <c r="AO15" s="279">
        <f t="shared" ca="1" si="5"/>
        <v>0</v>
      </c>
      <c r="AP15" s="279">
        <f t="shared" ca="1" si="5"/>
        <v>0</v>
      </c>
      <c r="AQ15" s="279">
        <f t="shared" ca="1" si="5"/>
        <v>0</v>
      </c>
      <c r="AR15" s="279">
        <f t="shared" ca="1" si="5"/>
        <v>0</v>
      </c>
      <c r="AS15" s="279">
        <f t="shared" ca="1" si="5"/>
        <v>0</v>
      </c>
      <c r="AT15" s="279">
        <f t="shared" ca="1" si="5"/>
        <v>0</v>
      </c>
      <c r="AU15" s="279">
        <f t="shared" ca="1" si="5"/>
        <v>0</v>
      </c>
      <c r="AV15" s="279">
        <f t="shared" ca="1" si="5"/>
        <v>0</v>
      </c>
      <c r="AW15" s="279">
        <f t="shared" ca="1" si="5"/>
        <v>0</v>
      </c>
      <c r="AX15" s="279">
        <f t="shared" ca="1" si="5"/>
        <v>0</v>
      </c>
      <c r="AY15" s="279">
        <f t="shared" ca="1" si="5"/>
        <v>0</v>
      </c>
      <c r="AZ15" s="279">
        <f t="shared" ca="1" si="5"/>
        <v>0</v>
      </c>
      <c r="BA15" s="279">
        <f t="shared" ca="1" si="5"/>
        <v>0</v>
      </c>
      <c r="BB15" s="279">
        <f t="shared" ca="1" si="5"/>
        <v>0</v>
      </c>
      <c r="BC15" s="279">
        <f t="shared" ca="1" si="5"/>
        <v>0</v>
      </c>
      <c r="BD15" s="279">
        <f t="shared" ca="1" si="5"/>
        <v>0</v>
      </c>
      <c r="BE15" s="279">
        <f t="shared" ca="1" si="5"/>
        <v>0</v>
      </c>
      <c r="BF15" s="279">
        <f t="shared" ca="1" si="5"/>
        <v>0</v>
      </c>
      <c r="BG15" s="279">
        <f t="shared" ca="1" si="5"/>
        <v>0</v>
      </c>
      <c r="BH15" s="279">
        <f t="shared" ca="1" si="5"/>
        <v>0</v>
      </c>
      <c r="BI15" s="279">
        <f t="shared" ca="1" si="5"/>
        <v>0</v>
      </c>
      <c r="BJ15" s="279">
        <f t="shared" ca="1" si="5"/>
        <v>0</v>
      </c>
      <c r="BK15" s="279">
        <f t="shared" ca="1" si="0"/>
        <v>366622883.58817899</v>
      </c>
      <c r="BL15" s="280">
        <f t="shared" ca="1" si="1"/>
        <v>1</v>
      </c>
    </row>
    <row r="16" spans="1:68" ht="18" customHeight="1" thickBot="1" x14ac:dyDescent="0.25">
      <c r="A16" s="226"/>
      <c r="B16" s="227"/>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228"/>
    </row>
    <row r="17" spans="1:68" ht="21" customHeight="1" thickBot="1" x14ac:dyDescent="0.25">
      <c r="A17" s="232">
        <v>2</v>
      </c>
      <c r="B17" s="232" t="s">
        <v>78</v>
      </c>
      <c r="C17" s="233"/>
      <c r="D17" s="233"/>
      <c r="E17" s="233"/>
      <c r="F17" s="233"/>
      <c r="G17" s="233"/>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4"/>
    </row>
    <row r="18" spans="1:68" ht="11.25" x14ac:dyDescent="0.2">
      <c r="A18" s="215" t="s">
        <v>79</v>
      </c>
      <c r="B18" s="13" t="s">
        <v>80</v>
      </c>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64"/>
    </row>
    <row r="19" spans="1:68" ht="15.75" customHeight="1" x14ac:dyDescent="0.2">
      <c r="A19" s="216" t="s">
        <v>81</v>
      </c>
      <c r="B19" s="13" t="s">
        <v>82</v>
      </c>
      <c r="C19" s="14">
        <f ca="1">Analítico!C28</f>
        <v>4607321.3410367211</v>
      </c>
      <c r="D19" s="14">
        <f ca="1">Analítico!D28</f>
        <v>4607321.3410367211</v>
      </c>
      <c r="E19" s="14">
        <f ca="1">Analítico!E28</f>
        <v>4607321.3410367211</v>
      </c>
      <c r="F19" s="14">
        <f ca="1">Analítico!F28</f>
        <v>4607321.3410367211</v>
      </c>
      <c r="G19" s="14">
        <f ca="1">Analítico!G28</f>
        <v>4607321.3410367211</v>
      </c>
      <c r="H19" s="14">
        <f ca="1">Analítico!H28</f>
        <v>4607321.3410367211</v>
      </c>
      <c r="I19" s="14">
        <f ca="1">Analítico!I28</f>
        <v>4607321.3410367211</v>
      </c>
      <c r="J19" s="14">
        <f ca="1">Analítico!J28</f>
        <v>4607321.3410367211</v>
      </c>
      <c r="K19" s="14">
        <f ca="1">Analítico!K28</f>
        <v>4607321.3410367211</v>
      </c>
      <c r="L19" s="14">
        <f ca="1">Analítico!L28</f>
        <v>4607321.3410367211</v>
      </c>
      <c r="M19" s="14">
        <f ca="1">Analítico!M28</f>
        <v>4607321.3410367211</v>
      </c>
      <c r="N19" s="14">
        <f ca="1">Analítico!N28</f>
        <v>4607321.3410367211</v>
      </c>
      <c r="O19" s="14">
        <f ca="1">Analítico!O28</f>
        <v>4729471.6326909773</v>
      </c>
      <c r="P19" s="14">
        <f ca="1">Analítico!P28</f>
        <v>4729471.6326909773</v>
      </c>
      <c r="Q19" s="14">
        <f ca="1">Analítico!Q28</f>
        <v>4729471.6326909773</v>
      </c>
      <c r="R19" s="14">
        <f ca="1">Analítico!R28</f>
        <v>4729471.6326909773</v>
      </c>
      <c r="S19" s="14">
        <f ca="1">Analítico!S28</f>
        <v>4729471.6326909773</v>
      </c>
      <c r="T19" s="14">
        <f ca="1">Analítico!T28</f>
        <v>4729471.6326909773</v>
      </c>
      <c r="U19" s="14">
        <f ca="1">Analítico!U28</f>
        <v>4729471.6326909773</v>
      </c>
      <c r="V19" s="14">
        <f ca="1">Analítico!V28</f>
        <v>4729471.6326909773</v>
      </c>
      <c r="W19" s="14">
        <f ca="1">Analítico!W28</f>
        <v>4729471.6326909773</v>
      </c>
      <c r="X19" s="14">
        <f ca="1">Analítico!X28</f>
        <v>4729471.6326909773</v>
      </c>
      <c r="Y19" s="14">
        <f ca="1">Analítico!Y28</f>
        <v>4729471.6326909773</v>
      </c>
      <c r="Z19" s="14">
        <f ca="1">Analítico!Z28</f>
        <v>4729471.6326909773</v>
      </c>
      <c r="AA19" s="14">
        <f ca="1">Analítico!AA28</f>
        <v>4918650.4979986157</v>
      </c>
      <c r="AB19" s="14">
        <f ca="1">Analítico!AB28</f>
        <v>4918650.4979986157</v>
      </c>
      <c r="AC19" s="14">
        <f ca="1">Analítico!AC28</f>
        <v>4918650.4979986157</v>
      </c>
      <c r="AD19" s="14">
        <f ca="1">Analítico!AD28</f>
        <v>4918650.4979986157</v>
      </c>
      <c r="AE19" s="14">
        <f ca="1">Analítico!AE28</f>
        <v>4918650.4979986157</v>
      </c>
      <c r="AF19" s="14">
        <f ca="1">Analítico!AF28</f>
        <v>4918650.4979986157</v>
      </c>
      <c r="AG19" s="14">
        <f ca="1">Analítico!AG28</f>
        <v>4918650.4979986157</v>
      </c>
      <c r="AH19" s="14">
        <f ca="1">Analítico!AH28</f>
        <v>4918650.4979986157</v>
      </c>
      <c r="AI19" s="14">
        <f ca="1">Analítico!AI28</f>
        <v>4918650.4979986157</v>
      </c>
      <c r="AJ19" s="14">
        <f ca="1">Analítico!AJ28</f>
        <v>4918650.4979986157</v>
      </c>
      <c r="AK19" s="14">
        <f ca="1">Analítico!AK28</f>
        <v>4918650.4979986157</v>
      </c>
      <c r="AL19" s="14">
        <f ca="1">Analítico!AL28</f>
        <v>4918650.4979986157</v>
      </c>
      <c r="AM19" s="14">
        <f ca="1">Analítico!AM28</f>
        <v>0</v>
      </c>
      <c r="AN19" s="14">
        <f ca="1">Analítico!AN28</f>
        <v>0</v>
      </c>
      <c r="AO19" s="14">
        <f ca="1">Analítico!AO28</f>
        <v>0</v>
      </c>
      <c r="AP19" s="14">
        <f ca="1">Analítico!AP28</f>
        <v>0</v>
      </c>
      <c r="AQ19" s="14">
        <f ca="1">Analítico!AQ28</f>
        <v>0</v>
      </c>
      <c r="AR19" s="14">
        <f ca="1">Analítico!AR28</f>
        <v>0</v>
      </c>
      <c r="AS19" s="14">
        <f ca="1">Analítico!AS28</f>
        <v>0</v>
      </c>
      <c r="AT19" s="14">
        <f ca="1">Analítico!AT28</f>
        <v>0</v>
      </c>
      <c r="AU19" s="14">
        <f ca="1">Analítico!AU28</f>
        <v>0</v>
      </c>
      <c r="AV19" s="14">
        <f ca="1">Analítico!AV28</f>
        <v>0</v>
      </c>
      <c r="AW19" s="14">
        <f ca="1">Analítico!AW28</f>
        <v>0</v>
      </c>
      <c r="AX19" s="14">
        <f ca="1">Analítico!AX28</f>
        <v>0</v>
      </c>
      <c r="AY19" s="14">
        <f ca="1">Analítico!AY28</f>
        <v>0</v>
      </c>
      <c r="AZ19" s="14">
        <f ca="1">Analítico!AZ28</f>
        <v>0</v>
      </c>
      <c r="BA19" s="14">
        <f ca="1">Analítico!BA28</f>
        <v>0</v>
      </c>
      <c r="BB19" s="14">
        <f ca="1">Analítico!BB28</f>
        <v>0</v>
      </c>
      <c r="BC19" s="14">
        <f ca="1">Analítico!BC28</f>
        <v>0</v>
      </c>
      <c r="BD19" s="14">
        <f ca="1">Analítico!BD28</f>
        <v>0</v>
      </c>
      <c r="BE19" s="14">
        <f ca="1">Analítico!BE28</f>
        <v>0</v>
      </c>
      <c r="BF19" s="14">
        <f ca="1">Analítico!BF28</f>
        <v>0</v>
      </c>
      <c r="BG19" s="14">
        <f ca="1">Analítico!BG28</f>
        <v>0</v>
      </c>
      <c r="BH19" s="14">
        <f ca="1">Analítico!BH28</f>
        <v>0</v>
      </c>
      <c r="BI19" s="14">
        <f ca="1">Analítico!BI28</f>
        <v>0</v>
      </c>
      <c r="BJ19" s="14">
        <f ca="1">Analítico!BJ28</f>
        <v>0</v>
      </c>
      <c r="BK19" s="15">
        <f t="shared" ref="BK19:BK26" ca="1" si="6">SUM(C19:BJ19)</f>
        <v>171065321.66071585</v>
      </c>
      <c r="BL19" s="67">
        <f t="shared" ref="BL19:BL25" ca="1" si="7">IF($BK$28=0,0,BK19/$BK$28)</f>
        <v>0.46659750200664118</v>
      </c>
    </row>
    <row r="20" spans="1:68" ht="15.75" customHeight="1" x14ac:dyDescent="0.2">
      <c r="A20" s="216" t="s">
        <v>83</v>
      </c>
      <c r="B20" s="13" t="s">
        <v>84</v>
      </c>
      <c r="C20" s="14">
        <f ca="1">Analítico!C32</f>
        <v>0</v>
      </c>
      <c r="D20" s="14">
        <f ca="1">Analítico!D32</f>
        <v>0</v>
      </c>
      <c r="E20" s="14">
        <f ca="1">Analítico!E32</f>
        <v>0</v>
      </c>
      <c r="F20" s="14">
        <f ca="1">Analítico!F32</f>
        <v>0</v>
      </c>
      <c r="G20" s="14">
        <f ca="1">Analítico!G32</f>
        <v>0</v>
      </c>
      <c r="H20" s="14">
        <f ca="1">Analítico!H32</f>
        <v>0</v>
      </c>
      <c r="I20" s="14">
        <f ca="1">Analítico!I32</f>
        <v>0</v>
      </c>
      <c r="J20" s="14">
        <f ca="1">Analítico!J32</f>
        <v>0</v>
      </c>
      <c r="K20" s="14">
        <f ca="1">Analítico!K32</f>
        <v>0</v>
      </c>
      <c r="L20" s="14">
        <f ca="1">Analítico!L32</f>
        <v>0</v>
      </c>
      <c r="M20" s="14">
        <f ca="1">Analítico!M32</f>
        <v>0</v>
      </c>
      <c r="N20" s="14">
        <f ca="1">Analítico!N32</f>
        <v>0</v>
      </c>
      <c r="O20" s="14">
        <f ca="1">Analítico!O32</f>
        <v>0</v>
      </c>
      <c r="P20" s="14">
        <f ca="1">Analítico!P32</f>
        <v>0</v>
      </c>
      <c r="Q20" s="14">
        <f ca="1">Analítico!Q32</f>
        <v>0</v>
      </c>
      <c r="R20" s="14">
        <f ca="1">Analítico!R32</f>
        <v>0</v>
      </c>
      <c r="S20" s="14">
        <f ca="1">Analítico!S32</f>
        <v>0</v>
      </c>
      <c r="T20" s="14">
        <f ca="1">Analítico!T32</f>
        <v>0</v>
      </c>
      <c r="U20" s="14">
        <f ca="1">Analítico!U32</f>
        <v>0</v>
      </c>
      <c r="V20" s="14">
        <f ca="1">Analítico!V32</f>
        <v>0</v>
      </c>
      <c r="W20" s="14">
        <f ca="1">Analítico!W32</f>
        <v>0</v>
      </c>
      <c r="X20" s="14">
        <f ca="1">Analítico!X32</f>
        <v>0</v>
      </c>
      <c r="Y20" s="14">
        <f ca="1">Analítico!Y32</f>
        <v>0</v>
      </c>
      <c r="Z20" s="14">
        <f ca="1">Analítico!Z32</f>
        <v>0</v>
      </c>
      <c r="AA20" s="14">
        <f ca="1">Analítico!AA32</f>
        <v>0</v>
      </c>
      <c r="AB20" s="14">
        <f ca="1">Analítico!AB32</f>
        <v>0</v>
      </c>
      <c r="AC20" s="14">
        <f ca="1">Analítico!AC32</f>
        <v>0</v>
      </c>
      <c r="AD20" s="14">
        <f ca="1">Analítico!AD32</f>
        <v>0</v>
      </c>
      <c r="AE20" s="14">
        <f ca="1">Analítico!AE32</f>
        <v>0</v>
      </c>
      <c r="AF20" s="14">
        <f ca="1">Analítico!AF32</f>
        <v>0</v>
      </c>
      <c r="AG20" s="14">
        <f ca="1">Analítico!AG32</f>
        <v>0</v>
      </c>
      <c r="AH20" s="14">
        <f ca="1">Analítico!AH32</f>
        <v>0</v>
      </c>
      <c r="AI20" s="14">
        <f ca="1">Analítico!AI32</f>
        <v>0</v>
      </c>
      <c r="AJ20" s="14">
        <f ca="1">Analítico!AJ32</f>
        <v>0</v>
      </c>
      <c r="AK20" s="14">
        <f ca="1">Analítico!AK32</f>
        <v>0</v>
      </c>
      <c r="AL20" s="14">
        <f ca="1">Analítico!AL32</f>
        <v>0</v>
      </c>
      <c r="AM20" s="14">
        <f ca="1">Analítico!AM32</f>
        <v>0</v>
      </c>
      <c r="AN20" s="14">
        <f ca="1">Analítico!AN32</f>
        <v>0</v>
      </c>
      <c r="AO20" s="14">
        <f ca="1">Analítico!AO32</f>
        <v>0</v>
      </c>
      <c r="AP20" s="14">
        <f ca="1">Analítico!AP32</f>
        <v>0</v>
      </c>
      <c r="AQ20" s="14">
        <f ca="1">Analítico!AQ32</f>
        <v>0</v>
      </c>
      <c r="AR20" s="14">
        <f ca="1">Analítico!AR32</f>
        <v>0</v>
      </c>
      <c r="AS20" s="14">
        <f ca="1">Analítico!AS32</f>
        <v>0</v>
      </c>
      <c r="AT20" s="14">
        <f ca="1">Analítico!AT32</f>
        <v>0</v>
      </c>
      <c r="AU20" s="14">
        <f ca="1">Analítico!AU32</f>
        <v>0</v>
      </c>
      <c r="AV20" s="14">
        <f ca="1">Analítico!AV32</f>
        <v>0</v>
      </c>
      <c r="AW20" s="14">
        <f ca="1">Analítico!AW32</f>
        <v>0</v>
      </c>
      <c r="AX20" s="14">
        <f ca="1">Analítico!AX32</f>
        <v>0</v>
      </c>
      <c r="AY20" s="14">
        <f ca="1">Analítico!AY32</f>
        <v>0</v>
      </c>
      <c r="AZ20" s="14">
        <f ca="1">Analítico!AZ32</f>
        <v>0</v>
      </c>
      <c r="BA20" s="14">
        <f ca="1">Analítico!BA32</f>
        <v>0</v>
      </c>
      <c r="BB20" s="14">
        <f ca="1">Analítico!BB32</f>
        <v>0</v>
      </c>
      <c r="BC20" s="14">
        <f ca="1">Analítico!BC32</f>
        <v>0</v>
      </c>
      <c r="BD20" s="14">
        <f ca="1">Analítico!BD32</f>
        <v>0</v>
      </c>
      <c r="BE20" s="14">
        <f ca="1">Analítico!BE32</f>
        <v>0</v>
      </c>
      <c r="BF20" s="14">
        <f ca="1">Analítico!BF32</f>
        <v>0</v>
      </c>
      <c r="BG20" s="14">
        <f ca="1">Analítico!BG32</f>
        <v>0</v>
      </c>
      <c r="BH20" s="14">
        <f ca="1">Analítico!BH32</f>
        <v>0</v>
      </c>
      <c r="BI20" s="14">
        <f ca="1">Analítico!BI32</f>
        <v>0</v>
      </c>
      <c r="BJ20" s="14">
        <f ca="1">Analítico!BJ32</f>
        <v>0</v>
      </c>
      <c r="BK20" s="15">
        <f t="shared" ca="1" si="6"/>
        <v>0</v>
      </c>
      <c r="BL20" s="67">
        <f t="shared" ca="1" si="7"/>
        <v>0</v>
      </c>
    </row>
    <row r="21" spans="1:68" ht="15.75" customHeight="1" x14ac:dyDescent="0.2">
      <c r="A21" s="216" t="s">
        <v>85</v>
      </c>
      <c r="B21" s="13" t="s">
        <v>86</v>
      </c>
      <c r="C21" s="14">
        <f ca="1">Analítico!C46</f>
        <v>1671321.2117390768</v>
      </c>
      <c r="D21" s="14">
        <f ca="1">Analítico!D46</f>
        <v>1671321.2117390768</v>
      </c>
      <c r="E21" s="14">
        <f ca="1">Analítico!E46</f>
        <v>1671321.2117390768</v>
      </c>
      <c r="F21" s="14">
        <f ca="1">Analítico!F46</f>
        <v>1671321.2117390768</v>
      </c>
      <c r="G21" s="14">
        <f ca="1">Analítico!G46</f>
        <v>1671321.2117390768</v>
      </c>
      <c r="H21" s="14">
        <f ca="1">Analítico!H46</f>
        <v>1671321.2117390768</v>
      </c>
      <c r="I21" s="14">
        <f ca="1">Analítico!I46</f>
        <v>1671321.2117390768</v>
      </c>
      <c r="J21" s="14">
        <f ca="1">Analítico!J46</f>
        <v>1671321.2117390768</v>
      </c>
      <c r="K21" s="14">
        <f ca="1">Analítico!K46</f>
        <v>1671321.2117390768</v>
      </c>
      <c r="L21" s="14">
        <f ca="1">Analítico!L46</f>
        <v>1671321.2117390768</v>
      </c>
      <c r="M21" s="14">
        <f ca="1">Analítico!M46</f>
        <v>1671321.2117390768</v>
      </c>
      <c r="N21" s="14">
        <f ca="1">Analítico!N46</f>
        <v>1671321.2117390768</v>
      </c>
      <c r="O21" s="14">
        <f ca="1">Analítico!O46</f>
        <v>1471354.1266817623</v>
      </c>
      <c r="P21" s="14">
        <f ca="1">Analítico!P46</f>
        <v>1471354.1266817623</v>
      </c>
      <c r="Q21" s="14">
        <f ca="1">Analítico!Q46</f>
        <v>1471354.1266817623</v>
      </c>
      <c r="R21" s="14">
        <f ca="1">Analítico!R46</f>
        <v>1471354.1266817623</v>
      </c>
      <c r="S21" s="14">
        <f ca="1">Analítico!S46</f>
        <v>1471354.1266817623</v>
      </c>
      <c r="T21" s="14">
        <f ca="1">Analítico!T46</f>
        <v>1471354.1266817623</v>
      </c>
      <c r="U21" s="14">
        <f ca="1">Analítico!U46</f>
        <v>1471354.1266817623</v>
      </c>
      <c r="V21" s="14">
        <f ca="1">Analítico!V46</f>
        <v>1471354.1266817623</v>
      </c>
      <c r="W21" s="14">
        <f ca="1">Analítico!W46</f>
        <v>1471354.1266817623</v>
      </c>
      <c r="X21" s="14">
        <f ca="1">Analítico!X46</f>
        <v>1471354.1266817623</v>
      </c>
      <c r="Y21" s="14">
        <f ca="1">Analítico!Y46</f>
        <v>1471354.1266817623</v>
      </c>
      <c r="Z21" s="14">
        <f ca="1">Analítico!Z46</f>
        <v>1471354.1266817623</v>
      </c>
      <c r="AA21" s="14">
        <f ca="1">Analítico!AA46</f>
        <v>1529608.2917490329</v>
      </c>
      <c r="AB21" s="14">
        <f ca="1">Analítico!AB46</f>
        <v>1529608.2917490329</v>
      </c>
      <c r="AC21" s="14">
        <f ca="1">Analítico!AC46</f>
        <v>1529608.2917490329</v>
      </c>
      <c r="AD21" s="14">
        <f ca="1">Analítico!AD46</f>
        <v>1529608.2917490329</v>
      </c>
      <c r="AE21" s="14">
        <f ca="1">Analítico!AE46</f>
        <v>1529608.2917490329</v>
      </c>
      <c r="AF21" s="14">
        <f ca="1">Analítico!AF46</f>
        <v>1529608.2917490329</v>
      </c>
      <c r="AG21" s="14">
        <f ca="1">Analítico!AG46</f>
        <v>1529608.2917490329</v>
      </c>
      <c r="AH21" s="14">
        <f ca="1">Analítico!AH46</f>
        <v>1529608.2917490329</v>
      </c>
      <c r="AI21" s="14">
        <f ca="1">Analítico!AI46</f>
        <v>1529608.2917490329</v>
      </c>
      <c r="AJ21" s="14">
        <f ca="1">Analítico!AJ46</f>
        <v>1529608.2917490329</v>
      </c>
      <c r="AK21" s="14">
        <f ca="1">Analítico!AK46</f>
        <v>1529608.2917490329</v>
      </c>
      <c r="AL21" s="14">
        <f ca="1">Analítico!AL46</f>
        <v>1529608.2917490329</v>
      </c>
      <c r="AM21" s="14">
        <f ca="1">Analítico!AM46</f>
        <v>0</v>
      </c>
      <c r="AN21" s="14">
        <f ca="1">Analítico!AN46</f>
        <v>0</v>
      </c>
      <c r="AO21" s="14">
        <f ca="1">Analítico!AO46</f>
        <v>0</v>
      </c>
      <c r="AP21" s="14">
        <f ca="1">Analítico!AP46</f>
        <v>0</v>
      </c>
      <c r="AQ21" s="14">
        <f ca="1">Analítico!AQ46</f>
        <v>0</v>
      </c>
      <c r="AR21" s="14">
        <f ca="1">Analítico!AR46</f>
        <v>0</v>
      </c>
      <c r="AS21" s="14">
        <f ca="1">Analítico!AS46</f>
        <v>0</v>
      </c>
      <c r="AT21" s="14">
        <f ca="1">Analítico!AT46</f>
        <v>0</v>
      </c>
      <c r="AU21" s="14">
        <f ca="1">Analítico!AU46</f>
        <v>0</v>
      </c>
      <c r="AV21" s="14">
        <f ca="1">Analítico!AV46</f>
        <v>0</v>
      </c>
      <c r="AW21" s="14">
        <f ca="1">Analítico!AW46</f>
        <v>0</v>
      </c>
      <c r="AX21" s="14">
        <f ca="1">Analítico!AX46</f>
        <v>0</v>
      </c>
      <c r="AY21" s="14">
        <f ca="1">Analítico!AY46</f>
        <v>0</v>
      </c>
      <c r="AZ21" s="14">
        <f ca="1">Analítico!AZ46</f>
        <v>0</v>
      </c>
      <c r="BA21" s="14">
        <f ca="1">Analítico!BA46</f>
        <v>0</v>
      </c>
      <c r="BB21" s="14">
        <f ca="1">Analítico!BB46</f>
        <v>0</v>
      </c>
      <c r="BC21" s="14">
        <f ca="1">Analítico!BC46</f>
        <v>0</v>
      </c>
      <c r="BD21" s="14">
        <f ca="1">Analítico!BD46</f>
        <v>0</v>
      </c>
      <c r="BE21" s="14">
        <f ca="1">Analítico!BE46</f>
        <v>0</v>
      </c>
      <c r="BF21" s="14">
        <f ca="1">Analítico!BF46</f>
        <v>0</v>
      </c>
      <c r="BG21" s="14">
        <f ca="1">Analítico!BG46</f>
        <v>0</v>
      </c>
      <c r="BH21" s="14">
        <f ca="1">Analítico!BH46</f>
        <v>0</v>
      </c>
      <c r="BI21" s="14">
        <f ca="1">Analítico!BI46</f>
        <v>0</v>
      </c>
      <c r="BJ21" s="14">
        <f ca="1">Analítico!BJ46</f>
        <v>0</v>
      </c>
      <c r="BK21" s="15">
        <f t="shared" ca="1" si="6"/>
        <v>56067403.562038437</v>
      </c>
      <c r="BL21" s="67">
        <f t="shared" ca="1" si="7"/>
        <v>0.15292936167350096</v>
      </c>
    </row>
    <row r="22" spans="1:68" ht="15.75" customHeight="1" x14ac:dyDescent="0.2">
      <c r="A22" s="216" t="s">
        <v>87</v>
      </c>
      <c r="B22" s="13" t="s">
        <v>88</v>
      </c>
      <c r="C22" s="14">
        <f ca="1">Analítico!C57</f>
        <v>833904.99903957627</v>
      </c>
      <c r="D22" s="14">
        <f ca="1">Analítico!D57</f>
        <v>833904.99903957627</v>
      </c>
      <c r="E22" s="14">
        <f ca="1">Analítico!E57</f>
        <v>833904.99903957627</v>
      </c>
      <c r="F22" s="14">
        <f ca="1">Analítico!F57</f>
        <v>833904.99903957627</v>
      </c>
      <c r="G22" s="14">
        <f ca="1">Analítico!G57</f>
        <v>833904.99903957627</v>
      </c>
      <c r="H22" s="14">
        <f ca="1">Analítico!H57</f>
        <v>833904.99903957627</v>
      </c>
      <c r="I22" s="14">
        <f ca="1">Analítico!I57</f>
        <v>833904.99903957627</v>
      </c>
      <c r="J22" s="14">
        <f ca="1">Analítico!J57</f>
        <v>833904.99903957627</v>
      </c>
      <c r="K22" s="14">
        <f ca="1">Analítico!K57</f>
        <v>833904.99903957627</v>
      </c>
      <c r="L22" s="14">
        <f ca="1">Analítico!L57</f>
        <v>833904.99903957627</v>
      </c>
      <c r="M22" s="14">
        <f ca="1">Analítico!M57</f>
        <v>833904.99903957627</v>
      </c>
      <c r="N22" s="14">
        <f ca="1">Analítico!N57</f>
        <v>833904.99903957627</v>
      </c>
      <c r="O22" s="14">
        <f ca="1">Analítico!O57</f>
        <v>788821.59903957625</v>
      </c>
      <c r="P22" s="14">
        <f ca="1">Analítico!P57</f>
        <v>788821.59903957625</v>
      </c>
      <c r="Q22" s="14">
        <f ca="1">Analítico!Q57</f>
        <v>788821.59903957625</v>
      </c>
      <c r="R22" s="14">
        <f ca="1">Analítico!R57</f>
        <v>788821.59903957625</v>
      </c>
      <c r="S22" s="14">
        <f ca="1">Analítico!S57</f>
        <v>788821.59903957625</v>
      </c>
      <c r="T22" s="14">
        <f ca="1">Analítico!T57</f>
        <v>788821.59903957625</v>
      </c>
      <c r="U22" s="14">
        <f ca="1">Analítico!U57</f>
        <v>788821.59903957625</v>
      </c>
      <c r="V22" s="14">
        <f ca="1">Analítico!V57</f>
        <v>788821.59903957625</v>
      </c>
      <c r="W22" s="14">
        <f ca="1">Analítico!W57</f>
        <v>788821.59903957625</v>
      </c>
      <c r="X22" s="14">
        <f ca="1">Analítico!X57</f>
        <v>788821.59903957625</v>
      </c>
      <c r="Y22" s="14">
        <f ca="1">Analítico!Y57</f>
        <v>788821.59903957625</v>
      </c>
      <c r="Z22" s="14">
        <f ca="1">Analítico!Z57</f>
        <v>788821.59903957625</v>
      </c>
      <c r="AA22" s="14">
        <f ca="1">Analítico!AA57</f>
        <v>788821.59903957625</v>
      </c>
      <c r="AB22" s="14">
        <f ca="1">Analítico!AB57</f>
        <v>788821.59903957625</v>
      </c>
      <c r="AC22" s="14">
        <f ca="1">Analítico!AC57</f>
        <v>788821.59903957625</v>
      </c>
      <c r="AD22" s="14">
        <f ca="1">Analítico!AD57</f>
        <v>788821.59903957625</v>
      </c>
      <c r="AE22" s="14">
        <f ca="1">Analítico!AE57</f>
        <v>788821.59903957625</v>
      </c>
      <c r="AF22" s="14">
        <f ca="1">Analítico!AF57</f>
        <v>788821.59903957625</v>
      </c>
      <c r="AG22" s="14">
        <f ca="1">Analítico!AG57</f>
        <v>788821.59903957625</v>
      </c>
      <c r="AH22" s="14">
        <f ca="1">Analítico!AH57</f>
        <v>788821.59903957625</v>
      </c>
      <c r="AI22" s="14">
        <f ca="1">Analítico!AI57</f>
        <v>788821.59903957625</v>
      </c>
      <c r="AJ22" s="14">
        <f ca="1">Analítico!AJ57</f>
        <v>788821.59903957625</v>
      </c>
      <c r="AK22" s="14">
        <f ca="1">Analítico!AK57</f>
        <v>788821.59903957625</v>
      </c>
      <c r="AL22" s="14">
        <f ca="1">Analítico!AL57</f>
        <v>788821.59903957625</v>
      </c>
      <c r="AM22" s="14">
        <f ca="1">Analítico!AM57</f>
        <v>0</v>
      </c>
      <c r="AN22" s="14">
        <f ca="1">Analítico!AN57</f>
        <v>0</v>
      </c>
      <c r="AO22" s="14">
        <f ca="1">Analítico!AO57</f>
        <v>0</v>
      </c>
      <c r="AP22" s="14">
        <f ca="1">Analítico!AP57</f>
        <v>0</v>
      </c>
      <c r="AQ22" s="14">
        <f ca="1">Analítico!AQ57</f>
        <v>0</v>
      </c>
      <c r="AR22" s="14">
        <f ca="1">Analítico!AR57</f>
        <v>0</v>
      </c>
      <c r="AS22" s="14">
        <f ca="1">Analítico!AS57</f>
        <v>0</v>
      </c>
      <c r="AT22" s="14">
        <f ca="1">Analítico!AT57</f>
        <v>0</v>
      </c>
      <c r="AU22" s="14">
        <f ca="1">Analítico!AU57</f>
        <v>0</v>
      </c>
      <c r="AV22" s="14">
        <f ca="1">Analítico!AV57</f>
        <v>0</v>
      </c>
      <c r="AW22" s="14">
        <f ca="1">Analítico!AW57</f>
        <v>0</v>
      </c>
      <c r="AX22" s="14">
        <f ca="1">Analítico!AX57</f>
        <v>0</v>
      </c>
      <c r="AY22" s="14">
        <f ca="1">Analítico!AY57</f>
        <v>0</v>
      </c>
      <c r="AZ22" s="14">
        <f ca="1">Analítico!AZ57</f>
        <v>0</v>
      </c>
      <c r="BA22" s="14">
        <f ca="1">Analítico!BA57</f>
        <v>0</v>
      </c>
      <c r="BB22" s="14">
        <f ca="1">Analítico!BB57</f>
        <v>0</v>
      </c>
      <c r="BC22" s="14">
        <f ca="1">Analítico!BC57</f>
        <v>0</v>
      </c>
      <c r="BD22" s="14">
        <f ca="1">Analítico!BD57</f>
        <v>0</v>
      </c>
      <c r="BE22" s="14">
        <f ca="1">Analítico!BE57</f>
        <v>0</v>
      </c>
      <c r="BF22" s="14">
        <f ca="1">Analítico!BF57</f>
        <v>0</v>
      </c>
      <c r="BG22" s="14">
        <f ca="1">Analítico!BG57</f>
        <v>0</v>
      </c>
      <c r="BH22" s="14">
        <f ca="1">Analítico!BH57</f>
        <v>0</v>
      </c>
      <c r="BI22" s="14">
        <f ca="1">Analítico!BI57</f>
        <v>0</v>
      </c>
      <c r="BJ22" s="14">
        <f ca="1">Analítico!BJ57</f>
        <v>0</v>
      </c>
      <c r="BK22" s="15">
        <f t="shared" ca="1" si="6"/>
        <v>28938578.36542476</v>
      </c>
      <c r="BL22" s="67">
        <f t="shared" ca="1" si="7"/>
        <v>7.8932820783579258E-2</v>
      </c>
    </row>
    <row r="23" spans="1:68" ht="21" customHeight="1" x14ac:dyDescent="0.2">
      <c r="A23" s="382" t="s">
        <v>89</v>
      </c>
      <c r="B23" s="382"/>
      <c r="C23" s="16">
        <f ca="1">SUBTOTAL(109,C19:C22)</f>
        <v>7112547.5518153748</v>
      </c>
      <c r="D23" s="16">
        <f t="shared" ref="D23:L23" ca="1" si="8">SUBTOTAL(109,D19:D22)</f>
        <v>7112547.5518153748</v>
      </c>
      <c r="E23" s="16">
        <f t="shared" ca="1" si="8"/>
        <v>7112547.5518153748</v>
      </c>
      <c r="F23" s="16">
        <f t="shared" ca="1" si="8"/>
        <v>7112547.5518153748</v>
      </c>
      <c r="G23" s="16">
        <f t="shared" ca="1" si="8"/>
        <v>7112547.5518153748</v>
      </c>
      <c r="H23" s="16">
        <f t="shared" ca="1" si="8"/>
        <v>7112547.5518153748</v>
      </c>
      <c r="I23" s="16">
        <f t="shared" ca="1" si="8"/>
        <v>7112547.5518153748</v>
      </c>
      <c r="J23" s="16">
        <f t="shared" ca="1" si="8"/>
        <v>7112547.5518153748</v>
      </c>
      <c r="K23" s="16">
        <f t="shared" ca="1" si="8"/>
        <v>7112547.5518153748</v>
      </c>
      <c r="L23" s="16">
        <f t="shared" ca="1" si="8"/>
        <v>7112547.5518153748</v>
      </c>
      <c r="M23" s="16">
        <f t="shared" ref="M23:Y23" ca="1" si="9">SUBTOTAL(109,M19:M22)</f>
        <v>7112547.5518153748</v>
      </c>
      <c r="N23" s="16">
        <f t="shared" ca="1" si="9"/>
        <v>7112547.5518153748</v>
      </c>
      <c r="O23" s="16">
        <f t="shared" ca="1" si="9"/>
        <v>6989647.3584123151</v>
      </c>
      <c r="P23" s="16">
        <f t="shared" ca="1" si="9"/>
        <v>6989647.3584123151</v>
      </c>
      <c r="Q23" s="16">
        <f t="shared" ca="1" si="9"/>
        <v>6989647.3584123151</v>
      </c>
      <c r="R23" s="16">
        <f t="shared" ca="1" si="9"/>
        <v>6989647.3584123151</v>
      </c>
      <c r="S23" s="16">
        <f t="shared" ca="1" si="9"/>
        <v>6989647.3584123151</v>
      </c>
      <c r="T23" s="16">
        <f t="shared" ca="1" si="9"/>
        <v>6989647.3584123151</v>
      </c>
      <c r="U23" s="16">
        <f t="shared" ca="1" si="9"/>
        <v>6989647.3584123151</v>
      </c>
      <c r="V23" s="16">
        <f t="shared" ca="1" si="9"/>
        <v>6989647.3584123151</v>
      </c>
      <c r="W23" s="16">
        <f t="shared" ca="1" si="9"/>
        <v>6989647.3584123151</v>
      </c>
      <c r="X23" s="16">
        <f t="shared" ca="1" si="9"/>
        <v>6989647.3584123151</v>
      </c>
      <c r="Y23" s="16">
        <f t="shared" ca="1" si="9"/>
        <v>6989647.3584123151</v>
      </c>
      <c r="Z23" s="16">
        <f t="shared" ref="Z23:AJ23" ca="1" si="10">SUBTOTAL(109,Z19:Z22)</f>
        <v>6989647.3584123151</v>
      </c>
      <c r="AA23" s="16">
        <f t="shared" ca="1" si="10"/>
        <v>7237080.3887872249</v>
      </c>
      <c r="AB23" s="16">
        <f t="shared" ca="1" si="10"/>
        <v>7237080.3887872249</v>
      </c>
      <c r="AC23" s="16">
        <f t="shared" ca="1" si="10"/>
        <v>7237080.3887872249</v>
      </c>
      <c r="AD23" s="16">
        <f t="shared" ca="1" si="10"/>
        <v>7237080.3887872249</v>
      </c>
      <c r="AE23" s="16">
        <f t="shared" ca="1" si="10"/>
        <v>7237080.3887872249</v>
      </c>
      <c r="AF23" s="16">
        <f t="shared" ca="1" si="10"/>
        <v>7237080.3887872249</v>
      </c>
      <c r="AG23" s="16">
        <f t="shared" ca="1" si="10"/>
        <v>7237080.3887872249</v>
      </c>
      <c r="AH23" s="16">
        <f t="shared" ca="1" si="10"/>
        <v>7237080.3887872249</v>
      </c>
      <c r="AI23" s="16">
        <f t="shared" ca="1" si="10"/>
        <v>7237080.3887872249</v>
      </c>
      <c r="AJ23" s="16">
        <f t="shared" ca="1" si="10"/>
        <v>7237080.3887872249</v>
      </c>
      <c r="AK23" s="16">
        <f t="shared" ref="AK23:BJ23" ca="1" si="11">SUBTOTAL(109,AK19:AK22)</f>
        <v>7237080.3887872249</v>
      </c>
      <c r="AL23" s="16">
        <f t="shared" ca="1" si="11"/>
        <v>7237080.3887872249</v>
      </c>
      <c r="AM23" s="16">
        <f t="shared" ca="1" si="11"/>
        <v>0</v>
      </c>
      <c r="AN23" s="16">
        <f t="shared" ca="1" si="11"/>
        <v>0</v>
      </c>
      <c r="AO23" s="16">
        <f t="shared" ca="1" si="11"/>
        <v>0</v>
      </c>
      <c r="AP23" s="16">
        <f t="shared" ca="1" si="11"/>
        <v>0</v>
      </c>
      <c r="AQ23" s="16">
        <f t="shared" ca="1" si="11"/>
        <v>0</v>
      </c>
      <c r="AR23" s="16">
        <f t="shared" ca="1" si="11"/>
        <v>0</v>
      </c>
      <c r="AS23" s="16">
        <f t="shared" ca="1" si="11"/>
        <v>0</v>
      </c>
      <c r="AT23" s="16">
        <f t="shared" ca="1" si="11"/>
        <v>0</v>
      </c>
      <c r="AU23" s="16">
        <f t="shared" ca="1" si="11"/>
        <v>0</v>
      </c>
      <c r="AV23" s="16">
        <f t="shared" ca="1" si="11"/>
        <v>0</v>
      </c>
      <c r="AW23" s="16">
        <f t="shared" ca="1" si="11"/>
        <v>0</v>
      </c>
      <c r="AX23" s="16">
        <f t="shared" ca="1" si="11"/>
        <v>0</v>
      </c>
      <c r="AY23" s="16">
        <f t="shared" ca="1" si="11"/>
        <v>0</v>
      </c>
      <c r="AZ23" s="16">
        <f t="shared" ca="1" si="11"/>
        <v>0</v>
      </c>
      <c r="BA23" s="16">
        <f t="shared" ca="1" si="11"/>
        <v>0</v>
      </c>
      <c r="BB23" s="16">
        <f t="shared" ca="1" si="11"/>
        <v>0</v>
      </c>
      <c r="BC23" s="16">
        <f t="shared" ca="1" si="11"/>
        <v>0</v>
      </c>
      <c r="BD23" s="16">
        <f t="shared" ca="1" si="11"/>
        <v>0</v>
      </c>
      <c r="BE23" s="16">
        <f t="shared" ca="1" si="11"/>
        <v>0</v>
      </c>
      <c r="BF23" s="16">
        <f t="shared" ca="1" si="11"/>
        <v>0</v>
      </c>
      <c r="BG23" s="16">
        <f t="shared" ca="1" si="11"/>
        <v>0</v>
      </c>
      <c r="BH23" s="16">
        <f t="shared" ca="1" si="11"/>
        <v>0</v>
      </c>
      <c r="BI23" s="16">
        <f t="shared" ca="1" si="11"/>
        <v>0</v>
      </c>
      <c r="BJ23" s="16">
        <f t="shared" ca="1" si="11"/>
        <v>0</v>
      </c>
      <c r="BK23" s="16">
        <f t="shared" ca="1" si="6"/>
        <v>256071303.58817881</v>
      </c>
      <c r="BL23" s="65">
        <f t="shared" ca="1" si="7"/>
        <v>0.69845968446372075</v>
      </c>
    </row>
    <row r="24" spans="1:68" ht="21" customHeight="1" x14ac:dyDescent="0.2">
      <c r="A24" s="215" t="s">
        <v>90</v>
      </c>
      <c r="B24" s="13" t="s">
        <v>91</v>
      </c>
      <c r="C24" s="14">
        <f>Analítico!C136</f>
        <v>3873905</v>
      </c>
      <c r="D24" s="14">
        <f>Analítico!D136</f>
        <v>2468905</v>
      </c>
      <c r="E24" s="14">
        <f>Analítico!E136</f>
        <v>2668905</v>
      </c>
      <c r="F24" s="14">
        <f>Analítico!F136</f>
        <v>2878905</v>
      </c>
      <c r="G24" s="14">
        <f>Analítico!G136</f>
        <v>3468905</v>
      </c>
      <c r="H24" s="14">
        <f>Analítico!H136</f>
        <v>3188905</v>
      </c>
      <c r="I24" s="14">
        <f>Analítico!I136</f>
        <v>2468905</v>
      </c>
      <c r="J24" s="14">
        <f>Analítico!J136</f>
        <v>2468905</v>
      </c>
      <c r="K24" s="14">
        <f>Analítico!K136</f>
        <v>2468905</v>
      </c>
      <c r="L24" s="14">
        <f>Analítico!L136</f>
        <v>2468905</v>
      </c>
      <c r="M24" s="14">
        <f>Analítico!M136</f>
        <v>2468905</v>
      </c>
      <c r="N24" s="14">
        <f>Analítico!N136</f>
        <v>2533905</v>
      </c>
      <c r="O24" s="14">
        <f>Analítico!O136</f>
        <v>4427405</v>
      </c>
      <c r="P24" s="14">
        <f>Analítico!P136</f>
        <v>3296405</v>
      </c>
      <c r="Q24" s="14">
        <f>Analítico!Q136</f>
        <v>5796405</v>
      </c>
      <c r="R24" s="14">
        <f>Analítico!R136</f>
        <v>3346405</v>
      </c>
      <c r="S24" s="14">
        <f>Analítico!S136</f>
        <v>2596405</v>
      </c>
      <c r="T24" s="14">
        <f>Analítico!T136</f>
        <v>2896405</v>
      </c>
      <c r="U24" s="14">
        <f>Analítico!U136</f>
        <v>2596405</v>
      </c>
      <c r="V24" s="14">
        <f>Analítico!V136</f>
        <v>2596405</v>
      </c>
      <c r="W24" s="14">
        <f>Analítico!W136</f>
        <v>2596405</v>
      </c>
      <c r="X24" s="14">
        <f>Analítico!X136</f>
        <v>2596405</v>
      </c>
      <c r="Y24" s="14">
        <f>Analítico!Y136</f>
        <v>2596405</v>
      </c>
      <c r="Z24" s="14">
        <f>Analítico!Z136</f>
        <v>2676405</v>
      </c>
      <c r="AA24" s="14">
        <f>Analítico!AA136</f>
        <v>4794905</v>
      </c>
      <c r="AB24" s="14">
        <f>Analítico!AB136</f>
        <v>2680905</v>
      </c>
      <c r="AC24" s="14">
        <f>Analítico!AC136</f>
        <v>2680905</v>
      </c>
      <c r="AD24" s="14">
        <f>Analítico!AD136</f>
        <v>3080905</v>
      </c>
      <c r="AE24" s="14">
        <f>Analítico!AE136</f>
        <v>2680905</v>
      </c>
      <c r="AF24" s="14">
        <f>Analítico!AF136</f>
        <v>3030905</v>
      </c>
      <c r="AG24" s="14">
        <f>Analítico!AG136</f>
        <v>2680905</v>
      </c>
      <c r="AH24" s="14">
        <f>Analítico!AH136</f>
        <v>2680905</v>
      </c>
      <c r="AI24" s="14">
        <f>Analítico!AI136</f>
        <v>2680905</v>
      </c>
      <c r="AJ24" s="14">
        <f>Analítico!AJ136</f>
        <v>2680905</v>
      </c>
      <c r="AK24" s="14">
        <f>Analítico!AK136</f>
        <v>2680905</v>
      </c>
      <c r="AL24" s="14">
        <f>Analítico!AL136</f>
        <v>2765905</v>
      </c>
      <c r="AM24" s="14">
        <f>Analítico!AM136</f>
        <v>0</v>
      </c>
      <c r="AN24" s="14">
        <f>Analítico!AN136</f>
        <v>0</v>
      </c>
      <c r="AO24" s="14">
        <f>Analítico!AO136</f>
        <v>0</v>
      </c>
      <c r="AP24" s="14">
        <f>Analítico!AP136</f>
        <v>0</v>
      </c>
      <c r="AQ24" s="14">
        <f>Analítico!AQ136</f>
        <v>0</v>
      </c>
      <c r="AR24" s="14">
        <f>Analítico!AR136</f>
        <v>0</v>
      </c>
      <c r="AS24" s="14">
        <f>Analítico!AS136</f>
        <v>0</v>
      </c>
      <c r="AT24" s="14">
        <f>Analítico!AT136</f>
        <v>0</v>
      </c>
      <c r="AU24" s="14">
        <f>Analítico!AU136</f>
        <v>0</v>
      </c>
      <c r="AV24" s="14">
        <f>Analítico!AV136</f>
        <v>0</v>
      </c>
      <c r="AW24" s="14">
        <f>Analítico!AW136</f>
        <v>0</v>
      </c>
      <c r="AX24" s="14">
        <f>Analítico!AX136</f>
        <v>0</v>
      </c>
      <c r="AY24" s="14">
        <f>Analítico!AY136</f>
        <v>0</v>
      </c>
      <c r="AZ24" s="14">
        <f>Analítico!AZ136</f>
        <v>0</v>
      </c>
      <c r="BA24" s="14">
        <f>Analítico!BA136</f>
        <v>0</v>
      </c>
      <c r="BB24" s="14">
        <f>Analítico!BB136</f>
        <v>0</v>
      </c>
      <c r="BC24" s="14">
        <f>Analítico!BC136</f>
        <v>0</v>
      </c>
      <c r="BD24" s="14">
        <f>Analítico!BD136</f>
        <v>0</v>
      </c>
      <c r="BE24" s="14">
        <f>Analítico!BE136</f>
        <v>0</v>
      </c>
      <c r="BF24" s="14">
        <f>Analítico!BF136</f>
        <v>0</v>
      </c>
      <c r="BG24" s="14">
        <f>Analítico!BG136</f>
        <v>0</v>
      </c>
      <c r="BH24" s="14">
        <f>Analítico!BH136</f>
        <v>0</v>
      </c>
      <c r="BI24" s="14">
        <f>Analítico!BI136</f>
        <v>0</v>
      </c>
      <c r="BJ24" s="14">
        <f>Analítico!BJ136</f>
        <v>0</v>
      </c>
      <c r="BK24" s="15">
        <f t="shared" si="6"/>
        <v>106564580</v>
      </c>
      <c r="BL24" s="67">
        <f t="shared" ca="1" si="7"/>
        <v>0.29066538061410852</v>
      </c>
    </row>
    <row r="25" spans="1:68" ht="21" customHeight="1" x14ac:dyDescent="0.2">
      <c r="A25" s="286" t="s">
        <v>92</v>
      </c>
      <c r="B25" s="287" t="s">
        <v>93</v>
      </c>
      <c r="C25" s="288">
        <f>Analítico!C152</f>
        <v>0</v>
      </c>
      <c r="D25" s="288">
        <f>Analítico!D152</f>
        <v>0</v>
      </c>
      <c r="E25" s="288">
        <f>Analítico!E152</f>
        <v>0</v>
      </c>
      <c r="F25" s="288">
        <f>Analítico!F152</f>
        <v>0</v>
      </c>
      <c r="G25" s="288">
        <f>Analítico!G152</f>
        <v>0</v>
      </c>
      <c r="H25" s="288">
        <f>Analítico!H152</f>
        <v>0</v>
      </c>
      <c r="I25" s="288">
        <f>Analítico!I152</f>
        <v>0</v>
      </c>
      <c r="J25" s="288">
        <f>Analítico!J152</f>
        <v>0</v>
      </c>
      <c r="K25" s="288">
        <f>Analítico!K152</f>
        <v>0</v>
      </c>
      <c r="L25" s="288">
        <f>Analítico!L152</f>
        <v>0</v>
      </c>
      <c r="M25" s="288">
        <f>Analítico!M152</f>
        <v>0</v>
      </c>
      <c r="N25" s="288">
        <f>Analítico!N152</f>
        <v>0</v>
      </c>
      <c r="O25" s="288">
        <f>Analítico!O152</f>
        <v>1500000</v>
      </c>
      <c r="P25" s="288">
        <f>Analítico!P152</f>
        <v>0</v>
      </c>
      <c r="Q25" s="288">
        <f>Analítico!Q152</f>
        <v>1680000</v>
      </c>
      <c r="R25" s="288">
        <f>Analítico!R152</f>
        <v>0</v>
      </c>
      <c r="S25" s="288">
        <f>Analítico!S152</f>
        <v>0</v>
      </c>
      <c r="T25" s="288">
        <f>Analítico!T152</f>
        <v>0</v>
      </c>
      <c r="U25" s="288">
        <f>Analítico!U152</f>
        <v>0</v>
      </c>
      <c r="V25" s="288">
        <f>Analítico!V152</f>
        <v>0</v>
      </c>
      <c r="W25" s="288">
        <f>Analítico!W152</f>
        <v>0</v>
      </c>
      <c r="X25" s="288">
        <f>Analítico!X152</f>
        <v>0</v>
      </c>
      <c r="Y25" s="288">
        <f>Analítico!Y152</f>
        <v>0</v>
      </c>
      <c r="Z25" s="288">
        <f>Analítico!Z152</f>
        <v>0</v>
      </c>
      <c r="AA25" s="288">
        <f>Analítico!AA152</f>
        <v>0</v>
      </c>
      <c r="AB25" s="288">
        <f>Analítico!AB152</f>
        <v>0</v>
      </c>
      <c r="AC25" s="288">
        <f>Analítico!AC152</f>
        <v>0</v>
      </c>
      <c r="AD25" s="288">
        <f>Analítico!AD152</f>
        <v>0</v>
      </c>
      <c r="AE25" s="288">
        <f>Analítico!AE152</f>
        <v>0</v>
      </c>
      <c r="AF25" s="288">
        <f>Analítico!AF152</f>
        <v>0</v>
      </c>
      <c r="AG25" s="288">
        <f>Analítico!AG152</f>
        <v>0</v>
      </c>
      <c r="AH25" s="288">
        <f>Analítico!AH152</f>
        <v>0</v>
      </c>
      <c r="AI25" s="288">
        <f>Analítico!AI152</f>
        <v>0</v>
      </c>
      <c r="AJ25" s="288">
        <f>Analítico!AJ152</f>
        <v>0</v>
      </c>
      <c r="AK25" s="288">
        <f>Analítico!AK152</f>
        <v>0</v>
      </c>
      <c r="AL25" s="288">
        <f>Analítico!AL152</f>
        <v>0</v>
      </c>
      <c r="AM25" s="288">
        <f>Analítico!AM152</f>
        <v>0</v>
      </c>
      <c r="AN25" s="288">
        <f>Analítico!AN152</f>
        <v>0</v>
      </c>
      <c r="AO25" s="288">
        <f>Analítico!AO152</f>
        <v>0</v>
      </c>
      <c r="AP25" s="288">
        <f>Analítico!AP152</f>
        <v>0</v>
      </c>
      <c r="AQ25" s="288">
        <f>Analítico!AQ152</f>
        <v>0</v>
      </c>
      <c r="AR25" s="288">
        <f>Analítico!AR152</f>
        <v>0</v>
      </c>
      <c r="AS25" s="288">
        <f>Analítico!AS152</f>
        <v>0</v>
      </c>
      <c r="AT25" s="288">
        <f>Analítico!AT152</f>
        <v>0</v>
      </c>
      <c r="AU25" s="288">
        <f>Analítico!AU152</f>
        <v>0</v>
      </c>
      <c r="AV25" s="288">
        <f>Analítico!AV152</f>
        <v>0</v>
      </c>
      <c r="AW25" s="288">
        <f>Analítico!AW152</f>
        <v>0</v>
      </c>
      <c r="AX25" s="288">
        <f>Analítico!AX152</f>
        <v>0</v>
      </c>
      <c r="AY25" s="288">
        <f>Analítico!AY152</f>
        <v>0</v>
      </c>
      <c r="AZ25" s="288">
        <f>Analítico!AZ152</f>
        <v>0</v>
      </c>
      <c r="BA25" s="288">
        <f>Analítico!BA152</f>
        <v>0</v>
      </c>
      <c r="BB25" s="288">
        <f>Analítico!BB152</f>
        <v>0</v>
      </c>
      <c r="BC25" s="288">
        <f>Analítico!BC152</f>
        <v>0</v>
      </c>
      <c r="BD25" s="288">
        <f>Analítico!BD152</f>
        <v>0</v>
      </c>
      <c r="BE25" s="288">
        <f>Analítico!BE152</f>
        <v>0</v>
      </c>
      <c r="BF25" s="288">
        <f>Analítico!BF152</f>
        <v>0</v>
      </c>
      <c r="BG25" s="288">
        <f>Analítico!BG152</f>
        <v>0</v>
      </c>
      <c r="BH25" s="288">
        <f>Analítico!BH152</f>
        <v>0</v>
      </c>
      <c r="BI25" s="288">
        <f>Analítico!BI152</f>
        <v>0</v>
      </c>
      <c r="BJ25" s="288">
        <f>Analítico!BJ152</f>
        <v>0</v>
      </c>
      <c r="BK25" s="16">
        <f t="shared" si="6"/>
        <v>3180000</v>
      </c>
      <c r="BL25" s="289">
        <f t="shared" ca="1" si="7"/>
        <v>8.673762992852458E-3</v>
      </c>
      <c r="BP25" s="101"/>
    </row>
    <row r="26" spans="1:68" ht="21" customHeight="1" x14ac:dyDescent="0.2">
      <c r="A26" s="217" t="s">
        <v>94</v>
      </c>
      <c r="B26" s="160" t="s">
        <v>95</v>
      </c>
      <c r="C26" s="161">
        <f>Analítico!C153</f>
        <v>0</v>
      </c>
      <c r="D26" s="161">
        <f>Analítico!D153</f>
        <v>0</v>
      </c>
      <c r="E26" s="161">
        <f>Analítico!E153</f>
        <v>0</v>
      </c>
      <c r="F26" s="161">
        <f>Analítico!F153</f>
        <v>0</v>
      </c>
      <c r="G26" s="161">
        <f>Analítico!G153</f>
        <v>0</v>
      </c>
      <c r="H26" s="161">
        <f>Analítico!H153</f>
        <v>0</v>
      </c>
      <c r="I26" s="161">
        <f>Analítico!I153</f>
        <v>0</v>
      </c>
      <c r="J26" s="161">
        <f>Analítico!J153</f>
        <v>0</v>
      </c>
      <c r="K26" s="161">
        <f>Analítico!K153</f>
        <v>0</v>
      </c>
      <c r="L26" s="161">
        <f>Analítico!L153</f>
        <v>0</v>
      </c>
      <c r="M26" s="161">
        <f>Analítico!M153</f>
        <v>0</v>
      </c>
      <c r="N26" s="161">
        <f>Analítico!N153</f>
        <v>0</v>
      </c>
      <c r="O26" s="161">
        <f>Analítico!O153</f>
        <v>0</v>
      </c>
      <c r="P26" s="161">
        <f>Analítico!P153</f>
        <v>0</v>
      </c>
      <c r="Q26" s="161">
        <f>Analítico!Q153</f>
        <v>0</v>
      </c>
      <c r="R26" s="161">
        <f>Analítico!R153</f>
        <v>0</v>
      </c>
      <c r="S26" s="161">
        <f>Analítico!S153</f>
        <v>0</v>
      </c>
      <c r="T26" s="161">
        <f>Analítico!T153</f>
        <v>0</v>
      </c>
      <c r="U26" s="161">
        <f>Analítico!U153</f>
        <v>0</v>
      </c>
      <c r="V26" s="161">
        <f>Analítico!V153</f>
        <v>0</v>
      </c>
      <c r="W26" s="161">
        <f>Analítico!W153</f>
        <v>0</v>
      </c>
      <c r="X26" s="161">
        <f>Analítico!X153</f>
        <v>0</v>
      </c>
      <c r="Y26" s="161">
        <f>Analítico!Y153</f>
        <v>0</v>
      </c>
      <c r="Z26" s="161">
        <f>Analítico!Z153</f>
        <v>0</v>
      </c>
      <c r="AA26" s="161">
        <f>Analítico!AA153</f>
        <v>0</v>
      </c>
      <c r="AB26" s="161">
        <f>Analítico!AB153</f>
        <v>0</v>
      </c>
      <c r="AC26" s="161">
        <f>Analítico!AC153</f>
        <v>0</v>
      </c>
      <c r="AD26" s="161">
        <f>Analítico!AD153</f>
        <v>0</v>
      </c>
      <c r="AE26" s="161">
        <f>Analítico!AE153</f>
        <v>0</v>
      </c>
      <c r="AF26" s="161">
        <f>Analítico!AF153</f>
        <v>0</v>
      </c>
      <c r="AG26" s="161">
        <f>Analítico!AG153</f>
        <v>0</v>
      </c>
      <c r="AH26" s="161">
        <f>Analítico!AH153</f>
        <v>0</v>
      </c>
      <c r="AI26" s="161">
        <f>Analítico!AI153</f>
        <v>0</v>
      </c>
      <c r="AJ26" s="161">
        <f>Analítico!AJ153</f>
        <v>0</v>
      </c>
      <c r="AK26" s="161">
        <f>Analítico!AK153</f>
        <v>0</v>
      </c>
      <c r="AL26" s="161">
        <f>Analítico!AL153</f>
        <v>0</v>
      </c>
      <c r="AM26" s="161">
        <f>Analítico!AM153</f>
        <v>0</v>
      </c>
      <c r="AN26" s="161">
        <f>Analítico!AN153</f>
        <v>0</v>
      </c>
      <c r="AO26" s="161">
        <f>Analítico!AO153</f>
        <v>0</v>
      </c>
      <c r="AP26" s="161">
        <f>Analítico!AP153</f>
        <v>0</v>
      </c>
      <c r="AQ26" s="161">
        <f>Analítico!AQ153</f>
        <v>0</v>
      </c>
      <c r="AR26" s="161">
        <f>Analítico!AR153</f>
        <v>0</v>
      </c>
      <c r="AS26" s="161">
        <f>Analítico!AS153</f>
        <v>0</v>
      </c>
      <c r="AT26" s="161">
        <f>Analítico!AT153</f>
        <v>0</v>
      </c>
      <c r="AU26" s="161">
        <f>Analítico!AU153</f>
        <v>0</v>
      </c>
      <c r="AV26" s="161">
        <f>Analítico!AV153</f>
        <v>0</v>
      </c>
      <c r="AW26" s="161">
        <f>Analítico!AW153</f>
        <v>0</v>
      </c>
      <c r="AX26" s="161">
        <f>Analítico!AX153</f>
        <v>0</v>
      </c>
      <c r="AY26" s="161">
        <f>Analítico!AY153</f>
        <v>0</v>
      </c>
      <c r="AZ26" s="161">
        <f>Analítico!AZ153</f>
        <v>0</v>
      </c>
      <c r="BA26" s="161">
        <f>Analítico!BA153</f>
        <v>0</v>
      </c>
      <c r="BB26" s="161">
        <f>Analítico!BB153</f>
        <v>0</v>
      </c>
      <c r="BC26" s="161">
        <f>Analítico!BC153</f>
        <v>0</v>
      </c>
      <c r="BD26" s="161">
        <f>Analítico!BD153</f>
        <v>0</v>
      </c>
      <c r="BE26" s="161">
        <f>Analítico!BE153</f>
        <v>0</v>
      </c>
      <c r="BF26" s="161">
        <f>Analítico!BF153</f>
        <v>0</v>
      </c>
      <c r="BG26" s="161">
        <f>Analítico!BG153</f>
        <v>0</v>
      </c>
      <c r="BH26" s="161">
        <f>Analítico!BH153</f>
        <v>0</v>
      </c>
      <c r="BI26" s="161">
        <f>Analítico!BI153</f>
        <v>0</v>
      </c>
      <c r="BJ26" s="161">
        <f>Analítico!BJ153</f>
        <v>0</v>
      </c>
      <c r="BK26" s="162">
        <f t="shared" si="6"/>
        <v>0</v>
      </c>
      <c r="BL26" s="163">
        <f t="shared" ref="BL26" ca="1" si="12">IF($BK$28=0,0,BK26/$BK$28)</f>
        <v>0</v>
      </c>
      <c r="BP26" s="101"/>
    </row>
    <row r="27" spans="1:68" ht="21" customHeight="1" thickBot="1" x14ac:dyDescent="0.25">
      <c r="A27" s="218" t="s">
        <v>96</v>
      </c>
      <c r="B27" s="106" t="s">
        <v>97</v>
      </c>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62">
        <f>Desmobilização!H204</f>
        <v>807000</v>
      </c>
      <c r="BL27" s="108">
        <f t="shared" ref="BL27" ca="1" si="13">IF($BK$28=0,0,BK27/$BK$28)</f>
        <v>2.2011719293182179E-3</v>
      </c>
      <c r="BP27" s="101"/>
    </row>
    <row r="28" spans="1:68" ht="21" customHeight="1" thickBot="1" x14ac:dyDescent="0.25">
      <c r="A28" s="281" t="s">
        <v>98</v>
      </c>
      <c r="B28" s="235"/>
      <c r="C28" s="279">
        <f ca="1">SUBTOTAL(109,C19:C27)</f>
        <v>10986452.551815376</v>
      </c>
      <c r="D28" s="279">
        <f t="shared" ref="D28:L28" ca="1" si="14">SUBTOTAL(109,D19:D27)</f>
        <v>9581452.5518153757</v>
      </c>
      <c r="E28" s="279">
        <f t="shared" ca="1" si="14"/>
        <v>9781452.5518153757</v>
      </c>
      <c r="F28" s="279">
        <f t="shared" ca="1" si="14"/>
        <v>9991452.5518153757</v>
      </c>
      <c r="G28" s="279">
        <f t="shared" ca="1" si="14"/>
        <v>10581452.551815376</v>
      </c>
      <c r="H28" s="279">
        <f t="shared" ca="1" si="14"/>
        <v>10301452.551815376</v>
      </c>
      <c r="I28" s="279">
        <f t="shared" ca="1" si="14"/>
        <v>9581452.5518153757</v>
      </c>
      <c r="J28" s="279">
        <f t="shared" ca="1" si="14"/>
        <v>9581452.5518153757</v>
      </c>
      <c r="K28" s="279">
        <f t="shared" ca="1" si="14"/>
        <v>9581452.5518153757</v>
      </c>
      <c r="L28" s="279">
        <f t="shared" ca="1" si="14"/>
        <v>9581452.5518153757</v>
      </c>
      <c r="M28" s="279">
        <f t="shared" ref="M28:Y28" ca="1" si="15">SUBTOTAL(109,M19:M27)</f>
        <v>9581452.5518153757</v>
      </c>
      <c r="N28" s="279">
        <f t="shared" ca="1" si="15"/>
        <v>9646452.5518153757</v>
      </c>
      <c r="O28" s="279">
        <f t="shared" ca="1" si="15"/>
        <v>12917052.358412314</v>
      </c>
      <c r="P28" s="279">
        <f t="shared" ca="1" si="15"/>
        <v>10286052.358412314</v>
      </c>
      <c r="Q28" s="279">
        <f t="shared" ca="1" si="15"/>
        <v>14466052.358412314</v>
      </c>
      <c r="R28" s="279">
        <f t="shared" ca="1" si="15"/>
        <v>10336052.358412314</v>
      </c>
      <c r="S28" s="279">
        <f t="shared" ca="1" si="15"/>
        <v>9586052.3584123142</v>
      </c>
      <c r="T28" s="279">
        <f t="shared" ca="1" si="15"/>
        <v>9886052.3584123142</v>
      </c>
      <c r="U28" s="279">
        <f t="shared" ca="1" si="15"/>
        <v>9586052.3584123142</v>
      </c>
      <c r="V28" s="279">
        <f t="shared" ca="1" si="15"/>
        <v>9586052.3584123142</v>
      </c>
      <c r="W28" s="279">
        <f t="shared" ca="1" si="15"/>
        <v>9586052.3584123142</v>
      </c>
      <c r="X28" s="279">
        <f t="shared" ca="1" si="15"/>
        <v>9586052.3584123142</v>
      </c>
      <c r="Y28" s="279">
        <f t="shared" ca="1" si="15"/>
        <v>9586052.3584123142</v>
      </c>
      <c r="Z28" s="279">
        <f t="shared" ref="Z28:AJ28" ca="1" si="16">SUBTOTAL(109,Z19:Z27)</f>
        <v>9666052.3584123142</v>
      </c>
      <c r="AA28" s="279">
        <f t="shared" ca="1" si="16"/>
        <v>12031985.388787225</v>
      </c>
      <c r="AB28" s="279">
        <f t="shared" ca="1" si="16"/>
        <v>9917985.3887872249</v>
      </c>
      <c r="AC28" s="279">
        <f t="shared" ca="1" si="16"/>
        <v>9917985.3887872249</v>
      </c>
      <c r="AD28" s="279">
        <f t="shared" ca="1" si="16"/>
        <v>10317985.388787225</v>
      </c>
      <c r="AE28" s="279">
        <f t="shared" ca="1" si="16"/>
        <v>9917985.3887872249</v>
      </c>
      <c r="AF28" s="279">
        <f t="shared" ca="1" si="16"/>
        <v>10267985.388787225</v>
      </c>
      <c r="AG28" s="279">
        <f t="shared" ca="1" si="16"/>
        <v>9917985.3887872249</v>
      </c>
      <c r="AH28" s="279">
        <f t="shared" ca="1" si="16"/>
        <v>9917985.3887872249</v>
      </c>
      <c r="AI28" s="279">
        <f t="shared" ca="1" si="16"/>
        <v>9917985.3887872249</v>
      </c>
      <c r="AJ28" s="279">
        <f t="shared" ca="1" si="16"/>
        <v>9917985.3887872249</v>
      </c>
      <c r="AK28" s="279">
        <f t="shared" ref="AK28:BJ28" ca="1" si="17">SUBTOTAL(109,AK19:AK27)</f>
        <v>9917985.3887872249</v>
      </c>
      <c r="AL28" s="279">
        <f t="shared" ca="1" si="17"/>
        <v>10002985.388787225</v>
      </c>
      <c r="AM28" s="279">
        <f t="shared" ca="1" si="17"/>
        <v>0</v>
      </c>
      <c r="AN28" s="279">
        <f t="shared" ca="1" si="17"/>
        <v>0</v>
      </c>
      <c r="AO28" s="279">
        <f t="shared" ca="1" si="17"/>
        <v>0</v>
      </c>
      <c r="AP28" s="279">
        <f t="shared" ca="1" si="17"/>
        <v>0</v>
      </c>
      <c r="AQ28" s="279">
        <f t="shared" ca="1" si="17"/>
        <v>0</v>
      </c>
      <c r="AR28" s="279">
        <f t="shared" ca="1" si="17"/>
        <v>0</v>
      </c>
      <c r="AS28" s="279">
        <f t="shared" ca="1" si="17"/>
        <v>0</v>
      </c>
      <c r="AT28" s="279">
        <f t="shared" ca="1" si="17"/>
        <v>0</v>
      </c>
      <c r="AU28" s="279">
        <f t="shared" ca="1" si="17"/>
        <v>0</v>
      </c>
      <c r="AV28" s="279">
        <f t="shared" ca="1" si="17"/>
        <v>0</v>
      </c>
      <c r="AW28" s="279">
        <f t="shared" ca="1" si="17"/>
        <v>0</v>
      </c>
      <c r="AX28" s="279">
        <f t="shared" ca="1" si="17"/>
        <v>0</v>
      </c>
      <c r="AY28" s="279">
        <f t="shared" ca="1" si="17"/>
        <v>0</v>
      </c>
      <c r="AZ28" s="279">
        <f t="shared" ca="1" si="17"/>
        <v>0</v>
      </c>
      <c r="BA28" s="279">
        <f t="shared" ca="1" si="17"/>
        <v>0</v>
      </c>
      <c r="BB28" s="279">
        <f t="shared" ca="1" si="17"/>
        <v>0</v>
      </c>
      <c r="BC28" s="279">
        <f t="shared" ca="1" si="17"/>
        <v>0</v>
      </c>
      <c r="BD28" s="279">
        <f t="shared" ca="1" si="17"/>
        <v>0</v>
      </c>
      <c r="BE28" s="279">
        <f t="shared" ca="1" si="17"/>
        <v>0</v>
      </c>
      <c r="BF28" s="279">
        <f t="shared" ca="1" si="17"/>
        <v>0</v>
      </c>
      <c r="BG28" s="279">
        <f t="shared" ca="1" si="17"/>
        <v>0</v>
      </c>
      <c r="BH28" s="279">
        <f t="shared" ca="1" si="17"/>
        <v>0</v>
      </c>
      <c r="BI28" s="279">
        <f t="shared" ca="1" si="17"/>
        <v>0</v>
      </c>
      <c r="BJ28" s="279">
        <f t="shared" ca="1" si="17"/>
        <v>0</v>
      </c>
      <c r="BK28" s="279">
        <f ca="1">SUBTOTAL(109,BK23:BK27)</f>
        <v>366622883.58817881</v>
      </c>
      <c r="BL28" s="280">
        <f ca="1">IF($BK$28=0,0,BK28/$BK$28)</f>
        <v>1</v>
      </c>
      <c r="BP28" s="101"/>
    </row>
    <row r="29" spans="1:68" ht="16.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1"/>
      <c r="BL29" s="66"/>
      <c r="BP29" s="101"/>
    </row>
    <row r="30" spans="1:68" ht="15" x14ac:dyDescent="0.2">
      <c r="A30" s="103"/>
      <c r="B30" s="103"/>
      <c r="C30" s="103"/>
      <c r="D30" s="103"/>
      <c r="E30" s="103"/>
      <c r="F30" s="103"/>
      <c r="G30" s="103"/>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P30" s="101"/>
    </row>
    <row r="31" spans="1:68" ht="15" x14ac:dyDescent="0.2">
      <c r="A31" s="103"/>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P31" s="101"/>
    </row>
    <row r="32" spans="1:68" ht="15" x14ac:dyDescent="0.2">
      <c r="A32" s="103"/>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47"/>
      <c r="BP32" s="101"/>
    </row>
    <row r="33" spans="1:68" ht="15" x14ac:dyDescent="0.2">
      <c r="A33" s="103"/>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P33" s="101"/>
    </row>
    <row r="34" spans="1:68" ht="15" x14ac:dyDescent="0.2">
      <c r="BK34" s="103"/>
      <c r="BP34" s="101"/>
    </row>
    <row r="35" spans="1:68" ht="10.5" x14ac:dyDescent="0.2"/>
    <row r="36" spans="1:68" ht="10.5" x14ac:dyDescent="0.2"/>
    <row r="37" spans="1:68" ht="10.5" x14ac:dyDescent="0.2"/>
    <row r="38" spans="1:68" ht="10.5" x14ac:dyDescent="0.2"/>
    <row r="39" spans="1:68" ht="10.5" x14ac:dyDescent="0.2"/>
    <row r="40" spans="1:68" ht="10.5" x14ac:dyDescent="0.2"/>
    <row r="41" spans="1:68" ht="10.5" x14ac:dyDescent="0.2"/>
    <row r="42" spans="1:68" ht="10.5" x14ac:dyDescent="0.2"/>
    <row r="43" spans="1:68" ht="10.5" x14ac:dyDescent="0.2"/>
    <row r="44" spans="1:68" ht="10.5" x14ac:dyDescent="0.2"/>
    <row r="45" spans="1:68" ht="10.5" x14ac:dyDescent="0.2"/>
    <row r="46" spans="1:68" ht="10.5" x14ac:dyDescent="0.2"/>
    <row r="47" spans="1:68" ht="10.5" x14ac:dyDescent="0.2"/>
    <row r="48" spans="1:68" ht="10.5" x14ac:dyDescent="0.2"/>
    <row r="49" ht="10.5" x14ac:dyDescent="0.2"/>
    <row r="50" ht="10.5" x14ac:dyDescent="0.2"/>
    <row r="51" ht="10.5" x14ac:dyDescent="0.2"/>
    <row r="52" ht="10.5" x14ac:dyDescent="0.2"/>
    <row r="53" ht="10.5" x14ac:dyDescent="0.2"/>
    <row r="54" ht="10.5" x14ac:dyDescent="0.2"/>
    <row r="55" ht="10.5" x14ac:dyDescent="0.2"/>
    <row r="56" ht="10.5" x14ac:dyDescent="0.2"/>
    <row r="57" ht="10.5" x14ac:dyDescent="0.2"/>
    <row r="58" ht="10.5" x14ac:dyDescent="0.2"/>
    <row r="59" ht="10.5" x14ac:dyDescent="0.2"/>
    <row r="60" ht="10.5" x14ac:dyDescent="0.2"/>
    <row r="61" ht="10.5" x14ac:dyDescent="0.2"/>
    <row r="62" ht="10.5" x14ac:dyDescent="0.2"/>
    <row r="63" ht="10.5" x14ac:dyDescent="0.2"/>
    <row r="64" ht="10.5" x14ac:dyDescent="0.2"/>
    <row r="65" ht="10.5" x14ac:dyDescent="0.2"/>
    <row r="66" ht="10.5" x14ac:dyDescent="0.2"/>
    <row r="67" ht="10.5" x14ac:dyDescent="0.2"/>
    <row r="68" ht="10.5" x14ac:dyDescent="0.2"/>
    <row r="69" ht="10.5" x14ac:dyDescent="0.2"/>
    <row r="70" ht="10.5" x14ac:dyDescent="0.2"/>
    <row r="71" ht="10.5" x14ac:dyDescent="0.2"/>
    <row r="72" ht="10.5" x14ac:dyDescent="0.2"/>
    <row r="73" ht="10.5" x14ac:dyDescent="0.2"/>
    <row r="74" ht="10.5" x14ac:dyDescent="0.2"/>
    <row r="75" ht="10.5" x14ac:dyDescent="0.2"/>
    <row r="76" ht="10.5" x14ac:dyDescent="0.2"/>
    <row r="77" ht="10.5" x14ac:dyDescent="0.2"/>
    <row r="78" ht="10.5" x14ac:dyDescent="0.2"/>
    <row r="79" ht="10.5" x14ac:dyDescent="0.2"/>
    <row r="80" ht="10.5" x14ac:dyDescent="0.2"/>
    <row r="81" ht="10.5" x14ac:dyDescent="0.2"/>
    <row r="82" ht="10.5" x14ac:dyDescent="0.2"/>
    <row r="83" ht="10.5" x14ac:dyDescent="0.2"/>
    <row r="84" ht="10.5" x14ac:dyDescent="0.2"/>
    <row r="85" ht="10.5" x14ac:dyDescent="0.2"/>
    <row r="86" ht="10.5" x14ac:dyDescent="0.2"/>
    <row r="87" ht="10.5" x14ac:dyDescent="0.2"/>
    <row r="88" ht="10.5" x14ac:dyDescent="0.2"/>
    <row r="89" ht="10.5" x14ac:dyDescent="0.2"/>
    <row r="90" ht="10.5" x14ac:dyDescent="0.2"/>
    <row r="91" ht="10.5" x14ac:dyDescent="0.2"/>
    <row r="92" ht="10.5" x14ac:dyDescent="0.2"/>
    <row r="93" ht="10.5" x14ac:dyDescent="0.2"/>
    <row r="94" ht="10.5" x14ac:dyDescent="0.2"/>
    <row r="95" ht="10.5" x14ac:dyDescent="0.2"/>
    <row r="96" ht="10.5" x14ac:dyDescent="0.2"/>
    <row r="97" ht="10.5" x14ac:dyDescent="0.2"/>
    <row r="98" ht="10.5" x14ac:dyDescent="0.2"/>
    <row r="99" ht="10.5" x14ac:dyDescent="0.2"/>
    <row r="100" ht="10.5" x14ac:dyDescent="0.2"/>
    <row r="101" ht="10.5" x14ac:dyDescent="0.2"/>
    <row r="102" ht="10.5" x14ac:dyDescent="0.2"/>
    <row r="103" ht="10.5" x14ac:dyDescent="0.2"/>
    <row r="104" ht="10.5" x14ac:dyDescent="0.2"/>
    <row r="105" ht="10.5" x14ac:dyDescent="0.2"/>
    <row r="106" ht="10.5" x14ac:dyDescent="0.2"/>
    <row r="107" ht="10.5" x14ac:dyDescent="0.2"/>
  </sheetData>
  <sheetProtection algorithmName="SHA-512" hashValue="i3RlSRmuDml4hfnAOcXwI9PIs6QsntSNIDZH6Epa4sgQnUrjuxPUYWrkGMMHrfBZLpbPtm+4XjRje3bKAGSyjA==" saltValue="BsrMC4zGW87rwKiNEBe76g==" spinCount="100000" sheet="1" objects="1" scenarios="1" formatColumns="0"/>
  <mergeCells count="9">
    <mergeCell ref="C1:N1"/>
    <mergeCell ref="C2:N2"/>
    <mergeCell ref="O2:Z2"/>
    <mergeCell ref="A5:B5"/>
    <mergeCell ref="AA2:BL2"/>
    <mergeCell ref="A23:B23"/>
    <mergeCell ref="A15:B15"/>
    <mergeCell ref="A14:B14"/>
    <mergeCell ref="A13:B13"/>
  </mergeCells>
  <phoneticPr fontId="5" type="noConversion"/>
  <pageMargins left="0.19685039370078741" right="0.19685039370078741" top="0.59055118110236227" bottom="0.59055118110236227" header="0" footer="0"/>
  <pageSetup paperSize="9" scale="64" fitToWidth="3" orientation="landscape" r:id="rId1"/>
  <headerFooter>
    <oddFooter>Página &amp;P de &amp;N</oddFooter>
  </headerFooter>
  <colBreaks count="4" manualBreakCount="4">
    <brk id="15" max="27" man="1"/>
    <brk id="27" max="27" man="1"/>
    <brk id="39" max="27" man="1"/>
    <brk id="51" max="27" man="1"/>
  </colBreaks>
  <ignoredErrors>
    <ignoredError sqref="BK1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BY126"/>
  <sheetViews>
    <sheetView zoomScaleNormal="100" zoomScaleSheetLayoutView="100" workbookViewId="0">
      <pane xSplit="1" ySplit="3" topLeftCell="B4" activePane="bottomRight" state="frozen"/>
      <selection pane="topRight" activeCell="A4" sqref="A4"/>
      <selection pane="bottomLeft" activeCell="A4" sqref="A4"/>
      <selection pane="bottomRight" activeCell="K4" sqref="K4:M4"/>
    </sheetView>
  </sheetViews>
  <sheetFormatPr defaultRowHeight="12.75" x14ac:dyDescent="0.2"/>
  <cols>
    <col min="1" max="1" width="4.85546875" style="86" customWidth="1"/>
    <col min="2" max="2" width="65.7109375" style="85" customWidth="1"/>
    <col min="3" max="4" width="13.85546875" style="85" hidden="1" customWidth="1"/>
    <col min="5" max="5" width="15.7109375" style="85" customWidth="1"/>
    <col min="6" max="6" width="15.5703125" style="85" customWidth="1"/>
    <col min="7" max="7" width="12.42578125" style="85" customWidth="1"/>
    <col min="8" max="9" width="12.42578125" style="85" hidden="1" customWidth="1"/>
    <col min="10" max="10" width="13.5703125" style="85" customWidth="1"/>
    <col min="11" max="13" width="8.85546875" style="85" customWidth="1"/>
    <col min="14" max="15" width="8.85546875" style="85" hidden="1" customWidth="1"/>
    <col min="16" max="16" width="8.42578125" style="85" customWidth="1"/>
    <col min="17" max="17" width="11.5703125" style="85" hidden="1" customWidth="1"/>
    <col min="18" max="18" width="14.42578125" style="85" hidden="1" customWidth="1"/>
    <col min="19" max="19" width="12.5703125" style="85" hidden="1" customWidth="1"/>
    <col min="20" max="76" width="13.85546875" style="85" hidden="1" customWidth="1"/>
    <col min="77" max="16384" width="9.140625" style="85"/>
  </cols>
  <sheetData>
    <row r="1" spans="1:77" ht="35.25" customHeight="1" x14ac:dyDescent="0.2">
      <c r="A1" s="385" t="str">
        <f>Capa!A1</f>
        <v>Memória de Cálculo
Contrato de Gestão nº 008/2021 celebrado entre a SEJUSP e o Instituto Elo</v>
      </c>
      <c r="B1" s="385"/>
      <c r="C1" s="385"/>
      <c r="D1" s="385"/>
      <c r="E1" s="385"/>
      <c r="F1" s="385"/>
      <c r="G1" s="385"/>
      <c r="H1" s="385"/>
      <c r="I1" s="385"/>
      <c r="J1" s="385"/>
      <c r="K1" s="385"/>
      <c r="L1" s="385"/>
      <c r="M1" s="385"/>
      <c r="N1" s="385"/>
      <c r="O1" s="385"/>
      <c r="P1" s="385"/>
      <c r="Q1" s="134"/>
      <c r="R1" s="134"/>
      <c r="S1" s="134"/>
      <c r="T1" s="134"/>
      <c r="U1" s="134"/>
      <c r="V1" s="134"/>
      <c r="W1" s="134"/>
      <c r="X1" s="134"/>
      <c r="Y1" s="134"/>
      <c r="Z1" s="134"/>
      <c r="AA1" s="134"/>
      <c r="AB1" s="134"/>
      <c r="AC1" s="134"/>
      <c r="AD1" s="134"/>
      <c r="AE1" s="134"/>
      <c r="AF1" s="134"/>
      <c r="AG1" s="134"/>
      <c r="AH1" s="134"/>
      <c r="AI1" s="134"/>
      <c r="AJ1" s="134"/>
      <c r="AK1" s="134"/>
      <c r="AL1" s="134"/>
      <c r="AM1" s="134"/>
      <c r="AN1" s="134"/>
      <c r="AO1" s="134"/>
      <c r="AP1" s="134"/>
      <c r="AQ1" s="134"/>
      <c r="AR1" s="134"/>
      <c r="AS1" s="134"/>
      <c r="AT1" s="134"/>
      <c r="AU1" s="134"/>
      <c r="AV1" s="134"/>
      <c r="AW1" s="134"/>
      <c r="AX1" s="134"/>
      <c r="AY1" s="134"/>
      <c r="AZ1" s="134"/>
      <c r="BA1" s="134"/>
      <c r="BB1" s="134"/>
      <c r="BC1" s="134"/>
      <c r="BD1" s="134"/>
      <c r="BE1" s="134"/>
      <c r="BF1" s="134"/>
      <c r="BG1" s="134"/>
      <c r="BH1" s="134"/>
      <c r="BI1" s="134"/>
      <c r="BJ1" s="134"/>
      <c r="BK1" s="134"/>
      <c r="BL1" s="134"/>
      <c r="BM1" s="134"/>
      <c r="BN1" s="134"/>
      <c r="BO1" s="134"/>
      <c r="BP1" s="134"/>
      <c r="BQ1" s="134"/>
      <c r="BR1" s="134"/>
      <c r="BS1" s="134"/>
      <c r="BT1" s="134"/>
      <c r="BU1" s="134"/>
      <c r="BV1" s="134"/>
      <c r="BW1" s="134"/>
      <c r="BX1" s="134"/>
      <c r="BY1" s="134"/>
    </row>
    <row r="2" spans="1:77" ht="15.75" customHeight="1" thickBot="1" x14ac:dyDescent="0.25">
      <c r="A2" s="385" t="s">
        <v>99</v>
      </c>
      <c r="B2" s="385"/>
      <c r="C2" s="385"/>
      <c r="D2" s="385"/>
      <c r="E2" s="385"/>
      <c r="F2" s="385"/>
      <c r="G2" s="385"/>
      <c r="H2" s="385"/>
      <c r="I2" s="385"/>
      <c r="J2" s="385"/>
      <c r="K2" s="385"/>
      <c r="L2" s="385"/>
      <c r="M2" s="385"/>
      <c r="N2" s="385"/>
      <c r="O2" s="385"/>
      <c r="P2" s="385"/>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34"/>
    </row>
    <row r="3" spans="1:77" ht="63" customHeight="1" thickBot="1" x14ac:dyDescent="0.25">
      <c r="A3" s="340" t="s">
        <v>31</v>
      </c>
      <c r="B3" s="341" t="s">
        <v>100</v>
      </c>
      <c r="C3" s="342" t="str">
        <f>IF(Capa!A5="mmm/aaaa","",
IF(OR(MONTH(Capa!A5)=1,Capa!A2=""),"Ocultar Coluna",
IF(Capa!A2="Selecionar Termo Aditivo ou Em Branco","Preencher Capa",
TEXT(E3,"AAAA")&amp;"
Previsões Anteriores
"&amp;
IF(MONTH(Capa!A5)=2,"(jan",
"(jan-"&amp;TEXT(EDATE(Capa!A5,-1),"mmm"))&amp;"/"&amp;YEAR(Capa!A5)&amp;")")))</f>
        <v>Ocultar Coluna</v>
      </c>
      <c r="D3" s="356" t="str">
        <f>IF(Capa!A5="mmm/aaaa","",
IF(OR(MONTH(Capa!A5)=1,Capa!A2=""),"Ocultar Coluna",
IF(Capa!A2="Selecionar Termo Aditivo ou Em Branco","Preencher Capa",
TEXT(E3,"AAAA")&amp;"
 "&amp;LEFT(Capa!A2,1)&amp;"º TA")))</f>
        <v>Ocultar Coluna</v>
      </c>
      <c r="E3" s="343">
        <f>DATE(YEAR(Q3),1,1)</f>
        <v>46023</v>
      </c>
      <c r="F3" s="344">
        <f>DATE(YEAR(E3)+1,1,1)</f>
        <v>46388</v>
      </c>
      <c r="G3" s="344">
        <f t="shared" ref="G3:I3" si="0">DATE(YEAR(F3)+1,1,1)</f>
        <v>46753</v>
      </c>
      <c r="H3" s="344">
        <f t="shared" si="0"/>
        <v>47119</v>
      </c>
      <c r="I3" s="344">
        <f t="shared" si="0"/>
        <v>47484</v>
      </c>
      <c r="J3" s="345" t="s">
        <v>60</v>
      </c>
      <c r="K3" s="343">
        <f>E3</f>
        <v>46023</v>
      </c>
      <c r="L3" s="344">
        <f t="shared" ref="L3:O3" si="1">F3</f>
        <v>46388</v>
      </c>
      <c r="M3" s="344">
        <f t="shared" si="1"/>
        <v>46753</v>
      </c>
      <c r="N3" s="344">
        <f t="shared" si="1"/>
        <v>47119</v>
      </c>
      <c r="O3" s="346">
        <f t="shared" si="1"/>
        <v>47484</v>
      </c>
      <c r="P3" s="347" t="s">
        <v>61</v>
      </c>
      <c r="Q3" s="208">
        <f>Analítico!C3</f>
        <v>46023</v>
      </c>
      <c r="R3" s="208">
        <f>Analítico!D3</f>
        <v>46054</v>
      </c>
      <c r="S3" s="208">
        <f>Analítico!E3</f>
        <v>46082</v>
      </c>
      <c r="T3" s="208">
        <f>Analítico!F3</f>
        <v>46113</v>
      </c>
      <c r="U3" s="208">
        <f>Analítico!G3</f>
        <v>46143</v>
      </c>
      <c r="V3" s="208">
        <f>Analítico!H3</f>
        <v>46174</v>
      </c>
      <c r="W3" s="208">
        <f>Analítico!I3</f>
        <v>46204</v>
      </c>
      <c r="X3" s="208">
        <f>Analítico!J3</f>
        <v>46235</v>
      </c>
      <c r="Y3" s="208">
        <f>Analítico!K3</f>
        <v>46266</v>
      </c>
      <c r="Z3" s="208">
        <f>Analítico!L3</f>
        <v>46296</v>
      </c>
      <c r="AA3" s="208">
        <f>Analítico!M3</f>
        <v>46327</v>
      </c>
      <c r="AB3" s="208">
        <f>Analítico!N3</f>
        <v>46357</v>
      </c>
      <c r="AC3" s="208">
        <f>Analítico!O3</f>
        <v>46388</v>
      </c>
      <c r="AD3" s="208">
        <f>Analítico!P3</f>
        <v>46419</v>
      </c>
      <c r="AE3" s="208">
        <f>Analítico!Q3</f>
        <v>46447</v>
      </c>
      <c r="AF3" s="208">
        <f>Analítico!R3</f>
        <v>46478</v>
      </c>
      <c r="AG3" s="208">
        <f>Analítico!S3</f>
        <v>46508</v>
      </c>
      <c r="AH3" s="208">
        <f>Analítico!T3</f>
        <v>46539</v>
      </c>
      <c r="AI3" s="208">
        <f>Analítico!U3</f>
        <v>46569</v>
      </c>
      <c r="AJ3" s="208">
        <f>Analítico!V3</f>
        <v>46600</v>
      </c>
      <c r="AK3" s="208">
        <f>Analítico!W3</f>
        <v>46631</v>
      </c>
      <c r="AL3" s="208">
        <f>Analítico!X3</f>
        <v>46661</v>
      </c>
      <c r="AM3" s="208">
        <f>Analítico!Y3</f>
        <v>46692</v>
      </c>
      <c r="AN3" s="208">
        <f>Analítico!Z3</f>
        <v>46722</v>
      </c>
      <c r="AO3" s="208">
        <f>Analítico!AA3</f>
        <v>46753</v>
      </c>
      <c r="AP3" s="208">
        <f>Analítico!AB3</f>
        <v>46784</v>
      </c>
      <c r="AQ3" s="208">
        <f>Analítico!AC3</f>
        <v>46813</v>
      </c>
      <c r="AR3" s="208">
        <f>Analítico!AD3</f>
        <v>46844</v>
      </c>
      <c r="AS3" s="208">
        <f>Analítico!AE3</f>
        <v>46874</v>
      </c>
      <c r="AT3" s="208">
        <f>Analítico!AF3</f>
        <v>46905</v>
      </c>
      <c r="AU3" s="208">
        <f>Analítico!AG3</f>
        <v>46935</v>
      </c>
      <c r="AV3" s="208">
        <f>Analítico!AH3</f>
        <v>46966</v>
      </c>
      <c r="AW3" s="208">
        <f>Analítico!AI3</f>
        <v>46997</v>
      </c>
      <c r="AX3" s="208">
        <f>Analítico!AJ3</f>
        <v>47027</v>
      </c>
      <c r="AY3" s="208">
        <f>Analítico!AK3</f>
        <v>47058</v>
      </c>
      <c r="AZ3" s="208">
        <f>Analítico!AL3</f>
        <v>47088</v>
      </c>
      <c r="BA3" s="208">
        <f>Analítico!AM3</f>
        <v>47119</v>
      </c>
      <c r="BB3" s="208">
        <f>Analítico!AN3</f>
        <v>47150</v>
      </c>
      <c r="BC3" s="208">
        <f>Analítico!AO3</f>
        <v>47178</v>
      </c>
      <c r="BD3" s="208">
        <f>Analítico!AP3</f>
        <v>47209</v>
      </c>
      <c r="BE3" s="208">
        <f>Analítico!AQ3</f>
        <v>47239</v>
      </c>
      <c r="BF3" s="208">
        <f>Analítico!AR3</f>
        <v>47270</v>
      </c>
      <c r="BG3" s="208">
        <f>Analítico!AS3</f>
        <v>47300</v>
      </c>
      <c r="BH3" s="208">
        <f>Analítico!AT3</f>
        <v>47331</v>
      </c>
      <c r="BI3" s="208">
        <f>Analítico!AU3</f>
        <v>47362</v>
      </c>
      <c r="BJ3" s="208">
        <f>Analítico!AV3</f>
        <v>47392</v>
      </c>
      <c r="BK3" s="208">
        <f>Analítico!AW3</f>
        <v>47423</v>
      </c>
      <c r="BL3" s="208">
        <f>Analítico!AX3</f>
        <v>47453</v>
      </c>
      <c r="BM3" s="208">
        <f>Analítico!AY3</f>
        <v>47484</v>
      </c>
      <c r="BN3" s="208">
        <f>Analítico!AZ3</f>
        <v>47515</v>
      </c>
      <c r="BO3" s="208">
        <f>Analítico!BA3</f>
        <v>47543</v>
      </c>
      <c r="BP3" s="208">
        <f>Analítico!BB3</f>
        <v>47574</v>
      </c>
      <c r="BQ3" s="208">
        <f>Analítico!BC3</f>
        <v>47604</v>
      </c>
      <c r="BR3" s="208">
        <f>Analítico!BD3</f>
        <v>47635</v>
      </c>
      <c r="BS3" s="208">
        <f>Analítico!BE3</f>
        <v>47665</v>
      </c>
      <c r="BT3" s="208">
        <f>Analítico!BF3</f>
        <v>47696</v>
      </c>
      <c r="BU3" s="208">
        <f>Analítico!BG3</f>
        <v>47727</v>
      </c>
      <c r="BV3" s="208">
        <f>Analítico!BH3</f>
        <v>47757</v>
      </c>
      <c r="BW3" s="208">
        <f>Analítico!BI3</f>
        <v>47788</v>
      </c>
      <c r="BX3" s="208">
        <f>Analítico!BJ3</f>
        <v>47818</v>
      </c>
    </row>
    <row r="4" spans="1:77" x14ac:dyDescent="0.2">
      <c r="A4" s="146">
        <v>1</v>
      </c>
      <c r="B4" s="339" t="s">
        <v>101</v>
      </c>
      <c r="C4" s="305">
        <v>0</v>
      </c>
      <c r="D4" s="357">
        <f>SUMIFS($Q4:$BX4,$Q$3:$BX$3,"&gt;="&amp;E$3,$Q$3:$BX$3,"&lt;"&amp;(DATE(YEAR(E$3)+1,1,1)-1))</f>
        <v>2660100</v>
      </c>
      <c r="E4" s="144">
        <f>SUM(C4:D4)</f>
        <v>2660100</v>
      </c>
      <c r="F4" s="73">
        <f t="shared" ref="F4:I33" si="2">SUMIFS($Q4:$BX4,$Q$3:$BX$3,"&gt;="&amp;F$3,$Q$3:$BX$3,"&lt;"&amp;(DATE(YEAR(F$3)+1,1,1)-1))</f>
        <v>2735400</v>
      </c>
      <c r="G4" s="73">
        <f t="shared" si="2"/>
        <v>2800400</v>
      </c>
      <c r="H4" s="73">
        <f t="shared" si="2"/>
        <v>0</v>
      </c>
      <c r="I4" s="73">
        <f t="shared" si="2"/>
        <v>0</v>
      </c>
      <c r="J4" s="145">
        <f t="shared" ref="J4:J33" si="3">SUM(Q4:BX4)</f>
        <v>8195900</v>
      </c>
      <c r="K4" s="76">
        <f t="shared" ref="K4:K33" si="4">IF($J$34=0,0,E4/$J$34)</f>
        <v>2.4962328008049203E-2</v>
      </c>
      <c r="L4" s="76">
        <f t="shared" ref="L4:L33" si="5">IF($J$34=0,0,F4/$J$34)</f>
        <v>2.5668941781593846E-2</v>
      </c>
      <c r="M4" s="76">
        <f t="shared" ref="M4:M33" si="6">IF($J$34=0,0,G4/$J$34)</f>
        <v>2.6278900550257882E-2</v>
      </c>
      <c r="N4" s="76">
        <f t="shared" ref="N4:N33" si="7">IF($J$34=0,0,H4/$J$34)</f>
        <v>0</v>
      </c>
      <c r="O4" s="76">
        <f t="shared" ref="O4:O33" si="8">IF($J$34=0,0,I4/$J$34)</f>
        <v>0</v>
      </c>
      <c r="P4" s="209">
        <f t="shared" ref="P4:P33" si="9">IF($J$34=0,0,J4/$J$34)</f>
        <v>7.6910170339900927E-2</v>
      </c>
      <c r="Q4" s="73">
        <f>IF($B4="",0,SUMPRODUCT(-('Gastos Gerais'!$F$4:$F$615='Gastos das Atividades'!$B4),-('Gastos das Atividades'!Q$3&gt;='Gastos Gerais'!$D$4:$D$615),-('Gastos das Atividades'!Q$3&lt;='Gastos Gerais'!$E$4:$E$615),-('Gastos Gerais'!$C$4:$C$615)))</f>
        <v>285150</v>
      </c>
      <c r="R4" s="73">
        <f>IF($B4="",0,SUMPRODUCT(-('Gastos Gerais'!$F$4:$F$615='Gastos das Atividades'!$B4),-('Gastos das Atividades'!R$3&gt;='Gastos Gerais'!$D$4:$D$615),-('Gastos das Atividades'!R$3&lt;='Gastos Gerais'!$E$4:$E$615),-('Gastos Gerais'!$C$4:$C$615)))</f>
        <v>205450</v>
      </c>
      <c r="S4" s="73">
        <f>IF($B4="",0,SUMPRODUCT(-('Gastos Gerais'!$F$4:$F$615='Gastos das Atividades'!$B4),-('Gastos das Atividades'!S$3&gt;='Gastos Gerais'!$D$4:$D$615),-('Gastos das Atividades'!S$3&lt;='Gastos Gerais'!$E$4:$E$615),-('Gastos Gerais'!$C$4:$C$615)))</f>
        <v>205450</v>
      </c>
      <c r="T4" s="73">
        <f>IF($B4="",0,SUMPRODUCT(-('Gastos Gerais'!$F$4:$F$615='Gastos das Atividades'!$B4),-('Gastos das Atividades'!T$3&gt;='Gastos Gerais'!$D$4:$D$615),-('Gastos das Atividades'!T$3&lt;='Gastos Gerais'!$E$4:$E$615),-('Gastos Gerais'!$C$4:$C$615)))</f>
        <v>205450</v>
      </c>
      <c r="U4" s="73">
        <f>IF($B4="",0,SUMPRODUCT(-('Gastos Gerais'!$F$4:$F$615='Gastos das Atividades'!$B4),-('Gastos das Atividades'!U$3&gt;='Gastos Gerais'!$D$4:$D$615),-('Gastos das Atividades'!U$3&lt;='Gastos Gerais'!$E$4:$E$615),-('Gastos Gerais'!$C$4:$C$615)))</f>
        <v>255450</v>
      </c>
      <c r="V4" s="73">
        <f>IF($B4="",0,SUMPRODUCT(-('Gastos Gerais'!$F$4:$F$615='Gastos das Atividades'!$B4),-('Gastos das Atividades'!V$3&gt;='Gastos Gerais'!$D$4:$D$615),-('Gastos das Atividades'!V$3&lt;='Gastos Gerais'!$E$4:$E$615),-('Gastos Gerais'!$C$4:$C$615)))</f>
        <v>205450</v>
      </c>
      <c r="W4" s="73">
        <f>IF($B4="",0,SUMPRODUCT(-('Gastos Gerais'!$F$4:$F$615='Gastos das Atividades'!$B4),-('Gastos das Atividades'!W$3&gt;='Gastos Gerais'!$D$4:$D$615),-('Gastos das Atividades'!W$3&lt;='Gastos Gerais'!$E$4:$E$615),-('Gastos Gerais'!$C$4:$C$615)))</f>
        <v>205450</v>
      </c>
      <c r="X4" s="73">
        <f>IF($B4="",0,SUMPRODUCT(-('Gastos Gerais'!$F$4:$F$615='Gastos das Atividades'!$B4),-('Gastos das Atividades'!X$3&gt;='Gastos Gerais'!$D$4:$D$615),-('Gastos das Atividades'!X$3&lt;='Gastos Gerais'!$E$4:$E$615),-('Gastos Gerais'!$C$4:$C$615)))</f>
        <v>205450</v>
      </c>
      <c r="Y4" s="73">
        <f>IF($B4="",0,SUMPRODUCT(-('Gastos Gerais'!$F$4:$F$615='Gastos das Atividades'!$B4),-('Gastos das Atividades'!Y$3&gt;='Gastos Gerais'!$D$4:$D$615),-('Gastos das Atividades'!Y$3&lt;='Gastos Gerais'!$E$4:$E$615),-('Gastos Gerais'!$C$4:$C$615)))</f>
        <v>205450</v>
      </c>
      <c r="Z4" s="73">
        <f>IF($B4="",0,SUMPRODUCT(-('Gastos Gerais'!$F$4:$F$615='Gastos das Atividades'!$B4),-('Gastos das Atividades'!Z$3&gt;='Gastos Gerais'!$D$4:$D$615),-('Gastos das Atividades'!Z$3&lt;='Gastos Gerais'!$E$4:$E$615),-('Gastos Gerais'!$C$4:$C$615)))</f>
        <v>205450</v>
      </c>
      <c r="AA4" s="73">
        <f>IF($B4="",0,SUMPRODUCT(-('Gastos Gerais'!$F$4:$F$615='Gastos das Atividades'!$B4),-('Gastos das Atividades'!AA$3&gt;='Gastos Gerais'!$D$4:$D$615),-('Gastos das Atividades'!AA$3&lt;='Gastos Gerais'!$E$4:$E$615),-('Gastos Gerais'!$C$4:$C$615)))</f>
        <v>205450</v>
      </c>
      <c r="AB4" s="73">
        <f>IF($B4="",0,SUMPRODUCT(-('Gastos Gerais'!$F$4:$F$615='Gastos das Atividades'!$B4),-('Gastos das Atividades'!AB$3&gt;='Gastos Gerais'!$D$4:$D$615),-('Gastos das Atividades'!AB$3&lt;='Gastos Gerais'!$E$4:$E$615),-('Gastos Gerais'!$C$4:$C$615)))</f>
        <v>270450</v>
      </c>
      <c r="AC4" s="73">
        <f>IF($B4="",0,SUMPRODUCT(-('Gastos Gerais'!$F$4:$F$615='Gastos das Atividades'!$B4),-('Gastos das Atividades'!AC$3&gt;='Gastos Gerais'!$D$4:$D$615),-('Gastos das Atividades'!AC$3&lt;='Gastos Gerais'!$E$4:$E$615),-('Gastos Gerais'!$C$4:$C$615)))</f>
        <v>230450</v>
      </c>
      <c r="AD4" s="73">
        <f>IF($B4="",0,SUMPRODUCT(-('Gastos Gerais'!$F$4:$F$615='Gastos das Atividades'!$B4),-('Gastos das Atividades'!AD$3&gt;='Gastos Gerais'!$D$4:$D$615),-('Gastos das Atividades'!AD$3&lt;='Gastos Gerais'!$E$4:$E$615),-('Gastos Gerais'!$C$4:$C$615)))</f>
        <v>220450</v>
      </c>
      <c r="AE4" s="73">
        <f>IF($B4="",0,SUMPRODUCT(-('Gastos Gerais'!$F$4:$F$615='Gastos das Atividades'!$B4),-('Gastos das Atividades'!AE$3&gt;='Gastos Gerais'!$D$4:$D$615),-('Gastos das Atividades'!AE$3&lt;='Gastos Gerais'!$E$4:$E$615),-('Gastos Gerais'!$C$4:$C$615)))</f>
        <v>220450</v>
      </c>
      <c r="AF4" s="73">
        <f>IF($B4="",0,SUMPRODUCT(-('Gastos Gerais'!$F$4:$F$615='Gastos das Atividades'!$B4),-('Gastos das Atividades'!AF$3&gt;='Gastos Gerais'!$D$4:$D$615),-('Gastos das Atividades'!AF$3&lt;='Gastos Gerais'!$E$4:$E$615),-('Gastos Gerais'!$C$4:$C$615)))</f>
        <v>220450</v>
      </c>
      <c r="AG4" s="73">
        <f>IF($B4="",0,SUMPRODUCT(-('Gastos Gerais'!$F$4:$F$615='Gastos das Atividades'!$B4),-('Gastos das Atividades'!AG$3&gt;='Gastos Gerais'!$D$4:$D$615),-('Gastos das Atividades'!AG$3&lt;='Gastos Gerais'!$E$4:$E$615),-('Gastos Gerais'!$C$4:$C$615)))</f>
        <v>220450</v>
      </c>
      <c r="AH4" s="73">
        <f>IF($B4="",0,SUMPRODUCT(-('Gastos Gerais'!$F$4:$F$615='Gastos das Atividades'!$B4),-('Gastos das Atividades'!AH$3&gt;='Gastos Gerais'!$D$4:$D$615),-('Gastos das Atividades'!AH$3&lt;='Gastos Gerais'!$E$4:$E$615),-('Gastos Gerais'!$C$4:$C$615)))</f>
        <v>220450</v>
      </c>
      <c r="AI4" s="73">
        <f>IF($B4="",0,SUMPRODUCT(-('Gastos Gerais'!$F$4:$F$615='Gastos das Atividades'!$B4),-('Gastos das Atividades'!AI$3&gt;='Gastos Gerais'!$D$4:$D$615),-('Gastos das Atividades'!AI$3&lt;='Gastos Gerais'!$E$4:$E$615),-('Gastos Gerais'!$C$4:$C$615)))</f>
        <v>220450</v>
      </c>
      <c r="AJ4" s="73">
        <f>IF($B4="",0,SUMPRODUCT(-('Gastos Gerais'!$F$4:$F$615='Gastos das Atividades'!$B4),-('Gastos das Atividades'!AJ$3&gt;='Gastos Gerais'!$D$4:$D$615),-('Gastos das Atividades'!AJ$3&lt;='Gastos Gerais'!$E$4:$E$615),-('Gastos Gerais'!$C$4:$C$615)))</f>
        <v>220450</v>
      </c>
      <c r="AK4" s="73">
        <f>IF($B4="",0,SUMPRODUCT(-('Gastos Gerais'!$F$4:$F$615='Gastos das Atividades'!$B4),-('Gastos das Atividades'!AK$3&gt;='Gastos Gerais'!$D$4:$D$615),-('Gastos das Atividades'!AK$3&lt;='Gastos Gerais'!$E$4:$E$615),-('Gastos Gerais'!$C$4:$C$615)))</f>
        <v>220450</v>
      </c>
      <c r="AL4" s="73">
        <f>IF($B4="",0,SUMPRODUCT(-('Gastos Gerais'!$F$4:$F$615='Gastos das Atividades'!$B4),-('Gastos das Atividades'!AL$3&gt;='Gastos Gerais'!$D$4:$D$615),-('Gastos das Atividades'!AL$3&lt;='Gastos Gerais'!$E$4:$E$615),-('Gastos Gerais'!$C$4:$C$615)))</f>
        <v>220450</v>
      </c>
      <c r="AM4" s="73">
        <f>IF($B4="",0,SUMPRODUCT(-('Gastos Gerais'!$F$4:$F$615='Gastos das Atividades'!$B4),-('Gastos das Atividades'!AM$3&gt;='Gastos Gerais'!$D$4:$D$615),-('Gastos das Atividades'!AM$3&lt;='Gastos Gerais'!$E$4:$E$615),-('Gastos Gerais'!$C$4:$C$615)))</f>
        <v>220450</v>
      </c>
      <c r="AN4" s="73">
        <f>IF($B4="",0,SUMPRODUCT(-('Gastos Gerais'!$F$4:$F$615='Gastos das Atividades'!$B4),-('Gastos das Atividades'!AN$3&gt;='Gastos Gerais'!$D$4:$D$615),-('Gastos das Atividades'!AN$3&lt;='Gastos Gerais'!$E$4:$E$615),-('Gastos Gerais'!$C$4:$C$615)))</f>
        <v>300450</v>
      </c>
      <c r="AO4" s="73">
        <f>IF($B4="",0,SUMPRODUCT(-('Gastos Gerais'!$F$4:$F$615='Gastos das Atividades'!$B4),-('Gastos das Atividades'!AO$3&gt;='Gastos Gerais'!$D$4:$D$615),-('Gastos das Atividades'!AO$3&lt;='Gastos Gerais'!$E$4:$E$615),-('Gastos Gerais'!$C$4:$C$615)))</f>
        <v>235450</v>
      </c>
      <c r="AP4" s="73">
        <f>IF($B4="",0,SUMPRODUCT(-('Gastos Gerais'!$F$4:$F$615='Gastos das Atividades'!$B4),-('Gastos das Atividades'!AP$3&gt;='Gastos Gerais'!$D$4:$D$615),-('Gastos das Atividades'!AP$3&lt;='Gastos Gerais'!$E$4:$E$615),-('Gastos Gerais'!$C$4:$C$615)))</f>
        <v>225450</v>
      </c>
      <c r="AQ4" s="73">
        <f>IF($B4="",0,SUMPRODUCT(-('Gastos Gerais'!$F$4:$F$615='Gastos das Atividades'!$B4),-('Gastos das Atividades'!AQ$3&gt;='Gastos Gerais'!$D$4:$D$615),-('Gastos das Atividades'!AQ$3&lt;='Gastos Gerais'!$E$4:$E$615),-('Gastos Gerais'!$C$4:$C$615)))</f>
        <v>225450</v>
      </c>
      <c r="AR4" s="73">
        <f>IF($B4="",0,SUMPRODUCT(-('Gastos Gerais'!$F$4:$F$615='Gastos das Atividades'!$B4),-('Gastos das Atividades'!AR$3&gt;='Gastos Gerais'!$D$4:$D$615),-('Gastos das Atividades'!AR$3&lt;='Gastos Gerais'!$E$4:$E$615),-('Gastos Gerais'!$C$4:$C$615)))</f>
        <v>225450</v>
      </c>
      <c r="AS4" s="73">
        <f>IF($B4="",0,SUMPRODUCT(-('Gastos Gerais'!$F$4:$F$615='Gastos das Atividades'!$B4),-('Gastos das Atividades'!AS$3&gt;='Gastos Gerais'!$D$4:$D$615),-('Gastos das Atividades'!AS$3&lt;='Gastos Gerais'!$E$4:$E$615),-('Gastos Gerais'!$C$4:$C$615)))</f>
        <v>225450</v>
      </c>
      <c r="AT4" s="73">
        <f>IF($B4="",0,SUMPRODUCT(-('Gastos Gerais'!$F$4:$F$615='Gastos das Atividades'!$B4),-('Gastos das Atividades'!AT$3&gt;='Gastos Gerais'!$D$4:$D$615),-('Gastos das Atividades'!AT$3&lt;='Gastos Gerais'!$E$4:$E$615),-('Gastos Gerais'!$C$4:$C$615)))</f>
        <v>225450</v>
      </c>
      <c r="AU4" s="73">
        <f>IF($B4="",0,SUMPRODUCT(-('Gastos Gerais'!$F$4:$F$615='Gastos das Atividades'!$B4),-('Gastos das Atividades'!AU$3&gt;='Gastos Gerais'!$D$4:$D$615),-('Gastos das Atividades'!AU$3&lt;='Gastos Gerais'!$E$4:$E$615),-('Gastos Gerais'!$C$4:$C$615)))</f>
        <v>225450</v>
      </c>
      <c r="AV4" s="73">
        <f>IF($B4="",0,SUMPRODUCT(-('Gastos Gerais'!$F$4:$F$615='Gastos das Atividades'!$B4),-('Gastos das Atividades'!AV$3&gt;='Gastos Gerais'!$D$4:$D$615),-('Gastos das Atividades'!AV$3&lt;='Gastos Gerais'!$E$4:$E$615),-('Gastos Gerais'!$C$4:$C$615)))</f>
        <v>225450</v>
      </c>
      <c r="AW4" s="73">
        <f>IF($B4="",0,SUMPRODUCT(-('Gastos Gerais'!$F$4:$F$615='Gastos das Atividades'!$B4),-('Gastos das Atividades'!AW$3&gt;='Gastos Gerais'!$D$4:$D$615),-('Gastos das Atividades'!AW$3&lt;='Gastos Gerais'!$E$4:$E$615),-('Gastos Gerais'!$C$4:$C$615)))</f>
        <v>225450</v>
      </c>
      <c r="AX4" s="73">
        <f>IF($B4="",0,SUMPRODUCT(-('Gastos Gerais'!$F$4:$F$615='Gastos das Atividades'!$B4),-('Gastos das Atividades'!AX$3&gt;='Gastos Gerais'!$D$4:$D$615),-('Gastos das Atividades'!AX$3&lt;='Gastos Gerais'!$E$4:$E$615),-('Gastos Gerais'!$C$4:$C$615)))</f>
        <v>225450</v>
      </c>
      <c r="AY4" s="73">
        <f>IF($B4="",0,SUMPRODUCT(-('Gastos Gerais'!$F$4:$F$615='Gastos das Atividades'!$B4),-('Gastos das Atividades'!AY$3&gt;='Gastos Gerais'!$D$4:$D$615),-('Gastos das Atividades'!AY$3&lt;='Gastos Gerais'!$E$4:$E$615),-('Gastos Gerais'!$C$4:$C$615)))</f>
        <v>225450</v>
      </c>
      <c r="AZ4" s="73">
        <f>IF($B4="",0,SUMPRODUCT(-('Gastos Gerais'!$F$4:$F$615='Gastos das Atividades'!$B4),-('Gastos das Atividades'!AZ$3&gt;='Gastos Gerais'!$D$4:$D$615),-('Gastos das Atividades'!AZ$3&lt;='Gastos Gerais'!$E$4:$E$615),-('Gastos Gerais'!$C$4:$C$615)))</f>
        <v>310450</v>
      </c>
      <c r="BA4" s="73">
        <f>IF($B4="",0,SUMPRODUCT(-('Gastos Gerais'!$F$4:$F$615='Gastos das Atividades'!$B4),-('Gastos das Atividades'!BA$3&gt;='Gastos Gerais'!$D$4:$D$615),-('Gastos das Atividades'!BA$3&lt;='Gastos Gerais'!$E$4:$E$615),-('Gastos Gerais'!$C$4:$C$615)))</f>
        <v>0</v>
      </c>
      <c r="BB4" s="73">
        <f>IF($B4="",0,SUMPRODUCT(-('Gastos Gerais'!$F$4:$F$615='Gastos das Atividades'!$B4),-('Gastos das Atividades'!BB$3&gt;='Gastos Gerais'!$D$4:$D$615),-('Gastos das Atividades'!BB$3&lt;='Gastos Gerais'!$E$4:$E$615),-('Gastos Gerais'!$C$4:$C$615)))</f>
        <v>0</v>
      </c>
      <c r="BC4" s="73">
        <f>IF($B4="",0,SUMPRODUCT(-('Gastos Gerais'!$F$4:$F$615='Gastos das Atividades'!$B4),-('Gastos das Atividades'!BC$3&gt;='Gastos Gerais'!$D$4:$D$615),-('Gastos das Atividades'!BC$3&lt;='Gastos Gerais'!$E$4:$E$615),-('Gastos Gerais'!$C$4:$C$615)))</f>
        <v>0</v>
      </c>
      <c r="BD4" s="73">
        <f>IF($B4="",0,SUMPRODUCT(-('Gastos Gerais'!$F$4:$F$615='Gastos das Atividades'!$B4),-('Gastos das Atividades'!BD$3&gt;='Gastos Gerais'!$D$4:$D$615),-('Gastos das Atividades'!BD$3&lt;='Gastos Gerais'!$E$4:$E$615),-('Gastos Gerais'!$C$4:$C$615)))</f>
        <v>0</v>
      </c>
      <c r="BE4" s="73">
        <f>IF($B4="",0,SUMPRODUCT(-('Gastos Gerais'!$F$4:$F$615='Gastos das Atividades'!$B4),-('Gastos das Atividades'!BE$3&gt;='Gastos Gerais'!$D$4:$D$615),-('Gastos das Atividades'!BE$3&lt;='Gastos Gerais'!$E$4:$E$615),-('Gastos Gerais'!$C$4:$C$615)))</f>
        <v>0</v>
      </c>
      <c r="BF4" s="73">
        <f>IF($B4="",0,SUMPRODUCT(-('Gastos Gerais'!$F$4:$F$615='Gastos das Atividades'!$B4),-('Gastos das Atividades'!BF$3&gt;='Gastos Gerais'!$D$4:$D$615),-('Gastos das Atividades'!BF$3&lt;='Gastos Gerais'!$E$4:$E$615),-('Gastos Gerais'!$C$4:$C$615)))</f>
        <v>0</v>
      </c>
      <c r="BG4" s="73">
        <f>IF($B4="",0,SUMPRODUCT(-('Gastos Gerais'!$F$4:$F$615='Gastos das Atividades'!$B4),-('Gastos das Atividades'!BG$3&gt;='Gastos Gerais'!$D$4:$D$615),-('Gastos das Atividades'!BG$3&lt;='Gastos Gerais'!$E$4:$E$615),-('Gastos Gerais'!$C$4:$C$615)))</f>
        <v>0</v>
      </c>
      <c r="BH4" s="73">
        <f>IF($B4="",0,SUMPRODUCT(-('Gastos Gerais'!$F$4:$F$615='Gastos das Atividades'!$B4),-('Gastos das Atividades'!BH$3&gt;='Gastos Gerais'!$D$4:$D$615),-('Gastos das Atividades'!BH$3&lt;='Gastos Gerais'!$E$4:$E$615),-('Gastos Gerais'!$C$4:$C$615)))</f>
        <v>0</v>
      </c>
      <c r="BI4" s="73">
        <f>IF($B4="",0,SUMPRODUCT(-('Gastos Gerais'!$F$4:$F$615='Gastos das Atividades'!$B4),-('Gastos das Atividades'!BI$3&gt;='Gastos Gerais'!$D$4:$D$615),-('Gastos das Atividades'!BI$3&lt;='Gastos Gerais'!$E$4:$E$615),-('Gastos Gerais'!$C$4:$C$615)))</f>
        <v>0</v>
      </c>
      <c r="BJ4" s="73">
        <f>IF($B4="",0,SUMPRODUCT(-('Gastos Gerais'!$F$4:$F$615='Gastos das Atividades'!$B4),-('Gastos das Atividades'!BJ$3&gt;='Gastos Gerais'!$D$4:$D$615),-('Gastos das Atividades'!BJ$3&lt;='Gastos Gerais'!$E$4:$E$615),-('Gastos Gerais'!$C$4:$C$615)))</f>
        <v>0</v>
      </c>
      <c r="BK4" s="73">
        <f>IF($B4="",0,SUMPRODUCT(-('Gastos Gerais'!$F$4:$F$615='Gastos das Atividades'!$B4),-('Gastos das Atividades'!BK$3&gt;='Gastos Gerais'!$D$4:$D$615),-('Gastos das Atividades'!BK$3&lt;='Gastos Gerais'!$E$4:$E$615),-('Gastos Gerais'!$C$4:$C$615)))</f>
        <v>0</v>
      </c>
      <c r="BL4" s="73">
        <f>IF($B4="",0,SUMPRODUCT(-('Gastos Gerais'!$F$4:$F$615='Gastos das Atividades'!$B4),-('Gastos das Atividades'!BL$3&gt;='Gastos Gerais'!$D$4:$D$615),-('Gastos das Atividades'!BL$3&lt;='Gastos Gerais'!$E$4:$E$615),-('Gastos Gerais'!$C$4:$C$615)))</f>
        <v>0</v>
      </c>
      <c r="BM4" s="73">
        <f>IF($B4="",0,SUMPRODUCT(-('Gastos Gerais'!$F$4:$F$615='Gastos das Atividades'!$B4),-('Gastos das Atividades'!BM$3&gt;='Gastos Gerais'!$D$4:$D$615),-('Gastos das Atividades'!BM$3&lt;='Gastos Gerais'!$E$4:$E$615),-('Gastos Gerais'!$C$4:$C$615)))</f>
        <v>0</v>
      </c>
      <c r="BN4" s="73">
        <f>IF($B4="",0,SUMPRODUCT(-('Gastos Gerais'!$F$4:$F$615='Gastos das Atividades'!$B4),-('Gastos das Atividades'!BN$3&gt;='Gastos Gerais'!$D$4:$D$615),-('Gastos das Atividades'!BN$3&lt;='Gastos Gerais'!$E$4:$E$615),-('Gastos Gerais'!$C$4:$C$615)))</f>
        <v>0</v>
      </c>
      <c r="BO4" s="73">
        <f>IF($B4="",0,SUMPRODUCT(-('Gastos Gerais'!$F$4:$F$615='Gastos das Atividades'!$B4),-('Gastos das Atividades'!BO$3&gt;='Gastos Gerais'!$D$4:$D$615),-('Gastos das Atividades'!BO$3&lt;='Gastos Gerais'!$E$4:$E$615),-('Gastos Gerais'!$C$4:$C$615)))</f>
        <v>0</v>
      </c>
      <c r="BP4" s="73">
        <f>IF($B4="",0,SUMPRODUCT(-('Gastos Gerais'!$F$4:$F$615='Gastos das Atividades'!$B4),-('Gastos das Atividades'!BP$3&gt;='Gastos Gerais'!$D$4:$D$615),-('Gastos das Atividades'!BP$3&lt;='Gastos Gerais'!$E$4:$E$615),-('Gastos Gerais'!$C$4:$C$615)))</f>
        <v>0</v>
      </c>
      <c r="BQ4" s="73">
        <f>IF($B4="",0,SUMPRODUCT(-('Gastos Gerais'!$F$4:$F$615='Gastos das Atividades'!$B4),-('Gastos das Atividades'!BQ$3&gt;='Gastos Gerais'!$D$4:$D$615),-('Gastos das Atividades'!BQ$3&lt;='Gastos Gerais'!$E$4:$E$615),-('Gastos Gerais'!$C$4:$C$615)))</f>
        <v>0</v>
      </c>
      <c r="BR4" s="73">
        <f>IF($B4="",0,SUMPRODUCT(-('Gastos Gerais'!$F$4:$F$615='Gastos das Atividades'!$B4),-('Gastos das Atividades'!BR$3&gt;='Gastos Gerais'!$D$4:$D$615),-('Gastos das Atividades'!BR$3&lt;='Gastos Gerais'!$E$4:$E$615),-('Gastos Gerais'!$C$4:$C$615)))</f>
        <v>0</v>
      </c>
      <c r="BS4" s="73">
        <f>IF($B4="",0,SUMPRODUCT(-('Gastos Gerais'!$F$4:$F$615='Gastos das Atividades'!$B4),-('Gastos das Atividades'!BS$3&gt;='Gastos Gerais'!$D$4:$D$615),-('Gastos das Atividades'!BS$3&lt;='Gastos Gerais'!$E$4:$E$615),-('Gastos Gerais'!$C$4:$C$615)))</f>
        <v>0</v>
      </c>
      <c r="BT4" s="73">
        <f>IF($B4="",0,SUMPRODUCT(-('Gastos Gerais'!$F$4:$F$615='Gastos das Atividades'!$B4),-('Gastos das Atividades'!BT$3&gt;='Gastos Gerais'!$D$4:$D$615),-('Gastos das Atividades'!BT$3&lt;='Gastos Gerais'!$E$4:$E$615),-('Gastos Gerais'!$C$4:$C$615)))</f>
        <v>0</v>
      </c>
      <c r="BU4" s="73">
        <f>IF($B4="",0,SUMPRODUCT(-('Gastos Gerais'!$F$4:$F$615='Gastos das Atividades'!$B4),-('Gastos das Atividades'!BU$3&gt;='Gastos Gerais'!$D$4:$D$615),-('Gastos das Atividades'!BU$3&lt;='Gastos Gerais'!$E$4:$E$615),-('Gastos Gerais'!$C$4:$C$615)))</f>
        <v>0</v>
      </c>
      <c r="BV4" s="73">
        <f>IF($B4="",0,SUMPRODUCT(-('Gastos Gerais'!$F$4:$F$615='Gastos das Atividades'!$B4),-('Gastos das Atividades'!BV$3&gt;='Gastos Gerais'!$D$4:$D$615),-('Gastos das Atividades'!BV$3&lt;='Gastos Gerais'!$E$4:$E$615),-('Gastos Gerais'!$C$4:$C$615)))</f>
        <v>0</v>
      </c>
      <c r="BW4" s="73">
        <f>IF($B4="",0,SUMPRODUCT(-('Gastos Gerais'!$F$4:$F$615='Gastos das Atividades'!$B4),-('Gastos das Atividades'!BW$3&gt;='Gastos Gerais'!$D$4:$D$615),-('Gastos das Atividades'!BW$3&lt;='Gastos Gerais'!$E$4:$E$615),-('Gastos Gerais'!$C$4:$C$615)))</f>
        <v>0</v>
      </c>
      <c r="BX4" s="73">
        <f>IF($B4="",0,SUMPRODUCT(-('Gastos Gerais'!$F$4:$F$615='Gastos das Atividades'!$B4),-('Gastos das Atividades'!BX$3&gt;='Gastos Gerais'!$D$4:$D$615),-('Gastos das Atividades'!BX$3&lt;='Gastos Gerais'!$E$4:$E$615),-('Gastos Gerais'!$C$4:$C$615)))</f>
        <v>0</v>
      </c>
    </row>
    <row r="5" spans="1:77" x14ac:dyDescent="0.2">
      <c r="A5" s="146">
        <v>2</v>
      </c>
      <c r="B5" s="164" t="s">
        <v>102</v>
      </c>
      <c r="C5" s="305">
        <v>0</v>
      </c>
      <c r="D5" s="357">
        <f t="shared" ref="D5:D32" si="10">SUMIFS($Q5:$BX5,$Q$3:$BX$3,"&gt;="&amp;E$3,$Q$3:$BX$3,"&lt;"&amp;(DATE(YEAR(E$3)+1,1,1)-1))</f>
        <v>2058000</v>
      </c>
      <c r="E5" s="144">
        <f t="shared" ref="E5:E33" si="11">SUM(C5:D5)</f>
        <v>2058000</v>
      </c>
      <c r="F5" s="73">
        <f t="shared" si="2"/>
        <v>2117300</v>
      </c>
      <c r="G5" s="73">
        <f t="shared" si="2"/>
        <v>2194300</v>
      </c>
      <c r="H5" s="73">
        <f t="shared" si="2"/>
        <v>0</v>
      </c>
      <c r="I5" s="73">
        <f t="shared" si="2"/>
        <v>0</v>
      </c>
      <c r="J5" s="145">
        <f t="shared" si="3"/>
        <v>6369600</v>
      </c>
      <c r="K5" s="76">
        <f t="shared" si="4"/>
        <v>1.9312233014008969E-2</v>
      </c>
      <c r="L5" s="76">
        <f t="shared" si="5"/>
        <v>1.9868703090651696E-2</v>
      </c>
      <c r="M5" s="76">
        <f t="shared" si="6"/>
        <v>2.0591269631992169E-2</v>
      </c>
      <c r="N5" s="76">
        <f t="shared" si="7"/>
        <v>0</v>
      </c>
      <c r="O5" s="76">
        <f t="shared" si="8"/>
        <v>0</v>
      </c>
      <c r="P5" s="209">
        <f t="shared" si="9"/>
        <v>5.9772205736652838E-2</v>
      </c>
      <c r="Q5" s="73">
        <f>IF($B5="",0,SUMPRODUCT(-('Gastos Gerais'!$F$4:$F$615='Gastos das Atividades'!$B5),-('Gastos das Atividades'!Q$3&gt;='Gastos Gerais'!$D$4:$D$615),-('Gastos das Atividades'!Q$3&lt;='Gastos Gerais'!$E$4:$E$615),-('Gastos Gerais'!$C$4:$C$615)))</f>
        <v>210600</v>
      </c>
      <c r="R5" s="73">
        <f>IF($B5="",0,SUMPRODUCT(-('Gastos Gerais'!$F$4:$F$615='Gastos das Atividades'!$B5),-('Gastos das Atividades'!R$3&gt;='Gastos Gerais'!$D$4:$D$615),-('Gastos das Atividades'!R$3&lt;='Gastos Gerais'!$E$4:$E$615),-('Gastos Gerais'!$C$4:$C$615)))</f>
        <v>163400</v>
      </c>
      <c r="S5" s="73">
        <f>IF($B5="",0,SUMPRODUCT(-('Gastos Gerais'!$F$4:$F$615='Gastos das Atividades'!$B5),-('Gastos das Atividades'!S$3&gt;='Gastos Gerais'!$D$4:$D$615),-('Gastos das Atividades'!S$3&lt;='Gastos Gerais'!$E$4:$E$615),-('Gastos Gerais'!$C$4:$C$615)))</f>
        <v>163400</v>
      </c>
      <c r="T5" s="73">
        <f>IF($B5="",0,SUMPRODUCT(-('Gastos Gerais'!$F$4:$F$615='Gastos das Atividades'!$B5),-('Gastos das Atividades'!T$3&gt;='Gastos Gerais'!$D$4:$D$615),-('Gastos das Atividades'!T$3&lt;='Gastos Gerais'!$E$4:$E$615),-('Gastos Gerais'!$C$4:$C$615)))</f>
        <v>163400</v>
      </c>
      <c r="U5" s="73">
        <f>IF($B5="",0,SUMPRODUCT(-('Gastos Gerais'!$F$4:$F$615='Gastos das Atividades'!$B5),-('Gastos das Atividades'!U$3&gt;='Gastos Gerais'!$D$4:$D$615),-('Gastos das Atividades'!U$3&lt;='Gastos Gerais'!$E$4:$E$615),-('Gastos Gerais'!$C$4:$C$615)))</f>
        <v>163400</v>
      </c>
      <c r="V5" s="73">
        <f>IF($B5="",0,SUMPRODUCT(-('Gastos Gerais'!$F$4:$F$615='Gastos das Atividades'!$B5),-('Gastos das Atividades'!V$3&gt;='Gastos Gerais'!$D$4:$D$615),-('Gastos das Atividades'!V$3&lt;='Gastos Gerais'!$E$4:$E$615),-('Gastos Gerais'!$C$4:$C$615)))</f>
        <v>213400</v>
      </c>
      <c r="W5" s="73">
        <f>IF($B5="",0,SUMPRODUCT(-('Gastos Gerais'!$F$4:$F$615='Gastos das Atividades'!$B5),-('Gastos das Atividades'!W$3&gt;='Gastos Gerais'!$D$4:$D$615),-('Gastos das Atividades'!W$3&lt;='Gastos Gerais'!$E$4:$E$615),-('Gastos Gerais'!$C$4:$C$615)))</f>
        <v>163400</v>
      </c>
      <c r="X5" s="73">
        <f>IF($B5="",0,SUMPRODUCT(-('Gastos Gerais'!$F$4:$F$615='Gastos das Atividades'!$B5),-('Gastos das Atividades'!X$3&gt;='Gastos Gerais'!$D$4:$D$615),-('Gastos das Atividades'!X$3&lt;='Gastos Gerais'!$E$4:$E$615),-('Gastos Gerais'!$C$4:$C$615)))</f>
        <v>163400</v>
      </c>
      <c r="Y5" s="73">
        <f>IF($B5="",0,SUMPRODUCT(-('Gastos Gerais'!$F$4:$F$615='Gastos das Atividades'!$B5),-('Gastos das Atividades'!Y$3&gt;='Gastos Gerais'!$D$4:$D$615),-('Gastos das Atividades'!Y$3&lt;='Gastos Gerais'!$E$4:$E$615),-('Gastos Gerais'!$C$4:$C$615)))</f>
        <v>163400</v>
      </c>
      <c r="Z5" s="73">
        <f>IF($B5="",0,SUMPRODUCT(-('Gastos Gerais'!$F$4:$F$615='Gastos das Atividades'!$B5),-('Gastos das Atividades'!Z$3&gt;='Gastos Gerais'!$D$4:$D$615),-('Gastos das Atividades'!Z$3&lt;='Gastos Gerais'!$E$4:$E$615),-('Gastos Gerais'!$C$4:$C$615)))</f>
        <v>163400</v>
      </c>
      <c r="AA5" s="73">
        <f>IF($B5="",0,SUMPRODUCT(-('Gastos Gerais'!$F$4:$F$615='Gastos das Atividades'!$B5),-('Gastos das Atividades'!AA$3&gt;='Gastos Gerais'!$D$4:$D$615),-('Gastos das Atividades'!AA$3&lt;='Gastos Gerais'!$E$4:$E$615),-('Gastos Gerais'!$C$4:$C$615)))</f>
        <v>163400</v>
      </c>
      <c r="AB5" s="73">
        <f>IF($B5="",0,SUMPRODUCT(-('Gastos Gerais'!$F$4:$F$615='Gastos das Atividades'!$B5),-('Gastos das Atividades'!AB$3&gt;='Gastos Gerais'!$D$4:$D$615),-('Gastos das Atividades'!AB$3&lt;='Gastos Gerais'!$E$4:$E$615),-('Gastos Gerais'!$C$4:$C$615)))</f>
        <v>163400</v>
      </c>
      <c r="AC5" s="73">
        <f>IF($B5="",0,SUMPRODUCT(-('Gastos Gerais'!$F$4:$F$615='Gastos das Atividades'!$B5),-('Gastos das Atividades'!AC$3&gt;='Gastos Gerais'!$D$4:$D$615),-('Gastos das Atividades'!AC$3&lt;='Gastos Gerais'!$E$4:$E$615),-('Gastos Gerais'!$C$4:$C$615)))</f>
        <v>264900</v>
      </c>
      <c r="AD5" s="73">
        <f>IF($B5="",0,SUMPRODUCT(-('Gastos Gerais'!$F$4:$F$615='Gastos das Atividades'!$B5),-('Gastos das Atividades'!AD$3&gt;='Gastos Gerais'!$D$4:$D$615),-('Gastos das Atividades'!AD$3&lt;='Gastos Gerais'!$E$4:$E$615),-('Gastos Gerais'!$C$4:$C$615)))</f>
        <v>168400</v>
      </c>
      <c r="AE5" s="73">
        <f>IF($B5="",0,SUMPRODUCT(-('Gastos Gerais'!$F$4:$F$615='Gastos das Atividades'!$B5),-('Gastos das Atividades'!AE$3&gt;='Gastos Gerais'!$D$4:$D$615),-('Gastos das Atividades'!AE$3&lt;='Gastos Gerais'!$E$4:$E$615),-('Gastos Gerais'!$C$4:$C$615)))</f>
        <v>168400</v>
      </c>
      <c r="AF5" s="73">
        <f>IF($B5="",0,SUMPRODUCT(-('Gastos Gerais'!$F$4:$F$615='Gastos das Atividades'!$B5),-('Gastos das Atividades'!AF$3&gt;='Gastos Gerais'!$D$4:$D$615),-('Gastos das Atividades'!AF$3&lt;='Gastos Gerais'!$E$4:$E$615),-('Gastos Gerais'!$C$4:$C$615)))</f>
        <v>168400</v>
      </c>
      <c r="AG5" s="73">
        <f>IF($B5="",0,SUMPRODUCT(-('Gastos Gerais'!$F$4:$F$615='Gastos das Atividades'!$B5),-('Gastos das Atividades'!AG$3&gt;='Gastos Gerais'!$D$4:$D$615),-('Gastos das Atividades'!AG$3&lt;='Gastos Gerais'!$E$4:$E$615),-('Gastos Gerais'!$C$4:$C$615)))</f>
        <v>168400</v>
      </c>
      <c r="AH5" s="73">
        <f>IF($B5="",0,SUMPRODUCT(-('Gastos Gerais'!$F$4:$F$615='Gastos das Atividades'!$B5),-('Gastos das Atividades'!AH$3&gt;='Gastos Gerais'!$D$4:$D$615),-('Gastos das Atividades'!AH$3&lt;='Gastos Gerais'!$E$4:$E$615),-('Gastos Gerais'!$C$4:$C$615)))</f>
        <v>168400</v>
      </c>
      <c r="AI5" s="73">
        <f>IF($B5="",0,SUMPRODUCT(-('Gastos Gerais'!$F$4:$F$615='Gastos das Atividades'!$B5),-('Gastos das Atividades'!AI$3&gt;='Gastos Gerais'!$D$4:$D$615),-('Gastos das Atividades'!AI$3&lt;='Gastos Gerais'!$E$4:$E$615),-('Gastos Gerais'!$C$4:$C$615)))</f>
        <v>168400</v>
      </c>
      <c r="AJ5" s="73">
        <f>IF($B5="",0,SUMPRODUCT(-('Gastos Gerais'!$F$4:$F$615='Gastos das Atividades'!$B5),-('Gastos das Atividades'!AJ$3&gt;='Gastos Gerais'!$D$4:$D$615),-('Gastos das Atividades'!AJ$3&lt;='Gastos Gerais'!$E$4:$E$615),-('Gastos Gerais'!$C$4:$C$615)))</f>
        <v>168400</v>
      </c>
      <c r="AK5" s="73">
        <f>IF($B5="",0,SUMPRODUCT(-('Gastos Gerais'!$F$4:$F$615='Gastos das Atividades'!$B5),-('Gastos das Atividades'!AK$3&gt;='Gastos Gerais'!$D$4:$D$615),-('Gastos das Atividades'!AK$3&lt;='Gastos Gerais'!$E$4:$E$615),-('Gastos Gerais'!$C$4:$C$615)))</f>
        <v>168400</v>
      </c>
      <c r="AL5" s="73">
        <f>IF($B5="",0,SUMPRODUCT(-('Gastos Gerais'!$F$4:$F$615='Gastos das Atividades'!$B5),-('Gastos das Atividades'!AL$3&gt;='Gastos Gerais'!$D$4:$D$615),-('Gastos das Atividades'!AL$3&lt;='Gastos Gerais'!$E$4:$E$615),-('Gastos Gerais'!$C$4:$C$615)))</f>
        <v>168400</v>
      </c>
      <c r="AM5" s="73">
        <f>IF($B5="",0,SUMPRODUCT(-('Gastos Gerais'!$F$4:$F$615='Gastos das Atividades'!$B5),-('Gastos das Atividades'!AM$3&gt;='Gastos Gerais'!$D$4:$D$615),-('Gastos das Atividades'!AM$3&lt;='Gastos Gerais'!$E$4:$E$615),-('Gastos Gerais'!$C$4:$C$615)))</f>
        <v>168400</v>
      </c>
      <c r="AN5" s="73">
        <f>IF($B5="",0,SUMPRODUCT(-('Gastos Gerais'!$F$4:$F$615='Gastos das Atividades'!$B5),-('Gastos das Atividades'!AN$3&gt;='Gastos Gerais'!$D$4:$D$615),-('Gastos das Atividades'!AN$3&lt;='Gastos Gerais'!$E$4:$E$615),-('Gastos Gerais'!$C$4:$C$615)))</f>
        <v>168400</v>
      </c>
      <c r="AO5" s="73">
        <f>IF($B5="",0,SUMPRODUCT(-('Gastos Gerais'!$F$4:$F$615='Gastos das Atividades'!$B5),-('Gastos das Atividades'!AO$3&gt;='Gastos Gerais'!$D$4:$D$615),-('Gastos das Atividades'!AO$3&lt;='Gastos Gerais'!$E$4:$E$615),-('Gastos Gerais'!$C$4:$C$615)))</f>
        <v>275900</v>
      </c>
      <c r="AP5" s="73">
        <f>IF($B5="",0,SUMPRODUCT(-('Gastos Gerais'!$F$4:$F$615='Gastos das Atividades'!$B5),-('Gastos das Atividades'!AP$3&gt;='Gastos Gerais'!$D$4:$D$615),-('Gastos das Atividades'!AP$3&lt;='Gastos Gerais'!$E$4:$E$615),-('Gastos Gerais'!$C$4:$C$615)))</f>
        <v>174400</v>
      </c>
      <c r="AQ5" s="73">
        <f>IF($B5="",0,SUMPRODUCT(-('Gastos Gerais'!$F$4:$F$615='Gastos das Atividades'!$B5),-('Gastos das Atividades'!AQ$3&gt;='Gastos Gerais'!$D$4:$D$615),-('Gastos das Atividades'!AQ$3&lt;='Gastos Gerais'!$E$4:$E$615),-('Gastos Gerais'!$C$4:$C$615)))</f>
        <v>174400</v>
      </c>
      <c r="AR5" s="73">
        <f>IF($B5="",0,SUMPRODUCT(-('Gastos Gerais'!$F$4:$F$615='Gastos das Atividades'!$B5),-('Gastos das Atividades'!AR$3&gt;='Gastos Gerais'!$D$4:$D$615),-('Gastos das Atividades'!AR$3&lt;='Gastos Gerais'!$E$4:$E$615),-('Gastos Gerais'!$C$4:$C$615)))</f>
        <v>174400</v>
      </c>
      <c r="AS5" s="73">
        <f>IF($B5="",0,SUMPRODUCT(-('Gastos Gerais'!$F$4:$F$615='Gastos das Atividades'!$B5),-('Gastos das Atividades'!AS$3&gt;='Gastos Gerais'!$D$4:$D$615),-('Gastos das Atividades'!AS$3&lt;='Gastos Gerais'!$E$4:$E$615),-('Gastos Gerais'!$C$4:$C$615)))</f>
        <v>174400</v>
      </c>
      <c r="AT5" s="73">
        <f>IF($B5="",0,SUMPRODUCT(-('Gastos Gerais'!$F$4:$F$615='Gastos das Atividades'!$B5),-('Gastos das Atividades'!AT$3&gt;='Gastos Gerais'!$D$4:$D$615),-('Gastos das Atividades'!AT$3&lt;='Gastos Gerais'!$E$4:$E$615),-('Gastos Gerais'!$C$4:$C$615)))</f>
        <v>174400</v>
      </c>
      <c r="AU5" s="73">
        <f>IF($B5="",0,SUMPRODUCT(-('Gastos Gerais'!$F$4:$F$615='Gastos das Atividades'!$B5),-('Gastos das Atividades'!AU$3&gt;='Gastos Gerais'!$D$4:$D$615),-('Gastos das Atividades'!AU$3&lt;='Gastos Gerais'!$E$4:$E$615),-('Gastos Gerais'!$C$4:$C$615)))</f>
        <v>174400</v>
      </c>
      <c r="AV5" s="73">
        <f>IF($B5="",0,SUMPRODUCT(-('Gastos Gerais'!$F$4:$F$615='Gastos das Atividades'!$B5),-('Gastos das Atividades'!AV$3&gt;='Gastos Gerais'!$D$4:$D$615),-('Gastos das Atividades'!AV$3&lt;='Gastos Gerais'!$E$4:$E$615),-('Gastos Gerais'!$C$4:$C$615)))</f>
        <v>174400</v>
      </c>
      <c r="AW5" s="73">
        <f>IF($B5="",0,SUMPRODUCT(-('Gastos Gerais'!$F$4:$F$615='Gastos das Atividades'!$B5),-('Gastos das Atividades'!AW$3&gt;='Gastos Gerais'!$D$4:$D$615),-('Gastos das Atividades'!AW$3&lt;='Gastos Gerais'!$E$4:$E$615),-('Gastos Gerais'!$C$4:$C$615)))</f>
        <v>174400</v>
      </c>
      <c r="AX5" s="73">
        <f>IF($B5="",0,SUMPRODUCT(-('Gastos Gerais'!$F$4:$F$615='Gastos das Atividades'!$B5),-('Gastos das Atividades'!AX$3&gt;='Gastos Gerais'!$D$4:$D$615),-('Gastos das Atividades'!AX$3&lt;='Gastos Gerais'!$E$4:$E$615),-('Gastos Gerais'!$C$4:$C$615)))</f>
        <v>174400</v>
      </c>
      <c r="AY5" s="73">
        <f>IF($B5="",0,SUMPRODUCT(-('Gastos Gerais'!$F$4:$F$615='Gastos das Atividades'!$B5),-('Gastos das Atividades'!AY$3&gt;='Gastos Gerais'!$D$4:$D$615),-('Gastos das Atividades'!AY$3&lt;='Gastos Gerais'!$E$4:$E$615),-('Gastos Gerais'!$C$4:$C$615)))</f>
        <v>174400</v>
      </c>
      <c r="AZ5" s="73">
        <f>IF($B5="",0,SUMPRODUCT(-('Gastos Gerais'!$F$4:$F$615='Gastos das Atividades'!$B5),-('Gastos das Atividades'!AZ$3&gt;='Gastos Gerais'!$D$4:$D$615),-('Gastos das Atividades'!AZ$3&lt;='Gastos Gerais'!$E$4:$E$615),-('Gastos Gerais'!$C$4:$C$615)))</f>
        <v>174400</v>
      </c>
      <c r="BA5" s="73">
        <f>IF($B5="",0,SUMPRODUCT(-('Gastos Gerais'!$F$4:$F$615='Gastos das Atividades'!$B5),-('Gastos das Atividades'!BA$3&gt;='Gastos Gerais'!$D$4:$D$615),-('Gastos das Atividades'!BA$3&lt;='Gastos Gerais'!$E$4:$E$615),-('Gastos Gerais'!$C$4:$C$615)))</f>
        <v>0</v>
      </c>
      <c r="BB5" s="73">
        <f>IF($B5="",0,SUMPRODUCT(-('Gastos Gerais'!$F$4:$F$615='Gastos das Atividades'!$B5),-('Gastos das Atividades'!BB$3&gt;='Gastos Gerais'!$D$4:$D$615),-('Gastos das Atividades'!BB$3&lt;='Gastos Gerais'!$E$4:$E$615),-('Gastos Gerais'!$C$4:$C$615)))</f>
        <v>0</v>
      </c>
      <c r="BC5" s="73">
        <f>IF($B5="",0,SUMPRODUCT(-('Gastos Gerais'!$F$4:$F$615='Gastos das Atividades'!$B5),-('Gastos das Atividades'!BC$3&gt;='Gastos Gerais'!$D$4:$D$615),-('Gastos das Atividades'!BC$3&lt;='Gastos Gerais'!$E$4:$E$615),-('Gastos Gerais'!$C$4:$C$615)))</f>
        <v>0</v>
      </c>
      <c r="BD5" s="73">
        <f>IF($B5="",0,SUMPRODUCT(-('Gastos Gerais'!$F$4:$F$615='Gastos das Atividades'!$B5),-('Gastos das Atividades'!BD$3&gt;='Gastos Gerais'!$D$4:$D$615),-('Gastos das Atividades'!BD$3&lt;='Gastos Gerais'!$E$4:$E$615),-('Gastos Gerais'!$C$4:$C$615)))</f>
        <v>0</v>
      </c>
      <c r="BE5" s="73">
        <f>IF($B5="",0,SUMPRODUCT(-('Gastos Gerais'!$F$4:$F$615='Gastos das Atividades'!$B5),-('Gastos das Atividades'!BE$3&gt;='Gastos Gerais'!$D$4:$D$615),-('Gastos das Atividades'!BE$3&lt;='Gastos Gerais'!$E$4:$E$615),-('Gastos Gerais'!$C$4:$C$615)))</f>
        <v>0</v>
      </c>
      <c r="BF5" s="73">
        <f>IF($B5="",0,SUMPRODUCT(-('Gastos Gerais'!$F$4:$F$615='Gastos das Atividades'!$B5),-('Gastos das Atividades'!BF$3&gt;='Gastos Gerais'!$D$4:$D$615),-('Gastos das Atividades'!BF$3&lt;='Gastos Gerais'!$E$4:$E$615),-('Gastos Gerais'!$C$4:$C$615)))</f>
        <v>0</v>
      </c>
      <c r="BG5" s="73">
        <f>IF($B5="",0,SUMPRODUCT(-('Gastos Gerais'!$F$4:$F$615='Gastos das Atividades'!$B5),-('Gastos das Atividades'!BG$3&gt;='Gastos Gerais'!$D$4:$D$615),-('Gastos das Atividades'!BG$3&lt;='Gastos Gerais'!$E$4:$E$615),-('Gastos Gerais'!$C$4:$C$615)))</f>
        <v>0</v>
      </c>
      <c r="BH5" s="73">
        <f>IF($B5="",0,SUMPRODUCT(-('Gastos Gerais'!$F$4:$F$615='Gastos das Atividades'!$B5),-('Gastos das Atividades'!BH$3&gt;='Gastos Gerais'!$D$4:$D$615),-('Gastos das Atividades'!BH$3&lt;='Gastos Gerais'!$E$4:$E$615),-('Gastos Gerais'!$C$4:$C$615)))</f>
        <v>0</v>
      </c>
      <c r="BI5" s="73">
        <f>IF($B5="",0,SUMPRODUCT(-('Gastos Gerais'!$F$4:$F$615='Gastos das Atividades'!$B5),-('Gastos das Atividades'!BI$3&gt;='Gastos Gerais'!$D$4:$D$615),-('Gastos das Atividades'!BI$3&lt;='Gastos Gerais'!$E$4:$E$615),-('Gastos Gerais'!$C$4:$C$615)))</f>
        <v>0</v>
      </c>
      <c r="BJ5" s="73">
        <f>IF($B5="",0,SUMPRODUCT(-('Gastos Gerais'!$F$4:$F$615='Gastos das Atividades'!$B5),-('Gastos das Atividades'!BJ$3&gt;='Gastos Gerais'!$D$4:$D$615),-('Gastos das Atividades'!BJ$3&lt;='Gastos Gerais'!$E$4:$E$615),-('Gastos Gerais'!$C$4:$C$615)))</f>
        <v>0</v>
      </c>
      <c r="BK5" s="73">
        <f>IF($B5="",0,SUMPRODUCT(-('Gastos Gerais'!$F$4:$F$615='Gastos das Atividades'!$B5),-('Gastos das Atividades'!BK$3&gt;='Gastos Gerais'!$D$4:$D$615),-('Gastos das Atividades'!BK$3&lt;='Gastos Gerais'!$E$4:$E$615),-('Gastos Gerais'!$C$4:$C$615)))</f>
        <v>0</v>
      </c>
      <c r="BL5" s="73">
        <f>IF($B5="",0,SUMPRODUCT(-('Gastos Gerais'!$F$4:$F$615='Gastos das Atividades'!$B5),-('Gastos das Atividades'!BL$3&gt;='Gastos Gerais'!$D$4:$D$615),-('Gastos das Atividades'!BL$3&lt;='Gastos Gerais'!$E$4:$E$615),-('Gastos Gerais'!$C$4:$C$615)))</f>
        <v>0</v>
      </c>
      <c r="BM5" s="73">
        <f>IF($B5="",0,SUMPRODUCT(-('Gastos Gerais'!$F$4:$F$615='Gastos das Atividades'!$B5),-('Gastos das Atividades'!BM$3&gt;='Gastos Gerais'!$D$4:$D$615),-('Gastos das Atividades'!BM$3&lt;='Gastos Gerais'!$E$4:$E$615),-('Gastos Gerais'!$C$4:$C$615)))</f>
        <v>0</v>
      </c>
      <c r="BN5" s="73">
        <f>IF($B5="",0,SUMPRODUCT(-('Gastos Gerais'!$F$4:$F$615='Gastos das Atividades'!$B5),-('Gastos das Atividades'!BN$3&gt;='Gastos Gerais'!$D$4:$D$615),-('Gastos das Atividades'!BN$3&lt;='Gastos Gerais'!$E$4:$E$615),-('Gastos Gerais'!$C$4:$C$615)))</f>
        <v>0</v>
      </c>
      <c r="BO5" s="73">
        <f>IF($B5="",0,SUMPRODUCT(-('Gastos Gerais'!$F$4:$F$615='Gastos das Atividades'!$B5),-('Gastos das Atividades'!BO$3&gt;='Gastos Gerais'!$D$4:$D$615),-('Gastos das Atividades'!BO$3&lt;='Gastos Gerais'!$E$4:$E$615),-('Gastos Gerais'!$C$4:$C$615)))</f>
        <v>0</v>
      </c>
      <c r="BP5" s="73">
        <f>IF($B5="",0,SUMPRODUCT(-('Gastos Gerais'!$F$4:$F$615='Gastos das Atividades'!$B5),-('Gastos das Atividades'!BP$3&gt;='Gastos Gerais'!$D$4:$D$615),-('Gastos das Atividades'!BP$3&lt;='Gastos Gerais'!$E$4:$E$615),-('Gastos Gerais'!$C$4:$C$615)))</f>
        <v>0</v>
      </c>
      <c r="BQ5" s="73">
        <f>IF($B5="",0,SUMPRODUCT(-('Gastos Gerais'!$F$4:$F$615='Gastos das Atividades'!$B5),-('Gastos das Atividades'!BQ$3&gt;='Gastos Gerais'!$D$4:$D$615),-('Gastos das Atividades'!BQ$3&lt;='Gastos Gerais'!$E$4:$E$615),-('Gastos Gerais'!$C$4:$C$615)))</f>
        <v>0</v>
      </c>
      <c r="BR5" s="73">
        <f>IF($B5="",0,SUMPRODUCT(-('Gastos Gerais'!$F$4:$F$615='Gastos das Atividades'!$B5),-('Gastos das Atividades'!BR$3&gt;='Gastos Gerais'!$D$4:$D$615),-('Gastos das Atividades'!BR$3&lt;='Gastos Gerais'!$E$4:$E$615),-('Gastos Gerais'!$C$4:$C$615)))</f>
        <v>0</v>
      </c>
      <c r="BS5" s="73">
        <f>IF($B5="",0,SUMPRODUCT(-('Gastos Gerais'!$F$4:$F$615='Gastos das Atividades'!$B5),-('Gastos das Atividades'!BS$3&gt;='Gastos Gerais'!$D$4:$D$615),-('Gastos das Atividades'!BS$3&lt;='Gastos Gerais'!$E$4:$E$615),-('Gastos Gerais'!$C$4:$C$615)))</f>
        <v>0</v>
      </c>
      <c r="BT5" s="73">
        <f>IF($B5="",0,SUMPRODUCT(-('Gastos Gerais'!$F$4:$F$615='Gastos das Atividades'!$B5),-('Gastos das Atividades'!BT$3&gt;='Gastos Gerais'!$D$4:$D$615),-('Gastos das Atividades'!BT$3&lt;='Gastos Gerais'!$E$4:$E$615),-('Gastos Gerais'!$C$4:$C$615)))</f>
        <v>0</v>
      </c>
      <c r="BU5" s="73">
        <f>IF($B5="",0,SUMPRODUCT(-('Gastos Gerais'!$F$4:$F$615='Gastos das Atividades'!$B5),-('Gastos das Atividades'!BU$3&gt;='Gastos Gerais'!$D$4:$D$615),-('Gastos das Atividades'!BU$3&lt;='Gastos Gerais'!$E$4:$E$615),-('Gastos Gerais'!$C$4:$C$615)))</f>
        <v>0</v>
      </c>
      <c r="BV5" s="73">
        <f>IF($B5="",0,SUMPRODUCT(-('Gastos Gerais'!$F$4:$F$615='Gastos das Atividades'!$B5),-('Gastos das Atividades'!BV$3&gt;='Gastos Gerais'!$D$4:$D$615),-('Gastos das Atividades'!BV$3&lt;='Gastos Gerais'!$E$4:$E$615),-('Gastos Gerais'!$C$4:$C$615)))</f>
        <v>0</v>
      </c>
      <c r="BW5" s="73">
        <f>IF($B5="",0,SUMPRODUCT(-('Gastos Gerais'!$F$4:$F$615='Gastos das Atividades'!$B5),-('Gastos das Atividades'!BW$3&gt;='Gastos Gerais'!$D$4:$D$615),-('Gastos das Atividades'!BW$3&lt;='Gastos Gerais'!$E$4:$E$615),-('Gastos Gerais'!$C$4:$C$615)))</f>
        <v>0</v>
      </c>
      <c r="BX5" s="73">
        <f>IF($B5="",0,SUMPRODUCT(-('Gastos Gerais'!$F$4:$F$615='Gastos das Atividades'!$B5),-('Gastos das Atividades'!BX$3&gt;='Gastos Gerais'!$D$4:$D$615),-('Gastos das Atividades'!BX$3&lt;='Gastos Gerais'!$E$4:$E$615),-('Gastos Gerais'!$C$4:$C$615)))</f>
        <v>0</v>
      </c>
    </row>
    <row r="6" spans="1:77" x14ac:dyDescent="0.2">
      <c r="A6" s="146">
        <v>3</v>
      </c>
      <c r="B6" s="164" t="s">
        <v>103</v>
      </c>
      <c r="C6" s="305">
        <v>0</v>
      </c>
      <c r="D6" s="357">
        <f t="shared" si="10"/>
        <v>3150160</v>
      </c>
      <c r="E6" s="144">
        <f t="shared" si="11"/>
        <v>3150160</v>
      </c>
      <c r="F6" s="73">
        <f t="shared" si="2"/>
        <v>3487460</v>
      </c>
      <c r="G6" s="73">
        <f t="shared" si="2"/>
        <v>3557460</v>
      </c>
      <c r="H6" s="73">
        <f t="shared" si="2"/>
        <v>0</v>
      </c>
      <c r="I6" s="73">
        <f t="shared" si="2"/>
        <v>0</v>
      </c>
      <c r="J6" s="145">
        <f t="shared" si="3"/>
        <v>10195080</v>
      </c>
      <c r="K6" s="76">
        <f t="shared" si="4"/>
        <v>2.9561041764533769E-2</v>
      </c>
      <c r="L6" s="76">
        <f t="shared" si="5"/>
        <v>3.2726258574847289E-2</v>
      </c>
      <c r="M6" s="76">
        <f t="shared" si="6"/>
        <v>3.3383137248793174E-2</v>
      </c>
      <c r="N6" s="76">
        <f t="shared" si="7"/>
        <v>0</v>
      </c>
      <c r="O6" s="76">
        <f t="shared" si="8"/>
        <v>0</v>
      </c>
      <c r="P6" s="209">
        <f t="shared" si="9"/>
        <v>9.5670437588174229E-2</v>
      </c>
      <c r="Q6" s="73">
        <f>IF($B6="",0,SUMPRODUCT(-('Gastos Gerais'!$F$4:$F$615='Gastos das Atividades'!$B6),-('Gastos das Atividades'!Q$3&gt;='Gastos Gerais'!$D$4:$D$615),-('Gastos das Atividades'!Q$3&lt;='Gastos Gerais'!$E$4:$E$615),-('Gastos Gerais'!$C$4:$C$615)))</f>
        <v>325155</v>
      </c>
      <c r="R6" s="73">
        <f>IF($B6="",0,SUMPRODUCT(-('Gastos Gerais'!$F$4:$F$615='Gastos das Atividades'!$B6),-('Gastos das Atividades'!R$3&gt;='Gastos Gerais'!$D$4:$D$615),-('Gastos das Atividades'!R$3&lt;='Gastos Gerais'!$E$4:$E$615),-('Gastos Gerais'!$C$4:$C$615)))</f>
        <v>227455</v>
      </c>
      <c r="S6" s="73">
        <f>IF($B6="",0,SUMPRODUCT(-('Gastos Gerais'!$F$4:$F$615='Gastos das Atividades'!$B6),-('Gastos das Atividades'!S$3&gt;='Gastos Gerais'!$D$4:$D$615),-('Gastos das Atividades'!S$3&lt;='Gastos Gerais'!$E$4:$E$615),-('Gastos Gerais'!$C$4:$C$615)))</f>
        <v>227455</v>
      </c>
      <c r="T6" s="73">
        <f>IF($B6="",0,SUMPRODUCT(-('Gastos Gerais'!$F$4:$F$615='Gastos das Atividades'!$B6),-('Gastos das Atividades'!T$3&gt;='Gastos Gerais'!$D$4:$D$615),-('Gastos das Atividades'!T$3&lt;='Gastos Gerais'!$E$4:$E$615),-('Gastos Gerais'!$C$4:$C$615)))</f>
        <v>250455</v>
      </c>
      <c r="U6" s="73">
        <f>IF($B6="",0,SUMPRODUCT(-('Gastos Gerais'!$F$4:$F$615='Gastos das Atividades'!$B6),-('Gastos das Atividades'!U$3&gt;='Gastos Gerais'!$D$4:$D$615),-('Gastos das Atividades'!U$3&lt;='Gastos Gerais'!$E$4:$E$615),-('Gastos Gerais'!$C$4:$C$615)))</f>
        <v>477455</v>
      </c>
      <c r="V6" s="73">
        <f>IF($B6="",0,SUMPRODUCT(-('Gastos Gerais'!$F$4:$F$615='Gastos das Atividades'!$B6),-('Gastos das Atividades'!V$3&gt;='Gastos Gerais'!$D$4:$D$615),-('Gastos das Atividades'!V$3&lt;='Gastos Gerais'!$E$4:$E$615),-('Gastos Gerais'!$C$4:$C$615)))</f>
        <v>277455</v>
      </c>
      <c r="W6" s="73">
        <f>IF($B6="",0,SUMPRODUCT(-('Gastos Gerais'!$F$4:$F$615='Gastos das Atividades'!$B6),-('Gastos das Atividades'!W$3&gt;='Gastos Gerais'!$D$4:$D$615),-('Gastos das Atividades'!W$3&lt;='Gastos Gerais'!$E$4:$E$615),-('Gastos Gerais'!$C$4:$C$615)))</f>
        <v>227455</v>
      </c>
      <c r="X6" s="73">
        <f>IF($B6="",0,SUMPRODUCT(-('Gastos Gerais'!$F$4:$F$615='Gastos das Atividades'!$B6),-('Gastos das Atividades'!X$3&gt;='Gastos Gerais'!$D$4:$D$615),-('Gastos das Atividades'!X$3&lt;='Gastos Gerais'!$E$4:$E$615),-('Gastos Gerais'!$C$4:$C$615)))</f>
        <v>227455</v>
      </c>
      <c r="Y6" s="73">
        <f>IF($B6="",0,SUMPRODUCT(-('Gastos Gerais'!$F$4:$F$615='Gastos das Atividades'!$B6),-('Gastos das Atividades'!Y$3&gt;='Gastos Gerais'!$D$4:$D$615),-('Gastos das Atividades'!Y$3&lt;='Gastos Gerais'!$E$4:$E$615),-('Gastos Gerais'!$C$4:$C$615)))</f>
        <v>227455</v>
      </c>
      <c r="Z6" s="73">
        <f>IF($B6="",0,SUMPRODUCT(-('Gastos Gerais'!$F$4:$F$615='Gastos das Atividades'!$B6),-('Gastos das Atividades'!Z$3&gt;='Gastos Gerais'!$D$4:$D$615),-('Gastos das Atividades'!Z$3&lt;='Gastos Gerais'!$E$4:$E$615),-('Gastos Gerais'!$C$4:$C$615)))</f>
        <v>227455</v>
      </c>
      <c r="AA6" s="73">
        <f>IF($B6="",0,SUMPRODUCT(-('Gastos Gerais'!$F$4:$F$615='Gastos das Atividades'!$B6),-('Gastos das Atividades'!AA$3&gt;='Gastos Gerais'!$D$4:$D$615),-('Gastos das Atividades'!AA$3&lt;='Gastos Gerais'!$E$4:$E$615),-('Gastos Gerais'!$C$4:$C$615)))</f>
        <v>227455</v>
      </c>
      <c r="AB6" s="73">
        <f>IF($B6="",0,SUMPRODUCT(-('Gastos Gerais'!$F$4:$F$615='Gastos das Atividades'!$B6),-('Gastos das Atividades'!AB$3&gt;='Gastos Gerais'!$D$4:$D$615),-('Gastos das Atividades'!AB$3&lt;='Gastos Gerais'!$E$4:$E$615),-('Gastos Gerais'!$C$4:$C$615)))</f>
        <v>227455</v>
      </c>
      <c r="AC6" s="73">
        <f>IF($B6="",0,SUMPRODUCT(-('Gastos Gerais'!$F$4:$F$615='Gastos das Atividades'!$B6),-('Gastos das Atividades'!AC$3&gt;='Gastos Gerais'!$D$4:$D$615),-('Gastos das Atividades'!AC$3&lt;='Gastos Gerais'!$E$4:$E$615),-('Gastos Gerais'!$C$4:$C$615)))</f>
        <v>392455</v>
      </c>
      <c r="AD6" s="73">
        <f>IF($B6="",0,SUMPRODUCT(-('Gastos Gerais'!$F$4:$F$615='Gastos das Atividades'!$B6),-('Gastos das Atividades'!AD$3&gt;='Gastos Gerais'!$D$4:$D$615),-('Gastos das Atividades'!AD$3&lt;='Gastos Gerais'!$E$4:$E$615),-('Gastos Gerais'!$C$4:$C$615)))</f>
        <v>247455</v>
      </c>
      <c r="AE6" s="73">
        <f>IF($B6="",0,SUMPRODUCT(-('Gastos Gerais'!$F$4:$F$615='Gastos das Atividades'!$B6),-('Gastos das Atividades'!AE$3&gt;='Gastos Gerais'!$D$4:$D$615),-('Gastos das Atividades'!AE$3&lt;='Gastos Gerais'!$E$4:$E$615),-('Gastos Gerais'!$C$4:$C$615)))</f>
        <v>247455</v>
      </c>
      <c r="AF6" s="73">
        <f>IF($B6="",0,SUMPRODUCT(-('Gastos Gerais'!$F$4:$F$615='Gastos das Atividades'!$B6),-('Gastos das Atividades'!AF$3&gt;='Gastos Gerais'!$D$4:$D$615),-('Gastos das Atividades'!AF$3&lt;='Gastos Gerais'!$E$4:$E$615),-('Gastos Gerais'!$C$4:$C$615)))</f>
        <v>620455</v>
      </c>
      <c r="AG6" s="73">
        <f>IF($B6="",0,SUMPRODUCT(-('Gastos Gerais'!$F$4:$F$615='Gastos das Atividades'!$B6),-('Gastos das Atividades'!AG$3&gt;='Gastos Gerais'!$D$4:$D$615),-('Gastos das Atividades'!AG$3&lt;='Gastos Gerais'!$E$4:$E$615),-('Gastos Gerais'!$C$4:$C$615)))</f>
        <v>247455</v>
      </c>
      <c r="AH6" s="73">
        <f>IF($B6="",0,SUMPRODUCT(-('Gastos Gerais'!$F$4:$F$615='Gastos das Atividades'!$B6),-('Gastos das Atividades'!AH$3&gt;='Gastos Gerais'!$D$4:$D$615),-('Gastos das Atividades'!AH$3&lt;='Gastos Gerais'!$E$4:$E$615),-('Gastos Gerais'!$C$4:$C$615)))</f>
        <v>247455</v>
      </c>
      <c r="AI6" s="73">
        <f>IF($B6="",0,SUMPRODUCT(-('Gastos Gerais'!$F$4:$F$615='Gastos das Atividades'!$B6),-('Gastos das Atividades'!AI$3&gt;='Gastos Gerais'!$D$4:$D$615),-('Gastos das Atividades'!AI$3&lt;='Gastos Gerais'!$E$4:$E$615),-('Gastos Gerais'!$C$4:$C$615)))</f>
        <v>247455</v>
      </c>
      <c r="AJ6" s="73">
        <f>IF($B6="",0,SUMPRODUCT(-('Gastos Gerais'!$F$4:$F$615='Gastos das Atividades'!$B6),-('Gastos das Atividades'!AJ$3&gt;='Gastos Gerais'!$D$4:$D$615),-('Gastos das Atividades'!AJ$3&lt;='Gastos Gerais'!$E$4:$E$615),-('Gastos Gerais'!$C$4:$C$615)))</f>
        <v>247455</v>
      </c>
      <c r="AK6" s="73">
        <f>IF($B6="",0,SUMPRODUCT(-('Gastos Gerais'!$F$4:$F$615='Gastos das Atividades'!$B6),-('Gastos das Atividades'!AK$3&gt;='Gastos Gerais'!$D$4:$D$615),-('Gastos das Atividades'!AK$3&lt;='Gastos Gerais'!$E$4:$E$615),-('Gastos Gerais'!$C$4:$C$615)))</f>
        <v>247455</v>
      </c>
      <c r="AL6" s="73">
        <f>IF($B6="",0,SUMPRODUCT(-('Gastos Gerais'!$F$4:$F$615='Gastos das Atividades'!$B6),-('Gastos das Atividades'!AL$3&gt;='Gastos Gerais'!$D$4:$D$615),-('Gastos das Atividades'!AL$3&lt;='Gastos Gerais'!$E$4:$E$615),-('Gastos Gerais'!$C$4:$C$615)))</f>
        <v>247455</v>
      </c>
      <c r="AM6" s="73">
        <f>IF($B6="",0,SUMPRODUCT(-('Gastos Gerais'!$F$4:$F$615='Gastos das Atividades'!$B6),-('Gastos das Atividades'!AM$3&gt;='Gastos Gerais'!$D$4:$D$615),-('Gastos das Atividades'!AM$3&lt;='Gastos Gerais'!$E$4:$E$615),-('Gastos Gerais'!$C$4:$C$615)))</f>
        <v>247455</v>
      </c>
      <c r="AN6" s="73">
        <f>IF($B6="",0,SUMPRODUCT(-('Gastos Gerais'!$F$4:$F$615='Gastos das Atividades'!$B6),-('Gastos das Atividades'!AN$3&gt;='Gastos Gerais'!$D$4:$D$615),-('Gastos das Atividades'!AN$3&lt;='Gastos Gerais'!$E$4:$E$615),-('Gastos Gerais'!$C$4:$C$615)))</f>
        <v>247455</v>
      </c>
      <c r="AO6" s="73">
        <f>IF($B6="",0,SUMPRODUCT(-('Gastos Gerais'!$F$4:$F$615='Gastos das Atividades'!$B6),-('Gastos das Atividades'!AO$3&gt;='Gastos Gerais'!$D$4:$D$615),-('Gastos das Atividades'!AO$3&lt;='Gastos Gerais'!$E$4:$E$615),-('Gastos Gerais'!$C$4:$C$615)))</f>
        <v>702455</v>
      </c>
      <c r="AP6" s="73">
        <f>IF($B6="",0,SUMPRODUCT(-('Gastos Gerais'!$F$4:$F$615='Gastos das Atividades'!$B6),-('Gastos das Atividades'!AP$3&gt;='Gastos Gerais'!$D$4:$D$615),-('Gastos das Atividades'!AP$3&lt;='Gastos Gerais'!$E$4:$E$615),-('Gastos Gerais'!$C$4:$C$615)))</f>
        <v>257455</v>
      </c>
      <c r="AQ6" s="73">
        <f>IF($B6="",0,SUMPRODUCT(-('Gastos Gerais'!$F$4:$F$615='Gastos das Atividades'!$B6),-('Gastos das Atividades'!AQ$3&gt;='Gastos Gerais'!$D$4:$D$615),-('Gastos das Atividades'!AQ$3&lt;='Gastos Gerais'!$E$4:$E$615),-('Gastos Gerais'!$C$4:$C$615)))</f>
        <v>257455</v>
      </c>
      <c r="AR6" s="73">
        <f>IF($B6="",0,SUMPRODUCT(-('Gastos Gerais'!$F$4:$F$615='Gastos das Atividades'!$B6),-('Gastos das Atividades'!AR$3&gt;='Gastos Gerais'!$D$4:$D$615),-('Gastos das Atividades'!AR$3&lt;='Gastos Gerais'!$E$4:$E$615),-('Gastos Gerais'!$C$4:$C$615)))</f>
        <v>280455</v>
      </c>
      <c r="AS6" s="73">
        <f>IF($B6="",0,SUMPRODUCT(-('Gastos Gerais'!$F$4:$F$615='Gastos das Atividades'!$B6),-('Gastos das Atividades'!AS$3&gt;='Gastos Gerais'!$D$4:$D$615),-('Gastos das Atividades'!AS$3&lt;='Gastos Gerais'!$E$4:$E$615),-('Gastos Gerais'!$C$4:$C$615)))</f>
        <v>257455</v>
      </c>
      <c r="AT6" s="73">
        <f>IF($B6="",0,SUMPRODUCT(-('Gastos Gerais'!$F$4:$F$615='Gastos das Atividades'!$B6),-('Gastos das Atividades'!AT$3&gt;='Gastos Gerais'!$D$4:$D$615),-('Gastos das Atividades'!AT$3&lt;='Gastos Gerais'!$E$4:$E$615),-('Gastos Gerais'!$C$4:$C$615)))</f>
        <v>257455</v>
      </c>
      <c r="AU6" s="73">
        <f>IF($B6="",0,SUMPRODUCT(-('Gastos Gerais'!$F$4:$F$615='Gastos das Atividades'!$B6),-('Gastos das Atividades'!AU$3&gt;='Gastos Gerais'!$D$4:$D$615),-('Gastos das Atividades'!AU$3&lt;='Gastos Gerais'!$E$4:$E$615),-('Gastos Gerais'!$C$4:$C$615)))</f>
        <v>257455</v>
      </c>
      <c r="AV6" s="73">
        <f>IF($B6="",0,SUMPRODUCT(-('Gastos Gerais'!$F$4:$F$615='Gastos das Atividades'!$B6),-('Gastos das Atividades'!AV$3&gt;='Gastos Gerais'!$D$4:$D$615),-('Gastos das Atividades'!AV$3&lt;='Gastos Gerais'!$E$4:$E$615),-('Gastos Gerais'!$C$4:$C$615)))</f>
        <v>257455</v>
      </c>
      <c r="AW6" s="73">
        <f>IF($B6="",0,SUMPRODUCT(-('Gastos Gerais'!$F$4:$F$615='Gastos das Atividades'!$B6),-('Gastos das Atividades'!AW$3&gt;='Gastos Gerais'!$D$4:$D$615),-('Gastos das Atividades'!AW$3&lt;='Gastos Gerais'!$E$4:$E$615),-('Gastos Gerais'!$C$4:$C$615)))</f>
        <v>257455</v>
      </c>
      <c r="AX6" s="73">
        <f>IF($B6="",0,SUMPRODUCT(-('Gastos Gerais'!$F$4:$F$615='Gastos das Atividades'!$B6),-('Gastos das Atividades'!AX$3&gt;='Gastos Gerais'!$D$4:$D$615),-('Gastos das Atividades'!AX$3&lt;='Gastos Gerais'!$E$4:$E$615),-('Gastos Gerais'!$C$4:$C$615)))</f>
        <v>257455</v>
      </c>
      <c r="AY6" s="73">
        <f>IF($B6="",0,SUMPRODUCT(-('Gastos Gerais'!$F$4:$F$615='Gastos das Atividades'!$B6),-('Gastos das Atividades'!AY$3&gt;='Gastos Gerais'!$D$4:$D$615),-('Gastos das Atividades'!AY$3&lt;='Gastos Gerais'!$E$4:$E$615),-('Gastos Gerais'!$C$4:$C$615)))</f>
        <v>257455</v>
      </c>
      <c r="AZ6" s="73">
        <f>IF($B6="",0,SUMPRODUCT(-('Gastos Gerais'!$F$4:$F$615='Gastos das Atividades'!$B6),-('Gastos das Atividades'!AZ$3&gt;='Gastos Gerais'!$D$4:$D$615),-('Gastos das Atividades'!AZ$3&lt;='Gastos Gerais'!$E$4:$E$615),-('Gastos Gerais'!$C$4:$C$615)))</f>
        <v>257455</v>
      </c>
      <c r="BA6" s="73">
        <f>IF($B6="",0,SUMPRODUCT(-('Gastos Gerais'!$F$4:$F$615='Gastos das Atividades'!$B6),-('Gastos das Atividades'!BA$3&gt;='Gastos Gerais'!$D$4:$D$615),-('Gastos das Atividades'!BA$3&lt;='Gastos Gerais'!$E$4:$E$615),-('Gastos Gerais'!$C$4:$C$615)))</f>
        <v>0</v>
      </c>
      <c r="BB6" s="73">
        <f>IF($B6="",0,SUMPRODUCT(-('Gastos Gerais'!$F$4:$F$615='Gastos das Atividades'!$B6),-('Gastos das Atividades'!BB$3&gt;='Gastos Gerais'!$D$4:$D$615),-('Gastos das Atividades'!BB$3&lt;='Gastos Gerais'!$E$4:$E$615),-('Gastos Gerais'!$C$4:$C$615)))</f>
        <v>0</v>
      </c>
      <c r="BC6" s="73">
        <f>IF($B6="",0,SUMPRODUCT(-('Gastos Gerais'!$F$4:$F$615='Gastos das Atividades'!$B6),-('Gastos das Atividades'!BC$3&gt;='Gastos Gerais'!$D$4:$D$615),-('Gastos das Atividades'!BC$3&lt;='Gastos Gerais'!$E$4:$E$615),-('Gastos Gerais'!$C$4:$C$615)))</f>
        <v>0</v>
      </c>
      <c r="BD6" s="73">
        <f>IF($B6="",0,SUMPRODUCT(-('Gastos Gerais'!$F$4:$F$615='Gastos das Atividades'!$B6),-('Gastos das Atividades'!BD$3&gt;='Gastos Gerais'!$D$4:$D$615),-('Gastos das Atividades'!BD$3&lt;='Gastos Gerais'!$E$4:$E$615),-('Gastos Gerais'!$C$4:$C$615)))</f>
        <v>0</v>
      </c>
      <c r="BE6" s="73">
        <f>IF($B6="",0,SUMPRODUCT(-('Gastos Gerais'!$F$4:$F$615='Gastos das Atividades'!$B6),-('Gastos das Atividades'!BE$3&gt;='Gastos Gerais'!$D$4:$D$615),-('Gastos das Atividades'!BE$3&lt;='Gastos Gerais'!$E$4:$E$615),-('Gastos Gerais'!$C$4:$C$615)))</f>
        <v>0</v>
      </c>
      <c r="BF6" s="73">
        <f>IF($B6="",0,SUMPRODUCT(-('Gastos Gerais'!$F$4:$F$615='Gastos das Atividades'!$B6),-('Gastos das Atividades'!BF$3&gt;='Gastos Gerais'!$D$4:$D$615),-('Gastos das Atividades'!BF$3&lt;='Gastos Gerais'!$E$4:$E$615),-('Gastos Gerais'!$C$4:$C$615)))</f>
        <v>0</v>
      </c>
      <c r="BG6" s="73">
        <f>IF($B6="",0,SUMPRODUCT(-('Gastos Gerais'!$F$4:$F$615='Gastos das Atividades'!$B6),-('Gastos das Atividades'!BG$3&gt;='Gastos Gerais'!$D$4:$D$615),-('Gastos das Atividades'!BG$3&lt;='Gastos Gerais'!$E$4:$E$615),-('Gastos Gerais'!$C$4:$C$615)))</f>
        <v>0</v>
      </c>
      <c r="BH6" s="73">
        <f>IF($B6="",0,SUMPRODUCT(-('Gastos Gerais'!$F$4:$F$615='Gastos das Atividades'!$B6),-('Gastos das Atividades'!BH$3&gt;='Gastos Gerais'!$D$4:$D$615),-('Gastos das Atividades'!BH$3&lt;='Gastos Gerais'!$E$4:$E$615),-('Gastos Gerais'!$C$4:$C$615)))</f>
        <v>0</v>
      </c>
      <c r="BI6" s="73">
        <f>IF($B6="",0,SUMPRODUCT(-('Gastos Gerais'!$F$4:$F$615='Gastos das Atividades'!$B6),-('Gastos das Atividades'!BI$3&gt;='Gastos Gerais'!$D$4:$D$615),-('Gastos das Atividades'!BI$3&lt;='Gastos Gerais'!$E$4:$E$615),-('Gastos Gerais'!$C$4:$C$615)))</f>
        <v>0</v>
      </c>
      <c r="BJ6" s="73">
        <f>IF($B6="",0,SUMPRODUCT(-('Gastos Gerais'!$F$4:$F$615='Gastos das Atividades'!$B6),-('Gastos das Atividades'!BJ$3&gt;='Gastos Gerais'!$D$4:$D$615),-('Gastos das Atividades'!BJ$3&lt;='Gastos Gerais'!$E$4:$E$615),-('Gastos Gerais'!$C$4:$C$615)))</f>
        <v>0</v>
      </c>
      <c r="BK6" s="73">
        <f>IF($B6="",0,SUMPRODUCT(-('Gastos Gerais'!$F$4:$F$615='Gastos das Atividades'!$B6),-('Gastos das Atividades'!BK$3&gt;='Gastos Gerais'!$D$4:$D$615),-('Gastos das Atividades'!BK$3&lt;='Gastos Gerais'!$E$4:$E$615),-('Gastos Gerais'!$C$4:$C$615)))</f>
        <v>0</v>
      </c>
      <c r="BL6" s="73">
        <f>IF($B6="",0,SUMPRODUCT(-('Gastos Gerais'!$F$4:$F$615='Gastos das Atividades'!$B6),-('Gastos das Atividades'!BL$3&gt;='Gastos Gerais'!$D$4:$D$615),-('Gastos das Atividades'!BL$3&lt;='Gastos Gerais'!$E$4:$E$615),-('Gastos Gerais'!$C$4:$C$615)))</f>
        <v>0</v>
      </c>
      <c r="BM6" s="73">
        <f>IF($B6="",0,SUMPRODUCT(-('Gastos Gerais'!$F$4:$F$615='Gastos das Atividades'!$B6),-('Gastos das Atividades'!BM$3&gt;='Gastos Gerais'!$D$4:$D$615),-('Gastos das Atividades'!BM$3&lt;='Gastos Gerais'!$E$4:$E$615),-('Gastos Gerais'!$C$4:$C$615)))</f>
        <v>0</v>
      </c>
      <c r="BN6" s="73">
        <f>IF($B6="",0,SUMPRODUCT(-('Gastos Gerais'!$F$4:$F$615='Gastos das Atividades'!$B6),-('Gastos das Atividades'!BN$3&gt;='Gastos Gerais'!$D$4:$D$615),-('Gastos das Atividades'!BN$3&lt;='Gastos Gerais'!$E$4:$E$615),-('Gastos Gerais'!$C$4:$C$615)))</f>
        <v>0</v>
      </c>
      <c r="BO6" s="73">
        <f>IF($B6="",0,SUMPRODUCT(-('Gastos Gerais'!$F$4:$F$615='Gastos das Atividades'!$B6),-('Gastos das Atividades'!BO$3&gt;='Gastos Gerais'!$D$4:$D$615),-('Gastos das Atividades'!BO$3&lt;='Gastos Gerais'!$E$4:$E$615),-('Gastos Gerais'!$C$4:$C$615)))</f>
        <v>0</v>
      </c>
      <c r="BP6" s="73">
        <f>IF($B6="",0,SUMPRODUCT(-('Gastos Gerais'!$F$4:$F$615='Gastos das Atividades'!$B6),-('Gastos das Atividades'!BP$3&gt;='Gastos Gerais'!$D$4:$D$615),-('Gastos das Atividades'!BP$3&lt;='Gastos Gerais'!$E$4:$E$615),-('Gastos Gerais'!$C$4:$C$615)))</f>
        <v>0</v>
      </c>
      <c r="BQ6" s="73">
        <f>IF($B6="",0,SUMPRODUCT(-('Gastos Gerais'!$F$4:$F$615='Gastos das Atividades'!$B6),-('Gastos das Atividades'!BQ$3&gt;='Gastos Gerais'!$D$4:$D$615),-('Gastos das Atividades'!BQ$3&lt;='Gastos Gerais'!$E$4:$E$615),-('Gastos Gerais'!$C$4:$C$615)))</f>
        <v>0</v>
      </c>
      <c r="BR6" s="73">
        <f>IF($B6="",0,SUMPRODUCT(-('Gastos Gerais'!$F$4:$F$615='Gastos das Atividades'!$B6),-('Gastos das Atividades'!BR$3&gt;='Gastos Gerais'!$D$4:$D$615),-('Gastos das Atividades'!BR$3&lt;='Gastos Gerais'!$E$4:$E$615),-('Gastos Gerais'!$C$4:$C$615)))</f>
        <v>0</v>
      </c>
      <c r="BS6" s="73">
        <f>IF($B6="",0,SUMPRODUCT(-('Gastos Gerais'!$F$4:$F$615='Gastos das Atividades'!$B6),-('Gastos das Atividades'!BS$3&gt;='Gastos Gerais'!$D$4:$D$615),-('Gastos das Atividades'!BS$3&lt;='Gastos Gerais'!$E$4:$E$615),-('Gastos Gerais'!$C$4:$C$615)))</f>
        <v>0</v>
      </c>
      <c r="BT6" s="73">
        <f>IF($B6="",0,SUMPRODUCT(-('Gastos Gerais'!$F$4:$F$615='Gastos das Atividades'!$B6),-('Gastos das Atividades'!BT$3&gt;='Gastos Gerais'!$D$4:$D$615),-('Gastos das Atividades'!BT$3&lt;='Gastos Gerais'!$E$4:$E$615),-('Gastos Gerais'!$C$4:$C$615)))</f>
        <v>0</v>
      </c>
      <c r="BU6" s="73">
        <f>IF($B6="",0,SUMPRODUCT(-('Gastos Gerais'!$F$4:$F$615='Gastos das Atividades'!$B6),-('Gastos das Atividades'!BU$3&gt;='Gastos Gerais'!$D$4:$D$615),-('Gastos das Atividades'!BU$3&lt;='Gastos Gerais'!$E$4:$E$615),-('Gastos Gerais'!$C$4:$C$615)))</f>
        <v>0</v>
      </c>
      <c r="BV6" s="73">
        <f>IF($B6="",0,SUMPRODUCT(-('Gastos Gerais'!$F$4:$F$615='Gastos das Atividades'!$B6),-('Gastos das Atividades'!BV$3&gt;='Gastos Gerais'!$D$4:$D$615),-('Gastos das Atividades'!BV$3&lt;='Gastos Gerais'!$E$4:$E$615),-('Gastos Gerais'!$C$4:$C$615)))</f>
        <v>0</v>
      </c>
      <c r="BW6" s="73">
        <f>IF($B6="",0,SUMPRODUCT(-('Gastos Gerais'!$F$4:$F$615='Gastos das Atividades'!$B6),-('Gastos das Atividades'!BW$3&gt;='Gastos Gerais'!$D$4:$D$615),-('Gastos das Atividades'!BW$3&lt;='Gastos Gerais'!$E$4:$E$615),-('Gastos Gerais'!$C$4:$C$615)))</f>
        <v>0</v>
      </c>
      <c r="BX6" s="73">
        <f>IF($B6="",0,SUMPRODUCT(-('Gastos Gerais'!$F$4:$F$615='Gastos das Atividades'!$B6),-('Gastos das Atividades'!BX$3&gt;='Gastos Gerais'!$D$4:$D$615),-('Gastos das Atividades'!BX$3&lt;='Gastos Gerais'!$E$4:$E$615),-('Gastos Gerais'!$C$4:$C$615)))</f>
        <v>0</v>
      </c>
    </row>
    <row r="7" spans="1:77" x14ac:dyDescent="0.2">
      <c r="A7" s="146">
        <v>4</v>
      </c>
      <c r="B7" s="164" t="s">
        <v>104</v>
      </c>
      <c r="C7" s="305">
        <v>0</v>
      </c>
      <c r="D7" s="357">
        <f t="shared" si="10"/>
        <v>2080000</v>
      </c>
      <c r="E7" s="144">
        <f t="shared" si="11"/>
        <v>2080000</v>
      </c>
      <c r="F7" s="73">
        <f t="shared" si="2"/>
        <v>2344300</v>
      </c>
      <c r="G7" s="73">
        <f t="shared" si="2"/>
        <v>2211300</v>
      </c>
      <c r="H7" s="73">
        <f t="shared" si="2"/>
        <v>0</v>
      </c>
      <c r="I7" s="73">
        <f t="shared" si="2"/>
        <v>0</v>
      </c>
      <c r="J7" s="145">
        <f t="shared" si="3"/>
        <v>6635600</v>
      </c>
      <c r="K7" s="76">
        <f t="shared" si="4"/>
        <v>1.9518680597249104E-2</v>
      </c>
      <c r="L7" s="76">
        <f t="shared" si="5"/>
        <v>2.1998866790447633E-2</v>
      </c>
      <c r="M7" s="76">
        <f t="shared" si="6"/>
        <v>2.0750797309950456E-2</v>
      </c>
      <c r="N7" s="76">
        <f t="shared" si="7"/>
        <v>0</v>
      </c>
      <c r="O7" s="76">
        <f t="shared" si="8"/>
        <v>0</v>
      </c>
      <c r="P7" s="209">
        <f t="shared" si="9"/>
        <v>6.2268344697647193E-2</v>
      </c>
      <c r="Q7" s="73">
        <f>IF($B7="",0,SUMPRODUCT(-('Gastos Gerais'!$F$4:$F$615='Gastos das Atividades'!$B7),-('Gastos das Atividades'!Q$3&gt;='Gastos Gerais'!$D$4:$D$615),-('Gastos das Atividades'!Q$3&lt;='Gastos Gerais'!$E$4:$E$615),-('Gastos Gerais'!$C$4:$C$615)))</f>
        <v>248100</v>
      </c>
      <c r="R7" s="73">
        <f>IF($B7="",0,SUMPRODUCT(-('Gastos Gerais'!$F$4:$F$615='Gastos das Atividades'!$B7),-('Gastos das Atividades'!R$3&gt;='Gastos Gerais'!$D$4:$D$615),-('Gastos das Atividades'!R$3&lt;='Gastos Gerais'!$E$4:$E$615),-('Gastos Gerais'!$C$4:$C$615)))</f>
        <v>162900</v>
      </c>
      <c r="S7" s="73">
        <f>IF($B7="",0,SUMPRODUCT(-('Gastos Gerais'!$F$4:$F$615='Gastos das Atividades'!$B7),-('Gastos das Atividades'!S$3&gt;='Gastos Gerais'!$D$4:$D$615),-('Gastos das Atividades'!S$3&lt;='Gastos Gerais'!$E$4:$E$615),-('Gastos Gerais'!$C$4:$C$615)))</f>
        <v>162900</v>
      </c>
      <c r="T7" s="73">
        <f>IF($B7="",0,SUMPRODUCT(-('Gastos Gerais'!$F$4:$F$615='Gastos das Atividades'!$B7),-('Gastos das Atividades'!T$3&gt;='Gastos Gerais'!$D$4:$D$615),-('Gastos das Atividades'!T$3&lt;='Gastos Gerais'!$E$4:$E$615),-('Gastos Gerais'!$C$4:$C$615)))</f>
        <v>182900</v>
      </c>
      <c r="U7" s="73">
        <f>IF($B7="",0,SUMPRODUCT(-('Gastos Gerais'!$F$4:$F$615='Gastos das Atividades'!$B7),-('Gastos das Atividades'!U$3&gt;='Gastos Gerais'!$D$4:$D$615),-('Gastos das Atividades'!U$3&lt;='Gastos Gerais'!$E$4:$E$615),-('Gastos Gerais'!$C$4:$C$615)))</f>
        <v>162900</v>
      </c>
      <c r="V7" s="73">
        <f>IF($B7="",0,SUMPRODUCT(-('Gastos Gerais'!$F$4:$F$615='Gastos das Atividades'!$B7),-('Gastos das Atividades'!V$3&gt;='Gastos Gerais'!$D$4:$D$615),-('Gastos das Atividades'!V$3&lt;='Gastos Gerais'!$E$4:$E$615),-('Gastos Gerais'!$C$4:$C$615)))</f>
        <v>182900</v>
      </c>
      <c r="W7" s="73">
        <f>IF($B7="",0,SUMPRODUCT(-('Gastos Gerais'!$F$4:$F$615='Gastos das Atividades'!$B7),-('Gastos das Atividades'!W$3&gt;='Gastos Gerais'!$D$4:$D$615),-('Gastos das Atividades'!W$3&lt;='Gastos Gerais'!$E$4:$E$615),-('Gastos Gerais'!$C$4:$C$615)))</f>
        <v>162900</v>
      </c>
      <c r="X7" s="73">
        <f>IF($B7="",0,SUMPRODUCT(-('Gastos Gerais'!$F$4:$F$615='Gastos das Atividades'!$B7),-('Gastos das Atividades'!X$3&gt;='Gastos Gerais'!$D$4:$D$615),-('Gastos das Atividades'!X$3&lt;='Gastos Gerais'!$E$4:$E$615),-('Gastos Gerais'!$C$4:$C$615)))</f>
        <v>162900</v>
      </c>
      <c r="Y7" s="73">
        <f>IF($B7="",0,SUMPRODUCT(-('Gastos Gerais'!$F$4:$F$615='Gastos das Atividades'!$B7),-('Gastos das Atividades'!Y$3&gt;='Gastos Gerais'!$D$4:$D$615),-('Gastos das Atividades'!Y$3&lt;='Gastos Gerais'!$E$4:$E$615),-('Gastos Gerais'!$C$4:$C$615)))</f>
        <v>162900</v>
      </c>
      <c r="Z7" s="73">
        <f>IF($B7="",0,SUMPRODUCT(-('Gastos Gerais'!$F$4:$F$615='Gastos das Atividades'!$B7),-('Gastos das Atividades'!Z$3&gt;='Gastos Gerais'!$D$4:$D$615),-('Gastos das Atividades'!Z$3&lt;='Gastos Gerais'!$E$4:$E$615),-('Gastos Gerais'!$C$4:$C$615)))</f>
        <v>162900</v>
      </c>
      <c r="AA7" s="73">
        <f>IF($B7="",0,SUMPRODUCT(-('Gastos Gerais'!$F$4:$F$615='Gastos das Atividades'!$B7),-('Gastos das Atividades'!AA$3&gt;='Gastos Gerais'!$D$4:$D$615),-('Gastos das Atividades'!AA$3&lt;='Gastos Gerais'!$E$4:$E$615),-('Gastos Gerais'!$C$4:$C$615)))</f>
        <v>162900</v>
      </c>
      <c r="AB7" s="73">
        <f>IF($B7="",0,SUMPRODUCT(-('Gastos Gerais'!$F$4:$F$615='Gastos das Atividades'!$B7),-('Gastos das Atividades'!AB$3&gt;='Gastos Gerais'!$D$4:$D$615),-('Gastos das Atividades'!AB$3&lt;='Gastos Gerais'!$E$4:$E$615),-('Gastos Gerais'!$C$4:$C$615)))</f>
        <v>162900</v>
      </c>
      <c r="AC7" s="73">
        <f>IF($B7="",0,SUMPRODUCT(-('Gastos Gerais'!$F$4:$F$615='Gastos das Atividades'!$B7),-('Gastos das Atividades'!AC$3&gt;='Gastos Gerais'!$D$4:$D$615),-('Gastos das Atividades'!AC$3&lt;='Gastos Gerais'!$E$4:$E$615),-('Gastos Gerais'!$C$4:$C$615)))</f>
        <v>266400</v>
      </c>
      <c r="AD7" s="73">
        <f>IF($B7="",0,SUMPRODUCT(-('Gastos Gerais'!$F$4:$F$615='Gastos das Atividades'!$B7),-('Gastos das Atividades'!AD$3&gt;='Gastos Gerais'!$D$4:$D$615),-('Gastos das Atividades'!AD$3&lt;='Gastos Gerais'!$E$4:$E$615),-('Gastos Gerais'!$C$4:$C$615)))</f>
        <v>168900</v>
      </c>
      <c r="AE7" s="73">
        <f>IF($B7="",0,SUMPRODUCT(-('Gastos Gerais'!$F$4:$F$615='Gastos das Atividades'!$B7),-('Gastos das Atividades'!AE$3&gt;='Gastos Gerais'!$D$4:$D$615),-('Gastos das Atividades'!AE$3&lt;='Gastos Gerais'!$E$4:$E$615),-('Gastos Gerais'!$C$4:$C$615)))</f>
        <v>168900</v>
      </c>
      <c r="AF7" s="73">
        <f>IF($B7="",0,SUMPRODUCT(-('Gastos Gerais'!$F$4:$F$615='Gastos das Atividades'!$B7),-('Gastos das Atividades'!AF$3&gt;='Gastos Gerais'!$D$4:$D$615),-('Gastos das Atividades'!AF$3&lt;='Gastos Gerais'!$E$4:$E$615),-('Gastos Gerais'!$C$4:$C$615)))</f>
        <v>388900</v>
      </c>
      <c r="AG7" s="73">
        <f>IF($B7="",0,SUMPRODUCT(-('Gastos Gerais'!$F$4:$F$615='Gastos das Atividades'!$B7),-('Gastos das Atividades'!AG$3&gt;='Gastos Gerais'!$D$4:$D$615),-('Gastos das Atividades'!AG$3&lt;='Gastos Gerais'!$E$4:$E$615),-('Gastos Gerais'!$C$4:$C$615)))</f>
        <v>168900</v>
      </c>
      <c r="AH7" s="73">
        <f>IF($B7="",0,SUMPRODUCT(-('Gastos Gerais'!$F$4:$F$615='Gastos das Atividades'!$B7),-('Gastos das Atividades'!AH$3&gt;='Gastos Gerais'!$D$4:$D$615),-('Gastos das Atividades'!AH$3&lt;='Gastos Gerais'!$E$4:$E$615),-('Gastos Gerais'!$C$4:$C$615)))</f>
        <v>168900</v>
      </c>
      <c r="AI7" s="73">
        <f>IF($B7="",0,SUMPRODUCT(-('Gastos Gerais'!$F$4:$F$615='Gastos das Atividades'!$B7),-('Gastos das Atividades'!AI$3&gt;='Gastos Gerais'!$D$4:$D$615),-('Gastos das Atividades'!AI$3&lt;='Gastos Gerais'!$E$4:$E$615),-('Gastos Gerais'!$C$4:$C$615)))</f>
        <v>168900</v>
      </c>
      <c r="AJ7" s="73">
        <f>IF($B7="",0,SUMPRODUCT(-('Gastos Gerais'!$F$4:$F$615='Gastos das Atividades'!$B7),-('Gastos das Atividades'!AJ$3&gt;='Gastos Gerais'!$D$4:$D$615),-('Gastos das Atividades'!AJ$3&lt;='Gastos Gerais'!$E$4:$E$615),-('Gastos Gerais'!$C$4:$C$615)))</f>
        <v>168900</v>
      </c>
      <c r="AK7" s="73">
        <f>IF($B7="",0,SUMPRODUCT(-('Gastos Gerais'!$F$4:$F$615='Gastos das Atividades'!$B7),-('Gastos das Atividades'!AK$3&gt;='Gastos Gerais'!$D$4:$D$615),-('Gastos das Atividades'!AK$3&lt;='Gastos Gerais'!$E$4:$E$615),-('Gastos Gerais'!$C$4:$C$615)))</f>
        <v>168900</v>
      </c>
      <c r="AL7" s="73">
        <f>IF($B7="",0,SUMPRODUCT(-('Gastos Gerais'!$F$4:$F$615='Gastos das Atividades'!$B7),-('Gastos das Atividades'!AL$3&gt;='Gastos Gerais'!$D$4:$D$615),-('Gastos das Atividades'!AL$3&lt;='Gastos Gerais'!$E$4:$E$615),-('Gastos Gerais'!$C$4:$C$615)))</f>
        <v>168900</v>
      </c>
      <c r="AM7" s="73">
        <f>IF($B7="",0,SUMPRODUCT(-('Gastos Gerais'!$F$4:$F$615='Gastos das Atividades'!$B7),-('Gastos das Atividades'!AM$3&gt;='Gastos Gerais'!$D$4:$D$615),-('Gastos das Atividades'!AM$3&lt;='Gastos Gerais'!$E$4:$E$615),-('Gastos Gerais'!$C$4:$C$615)))</f>
        <v>168900</v>
      </c>
      <c r="AN7" s="73">
        <f>IF($B7="",0,SUMPRODUCT(-('Gastos Gerais'!$F$4:$F$615='Gastos das Atividades'!$B7),-('Gastos das Atividades'!AN$3&gt;='Gastos Gerais'!$D$4:$D$615),-('Gastos das Atividades'!AN$3&lt;='Gastos Gerais'!$E$4:$E$615),-('Gastos Gerais'!$C$4:$C$615)))</f>
        <v>168900</v>
      </c>
      <c r="AO7" s="73">
        <f>IF($B7="",0,SUMPRODUCT(-('Gastos Gerais'!$F$4:$F$615='Gastos das Atividades'!$B7),-('Gastos das Atividades'!AO$3&gt;='Gastos Gerais'!$D$4:$D$615),-('Gastos das Atividades'!AO$3&lt;='Gastos Gerais'!$E$4:$E$615),-('Gastos Gerais'!$C$4:$C$615)))</f>
        <v>267400</v>
      </c>
      <c r="AP7" s="73">
        <f>IF($B7="",0,SUMPRODUCT(-('Gastos Gerais'!$F$4:$F$615='Gastos das Atividades'!$B7),-('Gastos das Atividades'!AP$3&gt;='Gastos Gerais'!$D$4:$D$615),-('Gastos das Atividades'!AP$3&lt;='Gastos Gerais'!$E$4:$E$615),-('Gastos Gerais'!$C$4:$C$615)))</f>
        <v>174900</v>
      </c>
      <c r="AQ7" s="73">
        <f>IF($B7="",0,SUMPRODUCT(-('Gastos Gerais'!$F$4:$F$615='Gastos das Atividades'!$B7),-('Gastos das Atividades'!AQ$3&gt;='Gastos Gerais'!$D$4:$D$615),-('Gastos das Atividades'!AQ$3&lt;='Gastos Gerais'!$E$4:$E$615),-('Gastos Gerais'!$C$4:$C$615)))</f>
        <v>174900</v>
      </c>
      <c r="AR7" s="73">
        <f>IF($B7="",0,SUMPRODUCT(-('Gastos Gerais'!$F$4:$F$615='Gastos das Atividades'!$B7),-('Gastos das Atividades'!AR$3&gt;='Gastos Gerais'!$D$4:$D$615),-('Gastos das Atividades'!AR$3&lt;='Gastos Gerais'!$E$4:$E$615),-('Gastos Gerais'!$C$4:$C$615)))</f>
        <v>194900</v>
      </c>
      <c r="AS7" s="73">
        <f>IF($B7="",0,SUMPRODUCT(-('Gastos Gerais'!$F$4:$F$615='Gastos das Atividades'!$B7),-('Gastos das Atividades'!AS$3&gt;='Gastos Gerais'!$D$4:$D$615),-('Gastos das Atividades'!AS$3&lt;='Gastos Gerais'!$E$4:$E$615),-('Gastos Gerais'!$C$4:$C$615)))</f>
        <v>174900</v>
      </c>
      <c r="AT7" s="73">
        <f>IF($B7="",0,SUMPRODUCT(-('Gastos Gerais'!$F$4:$F$615='Gastos das Atividades'!$B7),-('Gastos das Atividades'!AT$3&gt;='Gastos Gerais'!$D$4:$D$615),-('Gastos das Atividades'!AT$3&lt;='Gastos Gerais'!$E$4:$E$615),-('Gastos Gerais'!$C$4:$C$615)))</f>
        <v>174900</v>
      </c>
      <c r="AU7" s="73">
        <f>IF($B7="",0,SUMPRODUCT(-('Gastos Gerais'!$F$4:$F$615='Gastos das Atividades'!$B7),-('Gastos das Atividades'!AU$3&gt;='Gastos Gerais'!$D$4:$D$615),-('Gastos das Atividades'!AU$3&lt;='Gastos Gerais'!$E$4:$E$615),-('Gastos Gerais'!$C$4:$C$615)))</f>
        <v>174900</v>
      </c>
      <c r="AV7" s="73">
        <f>IF($B7="",0,SUMPRODUCT(-('Gastos Gerais'!$F$4:$F$615='Gastos das Atividades'!$B7),-('Gastos das Atividades'!AV$3&gt;='Gastos Gerais'!$D$4:$D$615),-('Gastos das Atividades'!AV$3&lt;='Gastos Gerais'!$E$4:$E$615),-('Gastos Gerais'!$C$4:$C$615)))</f>
        <v>174900</v>
      </c>
      <c r="AW7" s="73">
        <f>IF($B7="",0,SUMPRODUCT(-('Gastos Gerais'!$F$4:$F$615='Gastos das Atividades'!$B7),-('Gastos das Atividades'!AW$3&gt;='Gastos Gerais'!$D$4:$D$615),-('Gastos das Atividades'!AW$3&lt;='Gastos Gerais'!$E$4:$E$615),-('Gastos Gerais'!$C$4:$C$615)))</f>
        <v>174900</v>
      </c>
      <c r="AX7" s="73">
        <f>IF($B7="",0,SUMPRODUCT(-('Gastos Gerais'!$F$4:$F$615='Gastos das Atividades'!$B7),-('Gastos das Atividades'!AX$3&gt;='Gastos Gerais'!$D$4:$D$615),-('Gastos das Atividades'!AX$3&lt;='Gastos Gerais'!$E$4:$E$615),-('Gastos Gerais'!$C$4:$C$615)))</f>
        <v>174900</v>
      </c>
      <c r="AY7" s="73">
        <f>IF($B7="",0,SUMPRODUCT(-('Gastos Gerais'!$F$4:$F$615='Gastos das Atividades'!$B7),-('Gastos das Atividades'!AY$3&gt;='Gastos Gerais'!$D$4:$D$615),-('Gastos das Atividades'!AY$3&lt;='Gastos Gerais'!$E$4:$E$615),-('Gastos Gerais'!$C$4:$C$615)))</f>
        <v>174900</v>
      </c>
      <c r="AZ7" s="73">
        <f>IF($B7="",0,SUMPRODUCT(-('Gastos Gerais'!$F$4:$F$615='Gastos das Atividades'!$B7),-('Gastos das Atividades'!AZ$3&gt;='Gastos Gerais'!$D$4:$D$615),-('Gastos das Atividades'!AZ$3&lt;='Gastos Gerais'!$E$4:$E$615),-('Gastos Gerais'!$C$4:$C$615)))</f>
        <v>174900</v>
      </c>
      <c r="BA7" s="73">
        <f>IF($B7="",0,SUMPRODUCT(-('Gastos Gerais'!$F$4:$F$615='Gastos das Atividades'!$B7),-('Gastos das Atividades'!BA$3&gt;='Gastos Gerais'!$D$4:$D$615),-('Gastos das Atividades'!BA$3&lt;='Gastos Gerais'!$E$4:$E$615),-('Gastos Gerais'!$C$4:$C$615)))</f>
        <v>0</v>
      </c>
      <c r="BB7" s="73">
        <f>IF($B7="",0,SUMPRODUCT(-('Gastos Gerais'!$F$4:$F$615='Gastos das Atividades'!$B7),-('Gastos das Atividades'!BB$3&gt;='Gastos Gerais'!$D$4:$D$615),-('Gastos das Atividades'!BB$3&lt;='Gastos Gerais'!$E$4:$E$615),-('Gastos Gerais'!$C$4:$C$615)))</f>
        <v>0</v>
      </c>
      <c r="BC7" s="73">
        <f>IF($B7="",0,SUMPRODUCT(-('Gastos Gerais'!$F$4:$F$615='Gastos das Atividades'!$B7),-('Gastos das Atividades'!BC$3&gt;='Gastos Gerais'!$D$4:$D$615),-('Gastos das Atividades'!BC$3&lt;='Gastos Gerais'!$E$4:$E$615),-('Gastos Gerais'!$C$4:$C$615)))</f>
        <v>0</v>
      </c>
      <c r="BD7" s="73">
        <f>IF($B7="",0,SUMPRODUCT(-('Gastos Gerais'!$F$4:$F$615='Gastos das Atividades'!$B7),-('Gastos das Atividades'!BD$3&gt;='Gastos Gerais'!$D$4:$D$615),-('Gastos das Atividades'!BD$3&lt;='Gastos Gerais'!$E$4:$E$615),-('Gastos Gerais'!$C$4:$C$615)))</f>
        <v>0</v>
      </c>
      <c r="BE7" s="73">
        <f>IF($B7="",0,SUMPRODUCT(-('Gastos Gerais'!$F$4:$F$615='Gastos das Atividades'!$B7),-('Gastos das Atividades'!BE$3&gt;='Gastos Gerais'!$D$4:$D$615),-('Gastos das Atividades'!BE$3&lt;='Gastos Gerais'!$E$4:$E$615),-('Gastos Gerais'!$C$4:$C$615)))</f>
        <v>0</v>
      </c>
      <c r="BF7" s="73">
        <f>IF($B7="",0,SUMPRODUCT(-('Gastos Gerais'!$F$4:$F$615='Gastos das Atividades'!$B7),-('Gastos das Atividades'!BF$3&gt;='Gastos Gerais'!$D$4:$D$615),-('Gastos das Atividades'!BF$3&lt;='Gastos Gerais'!$E$4:$E$615),-('Gastos Gerais'!$C$4:$C$615)))</f>
        <v>0</v>
      </c>
      <c r="BG7" s="73">
        <f>IF($B7="",0,SUMPRODUCT(-('Gastos Gerais'!$F$4:$F$615='Gastos das Atividades'!$B7),-('Gastos das Atividades'!BG$3&gt;='Gastos Gerais'!$D$4:$D$615),-('Gastos das Atividades'!BG$3&lt;='Gastos Gerais'!$E$4:$E$615),-('Gastos Gerais'!$C$4:$C$615)))</f>
        <v>0</v>
      </c>
      <c r="BH7" s="73">
        <f>IF($B7="",0,SUMPRODUCT(-('Gastos Gerais'!$F$4:$F$615='Gastos das Atividades'!$B7),-('Gastos das Atividades'!BH$3&gt;='Gastos Gerais'!$D$4:$D$615),-('Gastos das Atividades'!BH$3&lt;='Gastos Gerais'!$E$4:$E$615),-('Gastos Gerais'!$C$4:$C$615)))</f>
        <v>0</v>
      </c>
      <c r="BI7" s="73">
        <f>IF($B7="",0,SUMPRODUCT(-('Gastos Gerais'!$F$4:$F$615='Gastos das Atividades'!$B7),-('Gastos das Atividades'!BI$3&gt;='Gastos Gerais'!$D$4:$D$615),-('Gastos das Atividades'!BI$3&lt;='Gastos Gerais'!$E$4:$E$615),-('Gastos Gerais'!$C$4:$C$615)))</f>
        <v>0</v>
      </c>
      <c r="BJ7" s="73">
        <f>IF($B7="",0,SUMPRODUCT(-('Gastos Gerais'!$F$4:$F$615='Gastos das Atividades'!$B7),-('Gastos das Atividades'!BJ$3&gt;='Gastos Gerais'!$D$4:$D$615),-('Gastos das Atividades'!BJ$3&lt;='Gastos Gerais'!$E$4:$E$615),-('Gastos Gerais'!$C$4:$C$615)))</f>
        <v>0</v>
      </c>
      <c r="BK7" s="73">
        <f>IF($B7="",0,SUMPRODUCT(-('Gastos Gerais'!$F$4:$F$615='Gastos das Atividades'!$B7),-('Gastos das Atividades'!BK$3&gt;='Gastos Gerais'!$D$4:$D$615),-('Gastos das Atividades'!BK$3&lt;='Gastos Gerais'!$E$4:$E$615),-('Gastos Gerais'!$C$4:$C$615)))</f>
        <v>0</v>
      </c>
      <c r="BL7" s="73">
        <f>IF($B7="",0,SUMPRODUCT(-('Gastos Gerais'!$F$4:$F$615='Gastos das Atividades'!$B7),-('Gastos das Atividades'!BL$3&gt;='Gastos Gerais'!$D$4:$D$615),-('Gastos das Atividades'!BL$3&lt;='Gastos Gerais'!$E$4:$E$615),-('Gastos Gerais'!$C$4:$C$615)))</f>
        <v>0</v>
      </c>
      <c r="BM7" s="73">
        <f>IF($B7="",0,SUMPRODUCT(-('Gastos Gerais'!$F$4:$F$615='Gastos das Atividades'!$B7),-('Gastos das Atividades'!BM$3&gt;='Gastos Gerais'!$D$4:$D$615),-('Gastos das Atividades'!BM$3&lt;='Gastos Gerais'!$E$4:$E$615),-('Gastos Gerais'!$C$4:$C$615)))</f>
        <v>0</v>
      </c>
      <c r="BN7" s="73">
        <f>IF($B7="",0,SUMPRODUCT(-('Gastos Gerais'!$F$4:$F$615='Gastos das Atividades'!$B7),-('Gastos das Atividades'!BN$3&gt;='Gastos Gerais'!$D$4:$D$615),-('Gastos das Atividades'!BN$3&lt;='Gastos Gerais'!$E$4:$E$615),-('Gastos Gerais'!$C$4:$C$615)))</f>
        <v>0</v>
      </c>
      <c r="BO7" s="73">
        <f>IF($B7="",0,SUMPRODUCT(-('Gastos Gerais'!$F$4:$F$615='Gastos das Atividades'!$B7),-('Gastos das Atividades'!BO$3&gt;='Gastos Gerais'!$D$4:$D$615),-('Gastos das Atividades'!BO$3&lt;='Gastos Gerais'!$E$4:$E$615),-('Gastos Gerais'!$C$4:$C$615)))</f>
        <v>0</v>
      </c>
      <c r="BP7" s="73">
        <f>IF($B7="",0,SUMPRODUCT(-('Gastos Gerais'!$F$4:$F$615='Gastos das Atividades'!$B7),-('Gastos das Atividades'!BP$3&gt;='Gastos Gerais'!$D$4:$D$615),-('Gastos das Atividades'!BP$3&lt;='Gastos Gerais'!$E$4:$E$615),-('Gastos Gerais'!$C$4:$C$615)))</f>
        <v>0</v>
      </c>
      <c r="BQ7" s="73">
        <f>IF($B7="",0,SUMPRODUCT(-('Gastos Gerais'!$F$4:$F$615='Gastos das Atividades'!$B7),-('Gastos das Atividades'!BQ$3&gt;='Gastos Gerais'!$D$4:$D$615),-('Gastos das Atividades'!BQ$3&lt;='Gastos Gerais'!$E$4:$E$615),-('Gastos Gerais'!$C$4:$C$615)))</f>
        <v>0</v>
      </c>
      <c r="BR7" s="73">
        <f>IF($B7="",0,SUMPRODUCT(-('Gastos Gerais'!$F$4:$F$615='Gastos das Atividades'!$B7),-('Gastos das Atividades'!BR$3&gt;='Gastos Gerais'!$D$4:$D$615),-('Gastos das Atividades'!BR$3&lt;='Gastos Gerais'!$E$4:$E$615),-('Gastos Gerais'!$C$4:$C$615)))</f>
        <v>0</v>
      </c>
      <c r="BS7" s="73">
        <f>IF($B7="",0,SUMPRODUCT(-('Gastos Gerais'!$F$4:$F$615='Gastos das Atividades'!$B7),-('Gastos das Atividades'!BS$3&gt;='Gastos Gerais'!$D$4:$D$615),-('Gastos das Atividades'!BS$3&lt;='Gastos Gerais'!$E$4:$E$615),-('Gastos Gerais'!$C$4:$C$615)))</f>
        <v>0</v>
      </c>
      <c r="BT7" s="73">
        <f>IF($B7="",0,SUMPRODUCT(-('Gastos Gerais'!$F$4:$F$615='Gastos das Atividades'!$B7),-('Gastos das Atividades'!BT$3&gt;='Gastos Gerais'!$D$4:$D$615),-('Gastos das Atividades'!BT$3&lt;='Gastos Gerais'!$E$4:$E$615),-('Gastos Gerais'!$C$4:$C$615)))</f>
        <v>0</v>
      </c>
      <c r="BU7" s="73">
        <f>IF($B7="",0,SUMPRODUCT(-('Gastos Gerais'!$F$4:$F$615='Gastos das Atividades'!$B7),-('Gastos das Atividades'!BU$3&gt;='Gastos Gerais'!$D$4:$D$615),-('Gastos das Atividades'!BU$3&lt;='Gastos Gerais'!$E$4:$E$615),-('Gastos Gerais'!$C$4:$C$615)))</f>
        <v>0</v>
      </c>
      <c r="BV7" s="73">
        <f>IF($B7="",0,SUMPRODUCT(-('Gastos Gerais'!$F$4:$F$615='Gastos das Atividades'!$B7),-('Gastos das Atividades'!BV$3&gt;='Gastos Gerais'!$D$4:$D$615),-('Gastos das Atividades'!BV$3&lt;='Gastos Gerais'!$E$4:$E$615),-('Gastos Gerais'!$C$4:$C$615)))</f>
        <v>0</v>
      </c>
      <c r="BW7" s="73">
        <f>IF($B7="",0,SUMPRODUCT(-('Gastos Gerais'!$F$4:$F$615='Gastos das Atividades'!$B7),-('Gastos das Atividades'!BW$3&gt;='Gastos Gerais'!$D$4:$D$615),-('Gastos das Atividades'!BW$3&lt;='Gastos Gerais'!$E$4:$E$615),-('Gastos Gerais'!$C$4:$C$615)))</f>
        <v>0</v>
      </c>
      <c r="BX7" s="73">
        <f>IF($B7="",0,SUMPRODUCT(-('Gastos Gerais'!$F$4:$F$615='Gastos das Atividades'!$B7),-('Gastos das Atividades'!BX$3&gt;='Gastos Gerais'!$D$4:$D$615),-('Gastos das Atividades'!BX$3&lt;='Gastos Gerais'!$E$4:$E$615),-('Gastos Gerais'!$C$4:$C$615)))</f>
        <v>0</v>
      </c>
    </row>
    <row r="8" spans="1:77" x14ac:dyDescent="0.2">
      <c r="A8" s="146">
        <v>5</v>
      </c>
      <c r="B8" s="164" t="s">
        <v>105</v>
      </c>
      <c r="C8" s="305">
        <v>0</v>
      </c>
      <c r="D8" s="357">
        <f t="shared" si="10"/>
        <v>5765500</v>
      </c>
      <c r="E8" s="144">
        <f t="shared" si="11"/>
        <v>5765500</v>
      </c>
      <c r="F8" s="73">
        <f t="shared" si="2"/>
        <v>6352800</v>
      </c>
      <c r="G8" s="73">
        <f t="shared" si="2"/>
        <v>6027800</v>
      </c>
      <c r="H8" s="73">
        <f t="shared" si="2"/>
        <v>0</v>
      </c>
      <c r="I8" s="73">
        <f t="shared" si="2"/>
        <v>0</v>
      </c>
      <c r="J8" s="145">
        <f t="shared" si="3"/>
        <v>18146100</v>
      </c>
      <c r="K8" s="76">
        <f t="shared" si="4"/>
        <v>5.4103342780499865E-2</v>
      </c>
      <c r="L8" s="76">
        <f t="shared" si="5"/>
        <v>5.961455485490582E-2</v>
      </c>
      <c r="M8" s="76">
        <f t="shared" si="6"/>
        <v>5.6564761011585647E-2</v>
      </c>
      <c r="N8" s="76">
        <f t="shared" si="7"/>
        <v>0</v>
      </c>
      <c r="O8" s="76">
        <f t="shared" si="8"/>
        <v>0</v>
      </c>
      <c r="P8" s="209">
        <f t="shared" si="9"/>
        <v>0.17028265864699133</v>
      </c>
      <c r="Q8" s="73">
        <f>IF($B8="",0,SUMPRODUCT(-('Gastos Gerais'!$F$4:$F$615='Gastos das Atividades'!$B8),-('Gastos das Atividades'!Q$3&gt;='Gastos Gerais'!$D$4:$D$615),-('Gastos das Atividades'!Q$3&lt;='Gastos Gerais'!$E$4:$E$615),-('Gastos Gerais'!$C$4:$C$615)))</f>
        <v>617100</v>
      </c>
      <c r="R8" s="73">
        <f>IF($B8="",0,SUMPRODUCT(-('Gastos Gerais'!$F$4:$F$615='Gastos das Atividades'!$B8),-('Gastos das Atividades'!R$3&gt;='Gastos Gerais'!$D$4:$D$615),-('Gastos das Atividades'!R$3&lt;='Gastos Gerais'!$E$4:$E$615),-('Gastos Gerais'!$C$4:$C$615)))</f>
        <v>414400</v>
      </c>
      <c r="S8" s="73">
        <f>IF($B8="",0,SUMPRODUCT(-('Gastos Gerais'!$F$4:$F$615='Gastos das Atividades'!$B8),-('Gastos das Atividades'!S$3&gt;='Gastos Gerais'!$D$4:$D$615),-('Gastos das Atividades'!S$3&lt;='Gastos Gerais'!$E$4:$E$615),-('Gastos Gerais'!$C$4:$C$615)))</f>
        <v>614400</v>
      </c>
      <c r="T8" s="73">
        <f>IF($B8="",0,SUMPRODUCT(-('Gastos Gerais'!$F$4:$F$615='Gastos das Atividades'!$B8),-('Gastos das Atividades'!T$3&gt;='Gastos Gerais'!$D$4:$D$615),-('Gastos das Atividades'!T$3&lt;='Gastos Gerais'!$E$4:$E$615),-('Gastos Gerais'!$C$4:$C$615)))</f>
        <v>444400</v>
      </c>
      <c r="U8" s="73">
        <f>IF($B8="",0,SUMPRODUCT(-('Gastos Gerais'!$F$4:$F$615='Gastos das Atividades'!$B8),-('Gastos das Atividades'!U$3&gt;='Gastos Gerais'!$D$4:$D$615),-('Gastos das Atividades'!U$3&lt;='Gastos Gerais'!$E$4:$E$615),-('Gastos Gerais'!$C$4:$C$615)))</f>
        <v>414400</v>
      </c>
      <c r="V8" s="73">
        <f>IF($B8="",0,SUMPRODUCT(-('Gastos Gerais'!$F$4:$F$615='Gastos das Atividades'!$B8),-('Gastos das Atividades'!V$3&gt;='Gastos Gerais'!$D$4:$D$615),-('Gastos das Atividades'!V$3&lt;='Gastos Gerais'!$E$4:$E$615),-('Gastos Gerais'!$C$4:$C$615)))</f>
        <v>774400</v>
      </c>
      <c r="W8" s="73">
        <f>IF($B8="",0,SUMPRODUCT(-('Gastos Gerais'!$F$4:$F$615='Gastos das Atividades'!$B8),-('Gastos das Atividades'!W$3&gt;='Gastos Gerais'!$D$4:$D$615),-('Gastos das Atividades'!W$3&lt;='Gastos Gerais'!$E$4:$E$615),-('Gastos Gerais'!$C$4:$C$615)))</f>
        <v>414400</v>
      </c>
      <c r="X8" s="73">
        <f>IF($B8="",0,SUMPRODUCT(-('Gastos Gerais'!$F$4:$F$615='Gastos das Atividades'!$B8),-('Gastos das Atividades'!X$3&gt;='Gastos Gerais'!$D$4:$D$615),-('Gastos das Atividades'!X$3&lt;='Gastos Gerais'!$E$4:$E$615),-('Gastos Gerais'!$C$4:$C$615)))</f>
        <v>414400</v>
      </c>
      <c r="Y8" s="73">
        <f>IF($B8="",0,SUMPRODUCT(-('Gastos Gerais'!$F$4:$F$615='Gastos das Atividades'!$B8),-('Gastos das Atividades'!Y$3&gt;='Gastos Gerais'!$D$4:$D$615),-('Gastos das Atividades'!Y$3&lt;='Gastos Gerais'!$E$4:$E$615),-('Gastos Gerais'!$C$4:$C$615)))</f>
        <v>414400</v>
      </c>
      <c r="Z8" s="73">
        <f>IF($B8="",0,SUMPRODUCT(-('Gastos Gerais'!$F$4:$F$615='Gastos das Atividades'!$B8),-('Gastos das Atividades'!Z$3&gt;='Gastos Gerais'!$D$4:$D$615),-('Gastos das Atividades'!Z$3&lt;='Gastos Gerais'!$E$4:$E$615),-('Gastos Gerais'!$C$4:$C$615)))</f>
        <v>414400</v>
      </c>
      <c r="AA8" s="73">
        <f>IF($B8="",0,SUMPRODUCT(-('Gastos Gerais'!$F$4:$F$615='Gastos das Atividades'!$B8),-('Gastos das Atividades'!AA$3&gt;='Gastos Gerais'!$D$4:$D$615),-('Gastos das Atividades'!AA$3&lt;='Gastos Gerais'!$E$4:$E$615),-('Gastos Gerais'!$C$4:$C$615)))</f>
        <v>414400</v>
      </c>
      <c r="AB8" s="73">
        <f>IF($B8="",0,SUMPRODUCT(-('Gastos Gerais'!$F$4:$F$615='Gastos das Atividades'!$B8),-('Gastos das Atividades'!AB$3&gt;='Gastos Gerais'!$D$4:$D$615),-('Gastos das Atividades'!AB$3&lt;='Gastos Gerais'!$E$4:$E$615),-('Gastos Gerais'!$C$4:$C$615)))</f>
        <v>414400</v>
      </c>
      <c r="AC8" s="73">
        <f>IF($B8="",0,SUMPRODUCT(-('Gastos Gerais'!$F$4:$F$615='Gastos das Atividades'!$B8),-('Gastos das Atividades'!AC$3&gt;='Gastos Gerais'!$D$4:$D$615),-('Gastos das Atividades'!AC$3&lt;='Gastos Gerais'!$E$4:$E$615),-('Gastos Gerais'!$C$4:$C$615)))</f>
        <v>634400</v>
      </c>
      <c r="AD8" s="73">
        <f>IF($B8="",0,SUMPRODUCT(-('Gastos Gerais'!$F$4:$F$615='Gastos das Atividades'!$B8),-('Gastos das Atividades'!AD$3&gt;='Gastos Gerais'!$D$4:$D$615),-('Gastos das Atividades'!AD$3&lt;='Gastos Gerais'!$E$4:$E$615),-('Gastos Gerais'!$C$4:$C$615)))</f>
        <v>444400</v>
      </c>
      <c r="AE8" s="73">
        <f>IF($B8="",0,SUMPRODUCT(-('Gastos Gerais'!$F$4:$F$615='Gastos das Atividades'!$B8),-('Gastos das Atividades'!AE$3&gt;='Gastos Gerais'!$D$4:$D$615),-('Gastos das Atividades'!AE$3&lt;='Gastos Gerais'!$E$4:$E$615),-('Gastos Gerais'!$C$4:$C$615)))</f>
        <v>1244400</v>
      </c>
      <c r="AF8" s="73">
        <f>IF($B8="",0,SUMPRODUCT(-('Gastos Gerais'!$F$4:$F$615='Gastos das Atividades'!$B8),-('Gastos das Atividades'!AF$3&gt;='Gastos Gerais'!$D$4:$D$615),-('Gastos das Atividades'!AF$3&lt;='Gastos Gerais'!$E$4:$E$615),-('Gastos Gerais'!$C$4:$C$615)))</f>
        <v>474400</v>
      </c>
      <c r="AG8" s="73">
        <f>IF($B8="",0,SUMPRODUCT(-('Gastos Gerais'!$F$4:$F$615='Gastos das Atividades'!$B8),-('Gastos das Atividades'!AG$3&gt;='Gastos Gerais'!$D$4:$D$615),-('Gastos das Atividades'!AG$3&lt;='Gastos Gerais'!$E$4:$E$615),-('Gastos Gerais'!$C$4:$C$615)))</f>
        <v>444400</v>
      </c>
      <c r="AH8" s="73">
        <f>IF($B8="",0,SUMPRODUCT(-('Gastos Gerais'!$F$4:$F$615='Gastos das Atividades'!$B8),-('Gastos das Atividades'!AH$3&gt;='Gastos Gerais'!$D$4:$D$615),-('Gastos das Atividades'!AH$3&lt;='Gastos Gerais'!$E$4:$E$615),-('Gastos Gerais'!$C$4:$C$615)))</f>
        <v>444400</v>
      </c>
      <c r="AI8" s="73">
        <f>IF($B8="",0,SUMPRODUCT(-('Gastos Gerais'!$F$4:$F$615='Gastos das Atividades'!$B8),-('Gastos das Atividades'!AI$3&gt;='Gastos Gerais'!$D$4:$D$615),-('Gastos das Atividades'!AI$3&lt;='Gastos Gerais'!$E$4:$E$615),-('Gastos Gerais'!$C$4:$C$615)))</f>
        <v>444400</v>
      </c>
      <c r="AJ8" s="73">
        <f>IF($B8="",0,SUMPRODUCT(-('Gastos Gerais'!$F$4:$F$615='Gastos das Atividades'!$B8),-('Gastos das Atividades'!AJ$3&gt;='Gastos Gerais'!$D$4:$D$615),-('Gastos das Atividades'!AJ$3&lt;='Gastos Gerais'!$E$4:$E$615),-('Gastos Gerais'!$C$4:$C$615)))</f>
        <v>444400</v>
      </c>
      <c r="AK8" s="73">
        <f>IF($B8="",0,SUMPRODUCT(-('Gastos Gerais'!$F$4:$F$615='Gastos das Atividades'!$B8),-('Gastos das Atividades'!AK$3&gt;='Gastos Gerais'!$D$4:$D$615),-('Gastos das Atividades'!AK$3&lt;='Gastos Gerais'!$E$4:$E$615),-('Gastos Gerais'!$C$4:$C$615)))</f>
        <v>444400</v>
      </c>
      <c r="AL8" s="73">
        <f>IF($B8="",0,SUMPRODUCT(-('Gastos Gerais'!$F$4:$F$615='Gastos das Atividades'!$B8),-('Gastos das Atividades'!AL$3&gt;='Gastos Gerais'!$D$4:$D$615),-('Gastos das Atividades'!AL$3&lt;='Gastos Gerais'!$E$4:$E$615),-('Gastos Gerais'!$C$4:$C$615)))</f>
        <v>444400</v>
      </c>
      <c r="AM8" s="73">
        <f>IF($B8="",0,SUMPRODUCT(-('Gastos Gerais'!$F$4:$F$615='Gastos das Atividades'!$B8),-('Gastos das Atividades'!AM$3&gt;='Gastos Gerais'!$D$4:$D$615),-('Gastos das Atividades'!AM$3&lt;='Gastos Gerais'!$E$4:$E$615),-('Gastos Gerais'!$C$4:$C$615)))</f>
        <v>444400</v>
      </c>
      <c r="AN8" s="73">
        <f>IF($B8="",0,SUMPRODUCT(-('Gastos Gerais'!$F$4:$F$615='Gastos das Atividades'!$B8),-('Gastos das Atividades'!AN$3&gt;='Gastos Gerais'!$D$4:$D$615),-('Gastos das Atividades'!AN$3&lt;='Gastos Gerais'!$E$4:$E$615),-('Gastos Gerais'!$C$4:$C$615)))</f>
        <v>444400</v>
      </c>
      <c r="AO8" s="73">
        <f>IF($B8="",0,SUMPRODUCT(-('Gastos Gerais'!$F$4:$F$615='Gastos das Atividades'!$B8),-('Gastos das Atividades'!AO$3&gt;='Gastos Gerais'!$D$4:$D$615),-('Gastos das Atividades'!AO$3&lt;='Gastos Gerais'!$E$4:$E$615),-('Gastos Gerais'!$C$4:$C$615)))</f>
        <v>649400</v>
      </c>
      <c r="AP8" s="73">
        <f>IF($B8="",0,SUMPRODUCT(-('Gastos Gerais'!$F$4:$F$615='Gastos das Atividades'!$B8),-('Gastos das Atividades'!AP$3&gt;='Gastos Gerais'!$D$4:$D$615),-('Gastos das Atividades'!AP$3&lt;='Gastos Gerais'!$E$4:$E$615),-('Gastos Gerais'!$C$4:$C$615)))</f>
        <v>454400</v>
      </c>
      <c r="AQ8" s="73">
        <f>IF($B8="",0,SUMPRODUCT(-('Gastos Gerais'!$F$4:$F$615='Gastos das Atividades'!$B8),-('Gastos das Atividades'!AQ$3&gt;='Gastos Gerais'!$D$4:$D$615),-('Gastos das Atividades'!AQ$3&lt;='Gastos Gerais'!$E$4:$E$615),-('Gastos Gerais'!$C$4:$C$615)))</f>
        <v>454400</v>
      </c>
      <c r="AR8" s="73">
        <f>IF($B8="",0,SUMPRODUCT(-('Gastos Gerais'!$F$4:$F$615='Gastos das Atividades'!$B8),-('Gastos das Atividades'!AR$3&gt;='Gastos Gerais'!$D$4:$D$615),-('Gastos das Atividades'!AR$3&lt;='Gastos Gerais'!$E$4:$E$615),-('Gastos Gerais'!$C$4:$C$615)))</f>
        <v>484400</v>
      </c>
      <c r="AS8" s="73">
        <f>IF($B8="",0,SUMPRODUCT(-('Gastos Gerais'!$F$4:$F$615='Gastos das Atividades'!$B8),-('Gastos das Atividades'!AS$3&gt;='Gastos Gerais'!$D$4:$D$615),-('Gastos das Atividades'!AS$3&lt;='Gastos Gerais'!$E$4:$E$615),-('Gastos Gerais'!$C$4:$C$615)))</f>
        <v>454400</v>
      </c>
      <c r="AT8" s="73">
        <f>IF($B8="",0,SUMPRODUCT(-('Gastos Gerais'!$F$4:$F$615='Gastos das Atividades'!$B8),-('Gastos das Atividades'!AT$3&gt;='Gastos Gerais'!$D$4:$D$615),-('Gastos das Atividades'!AT$3&lt;='Gastos Gerais'!$E$4:$E$615),-('Gastos Gerais'!$C$4:$C$615)))</f>
        <v>804400</v>
      </c>
      <c r="AU8" s="73">
        <f>IF($B8="",0,SUMPRODUCT(-('Gastos Gerais'!$F$4:$F$615='Gastos das Atividades'!$B8),-('Gastos das Atividades'!AU$3&gt;='Gastos Gerais'!$D$4:$D$615),-('Gastos das Atividades'!AU$3&lt;='Gastos Gerais'!$E$4:$E$615),-('Gastos Gerais'!$C$4:$C$615)))</f>
        <v>454400</v>
      </c>
      <c r="AV8" s="73">
        <f>IF($B8="",0,SUMPRODUCT(-('Gastos Gerais'!$F$4:$F$615='Gastos das Atividades'!$B8),-('Gastos das Atividades'!AV$3&gt;='Gastos Gerais'!$D$4:$D$615),-('Gastos das Atividades'!AV$3&lt;='Gastos Gerais'!$E$4:$E$615),-('Gastos Gerais'!$C$4:$C$615)))</f>
        <v>454400</v>
      </c>
      <c r="AW8" s="73">
        <f>IF($B8="",0,SUMPRODUCT(-('Gastos Gerais'!$F$4:$F$615='Gastos das Atividades'!$B8),-('Gastos das Atividades'!AW$3&gt;='Gastos Gerais'!$D$4:$D$615),-('Gastos das Atividades'!AW$3&lt;='Gastos Gerais'!$E$4:$E$615),-('Gastos Gerais'!$C$4:$C$615)))</f>
        <v>454400</v>
      </c>
      <c r="AX8" s="73">
        <f>IF($B8="",0,SUMPRODUCT(-('Gastos Gerais'!$F$4:$F$615='Gastos das Atividades'!$B8),-('Gastos das Atividades'!AX$3&gt;='Gastos Gerais'!$D$4:$D$615),-('Gastos das Atividades'!AX$3&lt;='Gastos Gerais'!$E$4:$E$615),-('Gastos Gerais'!$C$4:$C$615)))</f>
        <v>454400</v>
      </c>
      <c r="AY8" s="73">
        <f>IF($B8="",0,SUMPRODUCT(-('Gastos Gerais'!$F$4:$F$615='Gastos das Atividades'!$B8),-('Gastos das Atividades'!AY$3&gt;='Gastos Gerais'!$D$4:$D$615),-('Gastos das Atividades'!AY$3&lt;='Gastos Gerais'!$E$4:$E$615),-('Gastos Gerais'!$C$4:$C$615)))</f>
        <v>454400</v>
      </c>
      <c r="AZ8" s="73">
        <f>IF($B8="",0,SUMPRODUCT(-('Gastos Gerais'!$F$4:$F$615='Gastos das Atividades'!$B8),-('Gastos das Atividades'!AZ$3&gt;='Gastos Gerais'!$D$4:$D$615),-('Gastos das Atividades'!AZ$3&lt;='Gastos Gerais'!$E$4:$E$615),-('Gastos Gerais'!$C$4:$C$615)))</f>
        <v>454400</v>
      </c>
      <c r="BA8" s="73">
        <f>IF($B8="",0,SUMPRODUCT(-('Gastos Gerais'!$F$4:$F$615='Gastos das Atividades'!$B8),-('Gastos das Atividades'!BA$3&gt;='Gastos Gerais'!$D$4:$D$615),-('Gastos das Atividades'!BA$3&lt;='Gastos Gerais'!$E$4:$E$615),-('Gastos Gerais'!$C$4:$C$615)))</f>
        <v>0</v>
      </c>
      <c r="BB8" s="73">
        <f>IF($B8="",0,SUMPRODUCT(-('Gastos Gerais'!$F$4:$F$615='Gastos das Atividades'!$B8),-('Gastos das Atividades'!BB$3&gt;='Gastos Gerais'!$D$4:$D$615),-('Gastos das Atividades'!BB$3&lt;='Gastos Gerais'!$E$4:$E$615),-('Gastos Gerais'!$C$4:$C$615)))</f>
        <v>0</v>
      </c>
      <c r="BC8" s="73">
        <f>IF($B8="",0,SUMPRODUCT(-('Gastos Gerais'!$F$4:$F$615='Gastos das Atividades'!$B8),-('Gastos das Atividades'!BC$3&gt;='Gastos Gerais'!$D$4:$D$615),-('Gastos das Atividades'!BC$3&lt;='Gastos Gerais'!$E$4:$E$615),-('Gastos Gerais'!$C$4:$C$615)))</f>
        <v>0</v>
      </c>
      <c r="BD8" s="73">
        <f>IF($B8="",0,SUMPRODUCT(-('Gastos Gerais'!$F$4:$F$615='Gastos das Atividades'!$B8),-('Gastos das Atividades'!BD$3&gt;='Gastos Gerais'!$D$4:$D$615),-('Gastos das Atividades'!BD$3&lt;='Gastos Gerais'!$E$4:$E$615),-('Gastos Gerais'!$C$4:$C$615)))</f>
        <v>0</v>
      </c>
      <c r="BE8" s="73">
        <f>IF($B8="",0,SUMPRODUCT(-('Gastos Gerais'!$F$4:$F$615='Gastos das Atividades'!$B8),-('Gastos das Atividades'!BE$3&gt;='Gastos Gerais'!$D$4:$D$615),-('Gastos das Atividades'!BE$3&lt;='Gastos Gerais'!$E$4:$E$615),-('Gastos Gerais'!$C$4:$C$615)))</f>
        <v>0</v>
      </c>
      <c r="BF8" s="73">
        <f>IF($B8="",0,SUMPRODUCT(-('Gastos Gerais'!$F$4:$F$615='Gastos das Atividades'!$B8),-('Gastos das Atividades'!BF$3&gt;='Gastos Gerais'!$D$4:$D$615),-('Gastos das Atividades'!BF$3&lt;='Gastos Gerais'!$E$4:$E$615),-('Gastos Gerais'!$C$4:$C$615)))</f>
        <v>0</v>
      </c>
      <c r="BG8" s="73">
        <f>IF($B8="",0,SUMPRODUCT(-('Gastos Gerais'!$F$4:$F$615='Gastos das Atividades'!$B8),-('Gastos das Atividades'!BG$3&gt;='Gastos Gerais'!$D$4:$D$615),-('Gastos das Atividades'!BG$3&lt;='Gastos Gerais'!$E$4:$E$615),-('Gastos Gerais'!$C$4:$C$615)))</f>
        <v>0</v>
      </c>
      <c r="BH8" s="73">
        <f>IF($B8="",0,SUMPRODUCT(-('Gastos Gerais'!$F$4:$F$615='Gastos das Atividades'!$B8),-('Gastos das Atividades'!BH$3&gt;='Gastos Gerais'!$D$4:$D$615),-('Gastos das Atividades'!BH$3&lt;='Gastos Gerais'!$E$4:$E$615),-('Gastos Gerais'!$C$4:$C$615)))</f>
        <v>0</v>
      </c>
      <c r="BI8" s="73">
        <f>IF($B8="",0,SUMPRODUCT(-('Gastos Gerais'!$F$4:$F$615='Gastos das Atividades'!$B8),-('Gastos das Atividades'!BI$3&gt;='Gastos Gerais'!$D$4:$D$615),-('Gastos das Atividades'!BI$3&lt;='Gastos Gerais'!$E$4:$E$615),-('Gastos Gerais'!$C$4:$C$615)))</f>
        <v>0</v>
      </c>
      <c r="BJ8" s="73">
        <f>IF($B8="",0,SUMPRODUCT(-('Gastos Gerais'!$F$4:$F$615='Gastos das Atividades'!$B8),-('Gastos das Atividades'!BJ$3&gt;='Gastos Gerais'!$D$4:$D$615),-('Gastos das Atividades'!BJ$3&lt;='Gastos Gerais'!$E$4:$E$615),-('Gastos Gerais'!$C$4:$C$615)))</f>
        <v>0</v>
      </c>
      <c r="BK8" s="73">
        <f>IF($B8="",0,SUMPRODUCT(-('Gastos Gerais'!$F$4:$F$615='Gastos das Atividades'!$B8),-('Gastos das Atividades'!BK$3&gt;='Gastos Gerais'!$D$4:$D$615),-('Gastos das Atividades'!BK$3&lt;='Gastos Gerais'!$E$4:$E$615),-('Gastos Gerais'!$C$4:$C$615)))</f>
        <v>0</v>
      </c>
      <c r="BL8" s="73">
        <f>IF($B8="",0,SUMPRODUCT(-('Gastos Gerais'!$F$4:$F$615='Gastos das Atividades'!$B8),-('Gastos das Atividades'!BL$3&gt;='Gastos Gerais'!$D$4:$D$615),-('Gastos das Atividades'!BL$3&lt;='Gastos Gerais'!$E$4:$E$615),-('Gastos Gerais'!$C$4:$C$615)))</f>
        <v>0</v>
      </c>
      <c r="BM8" s="73">
        <f>IF($B8="",0,SUMPRODUCT(-('Gastos Gerais'!$F$4:$F$615='Gastos das Atividades'!$B8),-('Gastos das Atividades'!BM$3&gt;='Gastos Gerais'!$D$4:$D$615),-('Gastos das Atividades'!BM$3&lt;='Gastos Gerais'!$E$4:$E$615),-('Gastos Gerais'!$C$4:$C$615)))</f>
        <v>0</v>
      </c>
      <c r="BN8" s="73">
        <f>IF($B8="",0,SUMPRODUCT(-('Gastos Gerais'!$F$4:$F$615='Gastos das Atividades'!$B8),-('Gastos das Atividades'!BN$3&gt;='Gastos Gerais'!$D$4:$D$615),-('Gastos das Atividades'!BN$3&lt;='Gastos Gerais'!$E$4:$E$615),-('Gastos Gerais'!$C$4:$C$615)))</f>
        <v>0</v>
      </c>
      <c r="BO8" s="73">
        <f>IF($B8="",0,SUMPRODUCT(-('Gastos Gerais'!$F$4:$F$615='Gastos das Atividades'!$B8),-('Gastos das Atividades'!BO$3&gt;='Gastos Gerais'!$D$4:$D$615),-('Gastos das Atividades'!BO$3&lt;='Gastos Gerais'!$E$4:$E$615),-('Gastos Gerais'!$C$4:$C$615)))</f>
        <v>0</v>
      </c>
      <c r="BP8" s="73">
        <f>IF($B8="",0,SUMPRODUCT(-('Gastos Gerais'!$F$4:$F$615='Gastos das Atividades'!$B8),-('Gastos das Atividades'!BP$3&gt;='Gastos Gerais'!$D$4:$D$615),-('Gastos das Atividades'!BP$3&lt;='Gastos Gerais'!$E$4:$E$615),-('Gastos Gerais'!$C$4:$C$615)))</f>
        <v>0</v>
      </c>
      <c r="BQ8" s="73">
        <f>IF($B8="",0,SUMPRODUCT(-('Gastos Gerais'!$F$4:$F$615='Gastos das Atividades'!$B8),-('Gastos das Atividades'!BQ$3&gt;='Gastos Gerais'!$D$4:$D$615),-('Gastos das Atividades'!BQ$3&lt;='Gastos Gerais'!$E$4:$E$615),-('Gastos Gerais'!$C$4:$C$615)))</f>
        <v>0</v>
      </c>
      <c r="BR8" s="73">
        <f>IF($B8="",0,SUMPRODUCT(-('Gastos Gerais'!$F$4:$F$615='Gastos das Atividades'!$B8),-('Gastos das Atividades'!BR$3&gt;='Gastos Gerais'!$D$4:$D$615),-('Gastos das Atividades'!BR$3&lt;='Gastos Gerais'!$E$4:$E$615),-('Gastos Gerais'!$C$4:$C$615)))</f>
        <v>0</v>
      </c>
      <c r="BS8" s="73">
        <f>IF($B8="",0,SUMPRODUCT(-('Gastos Gerais'!$F$4:$F$615='Gastos das Atividades'!$B8),-('Gastos das Atividades'!BS$3&gt;='Gastos Gerais'!$D$4:$D$615),-('Gastos das Atividades'!BS$3&lt;='Gastos Gerais'!$E$4:$E$615),-('Gastos Gerais'!$C$4:$C$615)))</f>
        <v>0</v>
      </c>
      <c r="BT8" s="73">
        <f>IF($B8="",0,SUMPRODUCT(-('Gastos Gerais'!$F$4:$F$615='Gastos das Atividades'!$B8),-('Gastos das Atividades'!BT$3&gt;='Gastos Gerais'!$D$4:$D$615),-('Gastos das Atividades'!BT$3&lt;='Gastos Gerais'!$E$4:$E$615),-('Gastos Gerais'!$C$4:$C$615)))</f>
        <v>0</v>
      </c>
      <c r="BU8" s="73">
        <f>IF($B8="",0,SUMPRODUCT(-('Gastos Gerais'!$F$4:$F$615='Gastos das Atividades'!$B8),-('Gastos das Atividades'!BU$3&gt;='Gastos Gerais'!$D$4:$D$615),-('Gastos das Atividades'!BU$3&lt;='Gastos Gerais'!$E$4:$E$615),-('Gastos Gerais'!$C$4:$C$615)))</f>
        <v>0</v>
      </c>
      <c r="BV8" s="73">
        <f>IF($B8="",0,SUMPRODUCT(-('Gastos Gerais'!$F$4:$F$615='Gastos das Atividades'!$B8),-('Gastos das Atividades'!BV$3&gt;='Gastos Gerais'!$D$4:$D$615),-('Gastos das Atividades'!BV$3&lt;='Gastos Gerais'!$E$4:$E$615),-('Gastos Gerais'!$C$4:$C$615)))</f>
        <v>0</v>
      </c>
      <c r="BW8" s="73">
        <f>IF($B8="",0,SUMPRODUCT(-('Gastos Gerais'!$F$4:$F$615='Gastos das Atividades'!$B8),-('Gastos das Atividades'!BW$3&gt;='Gastos Gerais'!$D$4:$D$615),-('Gastos das Atividades'!BW$3&lt;='Gastos Gerais'!$E$4:$E$615),-('Gastos Gerais'!$C$4:$C$615)))</f>
        <v>0</v>
      </c>
      <c r="BX8" s="73">
        <f>IF($B8="",0,SUMPRODUCT(-('Gastos Gerais'!$F$4:$F$615='Gastos das Atividades'!$B8),-('Gastos das Atividades'!BX$3&gt;='Gastos Gerais'!$D$4:$D$615),-('Gastos das Atividades'!BX$3&lt;='Gastos Gerais'!$E$4:$E$615),-('Gastos Gerais'!$C$4:$C$615)))</f>
        <v>0</v>
      </c>
    </row>
    <row r="9" spans="1:77" x14ac:dyDescent="0.2">
      <c r="A9" s="146">
        <v>6</v>
      </c>
      <c r="B9" s="164" t="s">
        <v>106</v>
      </c>
      <c r="C9" s="305">
        <v>0</v>
      </c>
      <c r="D9" s="357">
        <f t="shared" si="10"/>
        <v>3219600</v>
      </c>
      <c r="E9" s="144">
        <f t="shared" si="11"/>
        <v>3219600</v>
      </c>
      <c r="F9" s="73">
        <f t="shared" si="2"/>
        <v>3773900</v>
      </c>
      <c r="G9" s="73">
        <f t="shared" si="2"/>
        <v>3238900</v>
      </c>
      <c r="H9" s="73">
        <f t="shared" si="2"/>
        <v>0</v>
      </c>
      <c r="I9" s="73">
        <f t="shared" si="2"/>
        <v>0</v>
      </c>
      <c r="J9" s="145">
        <f t="shared" si="3"/>
        <v>10232400</v>
      </c>
      <c r="K9" s="76">
        <f t="shared" si="4"/>
        <v>3.0212665409088086E-2</v>
      </c>
      <c r="L9" s="76">
        <f t="shared" si="5"/>
        <v>3.5414206108633842E-2</v>
      </c>
      <c r="M9" s="76">
        <f t="shared" si="6"/>
        <v>3.0393776243476021E-2</v>
      </c>
      <c r="N9" s="76">
        <f t="shared" si="7"/>
        <v>0</v>
      </c>
      <c r="O9" s="76">
        <f t="shared" si="8"/>
        <v>0</v>
      </c>
      <c r="P9" s="209">
        <f t="shared" si="9"/>
        <v>9.6020647761197953E-2</v>
      </c>
      <c r="Q9" s="73">
        <f>IF($B9="",0,SUMPRODUCT(-('Gastos Gerais'!$F$4:$F$615='Gastos das Atividades'!$B9),-('Gastos das Atividades'!Q$3&gt;='Gastos Gerais'!$D$4:$D$615),-('Gastos das Atividades'!Q$3&lt;='Gastos Gerais'!$E$4:$E$615),-('Gastos Gerais'!$C$4:$C$615)))</f>
        <v>336400</v>
      </c>
      <c r="R9" s="73">
        <f>IF($B9="",0,SUMPRODUCT(-('Gastos Gerais'!$F$4:$F$615='Gastos das Atividades'!$B9),-('Gastos das Atividades'!R$3&gt;='Gastos Gerais'!$D$4:$D$615),-('Gastos das Atividades'!R$3&lt;='Gastos Gerais'!$E$4:$E$615),-('Gastos Gerais'!$C$4:$C$615)))</f>
        <v>238200</v>
      </c>
      <c r="S9" s="73">
        <f>IF($B9="",0,SUMPRODUCT(-('Gastos Gerais'!$F$4:$F$615='Gastos das Atividades'!$B9),-('Gastos das Atividades'!S$3&gt;='Gastos Gerais'!$D$4:$D$615),-('Gastos das Atividades'!S$3&lt;='Gastos Gerais'!$E$4:$E$615),-('Gastos Gerais'!$C$4:$C$615)))</f>
        <v>238200</v>
      </c>
      <c r="T9" s="73">
        <f>IF($B9="",0,SUMPRODUCT(-('Gastos Gerais'!$F$4:$F$615='Gastos das Atividades'!$B9),-('Gastos das Atividades'!T$3&gt;='Gastos Gerais'!$D$4:$D$615),-('Gastos das Atividades'!T$3&lt;='Gastos Gerais'!$E$4:$E$615),-('Gastos Gerais'!$C$4:$C$615)))</f>
        <v>261200</v>
      </c>
      <c r="U9" s="73">
        <f>IF($B9="",0,SUMPRODUCT(-('Gastos Gerais'!$F$4:$F$615='Gastos das Atividades'!$B9),-('Gastos das Atividades'!U$3&gt;='Gastos Gerais'!$D$4:$D$615),-('Gastos das Atividades'!U$3&lt;='Gastos Gerais'!$E$4:$E$615),-('Gastos Gerais'!$C$4:$C$615)))</f>
        <v>438200</v>
      </c>
      <c r="V9" s="73">
        <f>IF($B9="",0,SUMPRODUCT(-('Gastos Gerais'!$F$4:$F$615='Gastos das Atividades'!$B9),-('Gastos das Atividades'!V$3&gt;='Gastos Gerais'!$D$4:$D$615),-('Gastos das Atividades'!V$3&lt;='Gastos Gerais'!$E$4:$E$615),-('Gastos Gerais'!$C$4:$C$615)))</f>
        <v>278200</v>
      </c>
      <c r="W9" s="73">
        <f>IF($B9="",0,SUMPRODUCT(-('Gastos Gerais'!$F$4:$F$615='Gastos das Atividades'!$B9),-('Gastos das Atividades'!W$3&gt;='Gastos Gerais'!$D$4:$D$615),-('Gastos das Atividades'!W$3&lt;='Gastos Gerais'!$E$4:$E$615),-('Gastos Gerais'!$C$4:$C$615)))</f>
        <v>238200</v>
      </c>
      <c r="X9" s="73">
        <f>IF($B9="",0,SUMPRODUCT(-('Gastos Gerais'!$F$4:$F$615='Gastos das Atividades'!$B9),-('Gastos das Atividades'!X$3&gt;='Gastos Gerais'!$D$4:$D$615),-('Gastos das Atividades'!X$3&lt;='Gastos Gerais'!$E$4:$E$615),-('Gastos Gerais'!$C$4:$C$615)))</f>
        <v>238200</v>
      </c>
      <c r="Y9" s="73">
        <f>IF($B9="",0,SUMPRODUCT(-('Gastos Gerais'!$F$4:$F$615='Gastos das Atividades'!$B9),-('Gastos das Atividades'!Y$3&gt;='Gastos Gerais'!$D$4:$D$615),-('Gastos das Atividades'!Y$3&lt;='Gastos Gerais'!$E$4:$E$615),-('Gastos Gerais'!$C$4:$C$615)))</f>
        <v>238200</v>
      </c>
      <c r="Z9" s="73">
        <f>IF($B9="",0,SUMPRODUCT(-('Gastos Gerais'!$F$4:$F$615='Gastos das Atividades'!$B9),-('Gastos das Atividades'!Z$3&gt;='Gastos Gerais'!$D$4:$D$615),-('Gastos das Atividades'!Z$3&lt;='Gastos Gerais'!$E$4:$E$615),-('Gastos Gerais'!$C$4:$C$615)))</f>
        <v>238200</v>
      </c>
      <c r="AA9" s="73">
        <f>IF($B9="",0,SUMPRODUCT(-('Gastos Gerais'!$F$4:$F$615='Gastos das Atividades'!$B9),-('Gastos das Atividades'!AA$3&gt;='Gastos Gerais'!$D$4:$D$615),-('Gastos das Atividades'!AA$3&lt;='Gastos Gerais'!$E$4:$E$615),-('Gastos Gerais'!$C$4:$C$615)))</f>
        <v>238200</v>
      </c>
      <c r="AB9" s="73">
        <f>IF($B9="",0,SUMPRODUCT(-('Gastos Gerais'!$F$4:$F$615='Gastos das Atividades'!$B9),-('Gastos das Atividades'!AB$3&gt;='Gastos Gerais'!$D$4:$D$615),-('Gastos das Atividades'!AB$3&lt;='Gastos Gerais'!$E$4:$E$615),-('Gastos Gerais'!$C$4:$C$615)))</f>
        <v>238200</v>
      </c>
      <c r="AC9" s="73">
        <f>IF($B9="",0,SUMPRODUCT(-('Gastos Gerais'!$F$4:$F$615='Gastos das Atividades'!$B9),-('Gastos das Atividades'!AC$3&gt;='Gastos Gerais'!$D$4:$D$615),-('Gastos das Atividades'!AC$3&lt;='Gastos Gerais'!$E$4:$E$615),-('Gastos Gerais'!$C$4:$C$615)))</f>
        <v>620700</v>
      </c>
      <c r="AD9" s="73">
        <f>IF($B9="",0,SUMPRODUCT(-('Gastos Gerais'!$F$4:$F$615='Gastos das Atividades'!$B9),-('Gastos das Atividades'!AD$3&gt;='Gastos Gerais'!$D$4:$D$615),-('Gastos das Atividades'!AD$3&lt;='Gastos Gerais'!$E$4:$E$615),-('Gastos Gerais'!$C$4:$C$615)))</f>
        <v>248200</v>
      </c>
      <c r="AE9" s="73">
        <f>IF($B9="",0,SUMPRODUCT(-('Gastos Gerais'!$F$4:$F$615='Gastos das Atividades'!$B9),-('Gastos das Atividades'!AE$3&gt;='Gastos Gerais'!$D$4:$D$615),-('Gastos das Atividades'!AE$3&lt;='Gastos Gerais'!$E$4:$E$615),-('Gastos Gerais'!$C$4:$C$615)))</f>
        <v>648200</v>
      </c>
      <c r="AF9" s="73">
        <f>IF($B9="",0,SUMPRODUCT(-('Gastos Gerais'!$F$4:$F$615='Gastos das Atividades'!$B9),-('Gastos das Atividades'!AF$3&gt;='Gastos Gerais'!$D$4:$D$615),-('Gastos das Atividades'!AF$3&lt;='Gastos Gerais'!$E$4:$E$615),-('Gastos Gerais'!$C$4:$C$615)))</f>
        <v>271200</v>
      </c>
      <c r="AG9" s="73">
        <f>IF($B9="",0,SUMPRODUCT(-('Gastos Gerais'!$F$4:$F$615='Gastos das Atividades'!$B9),-('Gastos das Atividades'!AG$3&gt;='Gastos Gerais'!$D$4:$D$615),-('Gastos das Atividades'!AG$3&lt;='Gastos Gerais'!$E$4:$E$615),-('Gastos Gerais'!$C$4:$C$615)))</f>
        <v>248200</v>
      </c>
      <c r="AH9" s="73">
        <f>IF($B9="",0,SUMPRODUCT(-('Gastos Gerais'!$F$4:$F$615='Gastos das Atividades'!$B9),-('Gastos das Atividades'!AH$3&gt;='Gastos Gerais'!$D$4:$D$615),-('Gastos das Atividades'!AH$3&lt;='Gastos Gerais'!$E$4:$E$615),-('Gastos Gerais'!$C$4:$C$615)))</f>
        <v>248200</v>
      </c>
      <c r="AI9" s="73">
        <f>IF($B9="",0,SUMPRODUCT(-('Gastos Gerais'!$F$4:$F$615='Gastos das Atividades'!$B9),-('Gastos das Atividades'!AI$3&gt;='Gastos Gerais'!$D$4:$D$615),-('Gastos das Atividades'!AI$3&lt;='Gastos Gerais'!$E$4:$E$615),-('Gastos Gerais'!$C$4:$C$615)))</f>
        <v>248200</v>
      </c>
      <c r="AJ9" s="73">
        <f>IF($B9="",0,SUMPRODUCT(-('Gastos Gerais'!$F$4:$F$615='Gastos das Atividades'!$B9),-('Gastos das Atividades'!AJ$3&gt;='Gastos Gerais'!$D$4:$D$615),-('Gastos das Atividades'!AJ$3&lt;='Gastos Gerais'!$E$4:$E$615),-('Gastos Gerais'!$C$4:$C$615)))</f>
        <v>248200</v>
      </c>
      <c r="AK9" s="73">
        <f>IF($B9="",0,SUMPRODUCT(-('Gastos Gerais'!$F$4:$F$615='Gastos das Atividades'!$B9),-('Gastos das Atividades'!AK$3&gt;='Gastos Gerais'!$D$4:$D$615),-('Gastos das Atividades'!AK$3&lt;='Gastos Gerais'!$E$4:$E$615),-('Gastos Gerais'!$C$4:$C$615)))</f>
        <v>248200</v>
      </c>
      <c r="AL9" s="73">
        <f>IF($B9="",0,SUMPRODUCT(-('Gastos Gerais'!$F$4:$F$615='Gastos das Atividades'!$B9),-('Gastos das Atividades'!AL$3&gt;='Gastos Gerais'!$D$4:$D$615),-('Gastos das Atividades'!AL$3&lt;='Gastos Gerais'!$E$4:$E$615),-('Gastos Gerais'!$C$4:$C$615)))</f>
        <v>248200</v>
      </c>
      <c r="AM9" s="73">
        <f>IF($B9="",0,SUMPRODUCT(-('Gastos Gerais'!$F$4:$F$615='Gastos das Atividades'!$B9),-('Gastos das Atividades'!AM$3&gt;='Gastos Gerais'!$D$4:$D$615),-('Gastos das Atividades'!AM$3&lt;='Gastos Gerais'!$E$4:$E$615),-('Gastos Gerais'!$C$4:$C$615)))</f>
        <v>248200</v>
      </c>
      <c r="AN9" s="73">
        <f>IF($B9="",0,SUMPRODUCT(-('Gastos Gerais'!$F$4:$F$615='Gastos das Atividades'!$B9),-('Gastos das Atividades'!AN$3&gt;='Gastos Gerais'!$D$4:$D$615),-('Gastos das Atividades'!AN$3&lt;='Gastos Gerais'!$E$4:$E$615),-('Gastos Gerais'!$C$4:$C$615)))</f>
        <v>248200</v>
      </c>
      <c r="AO9" s="73">
        <f>IF($B9="",0,SUMPRODUCT(-('Gastos Gerais'!$F$4:$F$615='Gastos das Atividades'!$B9),-('Gastos das Atividades'!AO$3&gt;='Gastos Gerais'!$D$4:$D$615),-('Gastos das Atividades'!AO$3&lt;='Gastos Gerais'!$E$4:$E$615),-('Gastos Gerais'!$C$4:$C$615)))</f>
        <v>375700</v>
      </c>
      <c r="AP9" s="73">
        <f>IF($B9="",0,SUMPRODUCT(-('Gastos Gerais'!$F$4:$F$615='Gastos das Atividades'!$B9),-('Gastos das Atividades'!AP$3&gt;='Gastos Gerais'!$D$4:$D$615),-('Gastos das Atividades'!AP$3&lt;='Gastos Gerais'!$E$4:$E$615),-('Gastos Gerais'!$C$4:$C$615)))</f>
        <v>258200</v>
      </c>
      <c r="AQ9" s="73">
        <f>IF($B9="",0,SUMPRODUCT(-('Gastos Gerais'!$F$4:$F$615='Gastos das Atividades'!$B9),-('Gastos das Atividades'!AQ$3&gt;='Gastos Gerais'!$D$4:$D$615),-('Gastos das Atividades'!AQ$3&lt;='Gastos Gerais'!$E$4:$E$615),-('Gastos Gerais'!$C$4:$C$615)))</f>
        <v>258200</v>
      </c>
      <c r="AR9" s="73">
        <f>IF($B9="",0,SUMPRODUCT(-('Gastos Gerais'!$F$4:$F$615='Gastos das Atividades'!$B9),-('Gastos das Atividades'!AR$3&gt;='Gastos Gerais'!$D$4:$D$615),-('Gastos das Atividades'!AR$3&lt;='Gastos Gerais'!$E$4:$E$615),-('Gastos Gerais'!$C$4:$C$615)))</f>
        <v>281200</v>
      </c>
      <c r="AS9" s="73">
        <f>IF($B9="",0,SUMPRODUCT(-('Gastos Gerais'!$F$4:$F$615='Gastos das Atividades'!$B9),-('Gastos das Atividades'!AS$3&gt;='Gastos Gerais'!$D$4:$D$615),-('Gastos das Atividades'!AS$3&lt;='Gastos Gerais'!$E$4:$E$615),-('Gastos Gerais'!$C$4:$C$615)))</f>
        <v>258200</v>
      </c>
      <c r="AT9" s="73">
        <f>IF($B9="",0,SUMPRODUCT(-('Gastos Gerais'!$F$4:$F$615='Gastos das Atividades'!$B9),-('Gastos das Atividades'!AT$3&gt;='Gastos Gerais'!$D$4:$D$615),-('Gastos das Atividades'!AT$3&lt;='Gastos Gerais'!$E$4:$E$615),-('Gastos Gerais'!$C$4:$C$615)))</f>
        <v>258200</v>
      </c>
      <c r="AU9" s="73">
        <f>IF($B9="",0,SUMPRODUCT(-('Gastos Gerais'!$F$4:$F$615='Gastos das Atividades'!$B9),-('Gastos das Atividades'!AU$3&gt;='Gastos Gerais'!$D$4:$D$615),-('Gastos das Atividades'!AU$3&lt;='Gastos Gerais'!$E$4:$E$615),-('Gastos Gerais'!$C$4:$C$615)))</f>
        <v>258200</v>
      </c>
      <c r="AV9" s="73">
        <f>IF($B9="",0,SUMPRODUCT(-('Gastos Gerais'!$F$4:$F$615='Gastos das Atividades'!$B9),-('Gastos das Atividades'!AV$3&gt;='Gastos Gerais'!$D$4:$D$615),-('Gastos das Atividades'!AV$3&lt;='Gastos Gerais'!$E$4:$E$615),-('Gastos Gerais'!$C$4:$C$615)))</f>
        <v>258200</v>
      </c>
      <c r="AW9" s="73">
        <f>IF($B9="",0,SUMPRODUCT(-('Gastos Gerais'!$F$4:$F$615='Gastos das Atividades'!$B9),-('Gastos das Atividades'!AW$3&gt;='Gastos Gerais'!$D$4:$D$615),-('Gastos das Atividades'!AW$3&lt;='Gastos Gerais'!$E$4:$E$615),-('Gastos Gerais'!$C$4:$C$615)))</f>
        <v>258200</v>
      </c>
      <c r="AX9" s="73">
        <f>IF($B9="",0,SUMPRODUCT(-('Gastos Gerais'!$F$4:$F$615='Gastos das Atividades'!$B9),-('Gastos das Atividades'!AX$3&gt;='Gastos Gerais'!$D$4:$D$615),-('Gastos das Atividades'!AX$3&lt;='Gastos Gerais'!$E$4:$E$615),-('Gastos Gerais'!$C$4:$C$615)))</f>
        <v>258200</v>
      </c>
      <c r="AY9" s="73">
        <f>IF($B9="",0,SUMPRODUCT(-('Gastos Gerais'!$F$4:$F$615='Gastos das Atividades'!$B9),-('Gastos das Atividades'!AY$3&gt;='Gastos Gerais'!$D$4:$D$615),-('Gastos das Atividades'!AY$3&lt;='Gastos Gerais'!$E$4:$E$615),-('Gastos Gerais'!$C$4:$C$615)))</f>
        <v>258200</v>
      </c>
      <c r="AZ9" s="73">
        <f>IF($B9="",0,SUMPRODUCT(-('Gastos Gerais'!$F$4:$F$615='Gastos das Atividades'!$B9),-('Gastos das Atividades'!AZ$3&gt;='Gastos Gerais'!$D$4:$D$615),-('Gastos das Atividades'!AZ$3&lt;='Gastos Gerais'!$E$4:$E$615),-('Gastos Gerais'!$C$4:$C$615)))</f>
        <v>258200</v>
      </c>
      <c r="BA9" s="73">
        <f>IF($B9="",0,SUMPRODUCT(-('Gastos Gerais'!$F$4:$F$615='Gastos das Atividades'!$B9),-('Gastos das Atividades'!BA$3&gt;='Gastos Gerais'!$D$4:$D$615),-('Gastos das Atividades'!BA$3&lt;='Gastos Gerais'!$E$4:$E$615),-('Gastos Gerais'!$C$4:$C$615)))</f>
        <v>0</v>
      </c>
      <c r="BB9" s="73">
        <f>IF($B9="",0,SUMPRODUCT(-('Gastos Gerais'!$F$4:$F$615='Gastos das Atividades'!$B9),-('Gastos das Atividades'!BB$3&gt;='Gastos Gerais'!$D$4:$D$615),-('Gastos das Atividades'!BB$3&lt;='Gastos Gerais'!$E$4:$E$615),-('Gastos Gerais'!$C$4:$C$615)))</f>
        <v>0</v>
      </c>
      <c r="BC9" s="73">
        <f>IF($B9="",0,SUMPRODUCT(-('Gastos Gerais'!$F$4:$F$615='Gastos das Atividades'!$B9),-('Gastos das Atividades'!BC$3&gt;='Gastos Gerais'!$D$4:$D$615),-('Gastos das Atividades'!BC$3&lt;='Gastos Gerais'!$E$4:$E$615),-('Gastos Gerais'!$C$4:$C$615)))</f>
        <v>0</v>
      </c>
      <c r="BD9" s="73">
        <f>IF($B9="",0,SUMPRODUCT(-('Gastos Gerais'!$F$4:$F$615='Gastos das Atividades'!$B9),-('Gastos das Atividades'!BD$3&gt;='Gastos Gerais'!$D$4:$D$615),-('Gastos das Atividades'!BD$3&lt;='Gastos Gerais'!$E$4:$E$615),-('Gastos Gerais'!$C$4:$C$615)))</f>
        <v>0</v>
      </c>
      <c r="BE9" s="73">
        <f>IF($B9="",0,SUMPRODUCT(-('Gastos Gerais'!$F$4:$F$615='Gastos das Atividades'!$B9),-('Gastos das Atividades'!BE$3&gt;='Gastos Gerais'!$D$4:$D$615),-('Gastos das Atividades'!BE$3&lt;='Gastos Gerais'!$E$4:$E$615),-('Gastos Gerais'!$C$4:$C$615)))</f>
        <v>0</v>
      </c>
      <c r="BF9" s="73">
        <f>IF($B9="",0,SUMPRODUCT(-('Gastos Gerais'!$F$4:$F$615='Gastos das Atividades'!$B9),-('Gastos das Atividades'!BF$3&gt;='Gastos Gerais'!$D$4:$D$615),-('Gastos das Atividades'!BF$3&lt;='Gastos Gerais'!$E$4:$E$615),-('Gastos Gerais'!$C$4:$C$615)))</f>
        <v>0</v>
      </c>
      <c r="BG9" s="73">
        <f>IF($B9="",0,SUMPRODUCT(-('Gastos Gerais'!$F$4:$F$615='Gastos das Atividades'!$B9),-('Gastos das Atividades'!BG$3&gt;='Gastos Gerais'!$D$4:$D$615),-('Gastos das Atividades'!BG$3&lt;='Gastos Gerais'!$E$4:$E$615),-('Gastos Gerais'!$C$4:$C$615)))</f>
        <v>0</v>
      </c>
      <c r="BH9" s="73">
        <f>IF($B9="",0,SUMPRODUCT(-('Gastos Gerais'!$F$4:$F$615='Gastos das Atividades'!$B9),-('Gastos das Atividades'!BH$3&gt;='Gastos Gerais'!$D$4:$D$615),-('Gastos das Atividades'!BH$3&lt;='Gastos Gerais'!$E$4:$E$615),-('Gastos Gerais'!$C$4:$C$615)))</f>
        <v>0</v>
      </c>
      <c r="BI9" s="73">
        <f>IF($B9="",0,SUMPRODUCT(-('Gastos Gerais'!$F$4:$F$615='Gastos das Atividades'!$B9),-('Gastos das Atividades'!BI$3&gt;='Gastos Gerais'!$D$4:$D$615),-('Gastos das Atividades'!BI$3&lt;='Gastos Gerais'!$E$4:$E$615),-('Gastos Gerais'!$C$4:$C$615)))</f>
        <v>0</v>
      </c>
      <c r="BJ9" s="73">
        <f>IF($B9="",0,SUMPRODUCT(-('Gastos Gerais'!$F$4:$F$615='Gastos das Atividades'!$B9),-('Gastos das Atividades'!BJ$3&gt;='Gastos Gerais'!$D$4:$D$615),-('Gastos das Atividades'!BJ$3&lt;='Gastos Gerais'!$E$4:$E$615),-('Gastos Gerais'!$C$4:$C$615)))</f>
        <v>0</v>
      </c>
      <c r="BK9" s="73">
        <f>IF($B9="",0,SUMPRODUCT(-('Gastos Gerais'!$F$4:$F$615='Gastos das Atividades'!$B9),-('Gastos das Atividades'!BK$3&gt;='Gastos Gerais'!$D$4:$D$615),-('Gastos das Atividades'!BK$3&lt;='Gastos Gerais'!$E$4:$E$615),-('Gastos Gerais'!$C$4:$C$615)))</f>
        <v>0</v>
      </c>
      <c r="BL9" s="73">
        <f>IF($B9="",0,SUMPRODUCT(-('Gastos Gerais'!$F$4:$F$615='Gastos das Atividades'!$B9),-('Gastos das Atividades'!BL$3&gt;='Gastos Gerais'!$D$4:$D$615),-('Gastos das Atividades'!BL$3&lt;='Gastos Gerais'!$E$4:$E$615),-('Gastos Gerais'!$C$4:$C$615)))</f>
        <v>0</v>
      </c>
      <c r="BM9" s="73">
        <f>IF($B9="",0,SUMPRODUCT(-('Gastos Gerais'!$F$4:$F$615='Gastos das Atividades'!$B9),-('Gastos das Atividades'!BM$3&gt;='Gastos Gerais'!$D$4:$D$615),-('Gastos das Atividades'!BM$3&lt;='Gastos Gerais'!$E$4:$E$615),-('Gastos Gerais'!$C$4:$C$615)))</f>
        <v>0</v>
      </c>
      <c r="BN9" s="73">
        <f>IF($B9="",0,SUMPRODUCT(-('Gastos Gerais'!$F$4:$F$615='Gastos das Atividades'!$B9),-('Gastos das Atividades'!BN$3&gt;='Gastos Gerais'!$D$4:$D$615),-('Gastos das Atividades'!BN$3&lt;='Gastos Gerais'!$E$4:$E$615),-('Gastos Gerais'!$C$4:$C$615)))</f>
        <v>0</v>
      </c>
      <c r="BO9" s="73">
        <f>IF($B9="",0,SUMPRODUCT(-('Gastos Gerais'!$F$4:$F$615='Gastos das Atividades'!$B9),-('Gastos das Atividades'!BO$3&gt;='Gastos Gerais'!$D$4:$D$615),-('Gastos das Atividades'!BO$3&lt;='Gastos Gerais'!$E$4:$E$615),-('Gastos Gerais'!$C$4:$C$615)))</f>
        <v>0</v>
      </c>
      <c r="BP9" s="73">
        <f>IF($B9="",0,SUMPRODUCT(-('Gastos Gerais'!$F$4:$F$615='Gastos das Atividades'!$B9),-('Gastos das Atividades'!BP$3&gt;='Gastos Gerais'!$D$4:$D$615),-('Gastos das Atividades'!BP$3&lt;='Gastos Gerais'!$E$4:$E$615),-('Gastos Gerais'!$C$4:$C$615)))</f>
        <v>0</v>
      </c>
      <c r="BQ9" s="73">
        <f>IF($B9="",0,SUMPRODUCT(-('Gastos Gerais'!$F$4:$F$615='Gastos das Atividades'!$B9),-('Gastos das Atividades'!BQ$3&gt;='Gastos Gerais'!$D$4:$D$615),-('Gastos das Atividades'!BQ$3&lt;='Gastos Gerais'!$E$4:$E$615),-('Gastos Gerais'!$C$4:$C$615)))</f>
        <v>0</v>
      </c>
      <c r="BR9" s="73">
        <f>IF($B9="",0,SUMPRODUCT(-('Gastos Gerais'!$F$4:$F$615='Gastos das Atividades'!$B9),-('Gastos das Atividades'!BR$3&gt;='Gastos Gerais'!$D$4:$D$615),-('Gastos das Atividades'!BR$3&lt;='Gastos Gerais'!$E$4:$E$615),-('Gastos Gerais'!$C$4:$C$615)))</f>
        <v>0</v>
      </c>
      <c r="BS9" s="73">
        <f>IF($B9="",0,SUMPRODUCT(-('Gastos Gerais'!$F$4:$F$615='Gastos das Atividades'!$B9),-('Gastos das Atividades'!BS$3&gt;='Gastos Gerais'!$D$4:$D$615),-('Gastos das Atividades'!BS$3&lt;='Gastos Gerais'!$E$4:$E$615),-('Gastos Gerais'!$C$4:$C$615)))</f>
        <v>0</v>
      </c>
      <c r="BT9" s="73">
        <f>IF($B9="",0,SUMPRODUCT(-('Gastos Gerais'!$F$4:$F$615='Gastos das Atividades'!$B9),-('Gastos das Atividades'!BT$3&gt;='Gastos Gerais'!$D$4:$D$615),-('Gastos das Atividades'!BT$3&lt;='Gastos Gerais'!$E$4:$E$615),-('Gastos Gerais'!$C$4:$C$615)))</f>
        <v>0</v>
      </c>
      <c r="BU9" s="73">
        <f>IF($B9="",0,SUMPRODUCT(-('Gastos Gerais'!$F$4:$F$615='Gastos das Atividades'!$B9),-('Gastos das Atividades'!BU$3&gt;='Gastos Gerais'!$D$4:$D$615),-('Gastos das Atividades'!BU$3&lt;='Gastos Gerais'!$E$4:$E$615),-('Gastos Gerais'!$C$4:$C$615)))</f>
        <v>0</v>
      </c>
      <c r="BV9" s="73">
        <f>IF($B9="",0,SUMPRODUCT(-('Gastos Gerais'!$F$4:$F$615='Gastos das Atividades'!$B9),-('Gastos das Atividades'!BV$3&gt;='Gastos Gerais'!$D$4:$D$615),-('Gastos das Atividades'!BV$3&lt;='Gastos Gerais'!$E$4:$E$615),-('Gastos Gerais'!$C$4:$C$615)))</f>
        <v>0</v>
      </c>
      <c r="BW9" s="73">
        <f>IF($B9="",0,SUMPRODUCT(-('Gastos Gerais'!$F$4:$F$615='Gastos das Atividades'!$B9),-('Gastos das Atividades'!BW$3&gt;='Gastos Gerais'!$D$4:$D$615),-('Gastos das Atividades'!BW$3&lt;='Gastos Gerais'!$E$4:$E$615),-('Gastos Gerais'!$C$4:$C$615)))</f>
        <v>0</v>
      </c>
      <c r="BX9" s="73">
        <f>IF($B9="",0,SUMPRODUCT(-('Gastos Gerais'!$F$4:$F$615='Gastos das Atividades'!$B9),-('Gastos das Atividades'!BX$3&gt;='Gastos Gerais'!$D$4:$D$615),-('Gastos das Atividades'!BX$3&lt;='Gastos Gerais'!$E$4:$E$615),-('Gastos Gerais'!$C$4:$C$615)))</f>
        <v>0</v>
      </c>
    </row>
    <row r="10" spans="1:77" x14ac:dyDescent="0.2">
      <c r="A10" s="146">
        <v>7</v>
      </c>
      <c r="B10" s="164" t="s">
        <v>107</v>
      </c>
      <c r="C10" s="305">
        <v>0</v>
      </c>
      <c r="D10" s="357">
        <f t="shared" si="10"/>
        <v>3060000</v>
      </c>
      <c r="E10" s="144">
        <f t="shared" si="11"/>
        <v>3060000</v>
      </c>
      <c r="F10" s="73">
        <f t="shared" si="2"/>
        <v>3170300</v>
      </c>
      <c r="G10" s="73">
        <f t="shared" si="2"/>
        <v>2920300</v>
      </c>
      <c r="H10" s="73">
        <f t="shared" si="2"/>
        <v>0</v>
      </c>
      <c r="I10" s="73">
        <f t="shared" si="2"/>
        <v>0</v>
      </c>
      <c r="J10" s="145">
        <f t="shared" si="3"/>
        <v>9150600</v>
      </c>
      <c r="K10" s="76">
        <f t="shared" si="4"/>
        <v>2.8714982032491471E-2</v>
      </c>
      <c r="L10" s="76">
        <f t="shared" si="5"/>
        <v>2.9750035143009057E-2</v>
      </c>
      <c r="M10" s="76">
        <f t="shared" si="6"/>
        <v>2.7404039878916615E-2</v>
      </c>
      <c r="N10" s="76">
        <f t="shared" si="7"/>
        <v>0</v>
      </c>
      <c r="O10" s="76">
        <f t="shared" si="8"/>
        <v>0</v>
      </c>
      <c r="P10" s="209">
        <f t="shared" si="9"/>
        <v>8.586905705441715E-2</v>
      </c>
      <c r="Q10" s="73">
        <f>IF($B10="",0,SUMPRODUCT(-('Gastos Gerais'!$F$4:$F$615='Gastos das Atividades'!$B10),-('Gastos das Atividades'!Q$3&gt;='Gastos Gerais'!$D$4:$D$615),-('Gastos das Atividades'!Q$3&lt;='Gastos Gerais'!$E$4:$E$615),-('Gastos Gerais'!$C$4:$C$615)))</f>
        <v>314600</v>
      </c>
      <c r="R10" s="73">
        <f>IF($B10="",0,SUMPRODUCT(-('Gastos Gerais'!$F$4:$F$615='Gastos das Atividades'!$B10),-('Gastos das Atividades'!R$3&gt;='Gastos Gerais'!$D$4:$D$615),-('Gastos das Atividades'!R$3&lt;='Gastos Gerais'!$E$4:$E$615),-('Gastos Gerais'!$C$4:$C$615)))</f>
        <v>217400</v>
      </c>
      <c r="S10" s="73">
        <f>IF($B10="",0,SUMPRODUCT(-('Gastos Gerais'!$F$4:$F$615='Gastos das Atividades'!$B10),-('Gastos das Atividades'!S$3&gt;='Gastos Gerais'!$D$4:$D$615),-('Gastos das Atividades'!S$3&lt;='Gastos Gerais'!$E$4:$E$615),-('Gastos Gerais'!$C$4:$C$615)))</f>
        <v>217400</v>
      </c>
      <c r="T10" s="73">
        <f>IF($B10="",0,SUMPRODUCT(-('Gastos Gerais'!$F$4:$F$615='Gastos das Atividades'!$B10),-('Gastos das Atividades'!T$3&gt;='Gastos Gerais'!$D$4:$D$615),-('Gastos das Atividades'!T$3&lt;='Gastos Gerais'!$E$4:$E$615),-('Gastos Gerais'!$C$4:$C$615)))</f>
        <v>241400</v>
      </c>
      <c r="U10" s="73">
        <f>IF($B10="",0,SUMPRODUCT(-('Gastos Gerais'!$F$4:$F$615='Gastos das Atividades'!$B10),-('Gastos das Atividades'!U$3&gt;='Gastos Gerais'!$D$4:$D$615),-('Gastos das Atividades'!U$3&lt;='Gastos Gerais'!$E$4:$E$615),-('Gastos Gerais'!$C$4:$C$615)))</f>
        <v>517400</v>
      </c>
      <c r="V10" s="73">
        <f>IF($B10="",0,SUMPRODUCT(-('Gastos Gerais'!$F$4:$F$615='Gastos das Atividades'!$B10),-('Gastos das Atividades'!V$3&gt;='Gastos Gerais'!$D$4:$D$615),-('Gastos das Atividades'!V$3&lt;='Gastos Gerais'!$E$4:$E$615),-('Gastos Gerais'!$C$4:$C$615)))</f>
        <v>247400</v>
      </c>
      <c r="W10" s="73">
        <f>IF($B10="",0,SUMPRODUCT(-('Gastos Gerais'!$F$4:$F$615='Gastos das Atividades'!$B10),-('Gastos das Atividades'!W$3&gt;='Gastos Gerais'!$D$4:$D$615),-('Gastos das Atividades'!W$3&lt;='Gastos Gerais'!$E$4:$E$615),-('Gastos Gerais'!$C$4:$C$615)))</f>
        <v>217400</v>
      </c>
      <c r="X10" s="73">
        <f>IF($B10="",0,SUMPRODUCT(-('Gastos Gerais'!$F$4:$F$615='Gastos das Atividades'!$B10),-('Gastos das Atividades'!X$3&gt;='Gastos Gerais'!$D$4:$D$615),-('Gastos das Atividades'!X$3&lt;='Gastos Gerais'!$E$4:$E$615),-('Gastos Gerais'!$C$4:$C$615)))</f>
        <v>217400</v>
      </c>
      <c r="Y10" s="73">
        <f>IF($B10="",0,SUMPRODUCT(-('Gastos Gerais'!$F$4:$F$615='Gastos das Atividades'!$B10),-('Gastos das Atividades'!Y$3&gt;='Gastos Gerais'!$D$4:$D$615),-('Gastos das Atividades'!Y$3&lt;='Gastos Gerais'!$E$4:$E$615),-('Gastos Gerais'!$C$4:$C$615)))</f>
        <v>217400</v>
      </c>
      <c r="Z10" s="73">
        <f>IF($B10="",0,SUMPRODUCT(-('Gastos Gerais'!$F$4:$F$615='Gastos das Atividades'!$B10),-('Gastos das Atividades'!Z$3&gt;='Gastos Gerais'!$D$4:$D$615),-('Gastos das Atividades'!Z$3&lt;='Gastos Gerais'!$E$4:$E$615),-('Gastos Gerais'!$C$4:$C$615)))</f>
        <v>217400</v>
      </c>
      <c r="AA10" s="73">
        <f>IF($B10="",0,SUMPRODUCT(-('Gastos Gerais'!$F$4:$F$615='Gastos das Atividades'!$B10),-('Gastos das Atividades'!AA$3&gt;='Gastos Gerais'!$D$4:$D$615),-('Gastos das Atividades'!AA$3&lt;='Gastos Gerais'!$E$4:$E$615),-('Gastos Gerais'!$C$4:$C$615)))</f>
        <v>217400</v>
      </c>
      <c r="AB10" s="73">
        <f>IF($B10="",0,SUMPRODUCT(-('Gastos Gerais'!$F$4:$F$615='Gastos das Atividades'!$B10),-('Gastos das Atividades'!AB$3&gt;='Gastos Gerais'!$D$4:$D$615),-('Gastos das Atividades'!AB$3&lt;='Gastos Gerais'!$E$4:$E$615),-('Gastos Gerais'!$C$4:$C$615)))</f>
        <v>217400</v>
      </c>
      <c r="AC10" s="73">
        <f>IF($B10="",0,SUMPRODUCT(-('Gastos Gerais'!$F$4:$F$615='Gastos das Atividades'!$B10),-('Gastos das Atividades'!AC$3&gt;='Gastos Gerais'!$D$4:$D$615),-('Gastos das Atividades'!AC$3&lt;='Gastos Gerais'!$E$4:$E$615),-('Gastos Gerais'!$C$4:$C$615)))</f>
        <v>344900</v>
      </c>
      <c r="AD10" s="73">
        <f>IF($B10="",0,SUMPRODUCT(-('Gastos Gerais'!$F$4:$F$615='Gastos das Atividades'!$B10),-('Gastos das Atividades'!AD$3&gt;='Gastos Gerais'!$D$4:$D$615),-('Gastos das Atividades'!AD$3&lt;='Gastos Gerais'!$E$4:$E$615),-('Gastos Gerais'!$C$4:$C$615)))</f>
        <v>227400</v>
      </c>
      <c r="AE10" s="73">
        <f>IF($B10="",0,SUMPRODUCT(-('Gastos Gerais'!$F$4:$F$615='Gastos das Atividades'!$B10),-('Gastos das Atividades'!AE$3&gt;='Gastos Gerais'!$D$4:$D$615),-('Gastos das Atividades'!AE$3&lt;='Gastos Gerais'!$E$4:$E$615),-('Gastos Gerais'!$C$4:$C$615)))</f>
        <v>227400</v>
      </c>
      <c r="AF10" s="73">
        <f>IF($B10="",0,SUMPRODUCT(-('Gastos Gerais'!$F$4:$F$615='Gastos das Atividades'!$B10),-('Gastos das Atividades'!AF$3&gt;='Gastos Gerais'!$D$4:$D$615),-('Gastos das Atividades'!AF$3&lt;='Gastos Gerais'!$E$4:$E$615),-('Gastos Gerais'!$C$4:$C$615)))</f>
        <v>251400</v>
      </c>
      <c r="AG10" s="73">
        <f>IF($B10="",0,SUMPRODUCT(-('Gastos Gerais'!$F$4:$F$615='Gastos das Atividades'!$B10),-('Gastos das Atividades'!AG$3&gt;='Gastos Gerais'!$D$4:$D$615),-('Gastos das Atividades'!AG$3&lt;='Gastos Gerais'!$E$4:$E$615),-('Gastos Gerais'!$C$4:$C$615)))</f>
        <v>227400</v>
      </c>
      <c r="AH10" s="73">
        <f>IF($B10="",0,SUMPRODUCT(-('Gastos Gerais'!$F$4:$F$615='Gastos das Atividades'!$B10),-('Gastos das Atividades'!AH$3&gt;='Gastos Gerais'!$D$4:$D$615),-('Gastos das Atividades'!AH$3&lt;='Gastos Gerais'!$E$4:$E$615),-('Gastos Gerais'!$C$4:$C$615)))</f>
        <v>527400</v>
      </c>
      <c r="AI10" s="73">
        <f>IF($B10="",0,SUMPRODUCT(-('Gastos Gerais'!$F$4:$F$615='Gastos das Atividades'!$B10),-('Gastos das Atividades'!AI$3&gt;='Gastos Gerais'!$D$4:$D$615),-('Gastos das Atividades'!AI$3&lt;='Gastos Gerais'!$E$4:$E$615),-('Gastos Gerais'!$C$4:$C$615)))</f>
        <v>227400</v>
      </c>
      <c r="AJ10" s="73">
        <f>IF($B10="",0,SUMPRODUCT(-('Gastos Gerais'!$F$4:$F$615='Gastos das Atividades'!$B10),-('Gastos das Atividades'!AJ$3&gt;='Gastos Gerais'!$D$4:$D$615),-('Gastos das Atividades'!AJ$3&lt;='Gastos Gerais'!$E$4:$E$615),-('Gastos Gerais'!$C$4:$C$615)))</f>
        <v>227400</v>
      </c>
      <c r="AK10" s="73">
        <f>IF($B10="",0,SUMPRODUCT(-('Gastos Gerais'!$F$4:$F$615='Gastos das Atividades'!$B10),-('Gastos das Atividades'!AK$3&gt;='Gastos Gerais'!$D$4:$D$615),-('Gastos das Atividades'!AK$3&lt;='Gastos Gerais'!$E$4:$E$615),-('Gastos Gerais'!$C$4:$C$615)))</f>
        <v>227400</v>
      </c>
      <c r="AL10" s="73">
        <f>IF($B10="",0,SUMPRODUCT(-('Gastos Gerais'!$F$4:$F$615='Gastos das Atividades'!$B10),-('Gastos das Atividades'!AL$3&gt;='Gastos Gerais'!$D$4:$D$615),-('Gastos das Atividades'!AL$3&lt;='Gastos Gerais'!$E$4:$E$615),-('Gastos Gerais'!$C$4:$C$615)))</f>
        <v>227400</v>
      </c>
      <c r="AM10" s="73">
        <f>IF($B10="",0,SUMPRODUCT(-('Gastos Gerais'!$F$4:$F$615='Gastos das Atividades'!$B10),-('Gastos das Atividades'!AM$3&gt;='Gastos Gerais'!$D$4:$D$615),-('Gastos das Atividades'!AM$3&lt;='Gastos Gerais'!$E$4:$E$615),-('Gastos Gerais'!$C$4:$C$615)))</f>
        <v>227400</v>
      </c>
      <c r="AN10" s="73">
        <f>IF($B10="",0,SUMPRODUCT(-('Gastos Gerais'!$F$4:$F$615='Gastos das Atividades'!$B10),-('Gastos das Atividades'!AN$3&gt;='Gastos Gerais'!$D$4:$D$615),-('Gastos das Atividades'!AN$3&lt;='Gastos Gerais'!$E$4:$E$615),-('Gastos Gerais'!$C$4:$C$615)))</f>
        <v>227400</v>
      </c>
      <c r="AO10" s="73">
        <f>IF($B10="",0,SUMPRODUCT(-('Gastos Gerais'!$F$4:$F$615='Gastos das Atividades'!$B10),-('Gastos das Atividades'!AO$3&gt;='Gastos Gerais'!$D$4:$D$615),-('Gastos das Atividades'!AO$3&lt;='Gastos Gerais'!$E$4:$E$615),-('Gastos Gerais'!$C$4:$C$615)))</f>
        <v>339900</v>
      </c>
      <c r="AP10" s="73">
        <f>IF($B10="",0,SUMPRODUCT(-('Gastos Gerais'!$F$4:$F$615='Gastos das Atividades'!$B10),-('Gastos das Atividades'!AP$3&gt;='Gastos Gerais'!$D$4:$D$615),-('Gastos das Atividades'!AP$3&lt;='Gastos Gerais'!$E$4:$E$615),-('Gastos Gerais'!$C$4:$C$615)))</f>
        <v>232400</v>
      </c>
      <c r="AQ10" s="73">
        <f>IF($B10="",0,SUMPRODUCT(-('Gastos Gerais'!$F$4:$F$615='Gastos das Atividades'!$B10),-('Gastos das Atividades'!AQ$3&gt;='Gastos Gerais'!$D$4:$D$615),-('Gastos das Atividades'!AQ$3&lt;='Gastos Gerais'!$E$4:$E$615),-('Gastos Gerais'!$C$4:$C$615)))</f>
        <v>232400</v>
      </c>
      <c r="AR10" s="73">
        <f>IF($B10="",0,SUMPRODUCT(-('Gastos Gerais'!$F$4:$F$615='Gastos das Atividades'!$B10),-('Gastos das Atividades'!AR$3&gt;='Gastos Gerais'!$D$4:$D$615),-('Gastos das Atividades'!AR$3&lt;='Gastos Gerais'!$E$4:$E$615),-('Gastos Gerais'!$C$4:$C$615)))</f>
        <v>256400</v>
      </c>
      <c r="AS10" s="73">
        <f>IF($B10="",0,SUMPRODUCT(-('Gastos Gerais'!$F$4:$F$615='Gastos das Atividades'!$B10),-('Gastos das Atividades'!AS$3&gt;='Gastos Gerais'!$D$4:$D$615),-('Gastos das Atividades'!AS$3&lt;='Gastos Gerais'!$E$4:$E$615),-('Gastos Gerais'!$C$4:$C$615)))</f>
        <v>232400</v>
      </c>
      <c r="AT10" s="73">
        <f>IF($B10="",0,SUMPRODUCT(-('Gastos Gerais'!$F$4:$F$615='Gastos das Atividades'!$B10),-('Gastos das Atividades'!AT$3&gt;='Gastos Gerais'!$D$4:$D$615),-('Gastos das Atividades'!AT$3&lt;='Gastos Gerais'!$E$4:$E$615),-('Gastos Gerais'!$C$4:$C$615)))</f>
        <v>232400</v>
      </c>
      <c r="AU10" s="73">
        <f>IF($B10="",0,SUMPRODUCT(-('Gastos Gerais'!$F$4:$F$615='Gastos das Atividades'!$B10),-('Gastos das Atividades'!AU$3&gt;='Gastos Gerais'!$D$4:$D$615),-('Gastos das Atividades'!AU$3&lt;='Gastos Gerais'!$E$4:$E$615),-('Gastos Gerais'!$C$4:$C$615)))</f>
        <v>232400</v>
      </c>
      <c r="AV10" s="73">
        <f>IF($B10="",0,SUMPRODUCT(-('Gastos Gerais'!$F$4:$F$615='Gastos das Atividades'!$B10),-('Gastos das Atividades'!AV$3&gt;='Gastos Gerais'!$D$4:$D$615),-('Gastos das Atividades'!AV$3&lt;='Gastos Gerais'!$E$4:$E$615),-('Gastos Gerais'!$C$4:$C$615)))</f>
        <v>232400</v>
      </c>
      <c r="AW10" s="73">
        <f>IF($B10="",0,SUMPRODUCT(-('Gastos Gerais'!$F$4:$F$615='Gastos das Atividades'!$B10),-('Gastos das Atividades'!AW$3&gt;='Gastos Gerais'!$D$4:$D$615),-('Gastos das Atividades'!AW$3&lt;='Gastos Gerais'!$E$4:$E$615),-('Gastos Gerais'!$C$4:$C$615)))</f>
        <v>232400</v>
      </c>
      <c r="AX10" s="73">
        <f>IF($B10="",0,SUMPRODUCT(-('Gastos Gerais'!$F$4:$F$615='Gastos das Atividades'!$B10),-('Gastos das Atividades'!AX$3&gt;='Gastos Gerais'!$D$4:$D$615),-('Gastos das Atividades'!AX$3&lt;='Gastos Gerais'!$E$4:$E$615),-('Gastos Gerais'!$C$4:$C$615)))</f>
        <v>232400</v>
      </c>
      <c r="AY10" s="73">
        <f>IF($B10="",0,SUMPRODUCT(-('Gastos Gerais'!$F$4:$F$615='Gastos das Atividades'!$B10),-('Gastos das Atividades'!AY$3&gt;='Gastos Gerais'!$D$4:$D$615),-('Gastos das Atividades'!AY$3&lt;='Gastos Gerais'!$E$4:$E$615),-('Gastos Gerais'!$C$4:$C$615)))</f>
        <v>232400</v>
      </c>
      <c r="AZ10" s="73">
        <f>IF($B10="",0,SUMPRODUCT(-('Gastos Gerais'!$F$4:$F$615='Gastos das Atividades'!$B10),-('Gastos das Atividades'!AZ$3&gt;='Gastos Gerais'!$D$4:$D$615),-('Gastos das Atividades'!AZ$3&lt;='Gastos Gerais'!$E$4:$E$615),-('Gastos Gerais'!$C$4:$C$615)))</f>
        <v>232400</v>
      </c>
      <c r="BA10" s="73">
        <f>IF($B10="",0,SUMPRODUCT(-('Gastos Gerais'!$F$4:$F$615='Gastos das Atividades'!$B10),-('Gastos das Atividades'!BA$3&gt;='Gastos Gerais'!$D$4:$D$615),-('Gastos das Atividades'!BA$3&lt;='Gastos Gerais'!$E$4:$E$615),-('Gastos Gerais'!$C$4:$C$615)))</f>
        <v>0</v>
      </c>
      <c r="BB10" s="73">
        <f>IF($B10="",0,SUMPRODUCT(-('Gastos Gerais'!$F$4:$F$615='Gastos das Atividades'!$B10),-('Gastos das Atividades'!BB$3&gt;='Gastos Gerais'!$D$4:$D$615),-('Gastos das Atividades'!BB$3&lt;='Gastos Gerais'!$E$4:$E$615),-('Gastos Gerais'!$C$4:$C$615)))</f>
        <v>0</v>
      </c>
      <c r="BC10" s="73">
        <f>IF($B10="",0,SUMPRODUCT(-('Gastos Gerais'!$F$4:$F$615='Gastos das Atividades'!$B10),-('Gastos das Atividades'!BC$3&gt;='Gastos Gerais'!$D$4:$D$615),-('Gastos das Atividades'!BC$3&lt;='Gastos Gerais'!$E$4:$E$615),-('Gastos Gerais'!$C$4:$C$615)))</f>
        <v>0</v>
      </c>
      <c r="BD10" s="73">
        <f>IF($B10="",0,SUMPRODUCT(-('Gastos Gerais'!$F$4:$F$615='Gastos das Atividades'!$B10),-('Gastos das Atividades'!BD$3&gt;='Gastos Gerais'!$D$4:$D$615),-('Gastos das Atividades'!BD$3&lt;='Gastos Gerais'!$E$4:$E$615),-('Gastos Gerais'!$C$4:$C$615)))</f>
        <v>0</v>
      </c>
      <c r="BE10" s="73">
        <f>IF($B10="",0,SUMPRODUCT(-('Gastos Gerais'!$F$4:$F$615='Gastos das Atividades'!$B10),-('Gastos das Atividades'!BE$3&gt;='Gastos Gerais'!$D$4:$D$615),-('Gastos das Atividades'!BE$3&lt;='Gastos Gerais'!$E$4:$E$615),-('Gastos Gerais'!$C$4:$C$615)))</f>
        <v>0</v>
      </c>
      <c r="BF10" s="73">
        <f>IF($B10="",0,SUMPRODUCT(-('Gastos Gerais'!$F$4:$F$615='Gastos das Atividades'!$B10),-('Gastos das Atividades'!BF$3&gt;='Gastos Gerais'!$D$4:$D$615),-('Gastos das Atividades'!BF$3&lt;='Gastos Gerais'!$E$4:$E$615),-('Gastos Gerais'!$C$4:$C$615)))</f>
        <v>0</v>
      </c>
      <c r="BG10" s="73">
        <f>IF($B10="",0,SUMPRODUCT(-('Gastos Gerais'!$F$4:$F$615='Gastos das Atividades'!$B10),-('Gastos das Atividades'!BG$3&gt;='Gastos Gerais'!$D$4:$D$615),-('Gastos das Atividades'!BG$3&lt;='Gastos Gerais'!$E$4:$E$615),-('Gastos Gerais'!$C$4:$C$615)))</f>
        <v>0</v>
      </c>
      <c r="BH10" s="73">
        <f>IF($B10="",0,SUMPRODUCT(-('Gastos Gerais'!$F$4:$F$615='Gastos das Atividades'!$B10),-('Gastos das Atividades'!BH$3&gt;='Gastos Gerais'!$D$4:$D$615),-('Gastos das Atividades'!BH$3&lt;='Gastos Gerais'!$E$4:$E$615),-('Gastos Gerais'!$C$4:$C$615)))</f>
        <v>0</v>
      </c>
      <c r="BI10" s="73">
        <f>IF($B10="",0,SUMPRODUCT(-('Gastos Gerais'!$F$4:$F$615='Gastos das Atividades'!$B10),-('Gastos das Atividades'!BI$3&gt;='Gastos Gerais'!$D$4:$D$615),-('Gastos das Atividades'!BI$3&lt;='Gastos Gerais'!$E$4:$E$615),-('Gastos Gerais'!$C$4:$C$615)))</f>
        <v>0</v>
      </c>
      <c r="BJ10" s="73">
        <f>IF($B10="",0,SUMPRODUCT(-('Gastos Gerais'!$F$4:$F$615='Gastos das Atividades'!$B10),-('Gastos das Atividades'!BJ$3&gt;='Gastos Gerais'!$D$4:$D$615),-('Gastos das Atividades'!BJ$3&lt;='Gastos Gerais'!$E$4:$E$615),-('Gastos Gerais'!$C$4:$C$615)))</f>
        <v>0</v>
      </c>
      <c r="BK10" s="73">
        <f>IF($B10="",0,SUMPRODUCT(-('Gastos Gerais'!$F$4:$F$615='Gastos das Atividades'!$B10),-('Gastos das Atividades'!BK$3&gt;='Gastos Gerais'!$D$4:$D$615),-('Gastos das Atividades'!BK$3&lt;='Gastos Gerais'!$E$4:$E$615),-('Gastos Gerais'!$C$4:$C$615)))</f>
        <v>0</v>
      </c>
      <c r="BL10" s="73">
        <f>IF($B10="",0,SUMPRODUCT(-('Gastos Gerais'!$F$4:$F$615='Gastos das Atividades'!$B10),-('Gastos das Atividades'!BL$3&gt;='Gastos Gerais'!$D$4:$D$615),-('Gastos das Atividades'!BL$3&lt;='Gastos Gerais'!$E$4:$E$615),-('Gastos Gerais'!$C$4:$C$615)))</f>
        <v>0</v>
      </c>
      <c r="BM10" s="73">
        <f>IF($B10="",0,SUMPRODUCT(-('Gastos Gerais'!$F$4:$F$615='Gastos das Atividades'!$B10),-('Gastos das Atividades'!BM$3&gt;='Gastos Gerais'!$D$4:$D$615),-('Gastos das Atividades'!BM$3&lt;='Gastos Gerais'!$E$4:$E$615),-('Gastos Gerais'!$C$4:$C$615)))</f>
        <v>0</v>
      </c>
      <c r="BN10" s="73">
        <f>IF($B10="",0,SUMPRODUCT(-('Gastos Gerais'!$F$4:$F$615='Gastos das Atividades'!$B10),-('Gastos das Atividades'!BN$3&gt;='Gastos Gerais'!$D$4:$D$615),-('Gastos das Atividades'!BN$3&lt;='Gastos Gerais'!$E$4:$E$615),-('Gastos Gerais'!$C$4:$C$615)))</f>
        <v>0</v>
      </c>
      <c r="BO10" s="73">
        <f>IF($B10="",0,SUMPRODUCT(-('Gastos Gerais'!$F$4:$F$615='Gastos das Atividades'!$B10),-('Gastos das Atividades'!BO$3&gt;='Gastos Gerais'!$D$4:$D$615),-('Gastos das Atividades'!BO$3&lt;='Gastos Gerais'!$E$4:$E$615),-('Gastos Gerais'!$C$4:$C$615)))</f>
        <v>0</v>
      </c>
      <c r="BP10" s="73">
        <f>IF($B10="",0,SUMPRODUCT(-('Gastos Gerais'!$F$4:$F$615='Gastos das Atividades'!$B10),-('Gastos das Atividades'!BP$3&gt;='Gastos Gerais'!$D$4:$D$615),-('Gastos das Atividades'!BP$3&lt;='Gastos Gerais'!$E$4:$E$615),-('Gastos Gerais'!$C$4:$C$615)))</f>
        <v>0</v>
      </c>
      <c r="BQ10" s="73">
        <f>IF($B10="",0,SUMPRODUCT(-('Gastos Gerais'!$F$4:$F$615='Gastos das Atividades'!$B10),-('Gastos das Atividades'!BQ$3&gt;='Gastos Gerais'!$D$4:$D$615),-('Gastos das Atividades'!BQ$3&lt;='Gastos Gerais'!$E$4:$E$615),-('Gastos Gerais'!$C$4:$C$615)))</f>
        <v>0</v>
      </c>
      <c r="BR10" s="73">
        <f>IF($B10="",0,SUMPRODUCT(-('Gastos Gerais'!$F$4:$F$615='Gastos das Atividades'!$B10),-('Gastos das Atividades'!BR$3&gt;='Gastos Gerais'!$D$4:$D$615),-('Gastos das Atividades'!BR$3&lt;='Gastos Gerais'!$E$4:$E$615),-('Gastos Gerais'!$C$4:$C$615)))</f>
        <v>0</v>
      </c>
      <c r="BS10" s="73">
        <f>IF($B10="",0,SUMPRODUCT(-('Gastos Gerais'!$F$4:$F$615='Gastos das Atividades'!$B10),-('Gastos das Atividades'!BS$3&gt;='Gastos Gerais'!$D$4:$D$615),-('Gastos das Atividades'!BS$3&lt;='Gastos Gerais'!$E$4:$E$615),-('Gastos Gerais'!$C$4:$C$615)))</f>
        <v>0</v>
      </c>
      <c r="BT10" s="73">
        <f>IF($B10="",0,SUMPRODUCT(-('Gastos Gerais'!$F$4:$F$615='Gastos das Atividades'!$B10),-('Gastos das Atividades'!BT$3&gt;='Gastos Gerais'!$D$4:$D$615),-('Gastos das Atividades'!BT$3&lt;='Gastos Gerais'!$E$4:$E$615),-('Gastos Gerais'!$C$4:$C$615)))</f>
        <v>0</v>
      </c>
      <c r="BU10" s="73">
        <f>IF($B10="",0,SUMPRODUCT(-('Gastos Gerais'!$F$4:$F$615='Gastos das Atividades'!$B10),-('Gastos das Atividades'!BU$3&gt;='Gastos Gerais'!$D$4:$D$615),-('Gastos das Atividades'!BU$3&lt;='Gastos Gerais'!$E$4:$E$615),-('Gastos Gerais'!$C$4:$C$615)))</f>
        <v>0</v>
      </c>
      <c r="BV10" s="73">
        <f>IF($B10="",0,SUMPRODUCT(-('Gastos Gerais'!$F$4:$F$615='Gastos das Atividades'!$B10),-('Gastos das Atividades'!BV$3&gt;='Gastos Gerais'!$D$4:$D$615),-('Gastos das Atividades'!BV$3&lt;='Gastos Gerais'!$E$4:$E$615),-('Gastos Gerais'!$C$4:$C$615)))</f>
        <v>0</v>
      </c>
      <c r="BW10" s="73">
        <f>IF($B10="",0,SUMPRODUCT(-('Gastos Gerais'!$F$4:$F$615='Gastos das Atividades'!$B10),-('Gastos das Atividades'!BW$3&gt;='Gastos Gerais'!$D$4:$D$615),-('Gastos das Atividades'!BW$3&lt;='Gastos Gerais'!$E$4:$E$615),-('Gastos Gerais'!$C$4:$C$615)))</f>
        <v>0</v>
      </c>
      <c r="BX10" s="73">
        <f>IF($B10="",0,SUMPRODUCT(-('Gastos Gerais'!$F$4:$F$615='Gastos das Atividades'!$B10),-('Gastos das Atividades'!BX$3&gt;='Gastos Gerais'!$D$4:$D$615),-('Gastos das Atividades'!BX$3&lt;='Gastos Gerais'!$E$4:$E$615),-('Gastos Gerais'!$C$4:$C$615)))</f>
        <v>0</v>
      </c>
    </row>
    <row r="11" spans="1:77" x14ac:dyDescent="0.2">
      <c r="A11" s="146">
        <v>8</v>
      </c>
      <c r="B11" s="164" t="s">
        <v>108</v>
      </c>
      <c r="C11" s="305">
        <v>0</v>
      </c>
      <c r="D11" s="357">
        <f t="shared" si="10"/>
        <v>3330900</v>
      </c>
      <c r="E11" s="144">
        <f t="shared" si="11"/>
        <v>3330900</v>
      </c>
      <c r="F11" s="73">
        <f t="shared" si="2"/>
        <v>4193200</v>
      </c>
      <c r="G11" s="73">
        <f t="shared" si="2"/>
        <v>3733200</v>
      </c>
      <c r="H11" s="73">
        <f t="shared" si="2"/>
        <v>0</v>
      </c>
      <c r="I11" s="73">
        <f t="shared" si="2"/>
        <v>0</v>
      </c>
      <c r="J11" s="145">
        <f t="shared" si="3"/>
        <v>11257300</v>
      </c>
      <c r="K11" s="76">
        <f t="shared" si="4"/>
        <v>3.1257102500662041E-2</v>
      </c>
      <c r="L11" s="76">
        <f t="shared" si="5"/>
        <v>3.9348909365569687E-2</v>
      </c>
      <c r="M11" s="76">
        <f t="shared" si="6"/>
        <v>3.5032278079639594E-2</v>
      </c>
      <c r="N11" s="76">
        <f t="shared" si="7"/>
        <v>0</v>
      </c>
      <c r="O11" s="76">
        <f t="shared" si="8"/>
        <v>0</v>
      </c>
      <c r="P11" s="209">
        <f t="shared" si="9"/>
        <v>0.10563828994587132</v>
      </c>
      <c r="Q11" s="73">
        <f>IF($B11="",0,SUMPRODUCT(-('Gastos Gerais'!$F$4:$F$615='Gastos das Atividades'!$B11),-('Gastos das Atividades'!Q$3&gt;='Gastos Gerais'!$D$4:$D$615),-('Gastos das Atividades'!Q$3&lt;='Gastos Gerais'!$E$4:$E$615),-('Gastos Gerais'!$C$4:$C$615)))</f>
        <v>401800</v>
      </c>
      <c r="R11" s="73">
        <f>IF($B11="",0,SUMPRODUCT(-('Gastos Gerais'!$F$4:$F$615='Gastos das Atividades'!$B11),-('Gastos das Atividades'!R$3&gt;='Gastos Gerais'!$D$4:$D$615),-('Gastos das Atividades'!R$3&lt;='Gastos Gerais'!$E$4:$E$615),-('Gastos Gerais'!$C$4:$C$615)))</f>
        <v>258100</v>
      </c>
      <c r="S11" s="73">
        <f>IF($B11="",0,SUMPRODUCT(-('Gastos Gerais'!$F$4:$F$615='Gastos das Atividades'!$B11),-('Gastos das Atividades'!S$3&gt;='Gastos Gerais'!$D$4:$D$615),-('Gastos das Atividades'!S$3&lt;='Gastos Gerais'!$E$4:$E$615),-('Gastos Gerais'!$C$4:$C$615)))</f>
        <v>258100</v>
      </c>
      <c r="T11" s="73">
        <f>IF($B11="",0,SUMPRODUCT(-('Gastos Gerais'!$F$4:$F$615='Gastos das Atividades'!$B11),-('Gastos das Atividades'!T$3&gt;='Gastos Gerais'!$D$4:$D$615),-('Gastos das Atividades'!T$3&lt;='Gastos Gerais'!$E$4:$E$615),-('Gastos Gerais'!$C$4:$C$615)))</f>
        <v>278100</v>
      </c>
      <c r="U11" s="73">
        <f>IF($B11="",0,SUMPRODUCT(-('Gastos Gerais'!$F$4:$F$615='Gastos das Atividades'!$B11),-('Gastos das Atividades'!U$3&gt;='Gastos Gerais'!$D$4:$D$615),-('Gastos das Atividades'!U$3&lt;='Gastos Gerais'!$E$4:$E$615),-('Gastos Gerais'!$C$4:$C$615)))</f>
        <v>258100</v>
      </c>
      <c r="V11" s="73">
        <f>IF($B11="",0,SUMPRODUCT(-('Gastos Gerais'!$F$4:$F$615='Gastos das Atividades'!$B11),-('Gastos das Atividades'!V$3&gt;='Gastos Gerais'!$D$4:$D$615),-('Gastos das Atividades'!V$3&lt;='Gastos Gerais'!$E$4:$E$615),-('Gastos Gerais'!$C$4:$C$615)))</f>
        <v>328100</v>
      </c>
      <c r="W11" s="73">
        <f>IF($B11="",0,SUMPRODUCT(-('Gastos Gerais'!$F$4:$F$615='Gastos das Atividades'!$B11),-('Gastos das Atividades'!W$3&gt;='Gastos Gerais'!$D$4:$D$615),-('Gastos das Atividades'!W$3&lt;='Gastos Gerais'!$E$4:$E$615),-('Gastos Gerais'!$C$4:$C$615)))</f>
        <v>258100</v>
      </c>
      <c r="X11" s="73">
        <f>IF($B11="",0,SUMPRODUCT(-('Gastos Gerais'!$F$4:$F$615='Gastos das Atividades'!$B11),-('Gastos das Atividades'!X$3&gt;='Gastos Gerais'!$D$4:$D$615),-('Gastos das Atividades'!X$3&lt;='Gastos Gerais'!$E$4:$E$615),-('Gastos Gerais'!$C$4:$C$615)))</f>
        <v>258100</v>
      </c>
      <c r="Y11" s="73">
        <f>IF($B11="",0,SUMPRODUCT(-('Gastos Gerais'!$F$4:$F$615='Gastos das Atividades'!$B11),-('Gastos das Atividades'!Y$3&gt;='Gastos Gerais'!$D$4:$D$615),-('Gastos das Atividades'!Y$3&lt;='Gastos Gerais'!$E$4:$E$615),-('Gastos Gerais'!$C$4:$C$615)))</f>
        <v>258100</v>
      </c>
      <c r="Z11" s="73">
        <f>IF($B11="",0,SUMPRODUCT(-('Gastos Gerais'!$F$4:$F$615='Gastos das Atividades'!$B11),-('Gastos das Atividades'!Z$3&gt;='Gastos Gerais'!$D$4:$D$615),-('Gastos das Atividades'!Z$3&lt;='Gastos Gerais'!$E$4:$E$615),-('Gastos Gerais'!$C$4:$C$615)))</f>
        <v>258100</v>
      </c>
      <c r="AA11" s="73">
        <f>IF($B11="",0,SUMPRODUCT(-('Gastos Gerais'!$F$4:$F$615='Gastos das Atividades'!$B11),-('Gastos das Atividades'!AA$3&gt;='Gastos Gerais'!$D$4:$D$615),-('Gastos das Atividades'!AA$3&lt;='Gastos Gerais'!$E$4:$E$615),-('Gastos Gerais'!$C$4:$C$615)))</f>
        <v>258100</v>
      </c>
      <c r="AB11" s="73">
        <f>IF($B11="",0,SUMPRODUCT(-('Gastos Gerais'!$F$4:$F$615='Gastos das Atividades'!$B11),-('Gastos das Atividades'!AB$3&gt;='Gastos Gerais'!$D$4:$D$615),-('Gastos das Atividades'!AB$3&lt;='Gastos Gerais'!$E$4:$E$615),-('Gastos Gerais'!$C$4:$C$615)))</f>
        <v>258100</v>
      </c>
      <c r="AC11" s="73">
        <f>IF($B11="",0,SUMPRODUCT(-('Gastos Gerais'!$F$4:$F$615='Gastos das Atividades'!$B11),-('Gastos das Atividades'!AC$3&gt;='Gastos Gerais'!$D$4:$D$615),-('Gastos das Atividades'!AC$3&lt;='Gastos Gerais'!$E$4:$E$615),-('Gastos Gerais'!$C$4:$C$615)))</f>
        <v>424100</v>
      </c>
      <c r="AD11" s="73">
        <f>IF($B11="",0,SUMPRODUCT(-('Gastos Gerais'!$F$4:$F$615='Gastos das Atividades'!$B11),-('Gastos das Atividades'!AD$3&gt;='Gastos Gerais'!$D$4:$D$615),-('Gastos das Atividades'!AD$3&lt;='Gastos Gerais'!$E$4:$E$615),-('Gastos Gerais'!$C$4:$C$615)))</f>
        <v>268100</v>
      </c>
      <c r="AE11" s="73">
        <f>IF($B11="",0,SUMPRODUCT(-('Gastos Gerais'!$F$4:$F$615='Gastos das Atividades'!$B11),-('Gastos das Atividades'!AE$3&gt;='Gastos Gerais'!$D$4:$D$615),-('Gastos das Atividades'!AE$3&lt;='Gastos Gerais'!$E$4:$E$615),-('Gastos Gerais'!$C$4:$C$615)))</f>
        <v>1068100</v>
      </c>
      <c r="AF11" s="73">
        <f>IF($B11="",0,SUMPRODUCT(-('Gastos Gerais'!$F$4:$F$615='Gastos das Atividades'!$B11),-('Gastos das Atividades'!AF$3&gt;='Gastos Gerais'!$D$4:$D$615),-('Gastos das Atividades'!AF$3&lt;='Gastos Gerais'!$E$4:$E$615),-('Gastos Gerais'!$C$4:$C$615)))</f>
        <v>288100</v>
      </c>
      <c r="AG11" s="73">
        <f>IF($B11="",0,SUMPRODUCT(-('Gastos Gerais'!$F$4:$F$615='Gastos das Atividades'!$B11),-('Gastos das Atividades'!AG$3&gt;='Gastos Gerais'!$D$4:$D$615),-('Gastos das Atividades'!AG$3&lt;='Gastos Gerais'!$E$4:$E$615),-('Gastos Gerais'!$C$4:$C$615)))</f>
        <v>268100</v>
      </c>
      <c r="AH11" s="73">
        <f>IF($B11="",0,SUMPRODUCT(-('Gastos Gerais'!$F$4:$F$615='Gastos das Atividades'!$B11),-('Gastos das Atividades'!AH$3&gt;='Gastos Gerais'!$D$4:$D$615),-('Gastos das Atividades'!AH$3&lt;='Gastos Gerais'!$E$4:$E$615),-('Gastos Gerais'!$C$4:$C$615)))</f>
        <v>268100</v>
      </c>
      <c r="AI11" s="73">
        <f>IF($B11="",0,SUMPRODUCT(-('Gastos Gerais'!$F$4:$F$615='Gastos das Atividades'!$B11),-('Gastos das Atividades'!AI$3&gt;='Gastos Gerais'!$D$4:$D$615),-('Gastos das Atividades'!AI$3&lt;='Gastos Gerais'!$E$4:$E$615),-('Gastos Gerais'!$C$4:$C$615)))</f>
        <v>268100</v>
      </c>
      <c r="AJ11" s="73">
        <f>IF($B11="",0,SUMPRODUCT(-('Gastos Gerais'!$F$4:$F$615='Gastos das Atividades'!$B11),-('Gastos das Atividades'!AJ$3&gt;='Gastos Gerais'!$D$4:$D$615),-('Gastos das Atividades'!AJ$3&lt;='Gastos Gerais'!$E$4:$E$615),-('Gastos Gerais'!$C$4:$C$615)))</f>
        <v>268100</v>
      </c>
      <c r="AK11" s="73">
        <f>IF($B11="",0,SUMPRODUCT(-('Gastos Gerais'!$F$4:$F$615='Gastos das Atividades'!$B11),-('Gastos das Atividades'!AK$3&gt;='Gastos Gerais'!$D$4:$D$615),-('Gastos das Atividades'!AK$3&lt;='Gastos Gerais'!$E$4:$E$615),-('Gastos Gerais'!$C$4:$C$615)))</f>
        <v>268100</v>
      </c>
      <c r="AL11" s="73">
        <f>IF($B11="",0,SUMPRODUCT(-('Gastos Gerais'!$F$4:$F$615='Gastos das Atividades'!$B11),-('Gastos das Atividades'!AL$3&gt;='Gastos Gerais'!$D$4:$D$615),-('Gastos das Atividades'!AL$3&lt;='Gastos Gerais'!$E$4:$E$615),-('Gastos Gerais'!$C$4:$C$615)))</f>
        <v>268100</v>
      </c>
      <c r="AM11" s="73">
        <f>IF($B11="",0,SUMPRODUCT(-('Gastos Gerais'!$F$4:$F$615='Gastos das Atividades'!$B11),-('Gastos das Atividades'!AM$3&gt;='Gastos Gerais'!$D$4:$D$615),-('Gastos das Atividades'!AM$3&lt;='Gastos Gerais'!$E$4:$E$615),-('Gastos Gerais'!$C$4:$C$615)))</f>
        <v>268100</v>
      </c>
      <c r="AN11" s="73">
        <f>IF($B11="",0,SUMPRODUCT(-('Gastos Gerais'!$F$4:$F$615='Gastos das Atividades'!$B11),-('Gastos das Atividades'!AN$3&gt;='Gastos Gerais'!$D$4:$D$615),-('Gastos das Atividades'!AN$3&lt;='Gastos Gerais'!$E$4:$E$615),-('Gastos Gerais'!$C$4:$C$615)))</f>
        <v>268100</v>
      </c>
      <c r="AO11" s="73">
        <f>IF($B11="",0,SUMPRODUCT(-('Gastos Gerais'!$F$4:$F$615='Gastos das Atividades'!$B11),-('Gastos das Atividades'!AO$3&gt;='Gastos Gerais'!$D$4:$D$615),-('Gastos das Atividades'!AO$3&lt;='Gastos Gerais'!$E$4:$E$615),-('Gastos Gerais'!$C$4:$C$615)))</f>
        <v>454100</v>
      </c>
      <c r="AP11" s="73">
        <f>IF($B11="",0,SUMPRODUCT(-('Gastos Gerais'!$F$4:$F$615='Gastos das Atividades'!$B11),-('Gastos das Atividades'!AP$3&gt;='Gastos Gerais'!$D$4:$D$615),-('Gastos das Atividades'!AP$3&lt;='Gastos Gerais'!$E$4:$E$615),-('Gastos Gerais'!$C$4:$C$615)))</f>
        <v>278100</v>
      </c>
      <c r="AQ11" s="73">
        <f>IF($B11="",0,SUMPRODUCT(-('Gastos Gerais'!$F$4:$F$615='Gastos das Atividades'!$B11),-('Gastos das Atividades'!AQ$3&gt;='Gastos Gerais'!$D$4:$D$615),-('Gastos das Atividades'!AQ$3&lt;='Gastos Gerais'!$E$4:$E$615),-('Gastos Gerais'!$C$4:$C$615)))</f>
        <v>278100</v>
      </c>
      <c r="AR11" s="73">
        <f>IF($B11="",0,SUMPRODUCT(-('Gastos Gerais'!$F$4:$F$615='Gastos das Atividades'!$B11),-('Gastos das Atividades'!AR$3&gt;='Gastos Gerais'!$D$4:$D$615),-('Gastos das Atividades'!AR$3&lt;='Gastos Gerais'!$E$4:$E$615),-('Gastos Gerais'!$C$4:$C$615)))</f>
        <v>498100</v>
      </c>
      <c r="AS11" s="73">
        <f>IF($B11="",0,SUMPRODUCT(-('Gastos Gerais'!$F$4:$F$615='Gastos das Atividades'!$B11),-('Gastos das Atividades'!AS$3&gt;='Gastos Gerais'!$D$4:$D$615),-('Gastos das Atividades'!AS$3&lt;='Gastos Gerais'!$E$4:$E$615),-('Gastos Gerais'!$C$4:$C$615)))</f>
        <v>278100</v>
      </c>
      <c r="AT11" s="73">
        <f>IF($B11="",0,SUMPRODUCT(-('Gastos Gerais'!$F$4:$F$615='Gastos das Atividades'!$B11),-('Gastos das Atividades'!AT$3&gt;='Gastos Gerais'!$D$4:$D$615),-('Gastos das Atividades'!AT$3&lt;='Gastos Gerais'!$E$4:$E$615),-('Gastos Gerais'!$C$4:$C$615)))</f>
        <v>278100</v>
      </c>
      <c r="AU11" s="73">
        <f>IF($B11="",0,SUMPRODUCT(-('Gastos Gerais'!$F$4:$F$615='Gastos das Atividades'!$B11),-('Gastos das Atividades'!AU$3&gt;='Gastos Gerais'!$D$4:$D$615),-('Gastos das Atividades'!AU$3&lt;='Gastos Gerais'!$E$4:$E$615),-('Gastos Gerais'!$C$4:$C$615)))</f>
        <v>278100</v>
      </c>
      <c r="AV11" s="73">
        <f>IF($B11="",0,SUMPRODUCT(-('Gastos Gerais'!$F$4:$F$615='Gastos das Atividades'!$B11),-('Gastos das Atividades'!AV$3&gt;='Gastos Gerais'!$D$4:$D$615),-('Gastos das Atividades'!AV$3&lt;='Gastos Gerais'!$E$4:$E$615),-('Gastos Gerais'!$C$4:$C$615)))</f>
        <v>278100</v>
      </c>
      <c r="AW11" s="73">
        <f>IF($B11="",0,SUMPRODUCT(-('Gastos Gerais'!$F$4:$F$615='Gastos das Atividades'!$B11),-('Gastos das Atividades'!AW$3&gt;='Gastos Gerais'!$D$4:$D$615),-('Gastos das Atividades'!AW$3&lt;='Gastos Gerais'!$E$4:$E$615),-('Gastos Gerais'!$C$4:$C$615)))</f>
        <v>278100</v>
      </c>
      <c r="AX11" s="73">
        <f>IF($B11="",0,SUMPRODUCT(-('Gastos Gerais'!$F$4:$F$615='Gastos das Atividades'!$B11),-('Gastos das Atividades'!AX$3&gt;='Gastos Gerais'!$D$4:$D$615),-('Gastos das Atividades'!AX$3&lt;='Gastos Gerais'!$E$4:$E$615),-('Gastos Gerais'!$C$4:$C$615)))</f>
        <v>278100</v>
      </c>
      <c r="AY11" s="73">
        <f>IF($B11="",0,SUMPRODUCT(-('Gastos Gerais'!$F$4:$F$615='Gastos das Atividades'!$B11),-('Gastos das Atividades'!AY$3&gt;='Gastos Gerais'!$D$4:$D$615),-('Gastos das Atividades'!AY$3&lt;='Gastos Gerais'!$E$4:$E$615),-('Gastos Gerais'!$C$4:$C$615)))</f>
        <v>278100</v>
      </c>
      <c r="AZ11" s="73">
        <f>IF($B11="",0,SUMPRODUCT(-('Gastos Gerais'!$F$4:$F$615='Gastos das Atividades'!$B11),-('Gastos das Atividades'!AZ$3&gt;='Gastos Gerais'!$D$4:$D$615),-('Gastos das Atividades'!AZ$3&lt;='Gastos Gerais'!$E$4:$E$615),-('Gastos Gerais'!$C$4:$C$615)))</f>
        <v>278100</v>
      </c>
      <c r="BA11" s="73">
        <f>IF($B11="",0,SUMPRODUCT(-('Gastos Gerais'!$F$4:$F$615='Gastos das Atividades'!$B11),-('Gastos das Atividades'!BA$3&gt;='Gastos Gerais'!$D$4:$D$615),-('Gastos das Atividades'!BA$3&lt;='Gastos Gerais'!$E$4:$E$615),-('Gastos Gerais'!$C$4:$C$615)))</f>
        <v>0</v>
      </c>
      <c r="BB11" s="73">
        <f>IF($B11="",0,SUMPRODUCT(-('Gastos Gerais'!$F$4:$F$615='Gastos das Atividades'!$B11),-('Gastos das Atividades'!BB$3&gt;='Gastos Gerais'!$D$4:$D$615),-('Gastos das Atividades'!BB$3&lt;='Gastos Gerais'!$E$4:$E$615),-('Gastos Gerais'!$C$4:$C$615)))</f>
        <v>0</v>
      </c>
      <c r="BC11" s="73">
        <f>IF($B11="",0,SUMPRODUCT(-('Gastos Gerais'!$F$4:$F$615='Gastos das Atividades'!$B11),-('Gastos das Atividades'!BC$3&gt;='Gastos Gerais'!$D$4:$D$615),-('Gastos das Atividades'!BC$3&lt;='Gastos Gerais'!$E$4:$E$615),-('Gastos Gerais'!$C$4:$C$615)))</f>
        <v>0</v>
      </c>
      <c r="BD11" s="73">
        <f>IF($B11="",0,SUMPRODUCT(-('Gastos Gerais'!$F$4:$F$615='Gastos das Atividades'!$B11),-('Gastos das Atividades'!BD$3&gt;='Gastos Gerais'!$D$4:$D$615),-('Gastos das Atividades'!BD$3&lt;='Gastos Gerais'!$E$4:$E$615),-('Gastos Gerais'!$C$4:$C$615)))</f>
        <v>0</v>
      </c>
      <c r="BE11" s="73">
        <f>IF($B11="",0,SUMPRODUCT(-('Gastos Gerais'!$F$4:$F$615='Gastos das Atividades'!$B11),-('Gastos das Atividades'!BE$3&gt;='Gastos Gerais'!$D$4:$D$615),-('Gastos das Atividades'!BE$3&lt;='Gastos Gerais'!$E$4:$E$615),-('Gastos Gerais'!$C$4:$C$615)))</f>
        <v>0</v>
      </c>
      <c r="BF11" s="73">
        <f>IF($B11="",0,SUMPRODUCT(-('Gastos Gerais'!$F$4:$F$615='Gastos das Atividades'!$B11),-('Gastos das Atividades'!BF$3&gt;='Gastos Gerais'!$D$4:$D$615),-('Gastos das Atividades'!BF$3&lt;='Gastos Gerais'!$E$4:$E$615),-('Gastos Gerais'!$C$4:$C$615)))</f>
        <v>0</v>
      </c>
      <c r="BG11" s="73">
        <f>IF($B11="",0,SUMPRODUCT(-('Gastos Gerais'!$F$4:$F$615='Gastos das Atividades'!$B11),-('Gastos das Atividades'!BG$3&gt;='Gastos Gerais'!$D$4:$D$615),-('Gastos das Atividades'!BG$3&lt;='Gastos Gerais'!$E$4:$E$615),-('Gastos Gerais'!$C$4:$C$615)))</f>
        <v>0</v>
      </c>
      <c r="BH11" s="73">
        <f>IF($B11="",0,SUMPRODUCT(-('Gastos Gerais'!$F$4:$F$615='Gastos das Atividades'!$B11),-('Gastos das Atividades'!BH$3&gt;='Gastos Gerais'!$D$4:$D$615),-('Gastos das Atividades'!BH$3&lt;='Gastos Gerais'!$E$4:$E$615),-('Gastos Gerais'!$C$4:$C$615)))</f>
        <v>0</v>
      </c>
      <c r="BI11" s="73">
        <f>IF($B11="",0,SUMPRODUCT(-('Gastos Gerais'!$F$4:$F$615='Gastos das Atividades'!$B11),-('Gastos das Atividades'!BI$3&gt;='Gastos Gerais'!$D$4:$D$615),-('Gastos das Atividades'!BI$3&lt;='Gastos Gerais'!$E$4:$E$615),-('Gastos Gerais'!$C$4:$C$615)))</f>
        <v>0</v>
      </c>
      <c r="BJ11" s="73">
        <f>IF($B11="",0,SUMPRODUCT(-('Gastos Gerais'!$F$4:$F$615='Gastos das Atividades'!$B11),-('Gastos das Atividades'!BJ$3&gt;='Gastos Gerais'!$D$4:$D$615),-('Gastos das Atividades'!BJ$3&lt;='Gastos Gerais'!$E$4:$E$615),-('Gastos Gerais'!$C$4:$C$615)))</f>
        <v>0</v>
      </c>
      <c r="BK11" s="73">
        <f>IF($B11="",0,SUMPRODUCT(-('Gastos Gerais'!$F$4:$F$615='Gastos das Atividades'!$B11),-('Gastos das Atividades'!BK$3&gt;='Gastos Gerais'!$D$4:$D$615),-('Gastos das Atividades'!BK$3&lt;='Gastos Gerais'!$E$4:$E$615),-('Gastos Gerais'!$C$4:$C$615)))</f>
        <v>0</v>
      </c>
      <c r="BL11" s="73">
        <f>IF($B11="",0,SUMPRODUCT(-('Gastos Gerais'!$F$4:$F$615='Gastos das Atividades'!$B11),-('Gastos das Atividades'!BL$3&gt;='Gastos Gerais'!$D$4:$D$615),-('Gastos das Atividades'!BL$3&lt;='Gastos Gerais'!$E$4:$E$615),-('Gastos Gerais'!$C$4:$C$615)))</f>
        <v>0</v>
      </c>
      <c r="BM11" s="73">
        <f>IF($B11="",0,SUMPRODUCT(-('Gastos Gerais'!$F$4:$F$615='Gastos das Atividades'!$B11),-('Gastos das Atividades'!BM$3&gt;='Gastos Gerais'!$D$4:$D$615),-('Gastos das Atividades'!BM$3&lt;='Gastos Gerais'!$E$4:$E$615),-('Gastos Gerais'!$C$4:$C$615)))</f>
        <v>0</v>
      </c>
      <c r="BN11" s="73">
        <f>IF($B11="",0,SUMPRODUCT(-('Gastos Gerais'!$F$4:$F$615='Gastos das Atividades'!$B11),-('Gastos das Atividades'!BN$3&gt;='Gastos Gerais'!$D$4:$D$615),-('Gastos das Atividades'!BN$3&lt;='Gastos Gerais'!$E$4:$E$615),-('Gastos Gerais'!$C$4:$C$615)))</f>
        <v>0</v>
      </c>
      <c r="BO11" s="73">
        <f>IF($B11="",0,SUMPRODUCT(-('Gastos Gerais'!$F$4:$F$615='Gastos das Atividades'!$B11),-('Gastos das Atividades'!BO$3&gt;='Gastos Gerais'!$D$4:$D$615),-('Gastos das Atividades'!BO$3&lt;='Gastos Gerais'!$E$4:$E$615),-('Gastos Gerais'!$C$4:$C$615)))</f>
        <v>0</v>
      </c>
      <c r="BP11" s="73">
        <f>IF($B11="",0,SUMPRODUCT(-('Gastos Gerais'!$F$4:$F$615='Gastos das Atividades'!$B11),-('Gastos das Atividades'!BP$3&gt;='Gastos Gerais'!$D$4:$D$615),-('Gastos das Atividades'!BP$3&lt;='Gastos Gerais'!$E$4:$E$615),-('Gastos Gerais'!$C$4:$C$615)))</f>
        <v>0</v>
      </c>
      <c r="BQ11" s="73">
        <f>IF($B11="",0,SUMPRODUCT(-('Gastos Gerais'!$F$4:$F$615='Gastos das Atividades'!$B11),-('Gastos das Atividades'!BQ$3&gt;='Gastos Gerais'!$D$4:$D$615),-('Gastos das Atividades'!BQ$3&lt;='Gastos Gerais'!$E$4:$E$615),-('Gastos Gerais'!$C$4:$C$615)))</f>
        <v>0</v>
      </c>
      <c r="BR11" s="73">
        <f>IF($B11="",0,SUMPRODUCT(-('Gastos Gerais'!$F$4:$F$615='Gastos das Atividades'!$B11),-('Gastos das Atividades'!BR$3&gt;='Gastos Gerais'!$D$4:$D$615),-('Gastos das Atividades'!BR$3&lt;='Gastos Gerais'!$E$4:$E$615),-('Gastos Gerais'!$C$4:$C$615)))</f>
        <v>0</v>
      </c>
      <c r="BS11" s="73">
        <f>IF($B11="",0,SUMPRODUCT(-('Gastos Gerais'!$F$4:$F$615='Gastos das Atividades'!$B11),-('Gastos das Atividades'!BS$3&gt;='Gastos Gerais'!$D$4:$D$615),-('Gastos das Atividades'!BS$3&lt;='Gastos Gerais'!$E$4:$E$615),-('Gastos Gerais'!$C$4:$C$615)))</f>
        <v>0</v>
      </c>
      <c r="BT11" s="73">
        <f>IF($B11="",0,SUMPRODUCT(-('Gastos Gerais'!$F$4:$F$615='Gastos das Atividades'!$B11),-('Gastos das Atividades'!BT$3&gt;='Gastos Gerais'!$D$4:$D$615),-('Gastos das Atividades'!BT$3&lt;='Gastos Gerais'!$E$4:$E$615),-('Gastos Gerais'!$C$4:$C$615)))</f>
        <v>0</v>
      </c>
      <c r="BU11" s="73">
        <f>IF($B11="",0,SUMPRODUCT(-('Gastos Gerais'!$F$4:$F$615='Gastos das Atividades'!$B11),-('Gastos das Atividades'!BU$3&gt;='Gastos Gerais'!$D$4:$D$615),-('Gastos das Atividades'!BU$3&lt;='Gastos Gerais'!$E$4:$E$615),-('Gastos Gerais'!$C$4:$C$615)))</f>
        <v>0</v>
      </c>
      <c r="BV11" s="73">
        <f>IF($B11="",0,SUMPRODUCT(-('Gastos Gerais'!$F$4:$F$615='Gastos das Atividades'!$B11),-('Gastos das Atividades'!BV$3&gt;='Gastos Gerais'!$D$4:$D$615),-('Gastos das Atividades'!BV$3&lt;='Gastos Gerais'!$E$4:$E$615),-('Gastos Gerais'!$C$4:$C$615)))</f>
        <v>0</v>
      </c>
      <c r="BW11" s="73">
        <f>IF($B11="",0,SUMPRODUCT(-('Gastos Gerais'!$F$4:$F$615='Gastos das Atividades'!$B11),-('Gastos das Atividades'!BW$3&gt;='Gastos Gerais'!$D$4:$D$615),-('Gastos das Atividades'!BW$3&lt;='Gastos Gerais'!$E$4:$E$615),-('Gastos Gerais'!$C$4:$C$615)))</f>
        <v>0</v>
      </c>
      <c r="BX11" s="73">
        <f>IF($B11="",0,SUMPRODUCT(-('Gastos Gerais'!$F$4:$F$615='Gastos das Atividades'!$B11),-('Gastos das Atividades'!BX$3&gt;='Gastos Gerais'!$D$4:$D$615),-('Gastos das Atividades'!BX$3&lt;='Gastos Gerais'!$E$4:$E$615),-('Gastos Gerais'!$C$4:$C$615)))</f>
        <v>0</v>
      </c>
    </row>
    <row r="12" spans="1:77" x14ac:dyDescent="0.2">
      <c r="A12" s="146">
        <v>9</v>
      </c>
      <c r="B12" s="164" t="s">
        <v>109</v>
      </c>
      <c r="C12" s="305">
        <v>0</v>
      </c>
      <c r="D12" s="357">
        <f t="shared" si="10"/>
        <v>1659300</v>
      </c>
      <c r="E12" s="144">
        <f t="shared" si="11"/>
        <v>1659300</v>
      </c>
      <c r="F12" s="73">
        <f t="shared" si="2"/>
        <v>1833300</v>
      </c>
      <c r="G12" s="73">
        <f t="shared" si="2"/>
        <v>1914300</v>
      </c>
      <c r="H12" s="73">
        <f t="shared" si="2"/>
        <v>0</v>
      </c>
      <c r="I12" s="73">
        <f t="shared" si="2"/>
        <v>0</v>
      </c>
      <c r="J12" s="145">
        <f t="shared" si="3"/>
        <v>5406900</v>
      </c>
      <c r="K12" s="76">
        <f t="shared" si="4"/>
        <v>1.5570839766834346E-2</v>
      </c>
      <c r="L12" s="76">
        <f t="shared" si="5"/>
        <v>1.7203652470642684E-2</v>
      </c>
      <c r="M12" s="76">
        <f t="shared" si="6"/>
        <v>1.7963754936208637E-2</v>
      </c>
      <c r="N12" s="76">
        <f t="shared" si="7"/>
        <v>0</v>
      </c>
      <c r="O12" s="76">
        <f t="shared" si="8"/>
        <v>0</v>
      </c>
      <c r="P12" s="209">
        <f t="shared" si="9"/>
        <v>5.0738247173685663E-2</v>
      </c>
      <c r="Q12" s="73">
        <f>IF($B12="",0,SUMPRODUCT(-('Gastos Gerais'!$F$4:$F$615='Gastos das Atividades'!$B12),-('Gastos das Atividades'!Q$3&gt;='Gastos Gerais'!$D$4:$D$615),-('Gastos das Atividades'!Q$3&lt;='Gastos Gerais'!$E$4:$E$615),-('Gastos Gerais'!$C$4:$C$615)))</f>
        <v>215400</v>
      </c>
      <c r="R12" s="73">
        <f>IF($B12="",0,SUMPRODUCT(-('Gastos Gerais'!$F$4:$F$615='Gastos das Atividades'!$B12),-('Gastos das Atividades'!R$3&gt;='Gastos Gerais'!$D$4:$D$615),-('Gastos das Atividades'!R$3&lt;='Gastos Gerais'!$E$4:$E$615),-('Gastos Gerais'!$C$4:$C$615)))</f>
        <v>121900</v>
      </c>
      <c r="S12" s="73">
        <f>IF($B12="",0,SUMPRODUCT(-('Gastos Gerais'!$F$4:$F$615='Gastos das Atividades'!$B12),-('Gastos das Atividades'!S$3&gt;='Gastos Gerais'!$D$4:$D$615),-('Gastos das Atividades'!S$3&lt;='Gastos Gerais'!$E$4:$E$615),-('Gastos Gerais'!$C$4:$C$615)))</f>
        <v>121900</v>
      </c>
      <c r="T12" s="73">
        <f>IF($B12="",0,SUMPRODUCT(-('Gastos Gerais'!$F$4:$F$615='Gastos das Atividades'!$B12),-('Gastos das Atividades'!T$3&gt;='Gastos Gerais'!$D$4:$D$615),-('Gastos das Atividades'!T$3&lt;='Gastos Gerais'!$E$4:$E$615),-('Gastos Gerais'!$C$4:$C$615)))</f>
        <v>154900</v>
      </c>
      <c r="U12" s="73">
        <f>IF($B12="",0,SUMPRODUCT(-('Gastos Gerais'!$F$4:$F$615='Gastos das Atividades'!$B12),-('Gastos das Atividades'!U$3&gt;='Gastos Gerais'!$D$4:$D$615),-('Gastos das Atividades'!U$3&lt;='Gastos Gerais'!$E$4:$E$615),-('Gastos Gerais'!$C$4:$C$615)))</f>
        <v>171900</v>
      </c>
      <c r="V12" s="73">
        <f>IF($B12="",0,SUMPRODUCT(-('Gastos Gerais'!$F$4:$F$615='Gastos das Atividades'!$B12),-('Gastos das Atividades'!V$3&gt;='Gastos Gerais'!$D$4:$D$615),-('Gastos das Atividades'!V$3&lt;='Gastos Gerais'!$E$4:$E$615),-('Gastos Gerais'!$C$4:$C$615)))</f>
        <v>141900</v>
      </c>
      <c r="W12" s="73">
        <f>IF($B12="",0,SUMPRODUCT(-('Gastos Gerais'!$F$4:$F$615='Gastos das Atividades'!$B12),-('Gastos das Atividades'!W$3&gt;='Gastos Gerais'!$D$4:$D$615),-('Gastos das Atividades'!W$3&lt;='Gastos Gerais'!$E$4:$E$615),-('Gastos Gerais'!$C$4:$C$615)))</f>
        <v>121900</v>
      </c>
      <c r="X12" s="73">
        <f>IF($B12="",0,SUMPRODUCT(-('Gastos Gerais'!$F$4:$F$615='Gastos das Atividades'!$B12),-('Gastos das Atividades'!X$3&gt;='Gastos Gerais'!$D$4:$D$615),-('Gastos das Atividades'!X$3&lt;='Gastos Gerais'!$E$4:$E$615),-('Gastos Gerais'!$C$4:$C$615)))</f>
        <v>121900</v>
      </c>
      <c r="Y12" s="73">
        <f>IF($B12="",0,SUMPRODUCT(-('Gastos Gerais'!$F$4:$F$615='Gastos das Atividades'!$B12),-('Gastos das Atividades'!Y$3&gt;='Gastos Gerais'!$D$4:$D$615),-('Gastos das Atividades'!Y$3&lt;='Gastos Gerais'!$E$4:$E$615),-('Gastos Gerais'!$C$4:$C$615)))</f>
        <v>121900</v>
      </c>
      <c r="Z12" s="73">
        <f>IF($B12="",0,SUMPRODUCT(-('Gastos Gerais'!$F$4:$F$615='Gastos das Atividades'!$B12),-('Gastos das Atividades'!Z$3&gt;='Gastos Gerais'!$D$4:$D$615),-('Gastos das Atividades'!Z$3&lt;='Gastos Gerais'!$E$4:$E$615),-('Gastos Gerais'!$C$4:$C$615)))</f>
        <v>121900</v>
      </c>
      <c r="AA12" s="73">
        <f>IF($B12="",0,SUMPRODUCT(-('Gastos Gerais'!$F$4:$F$615='Gastos das Atividades'!$B12),-('Gastos das Atividades'!AA$3&gt;='Gastos Gerais'!$D$4:$D$615),-('Gastos das Atividades'!AA$3&lt;='Gastos Gerais'!$E$4:$E$615),-('Gastos Gerais'!$C$4:$C$615)))</f>
        <v>121900</v>
      </c>
      <c r="AB12" s="73">
        <f>IF($B12="",0,SUMPRODUCT(-('Gastos Gerais'!$F$4:$F$615='Gastos das Atividades'!$B12),-('Gastos das Atividades'!AB$3&gt;='Gastos Gerais'!$D$4:$D$615),-('Gastos das Atividades'!AB$3&lt;='Gastos Gerais'!$E$4:$E$615),-('Gastos Gerais'!$C$4:$C$615)))</f>
        <v>121900</v>
      </c>
      <c r="AC12" s="73">
        <f>IF($B12="",0,SUMPRODUCT(-('Gastos Gerais'!$F$4:$F$615='Gastos das Atividades'!$B12),-('Gastos das Atividades'!AC$3&gt;='Gastos Gerais'!$D$4:$D$615),-('Gastos das Atividades'!AC$3&lt;='Gastos Gerais'!$E$4:$E$615),-('Gastos Gerais'!$C$4:$C$615)))</f>
        <v>208900</v>
      </c>
      <c r="AD12" s="73">
        <f>IF($B12="",0,SUMPRODUCT(-('Gastos Gerais'!$F$4:$F$615='Gastos das Atividades'!$B12),-('Gastos das Atividades'!AD$3&gt;='Gastos Gerais'!$D$4:$D$615),-('Gastos das Atividades'!AD$3&lt;='Gastos Gerais'!$E$4:$E$615),-('Gastos Gerais'!$C$4:$C$615)))</f>
        <v>127400</v>
      </c>
      <c r="AE12" s="73">
        <f>IF($B12="",0,SUMPRODUCT(-('Gastos Gerais'!$F$4:$F$615='Gastos das Atividades'!$B12),-('Gastos das Atividades'!AE$3&gt;='Gastos Gerais'!$D$4:$D$615),-('Gastos das Atividades'!AE$3&lt;='Gastos Gerais'!$E$4:$E$615),-('Gastos Gerais'!$C$4:$C$615)))</f>
        <v>327400</v>
      </c>
      <c r="AF12" s="73">
        <f>IF($B12="",0,SUMPRODUCT(-('Gastos Gerais'!$F$4:$F$615='Gastos das Atividades'!$B12),-('Gastos das Atividades'!AF$3&gt;='Gastos Gerais'!$D$4:$D$615),-('Gastos das Atividades'!AF$3&lt;='Gastos Gerais'!$E$4:$E$615),-('Gastos Gerais'!$C$4:$C$615)))</f>
        <v>150400</v>
      </c>
      <c r="AG12" s="73">
        <f>IF($B12="",0,SUMPRODUCT(-('Gastos Gerais'!$F$4:$F$615='Gastos das Atividades'!$B12),-('Gastos das Atividades'!AG$3&gt;='Gastos Gerais'!$D$4:$D$615),-('Gastos das Atividades'!AG$3&lt;='Gastos Gerais'!$E$4:$E$615),-('Gastos Gerais'!$C$4:$C$615)))</f>
        <v>127400</v>
      </c>
      <c r="AH12" s="73">
        <f>IF($B12="",0,SUMPRODUCT(-('Gastos Gerais'!$F$4:$F$615='Gastos das Atividades'!$B12),-('Gastos das Atividades'!AH$3&gt;='Gastos Gerais'!$D$4:$D$615),-('Gastos das Atividades'!AH$3&lt;='Gastos Gerais'!$E$4:$E$615),-('Gastos Gerais'!$C$4:$C$615)))</f>
        <v>127400</v>
      </c>
      <c r="AI12" s="73">
        <f>IF($B12="",0,SUMPRODUCT(-('Gastos Gerais'!$F$4:$F$615='Gastos das Atividades'!$B12),-('Gastos das Atividades'!AI$3&gt;='Gastos Gerais'!$D$4:$D$615),-('Gastos das Atividades'!AI$3&lt;='Gastos Gerais'!$E$4:$E$615),-('Gastos Gerais'!$C$4:$C$615)))</f>
        <v>127400</v>
      </c>
      <c r="AJ12" s="73">
        <f>IF($B12="",0,SUMPRODUCT(-('Gastos Gerais'!$F$4:$F$615='Gastos das Atividades'!$B12),-('Gastos das Atividades'!AJ$3&gt;='Gastos Gerais'!$D$4:$D$615),-('Gastos das Atividades'!AJ$3&lt;='Gastos Gerais'!$E$4:$E$615),-('Gastos Gerais'!$C$4:$C$615)))</f>
        <v>127400</v>
      </c>
      <c r="AK12" s="73">
        <f>IF($B12="",0,SUMPRODUCT(-('Gastos Gerais'!$F$4:$F$615='Gastos das Atividades'!$B12),-('Gastos das Atividades'!AK$3&gt;='Gastos Gerais'!$D$4:$D$615),-('Gastos das Atividades'!AK$3&lt;='Gastos Gerais'!$E$4:$E$615),-('Gastos Gerais'!$C$4:$C$615)))</f>
        <v>127400</v>
      </c>
      <c r="AL12" s="73">
        <f>IF($B12="",0,SUMPRODUCT(-('Gastos Gerais'!$F$4:$F$615='Gastos das Atividades'!$B12),-('Gastos das Atividades'!AL$3&gt;='Gastos Gerais'!$D$4:$D$615),-('Gastos das Atividades'!AL$3&lt;='Gastos Gerais'!$E$4:$E$615),-('Gastos Gerais'!$C$4:$C$615)))</f>
        <v>127400</v>
      </c>
      <c r="AM12" s="73">
        <f>IF($B12="",0,SUMPRODUCT(-('Gastos Gerais'!$F$4:$F$615='Gastos das Atividades'!$B12),-('Gastos das Atividades'!AM$3&gt;='Gastos Gerais'!$D$4:$D$615),-('Gastos das Atividades'!AM$3&lt;='Gastos Gerais'!$E$4:$E$615),-('Gastos Gerais'!$C$4:$C$615)))</f>
        <v>127400</v>
      </c>
      <c r="AN12" s="73">
        <f>IF($B12="",0,SUMPRODUCT(-('Gastos Gerais'!$F$4:$F$615='Gastos das Atividades'!$B12),-('Gastos das Atividades'!AN$3&gt;='Gastos Gerais'!$D$4:$D$615),-('Gastos das Atividades'!AN$3&lt;='Gastos Gerais'!$E$4:$E$615),-('Gastos Gerais'!$C$4:$C$615)))</f>
        <v>127400</v>
      </c>
      <c r="AO12" s="73">
        <f>IF($B12="",0,SUMPRODUCT(-('Gastos Gerais'!$F$4:$F$615='Gastos das Atividades'!$B12),-('Gastos das Atividades'!AO$3&gt;='Gastos Gerais'!$D$4:$D$615),-('Gastos das Atividades'!AO$3&lt;='Gastos Gerais'!$E$4:$E$615),-('Gastos Gerais'!$C$4:$C$615)))</f>
        <v>418400</v>
      </c>
      <c r="AP12" s="73">
        <f>IF($B12="",0,SUMPRODUCT(-('Gastos Gerais'!$F$4:$F$615='Gastos das Atividades'!$B12),-('Gastos das Atividades'!AP$3&gt;='Gastos Gerais'!$D$4:$D$615),-('Gastos das Atividades'!AP$3&lt;='Gastos Gerais'!$E$4:$E$615),-('Gastos Gerais'!$C$4:$C$615)))</f>
        <v>133900</v>
      </c>
      <c r="AQ12" s="73">
        <f>IF($B12="",0,SUMPRODUCT(-('Gastos Gerais'!$F$4:$F$615='Gastos das Atividades'!$B12),-('Gastos das Atividades'!AQ$3&gt;='Gastos Gerais'!$D$4:$D$615),-('Gastos das Atividades'!AQ$3&lt;='Gastos Gerais'!$E$4:$E$615),-('Gastos Gerais'!$C$4:$C$615)))</f>
        <v>133900</v>
      </c>
      <c r="AR12" s="73">
        <f>IF($B12="",0,SUMPRODUCT(-('Gastos Gerais'!$F$4:$F$615='Gastos das Atividades'!$B12),-('Gastos das Atividades'!AR$3&gt;='Gastos Gerais'!$D$4:$D$615),-('Gastos das Atividades'!AR$3&lt;='Gastos Gerais'!$E$4:$E$615),-('Gastos Gerais'!$C$4:$C$615)))</f>
        <v>156900</v>
      </c>
      <c r="AS12" s="73">
        <f>IF($B12="",0,SUMPRODUCT(-('Gastos Gerais'!$F$4:$F$615='Gastos das Atividades'!$B12),-('Gastos das Atividades'!AS$3&gt;='Gastos Gerais'!$D$4:$D$615),-('Gastos das Atividades'!AS$3&lt;='Gastos Gerais'!$E$4:$E$615),-('Gastos Gerais'!$C$4:$C$615)))</f>
        <v>133900</v>
      </c>
      <c r="AT12" s="73">
        <f>IF($B12="",0,SUMPRODUCT(-('Gastos Gerais'!$F$4:$F$615='Gastos das Atividades'!$B12),-('Gastos das Atividades'!AT$3&gt;='Gastos Gerais'!$D$4:$D$615),-('Gastos das Atividades'!AT$3&lt;='Gastos Gerais'!$E$4:$E$615),-('Gastos Gerais'!$C$4:$C$615)))</f>
        <v>133900</v>
      </c>
      <c r="AU12" s="73">
        <f>IF($B12="",0,SUMPRODUCT(-('Gastos Gerais'!$F$4:$F$615='Gastos das Atividades'!$B12),-('Gastos das Atividades'!AU$3&gt;='Gastos Gerais'!$D$4:$D$615),-('Gastos das Atividades'!AU$3&lt;='Gastos Gerais'!$E$4:$E$615),-('Gastos Gerais'!$C$4:$C$615)))</f>
        <v>133900</v>
      </c>
      <c r="AV12" s="73">
        <f>IF($B12="",0,SUMPRODUCT(-('Gastos Gerais'!$F$4:$F$615='Gastos das Atividades'!$B12),-('Gastos das Atividades'!AV$3&gt;='Gastos Gerais'!$D$4:$D$615),-('Gastos das Atividades'!AV$3&lt;='Gastos Gerais'!$E$4:$E$615),-('Gastos Gerais'!$C$4:$C$615)))</f>
        <v>133900</v>
      </c>
      <c r="AW12" s="73">
        <f>IF($B12="",0,SUMPRODUCT(-('Gastos Gerais'!$F$4:$F$615='Gastos das Atividades'!$B12),-('Gastos das Atividades'!AW$3&gt;='Gastos Gerais'!$D$4:$D$615),-('Gastos das Atividades'!AW$3&lt;='Gastos Gerais'!$E$4:$E$615),-('Gastos Gerais'!$C$4:$C$615)))</f>
        <v>133900</v>
      </c>
      <c r="AX12" s="73">
        <f>IF($B12="",0,SUMPRODUCT(-('Gastos Gerais'!$F$4:$F$615='Gastos das Atividades'!$B12),-('Gastos das Atividades'!AX$3&gt;='Gastos Gerais'!$D$4:$D$615),-('Gastos das Atividades'!AX$3&lt;='Gastos Gerais'!$E$4:$E$615),-('Gastos Gerais'!$C$4:$C$615)))</f>
        <v>133900</v>
      </c>
      <c r="AY12" s="73">
        <f>IF($B12="",0,SUMPRODUCT(-('Gastos Gerais'!$F$4:$F$615='Gastos das Atividades'!$B12),-('Gastos das Atividades'!AY$3&gt;='Gastos Gerais'!$D$4:$D$615),-('Gastos das Atividades'!AY$3&lt;='Gastos Gerais'!$E$4:$E$615),-('Gastos Gerais'!$C$4:$C$615)))</f>
        <v>133900</v>
      </c>
      <c r="AZ12" s="73">
        <f>IF($B12="",0,SUMPRODUCT(-('Gastos Gerais'!$F$4:$F$615='Gastos das Atividades'!$B12),-('Gastos das Atividades'!AZ$3&gt;='Gastos Gerais'!$D$4:$D$615),-('Gastos das Atividades'!AZ$3&lt;='Gastos Gerais'!$E$4:$E$615),-('Gastos Gerais'!$C$4:$C$615)))</f>
        <v>133900</v>
      </c>
      <c r="BA12" s="73">
        <f>IF($B12="",0,SUMPRODUCT(-('Gastos Gerais'!$F$4:$F$615='Gastos das Atividades'!$B12),-('Gastos das Atividades'!BA$3&gt;='Gastos Gerais'!$D$4:$D$615),-('Gastos das Atividades'!BA$3&lt;='Gastos Gerais'!$E$4:$E$615),-('Gastos Gerais'!$C$4:$C$615)))</f>
        <v>0</v>
      </c>
      <c r="BB12" s="73">
        <f>IF($B12="",0,SUMPRODUCT(-('Gastos Gerais'!$F$4:$F$615='Gastos das Atividades'!$B12),-('Gastos das Atividades'!BB$3&gt;='Gastos Gerais'!$D$4:$D$615),-('Gastos das Atividades'!BB$3&lt;='Gastos Gerais'!$E$4:$E$615),-('Gastos Gerais'!$C$4:$C$615)))</f>
        <v>0</v>
      </c>
      <c r="BC12" s="73">
        <f>IF($B12="",0,SUMPRODUCT(-('Gastos Gerais'!$F$4:$F$615='Gastos das Atividades'!$B12),-('Gastos das Atividades'!BC$3&gt;='Gastos Gerais'!$D$4:$D$615),-('Gastos das Atividades'!BC$3&lt;='Gastos Gerais'!$E$4:$E$615),-('Gastos Gerais'!$C$4:$C$615)))</f>
        <v>0</v>
      </c>
      <c r="BD12" s="73">
        <f>IF($B12="",0,SUMPRODUCT(-('Gastos Gerais'!$F$4:$F$615='Gastos das Atividades'!$B12),-('Gastos das Atividades'!BD$3&gt;='Gastos Gerais'!$D$4:$D$615),-('Gastos das Atividades'!BD$3&lt;='Gastos Gerais'!$E$4:$E$615),-('Gastos Gerais'!$C$4:$C$615)))</f>
        <v>0</v>
      </c>
      <c r="BE12" s="73">
        <f>IF($B12="",0,SUMPRODUCT(-('Gastos Gerais'!$F$4:$F$615='Gastos das Atividades'!$B12),-('Gastos das Atividades'!BE$3&gt;='Gastos Gerais'!$D$4:$D$615),-('Gastos das Atividades'!BE$3&lt;='Gastos Gerais'!$E$4:$E$615),-('Gastos Gerais'!$C$4:$C$615)))</f>
        <v>0</v>
      </c>
      <c r="BF12" s="73">
        <f>IF($B12="",0,SUMPRODUCT(-('Gastos Gerais'!$F$4:$F$615='Gastos das Atividades'!$B12),-('Gastos das Atividades'!BF$3&gt;='Gastos Gerais'!$D$4:$D$615),-('Gastos das Atividades'!BF$3&lt;='Gastos Gerais'!$E$4:$E$615),-('Gastos Gerais'!$C$4:$C$615)))</f>
        <v>0</v>
      </c>
      <c r="BG12" s="73">
        <f>IF($B12="",0,SUMPRODUCT(-('Gastos Gerais'!$F$4:$F$615='Gastos das Atividades'!$B12),-('Gastos das Atividades'!BG$3&gt;='Gastos Gerais'!$D$4:$D$615),-('Gastos das Atividades'!BG$3&lt;='Gastos Gerais'!$E$4:$E$615),-('Gastos Gerais'!$C$4:$C$615)))</f>
        <v>0</v>
      </c>
      <c r="BH12" s="73">
        <f>IF($B12="",0,SUMPRODUCT(-('Gastos Gerais'!$F$4:$F$615='Gastos das Atividades'!$B12),-('Gastos das Atividades'!BH$3&gt;='Gastos Gerais'!$D$4:$D$615),-('Gastos das Atividades'!BH$3&lt;='Gastos Gerais'!$E$4:$E$615),-('Gastos Gerais'!$C$4:$C$615)))</f>
        <v>0</v>
      </c>
      <c r="BI12" s="73">
        <f>IF($B12="",0,SUMPRODUCT(-('Gastos Gerais'!$F$4:$F$615='Gastos das Atividades'!$B12),-('Gastos das Atividades'!BI$3&gt;='Gastos Gerais'!$D$4:$D$615),-('Gastos das Atividades'!BI$3&lt;='Gastos Gerais'!$E$4:$E$615),-('Gastos Gerais'!$C$4:$C$615)))</f>
        <v>0</v>
      </c>
      <c r="BJ12" s="73">
        <f>IF($B12="",0,SUMPRODUCT(-('Gastos Gerais'!$F$4:$F$615='Gastos das Atividades'!$B12),-('Gastos das Atividades'!BJ$3&gt;='Gastos Gerais'!$D$4:$D$615),-('Gastos das Atividades'!BJ$3&lt;='Gastos Gerais'!$E$4:$E$615),-('Gastos Gerais'!$C$4:$C$615)))</f>
        <v>0</v>
      </c>
      <c r="BK12" s="73">
        <f>IF($B12="",0,SUMPRODUCT(-('Gastos Gerais'!$F$4:$F$615='Gastos das Atividades'!$B12),-('Gastos das Atividades'!BK$3&gt;='Gastos Gerais'!$D$4:$D$615),-('Gastos das Atividades'!BK$3&lt;='Gastos Gerais'!$E$4:$E$615),-('Gastos Gerais'!$C$4:$C$615)))</f>
        <v>0</v>
      </c>
      <c r="BL12" s="73">
        <f>IF($B12="",0,SUMPRODUCT(-('Gastos Gerais'!$F$4:$F$615='Gastos das Atividades'!$B12),-('Gastos das Atividades'!BL$3&gt;='Gastos Gerais'!$D$4:$D$615),-('Gastos das Atividades'!BL$3&lt;='Gastos Gerais'!$E$4:$E$615),-('Gastos Gerais'!$C$4:$C$615)))</f>
        <v>0</v>
      </c>
      <c r="BM12" s="73">
        <f>IF($B12="",0,SUMPRODUCT(-('Gastos Gerais'!$F$4:$F$615='Gastos das Atividades'!$B12),-('Gastos das Atividades'!BM$3&gt;='Gastos Gerais'!$D$4:$D$615),-('Gastos das Atividades'!BM$3&lt;='Gastos Gerais'!$E$4:$E$615),-('Gastos Gerais'!$C$4:$C$615)))</f>
        <v>0</v>
      </c>
      <c r="BN12" s="73">
        <f>IF($B12="",0,SUMPRODUCT(-('Gastos Gerais'!$F$4:$F$615='Gastos das Atividades'!$B12),-('Gastos das Atividades'!BN$3&gt;='Gastos Gerais'!$D$4:$D$615),-('Gastos das Atividades'!BN$3&lt;='Gastos Gerais'!$E$4:$E$615),-('Gastos Gerais'!$C$4:$C$615)))</f>
        <v>0</v>
      </c>
      <c r="BO12" s="73">
        <f>IF($B12="",0,SUMPRODUCT(-('Gastos Gerais'!$F$4:$F$615='Gastos das Atividades'!$B12),-('Gastos das Atividades'!BO$3&gt;='Gastos Gerais'!$D$4:$D$615),-('Gastos das Atividades'!BO$3&lt;='Gastos Gerais'!$E$4:$E$615),-('Gastos Gerais'!$C$4:$C$615)))</f>
        <v>0</v>
      </c>
      <c r="BP12" s="73">
        <f>IF($B12="",0,SUMPRODUCT(-('Gastos Gerais'!$F$4:$F$615='Gastos das Atividades'!$B12),-('Gastos das Atividades'!BP$3&gt;='Gastos Gerais'!$D$4:$D$615),-('Gastos das Atividades'!BP$3&lt;='Gastos Gerais'!$E$4:$E$615),-('Gastos Gerais'!$C$4:$C$615)))</f>
        <v>0</v>
      </c>
      <c r="BQ12" s="73">
        <f>IF($B12="",0,SUMPRODUCT(-('Gastos Gerais'!$F$4:$F$615='Gastos das Atividades'!$B12),-('Gastos das Atividades'!BQ$3&gt;='Gastos Gerais'!$D$4:$D$615),-('Gastos das Atividades'!BQ$3&lt;='Gastos Gerais'!$E$4:$E$615),-('Gastos Gerais'!$C$4:$C$615)))</f>
        <v>0</v>
      </c>
      <c r="BR12" s="73">
        <f>IF($B12="",0,SUMPRODUCT(-('Gastos Gerais'!$F$4:$F$615='Gastos das Atividades'!$B12),-('Gastos das Atividades'!BR$3&gt;='Gastos Gerais'!$D$4:$D$615),-('Gastos das Atividades'!BR$3&lt;='Gastos Gerais'!$E$4:$E$615),-('Gastos Gerais'!$C$4:$C$615)))</f>
        <v>0</v>
      </c>
      <c r="BS12" s="73">
        <f>IF($B12="",0,SUMPRODUCT(-('Gastos Gerais'!$F$4:$F$615='Gastos das Atividades'!$B12),-('Gastos das Atividades'!BS$3&gt;='Gastos Gerais'!$D$4:$D$615),-('Gastos das Atividades'!BS$3&lt;='Gastos Gerais'!$E$4:$E$615),-('Gastos Gerais'!$C$4:$C$615)))</f>
        <v>0</v>
      </c>
      <c r="BT12" s="73">
        <f>IF($B12="",0,SUMPRODUCT(-('Gastos Gerais'!$F$4:$F$615='Gastos das Atividades'!$B12),-('Gastos das Atividades'!BT$3&gt;='Gastos Gerais'!$D$4:$D$615),-('Gastos das Atividades'!BT$3&lt;='Gastos Gerais'!$E$4:$E$615),-('Gastos Gerais'!$C$4:$C$615)))</f>
        <v>0</v>
      </c>
      <c r="BU12" s="73">
        <f>IF($B12="",0,SUMPRODUCT(-('Gastos Gerais'!$F$4:$F$615='Gastos das Atividades'!$B12),-('Gastos das Atividades'!BU$3&gt;='Gastos Gerais'!$D$4:$D$615),-('Gastos das Atividades'!BU$3&lt;='Gastos Gerais'!$E$4:$E$615),-('Gastos Gerais'!$C$4:$C$615)))</f>
        <v>0</v>
      </c>
      <c r="BV12" s="73">
        <f>IF($B12="",0,SUMPRODUCT(-('Gastos Gerais'!$F$4:$F$615='Gastos das Atividades'!$B12),-('Gastos das Atividades'!BV$3&gt;='Gastos Gerais'!$D$4:$D$615),-('Gastos das Atividades'!BV$3&lt;='Gastos Gerais'!$E$4:$E$615),-('Gastos Gerais'!$C$4:$C$615)))</f>
        <v>0</v>
      </c>
      <c r="BW12" s="73">
        <f>IF($B12="",0,SUMPRODUCT(-('Gastos Gerais'!$F$4:$F$615='Gastos das Atividades'!$B12),-('Gastos das Atividades'!BW$3&gt;='Gastos Gerais'!$D$4:$D$615),-('Gastos das Atividades'!BW$3&lt;='Gastos Gerais'!$E$4:$E$615),-('Gastos Gerais'!$C$4:$C$615)))</f>
        <v>0</v>
      </c>
      <c r="BX12" s="73">
        <f>IF($B12="",0,SUMPRODUCT(-('Gastos Gerais'!$F$4:$F$615='Gastos das Atividades'!$B12),-('Gastos das Atividades'!BX$3&gt;='Gastos Gerais'!$D$4:$D$615),-('Gastos das Atividades'!BX$3&lt;='Gastos Gerais'!$E$4:$E$615),-('Gastos Gerais'!$C$4:$C$615)))</f>
        <v>0</v>
      </c>
    </row>
    <row r="13" spans="1:77" x14ac:dyDescent="0.2">
      <c r="A13" s="146">
        <v>10</v>
      </c>
      <c r="B13" s="164" t="s">
        <v>110</v>
      </c>
      <c r="C13" s="305">
        <v>0</v>
      </c>
      <c r="D13" s="357">
        <f t="shared" si="10"/>
        <v>4321500</v>
      </c>
      <c r="E13" s="144">
        <f t="shared" si="11"/>
        <v>4321500</v>
      </c>
      <c r="F13" s="73">
        <f t="shared" si="2"/>
        <v>5485800</v>
      </c>
      <c r="G13" s="73">
        <f t="shared" si="2"/>
        <v>4415800</v>
      </c>
      <c r="H13" s="73">
        <f t="shared" si="2"/>
        <v>0</v>
      </c>
      <c r="I13" s="73">
        <f t="shared" si="2"/>
        <v>0</v>
      </c>
      <c r="J13" s="145">
        <f t="shared" si="3"/>
        <v>14223100</v>
      </c>
      <c r="K13" s="76">
        <f t="shared" si="4"/>
        <v>4.0552874135101925E-2</v>
      </c>
      <c r="L13" s="76">
        <f t="shared" si="5"/>
        <v>5.1478643279033239E-2</v>
      </c>
      <c r="M13" s="76">
        <f t="shared" si="6"/>
        <v>4.1437783548717591E-2</v>
      </c>
      <c r="N13" s="76">
        <f t="shared" si="7"/>
        <v>0</v>
      </c>
      <c r="O13" s="76">
        <f t="shared" si="8"/>
        <v>0</v>
      </c>
      <c r="P13" s="209">
        <f t="shared" si="9"/>
        <v>0.13346930096285275</v>
      </c>
      <c r="Q13" s="73">
        <f>IF($B13="",0,SUMPRODUCT(-('Gastos Gerais'!$F$4:$F$615='Gastos das Atividades'!$B13),-('Gastos das Atividades'!Q$3&gt;='Gastos Gerais'!$D$4:$D$615),-('Gastos das Atividades'!Q$3&lt;='Gastos Gerais'!$E$4:$E$615),-('Gastos Gerais'!$C$4:$C$615)))</f>
        <v>683600</v>
      </c>
      <c r="R13" s="73">
        <f>IF($B13="",0,SUMPRODUCT(-('Gastos Gerais'!$F$4:$F$615='Gastos das Atividades'!$B13),-('Gastos das Atividades'!R$3&gt;='Gastos Gerais'!$D$4:$D$615),-('Gastos das Atividades'!R$3&lt;='Gastos Gerais'!$E$4:$E$615),-('Gastos Gerais'!$C$4:$C$615)))</f>
        <v>305900</v>
      </c>
      <c r="S13" s="73">
        <f>IF($B13="",0,SUMPRODUCT(-('Gastos Gerais'!$F$4:$F$615='Gastos das Atividades'!$B13),-('Gastos das Atividades'!S$3&gt;='Gastos Gerais'!$D$4:$D$615),-('Gastos das Atividades'!S$3&lt;='Gastos Gerais'!$E$4:$E$615),-('Gastos Gerais'!$C$4:$C$615)))</f>
        <v>305900</v>
      </c>
      <c r="T13" s="73">
        <f>IF($B13="",0,SUMPRODUCT(-('Gastos Gerais'!$F$4:$F$615='Gastos das Atividades'!$B13),-('Gastos das Atividades'!T$3&gt;='Gastos Gerais'!$D$4:$D$615),-('Gastos das Atividades'!T$3&lt;='Gastos Gerais'!$E$4:$E$615),-('Gastos Gerais'!$C$4:$C$615)))</f>
        <v>528900</v>
      </c>
      <c r="U13" s="73">
        <f>IF($B13="",0,SUMPRODUCT(-('Gastos Gerais'!$F$4:$F$615='Gastos das Atividades'!$B13),-('Gastos das Atividades'!U$3&gt;='Gastos Gerais'!$D$4:$D$615),-('Gastos das Atividades'!U$3&lt;='Gastos Gerais'!$E$4:$E$615),-('Gastos Gerais'!$C$4:$C$615)))</f>
        <v>305900</v>
      </c>
      <c r="V13" s="73">
        <f>IF($B13="",0,SUMPRODUCT(-('Gastos Gerais'!$F$4:$F$615='Gastos das Atividades'!$B13),-('Gastos das Atividades'!V$3&gt;='Gastos Gerais'!$D$4:$D$615),-('Gastos das Atividades'!V$3&lt;='Gastos Gerais'!$E$4:$E$615),-('Gastos Gerais'!$C$4:$C$615)))</f>
        <v>355900</v>
      </c>
      <c r="W13" s="73">
        <f>IF($B13="",0,SUMPRODUCT(-('Gastos Gerais'!$F$4:$F$615='Gastos das Atividades'!$B13),-('Gastos das Atividades'!W$3&gt;='Gastos Gerais'!$D$4:$D$615),-('Gastos das Atividades'!W$3&lt;='Gastos Gerais'!$E$4:$E$615),-('Gastos Gerais'!$C$4:$C$615)))</f>
        <v>305900</v>
      </c>
      <c r="X13" s="73">
        <f>IF($B13="",0,SUMPRODUCT(-('Gastos Gerais'!$F$4:$F$615='Gastos das Atividades'!$B13),-('Gastos das Atividades'!X$3&gt;='Gastos Gerais'!$D$4:$D$615),-('Gastos das Atividades'!X$3&lt;='Gastos Gerais'!$E$4:$E$615),-('Gastos Gerais'!$C$4:$C$615)))</f>
        <v>305900</v>
      </c>
      <c r="Y13" s="73">
        <f>IF($B13="",0,SUMPRODUCT(-('Gastos Gerais'!$F$4:$F$615='Gastos das Atividades'!$B13),-('Gastos das Atividades'!Y$3&gt;='Gastos Gerais'!$D$4:$D$615),-('Gastos das Atividades'!Y$3&lt;='Gastos Gerais'!$E$4:$E$615),-('Gastos Gerais'!$C$4:$C$615)))</f>
        <v>305900</v>
      </c>
      <c r="Z13" s="73">
        <f>IF($B13="",0,SUMPRODUCT(-('Gastos Gerais'!$F$4:$F$615='Gastos das Atividades'!$B13),-('Gastos das Atividades'!Z$3&gt;='Gastos Gerais'!$D$4:$D$615),-('Gastos das Atividades'!Z$3&lt;='Gastos Gerais'!$E$4:$E$615),-('Gastos Gerais'!$C$4:$C$615)))</f>
        <v>305900</v>
      </c>
      <c r="AA13" s="73">
        <f>IF($B13="",0,SUMPRODUCT(-('Gastos Gerais'!$F$4:$F$615='Gastos das Atividades'!$B13),-('Gastos das Atividades'!AA$3&gt;='Gastos Gerais'!$D$4:$D$615),-('Gastos das Atividades'!AA$3&lt;='Gastos Gerais'!$E$4:$E$615),-('Gastos Gerais'!$C$4:$C$615)))</f>
        <v>305900</v>
      </c>
      <c r="AB13" s="73">
        <f>IF($B13="",0,SUMPRODUCT(-('Gastos Gerais'!$F$4:$F$615='Gastos das Atividades'!$B13),-('Gastos das Atividades'!AB$3&gt;='Gastos Gerais'!$D$4:$D$615),-('Gastos das Atividades'!AB$3&lt;='Gastos Gerais'!$E$4:$E$615),-('Gastos Gerais'!$C$4:$C$615)))</f>
        <v>305900</v>
      </c>
      <c r="AC13" s="73">
        <f>IF($B13="",0,SUMPRODUCT(-('Gastos Gerais'!$F$4:$F$615='Gastos das Atividades'!$B13),-('Gastos das Atividades'!AC$3&gt;='Gastos Gerais'!$D$4:$D$615),-('Gastos das Atividades'!AC$3&lt;='Gastos Gerais'!$E$4:$E$615),-('Gastos Gerais'!$C$4:$C$615)))</f>
        <v>787900</v>
      </c>
      <c r="AD13" s="73">
        <f>IF($B13="",0,SUMPRODUCT(-('Gastos Gerais'!$F$4:$F$615='Gastos das Atividades'!$B13),-('Gastos das Atividades'!AD$3&gt;='Gastos Gerais'!$D$4:$D$615),-('Gastos das Atividades'!AD$3&lt;='Gastos Gerais'!$E$4:$E$615),-('Gastos Gerais'!$C$4:$C$615)))</f>
        <v>1015900</v>
      </c>
      <c r="AE13" s="73">
        <f>IF($B13="",0,SUMPRODUCT(-('Gastos Gerais'!$F$4:$F$615='Gastos das Atividades'!$B13),-('Gastos das Atividades'!AE$3&gt;='Gastos Gerais'!$D$4:$D$615),-('Gastos das Atividades'!AE$3&lt;='Gastos Gerais'!$E$4:$E$615),-('Gastos Gerais'!$C$4:$C$615)))</f>
        <v>815900</v>
      </c>
      <c r="AF13" s="73">
        <f>IF($B13="",0,SUMPRODUCT(-('Gastos Gerais'!$F$4:$F$615='Gastos das Atividades'!$B13),-('Gastos das Atividades'!AF$3&gt;='Gastos Gerais'!$D$4:$D$615),-('Gastos das Atividades'!AF$3&lt;='Gastos Gerais'!$E$4:$E$615),-('Gastos Gerais'!$C$4:$C$615)))</f>
        <v>338900</v>
      </c>
      <c r="AG13" s="73">
        <f>IF($B13="",0,SUMPRODUCT(-('Gastos Gerais'!$F$4:$F$615='Gastos das Atividades'!$B13),-('Gastos das Atividades'!AG$3&gt;='Gastos Gerais'!$D$4:$D$615),-('Gastos das Atividades'!AG$3&lt;='Gastos Gerais'!$E$4:$E$615),-('Gastos Gerais'!$C$4:$C$615)))</f>
        <v>315900</v>
      </c>
      <c r="AH13" s="73">
        <f>IF($B13="",0,SUMPRODUCT(-('Gastos Gerais'!$F$4:$F$615='Gastos das Atividades'!$B13),-('Gastos das Atividades'!AH$3&gt;='Gastos Gerais'!$D$4:$D$615),-('Gastos das Atividades'!AH$3&lt;='Gastos Gerais'!$E$4:$E$615),-('Gastos Gerais'!$C$4:$C$615)))</f>
        <v>315900</v>
      </c>
      <c r="AI13" s="73">
        <f>IF($B13="",0,SUMPRODUCT(-('Gastos Gerais'!$F$4:$F$615='Gastos das Atividades'!$B13),-('Gastos das Atividades'!AI$3&gt;='Gastos Gerais'!$D$4:$D$615),-('Gastos das Atividades'!AI$3&lt;='Gastos Gerais'!$E$4:$E$615),-('Gastos Gerais'!$C$4:$C$615)))</f>
        <v>315900</v>
      </c>
      <c r="AJ13" s="73">
        <f>IF($B13="",0,SUMPRODUCT(-('Gastos Gerais'!$F$4:$F$615='Gastos das Atividades'!$B13),-('Gastos das Atividades'!AJ$3&gt;='Gastos Gerais'!$D$4:$D$615),-('Gastos das Atividades'!AJ$3&lt;='Gastos Gerais'!$E$4:$E$615),-('Gastos Gerais'!$C$4:$C$615)))</f>
        <v>315900</v>
      </c>
      <c r="AK13" s="73">
        <f>IF($B13="",0,SUMPRODUCT(-('Gastos Gerais'!$F$4:$F$615='Gastos das Atividades'!$B13),-('Gastos das Atividades'!AK$3&gt;='Gastos Gerais'!$D$4:$D$615),-('Gastos das Atividades'!AK$3&lt;='Gastos Gerais'!$E$4:$E$615),-('Gastos Gerais'!$C$4:$C$615)))</f>
        <v>315900</v>
      </c>
      <c r="AL13" s="73">
        <f>IF($B13="",0,SUMPRODUCT(-('Gastos Gerais'!$F$4:$F$615='Gastos das Atividades'!$B13),-('Gastos das Atividades'!AL$3&gt;='Gastos Gerais'!$D$4:$D$615),-('Gastos das Atividades'!AL$3&lt;='Gastos Gerais'!$E$4:$E$615),-('Gastos Gerais'!$C$4:$C$615)))</f>
        <v>315900</v>
      </c>
      <c r="AM13" s="73">
        <f>IF($B13="",0,SUMPRODUCT(-('Gastos Gerais'!$F$4:$F$615='Gastos das Atividades'!$B13),-('Gastos das Atividades'!AM$3&gt;='Gastos Gerais'!$D$4:$D$615),-('Gastos das Atividades'!AM$3&lt;='Gastos Gerais'!$E$4:$E$615),-('Gastos Gerais'!$C$4:$C$615)))</f>
        <v>315900</v>
      </c>
      <c r="AN13" s="73">
        <f>IF($B13="",0,SUMPRODUCT(-('Gastos Gerais'!$F$4:$F$615='Gastos das Atividades'!$B13),-('Gastos das Atividades'!AN$3&gt;='Gastos Gerais'!$D$4:$D$615),-('Gastos das Atividades'!AN$3&lt;='Gastos Gerais'!$E$4:$E$615),-('Gastos Gerais'!$C$4:$C$615)))</f>
        <v>315900</v>
      </c>
      <c r="AO13" s="73">
        <f>IF($B13="",0,SUMPRODUCT(-('Gastos Gerais'!$F$4:$F$615='Gastos das Atividades'!$B13),-('Gastos das Atividades'!AO$3&gt;='Gastos Gerais'!$D$4:$D$615),-('Gastos das Atividades'!AO$3&lt;='Gastos Gerais'!$E$4:$E$615),-('Gastos Gerais'!$C$4:$C$615)))</f>
        <v>807900</v>
      </c>
      <c r="AP13" s="73">
        <f>IF($B13="",0,SUMPRODUCT(-('Gastos Gerais'!$F$4:$F$615='Gastos das Atividades'!$B13),-('Gastos das Atividades'!AP$3&gt;='Gastos Gerais'!$D$4:$D$615),-('Gastos das Atividades'!AP$3&lt;='Gastos Gerais'!$E$4:$E$615),-('Gastos Gerais'!$C$4:$C$615)))</f>
        <v>325900</v>
      </c>
      <c r="AQ13" s="73">
        <f>IF($B13="",0,SUMPRODUCT(-('Gastos Gerais'!$F$4:$F$615='Gastos das Atividades'!$B13),-('Gastos das Atividades'!AQ$3&gt;='Gastos Gerais'!$D$4:$D$615),-('Gastos das Atividades'!AQ$3&lt;='Gastos Gerais'!$E$4:$E$615),-('Gastos Gerais'!$C$4:$C$615)))</f>
        <v>325900</v>
      </c>
      <c r="AR13" s="73">
        <f>IF($B13="",0,SUMPRODUCT(-('Gastos Gerais'!$F$4:$F$615='Gastos das Atividades'!$B13),-('Gastos das Atividades'!AR$3&gt;='Gastos Gerais'!$D$4:$D$615),-('Gastos das Atividades'!AR$3&lt;='Gastos Gerais'!$E$4:$E$615),-('Gastos Gerais'!$C$4:$C$615)))</f>
        <v>348900</v>
      </c>
      <c r="AS13" s="73">
        <f>IF($B13="",0,SUMPRODUCT(-('Gastos Gerais'!$F$4:$F$615='Gastos das Atividades'!$B13),-('Gastos das Atividades'!AS$3&gt;='Gastos Gerais'!$D$4:$D$615),-('Gastos das Atividades'!AS$3&lt;='Gastos Gerais'!$E$4:$E$615),-('Gastos Gerais'!$C$4:$C$615)))</f>
        <v>325900</v>
      </c>
      <c r="AT13" s="73">
        <f>IF($B13="",0,SUMPRODUCT(-('Gastos Gerais'!$F$4:$F$615='Gastos das Atividades'!$B13),-('Gastos das Atividades'!AT$3&gt;='Gastos Gerais'!$D$4:$D$615),-('Gastos das Atividades'!AT$3&lt;='Gastos Gerais'!$E$4:$E$615),-('Gastos Gerais'!$C$4:$C$615)))</f>
        <v>325900</v>
      </c>
      <c r="AU13" s="73">
        <f>IF($B13="",0,SUMPRODUCT(-('Gastos Gerais'!$F$4:$F$615='Gastos das Atividades'!$B13),-('Gastos das Atividades'!AU$3&gt;='Gastos Gerais'!$D$4:$D$615),-('Gastos das Atividades'!AU$3&lt;='Gastos Gerais'!$E$4:$E$615),-('Gastos Gerais'!$C$4:$C$615)))</f>
        <v>325900</v>
      </c>
      <c r="AV13" s="73">
        <f>IF($B13="",0,SUMPRODUCT(-('Gastos Gerais'!$F$4:$F$615='Gastos das Atividades'!$B13),-('Gastos das Atividades'!AV$3&gt;='Gastos Gerais'!$D$4:$D$615),-('Gastos das Atividades'!AV$3&lt;='Gastos Gerais'!$E$4:$E$615),-('Gastos Gerais'!$C$4:$C$615)))</f>
        <v>325900</v>
      </c>
      <c r="AW13" s="73">
        <f>IF($B13="",0,SUMPRODUCT(-('Gastos Gerais'!$F$4:$F$615='Gastos das Atividades'!$B13),-('Gastos das Atividades'!AW$3&gt;='Gastos Gerais'!$D$4:$D$615),-('Gastos das Atividades'!AW$3&lt;='Gastos Gerais'!$E$4:$E$615),-('Gastos Gerais'!$C$4:$C$615)))</f>
        <v>325900</v>
      </c>
      <c r="AX13" s="73">
        <f>IF($B13="",0,SUMPRODUCT(-('Gastos Gerais'!$F$4:$F$615='Gastos das Atividades'!$B13),-('Gastos das Atividades'!AX$3&gt;='Gastos Gerais'!$D$4:$D$615),-('Gastos das Atividades'!AX$3&lt;='Gastos Gerais'!$E$4:$E$615),-('Gastos Gerais'!$C$4:$C$615)))</f>
        <v>325900</v>
      </c>
      <c r="AY13" s="73">
        <f>IF($B13="",0,SUMPRODUCT(-('Gastos Gerais'!$F$4:$F$615='Gastos das Atividades'!$B13),-('Gastos das Atividades'!AY$3&gt;='Gastos Gerais'!$D$4:$D$615),-('Gastos das Atividades'!AY$3&lt;='Gastos Gerais'!$E$4:$E$615),-('Gastos Gerais'!$C$4:$C$615)))</f>
        <v>325900</v>
      </c>
      <c r="AZ13" s="73">
        <f>IF($B13="",0,SUMPRODUCT(-('Gastos Gerais'!$F$4:$F$615='Gastos das Atividades'!$B13),-('Gastos das Atividades'!AZ$3&gt;='Gastos Gerais'!$D$4:$D$615),-('Gastos das Atividades'!AZ$3&lt;='Gastos Gerais'!$E$4:$E$615),-('Gastos Gerais'!$C$4:$C$615)))</f>
        <v>325900</v>
      </c>
      <c r="BA13" s="73">
        <f>IF($B13="",0,SUMPRODUCT(-('Gastos Gerais'!$F$4:$F$615='Gastos das Atividades'!$B13),-('Gastos das Atividades'!BA$3&gt;='Gastos Gerais'!$D$4:$D$615),-('Gastos das Atividades'!BA$3&lt;='Gastos Gerais'!$E$4:$E$615),-('Gastos Gerais'!$C$4:$C$615)))</f>
        <v>0</v>
      </c>
      <c r="BB13" s="73">
        <f>IF($B13="",0,SUMPRODUCT(-('Gastos Gerais'!$F$4:$F$615='Gastos das Atividades'!$B13),-('Gastos das Atividades'!BB$3&gt;='Gastos Gerais'!$D$4:$D$615),-('Gastos das Atividades'!BB$3&lt;='Gastos Gerais'!$E$4:$E$615),-('Gastos Gerais'!$C$4:$C$615)))</f>
        <v>0</v>
      </c>
      <c r="BC13" s="73">
        <f>IF($B13="",0,SUMPRODUCT(-('Gastos Gerais'!$F$4:$F$615='Gastos das Atividades'!$B13),-('Gastos das Atividades'!BC$3&gt;='Gastos Gerais'!$D$4:$D$615),-('Gastos das Atividades'!BC$3&lt;='Gastos Gerais'!$E$4:$E$615),-('Gastos Gerais'!$C$4:$C$615)))</f>
        <v>0</v>
      </c>
      <c r="BD13" s="73">
        <f>IF($B13="",0,SUMPRODUCT(-('Gastos Gerais'!$F$4:$F$615='Gastos das Atividades'!$B13),-('Gastos das Atividades'!BD$3&gt;='Gastos Gerais'!$D$4:$D$615),-('Gastos das Atividades'!BD$3&lt;='Gastos Gerais'!$E$4:$E$615),-('Gastos Gerais'!$C$4:$C$615)))</f>
        <v>0</v>
      </c>
      <c r="BE13" s="73">
        <f>IF($B13="",0,SUMPRODUCT(-('Gastos Gerais'!$F$4:$F$615='Gastos das Atividades'!$B13),-('Gastos das Atividades'!BE$3&gt;='Gastos Gerais'!$D$4:$D$615),-('Gastos das Atividades'!BE$3&lt;='Gastos Gerais'!$E$4:$E$615),-('Gastos Gerais'!$C$4:$C$615)))</f>
        <v>0</v>
      </c>
      <c r="BF13" s="73">
        <f>IF($B13="",0,SUMPRODUCT(-('Gastos Gerais'!$F$4:$F$615='Gastos das Atividades'!$B13),-('Gastos das Atividades'!BF$3&gt;='Gastos Gerais'!$D$4:$D$615),-('Gastos das Atividades'!BF$3&lt;='Gastos Gerais'!$E$4:$E$615),-('Gastos Gerais'!$C$4:$C$615)))</f>
        <v>0</v>
      </c>
      <c r="BG13" s="73">
        <f>IF($B13="",0,SUMPRODUCT(-('Gastos Gerais'!$F$4:$F$615='Gastos das Atividades'!$B13),-('Gastos das Atividades'!BG$3&gt;='Gastos Gerais'!$D$4:$D$615),-('Gastos das Atividades'!BG$3&lt;='Gastos Gerais'!$E$4:$E$615),-('Gastos Gerais'!$C$4:$C$615)))</f>
        <v>0</v>
      </c>
      <c r="BH13" s="73">
        <f>IF($B13="",0,SUMPRODUCT(-('Gastos Gerais'!$F$4:$F$615='Gastos das Atividades'!$B13),-('Gastos das Atividades'!BH$3&gt;='Gastos Gerais'!$D$4:$D$615),-('Gastos das Atividades'!BH$3&lt;='Gastos Gerais'!$E$4:$E$615),-('Gastos Gerais'!$C$4:$C$615)))</f>
        <v>0</v>
      </c>
      <c r="BI13" s="73">
        <f>IF($B13="",0,SUMPRODUCT(-('Gastos Gerais'!$F$4:$F$615='Gastos das Atividades'!$B13),-('Gastos das Atividades'!BI$3&gt;='Gastos Gerais'!$D$4:$D$615),-('Gastos das Atividades'!BI$3&lt;='Gastos Gerais'!$E$4:$E$615),-('Gastos Gerais'!$C$4:$C$615)))</f>
        <v>0</v>
      </c>
      <c r="BJ13" s="73">
        <f>IF($B13="",0,SUMPRODUCT(-('Gastos Gerais'!$F$4:$F$615='Gastos das Atividades'!$B13),-('Gastos das Atividades'!BJ$3&gt;='Gastos Gerais'!$D$4:$D$615),-('Gastos das Atividades'!BJ$3&lt;='Gastos Gerais'!$E$4:$E$615),-('Gastos Gerais'!$C$4:$C$615)))</f>
        <v>0</v>
      </c>
      <c r="BK13" s="73">
        <f>IF($B13="",0,SUMPRODUCT(-('Gastos Gerais'!$F$4:$F$615='Gastos das Atividades'!$B13),-('Gastos das Atividades'!BK$3&gt;='Gastos Gerais'!$D$4:$D$615),-('Gastos das Atividades'!BK$3&lt;='Gastos Gerais'!$E$4:$E$615),-('Gastos Gerais'!$C$4:$C$615)))</f>
        <v>0</v>
      </c>
      <c r="BL13" s="73">
        <f>IF($B13="",0,SUMPRODUCT(-('Gastos Gerais'!$F$4:$F$615='Gastos das Atividades'!$B13),-('Gastos das Atividades'!BL$3&gt;='Gastos Gerais'!$D$4:$D$615),-('Gastos das Atividades'!BL$3&lt;='Gastos Gerais'!$E$4:$E$615),-('Gastos Gerais'!$C$4:$C$615)))</f>
        <v>0</v>
      </c>
      <c r="BM13" s="73">
        <f>IF($B13="",0,SUMPRODUCT(-('Gastos Gerais'!$F$4:$F$615='Gastos das Atividades'!$B13),-('Gastos das Atividades'!BM$3&gt;='Gastos Gerais'!$D$4:$D$615),-('Gastos das Atividades'!BM$3&lt;='Gastos Gerais'!$E$4:$E$615),-('Gastos Gerais'!$C$4:$C$615)))</f>
        <v>0</v>
      </c>
      <c r="BN13" s="73">
        <f>IF($B13="",0,SUMPRODUCT(-('Gastos Gerais'!$F$4:$F$615='Gastos das Atividades'!$B13),-('Gastos das Atividades'!BN$3&gt;='Gastos Gerais'!$D$4:$D$615),-('Gastos das Atividades'!BN$3&lt;='Gastos Gerais'!$E$4:$E$615),-('Gastos Gerais'!$C$4:$C$615)))</f>
        <v>0</v>
      </c>
      <c r="BO13" s="73">
        <f>IF($B13="",0,SUMPRODUCT(-('Gastos Gerais'!$F$4:$F$615='Gastos das Atividades'!$B13),-('Gastos das Atividades'!BO$3&gt;='Gastos Gerais'!$D$4:$D$615),-('Gastos das Atividades'!BO$3&lt;='Gastos Gerais'!$E$4:$E$615),-('Gastos Gerais'!$C$4:$C$615)))</f>
        <v>0</v>
      </c>
      <c r="BP13" s="73">
        <f>IF($B13="",0,SUMPRODUCT(-('Gastos Gerais'!$F$4:$F$615='Gastos das Atividades'!$B13),-('Gastos das Atividades'!BP$3&gt;='Gastos Gerais'!$D$4:$D$615),-('Gastos das Atividades'!BP$3&lt;='Gastos Gerais'!$E$4:$E$615),-('Gastos Gerais'!$C$4:$C$615)))</f>
        <v>0</v>
      </c>
      <c r="BQ13" s="73">
        <f>IF($B13="",0,SUMPRODUCT(-('Gastos Gerais'!$F$4:$F$615='Gastos das Atividades'!$B13),-('Gastos das Atividades'!BQ$3&gt;='Gastos Gerais'!$D$4:$D$615),-('Gastos das Atividades'!BQ$3&lt;='Gastos Gerais'!$E$4:$E$615),-('Gastos Gerais'!$C$4:$C$615)))</f>
        <v>0</v>
      </c>
      <c r="BR13" s="73">
        <f>IF($B13="",0,SUMPRODUCT(-('Gastos Gerais'!$F$4:$F$615='Gastos das Atividades'!$B13),-('Gastos das Atividades'!BR$3&gt;='Gastos Gerais'!$D$4:$D$615),-('Gastos das Atividades'!BR$3&lt;='Gastos Gerais'!$E$4:$E$615),-('Gastos Gerais'!$C$4:$C$615)))</f>
        <v>0</v>
      </c>
      <c r="BS13" s="73">
        <f>IF($B13="",0,SUMPRODUCT(-('Gastos Gerais'!$F$4:$F$615='Gastos das Atividades'!$B13),-('Gastos das Atividades'!BS$3&gt;='Gastos Gerais'!$D$4:$D$615),-('Gastos das Atividades'!BS$3&lt;='Gastos Gerais'!$E$4:$E$615),-('Gastos Gerais'!$C$4:$C$615)))</f>
        <v>0</v>
      </c>
      <c r="BT13" s="73">
        <f>IF($B13="",0,SUMPRODUCT(-('Gastos Gerais'!$F$4:$F$615='Gastos das Atividades'!$B13),-('Gastos das Atividades'!BT$3&gt;='Gastos Gerais'!$D$4:$D$615),-('Gastos das Atividades'!BT$3&lt;='Gastos Gerais'!$E$4:$E$615),-('Gastos Gerais'!$C$4:$C$615)))</f>
        <v>0</v>
      </c>
      <c r="BU13" s="73">
        <f>IF($B13="",0,SUMPRODUCT(-('Gastos Gerais'!$F$4:$F$615='Gastos das Atividades'!$B13),-('Gastos das Atividades'!BU$3&gt;='Gastos Gerais'!$D$4:$D$615),-('Gastos das Atividades'!BU$3&lt;='Gastos Gerais'!$E$4:$E$615),-('Gastos Gerais'!$C$4:$C$615)))</f>
        <v>0</v>
      </c>
      <c r="BV13" s="73">
        <f>IF($B13="",0,SUMPRODUCT(-('Gastos Gerais'!$F$4:$F$615='Gastos das Atividades'!$B13),-('Gastos das Atividades'!BV$3&gt;='Gastos Gerais'!$D$4:$D$615),-('Gastos das Atividades'!BV$3&lt;='Gastos Gerais'!$E$4:$E$615),-('Gastos Gerais'!$C$4:$C$615)))</f>
        <v>0</v>
      </c>
      <c r="BW13" s="73">
        <f>IF($B13="",0,SUMPRODUCT(-('Gastos Gerais'!$F$4:$F$615='Gastos das Atividades'!$B13),-('Gastos das Atividades'!BW$3&gt;='Gastos Gerais'!$D$4:$D$615),-('Gastos das Atividades'!BW$3&lt;='Gastos Gerais'!$E$4:$E$615),-('Gastos Gerais'!$C$4:$C$615)))</f>
        <v>0</v>
      </c>
      <c r="BX13" s="73">
        <f>IF($B13="",0,SUMPRODUCT(-('Gastos Gerais'!$F$4:$F$615='Gastos das Atividades'!$B13),-('Gastos das Atividades'!BX$3&gt;='Gastos Gerais'!$D$4:$D$615),-('Gastos das Atividades'!BX$3&lt;='Gastos Gerais'!$E$4:$E$615),-('Gastos Gerais'!$C$4:$C$615)))</f>
        <v>0</v>
      </c>
    </row>
    <row r="14" spans="1:77" x14ac:dyDescent="0.2">
      <c r="A14" s="146">
        <v>11</v>
      </c>
      <c r="B14" s="164" t="s">
        <v>111</v>
      </c>
      <c r="C14" s="305">
        <v>0</v>
      </c>
      <c r="D14" s="357">
        <f t="shared" si="10"/>
        <v>2121800</v>
      </c>
      <c r="E14" s="144">
        <f t="shared" si="11"/>
        <v>2121800</v>
      </c>
      <c r="F14" s="73">
        <f t="shared" si="2"/>
        <v>2524100</v>
      </c>
      <c r="G14" s="73">
        <f t="shared" si="2"/>
        <v>2106100</v>
      </c>
      <c r="H14" s="73">
        <f t="shared" si="2"/>
        <v>0</v>
      </c>
      <c r="I14" s="73">
        <f t="shared" si="2"/>
        <v>0</v>
      </c>
      <c r="J14" s="145">
        <f t="shared" si="3"/>
        <v>6752000</v>
      </c>
      <c r="K14" s="76">
        <f t="shared" si="4"/>
        <v>1.991093100540536E-2</v>
      </c>
      <c r="L14" s="76">
        <f t="shared" si="5"/>
        <v>2.3686106584382915E-2</v>
      </c>
      <c r="M14" s="76">
        <f t="shared" si="6"/>
        <v>1.9763602502820356E-2</v>
      </c>
      <c r="N14" s="76">
        <f t="shared" si="7"/>
        <v>0</v>
      </c>
      <c r="O14" s="76">
        <f t="shared" si="8"/>
        <v>0</v>
      </c>
      <c r="P14" s="209">
        <f t="shared" si="9"/>
        <v>6.3360640092608639E-2</v>
      </c>
      <c r="Q14" s="73">
        <f>IF($B14="",0,SUMPRODUCT(-('Gastos Gerais'!$F$4:$F$615='Gastos das Atividades'!$B14),-('Gastos das Atividades'!Q$3&gt;='Gastos Gerais'!$D$4:$D$615),-('Gastos das Atividades'!Q$3&lt;='Gastos Gerais'!$E$4:$E$615),-('Gastos Gerais'!$C$4:$C$615)))</f>
        <v>236000</v>
      </c>
      <c r="R14" s="73">
        <f>IF($B14="",0,SUMPRODUCT(-('Gastos Gerais'!$F$4:$F$615='Gastos das Atividades'!$B14),-('Gastos das Atividades'!R$3&gt;='Gastos Gerais'!$D$4:$D$615),-('Gastos das Atividades'!R$3&lt;='Gastos Gerais'!$E$4:$E$615),-('Gastos Gerais'!$C$4:$C$615)))</f>
        <v>153800</v>
      </c>
      <c r="S14" s="73">
        <f>IF($B14="",0,SUMPRODUCT(-('Gastos Gerais'!$F$4:$F$615='Gastos das Atividades'!$B14),-('Gastos das Atividades'!S$3&gt;='Gastos Gerais'!$D$4:$D$615),-('Gastos das Atividades'!S$3&lt;='Gastos Gerais'!$E$4:$E$615),-('Gastos Gerais'!$C$4:$C$615)))</f>
        <v>153800</v>
      </c>
      <c r="T14" s="73">
        <f>IF($B14="",0,SUMPRODUCT(-('Gastos Gerais'!$F$4:$F$615='Gastos das Atividades'!$B14),-('Gastos das Atividades'!T$3&gt;='Gastos Gerais'!$D$4:$D$615),-('Gastos das Atividades'!T$3&lt;='Gastos Gerais'!$E$4:$E$615),-('Gastos Gerais'!$C$4:$C$615)))</f>
        <v>167800</v>
      </c>
      <c r="U14" s="73">
        <f>IF($B14="",0,SUMPRODUCT(-('Gastos Gerais'!$F$4:$F$615='Gastos das Atividades'!$B14),-('Gastos das Atividades'!U$3&gt;='Gastos Gerais'!$D$4:$D$615),-('Gastos das Atividades'!U$3&lt;='Gastos Gerais'!$E$4:$E$615),-('Gastos Gerais'!$C$4:$C$615)))</f>
        <v>303800</v>
      </c>
      <c r="V14" s="73">
        <f>IF($B14="",0,SUMPRODUCT(-('Gastos Gerais'!$F$4:$F$615='Gastos das Atividades'!$B14),-('Gastos das Atividades'!V$3&gt;='Gastos Gerais'!$D$4:$D$615),-('Gastos das Atividades'!V$3&lt;='Gastos Gerais'!$E$4:$E$615),-('Gastos Gerais'!$C$4:$C$615)))</f>
        <v>183800</v>
      </c>
      <c r="W14" s="73">
        <f>IF($B14="",0,SUMPRODUCT(-('Gastos Gerais'!$F$4:$F$615='Gastos das Atividades'!$B14),-('Gastos das Atividades'!W$3&gt;='Gastos Gerais'!$D$4:$D$615),-('Gastos das Atividades'!W$3&lt;='Gastos Gerais'!$E$4:$E$615),-('Gastos Gerais'!$C$4:$C$615)))</f>
        <v>153800</v>
      </c>
      <c r="X14" s="73">
        <f>IF($B14="",0,SUMPRODUCT(-('Gastos Gerais'!$F$4:$F$615='Gastos das Atividades'!$B14),-('Gastos das Atividades'!X$3&gt;='Gastos Gerais'!$D$4:$D$615),-('Gastos das Atividades'!X$3&lt;='Gastos Gerais'!$E$4:$E$615),-('Gastos Gerais'!$C$4:$C$615)))</f>
        <v>153800</v>
      </c>
      <c r="Y14" s="73">
        <f>IF($B14="",0,SUMPRODUCT(-('Gastos Gerais'!$F$4:$F$615='Gastos das Atividades'!$B14),-('Gastos das Atividades'!Y$3&gt;='Gastos Gerais'!$D$4:$D$615),-('Gastos das Atividades'!Y$3&lt;='Gastos Gerais'!$E$4:$E$615),-('Gastos Gerais'!$C$4:$C$615)))</f>
        <v>153800</v>
      </c>
      <c r="Z14" s="73">
        <f>IF($B14="",0,SUMPRODUCT(-('Gastos Gerais'!$F$4:$F$615='Gastos das Atividades'!$B14),-('Gastos das Atividades'!Z$3&gt;='Gastos Gerais'!$D$4:$D$615),-('Gastos das Atividades'!Z$3&lt;='Gastos Gerais'!$E$4:$E$615),-('Gastos Gerais'!$C$4:$C$615)))</f>
        <v>153800</v>
      </c>
      <c r="AA14" s="73">
        <f>IF($B14="",0,SUMPRODUCT(-('Gastos Gerais'!$F$4:$F$615='Gastos das Atividades'!$B14),-('Gastos das Atividades'!AA$3&gt;='Gastos Gerais'!$D$4:$D$615),-('Gastos das Atividades'!AA$3&lt;='Gastos Gerais'!$E$4:$E$615),-('Gastos Gerais'!$C$4:$C$615)))</f>
        <v>153800</v>
      </c>
      <c r="AB14" s="73">
        <f>IF($B14="",0,SUMPRODUCT(-('Gastos Gerais'!$F$4:$F$615='Gastos das Atividades'!$B14),-('Gastos das Atividades'!AB$3&gt;='Gastos Gerais'!$D$4:$D$615),-('Gastos das Atividades'!AB$3&lt;='Gastos Gerais'!$E$4:$E$615),-('Gastos Gerais'!$C$4:$C$615)))</f>
        <v>153800</v>
      </c>
      <c r="AC14" s="73">
        <f>IF($B14="",0,SUMPRODUCT(-('Gastos Gerais'!$F$4:$F$615='Gastos das Atividades'!$B14),-('Gastos das Atividades'!AC$3&gt;='Gastos Gerais'!$D$4:$D$615),-('Gastos das Atividades'!AC$3&lt;='Gastos Gerais'!$E$4:$E$615),-('Gastos Gerais'!$C$4:$C$615)))</f>
        <v>252300</v>
      </c>
      <c r="AD14" s="73">
        <f>IF($B14="",0,SUMPRODUCT(-('Gastos Gerais'!$F$4:$F$615='Gastos das Atividades'!$B14),-('Gastos das Atividades'!AD$3&gt;='Gastos Gerais'!$D$4:$D$615),-('Gastos das Atividades'!AD$3&lt;='Gastos Gerais'!$E$4:$E$615),-('Gastos Gerais'!$C$4:$C$615)))</f>
        <v>159800</v>
      </c>
      <c r="AE14" s="73">
        <f>IF($B14="",0,SUMPRODUCT(-('Gastos Gerais'!$F$4:$F$615='Gastos das Atividades'!$B14),-('Gastos das Atividades'!AE$3&gt;='Gastos Gerais'!$D$4:$D$615),-('Gastos das Atividades'!AE$3&lt;='Gastos Gerais'!$E$4:$E$615),-('Gastos Gerais'!$C$4:$C$615)))</f>
        <v>659800</v>
      </c>
      <c r="AF14" s="73">
        <f>IF($B14="",0,SUMPRODUCT(-('Gastos Gerais'!$F$4:$F$615='Gastos das Atividades'!$B14),-('Gastos das Atividades'!AF$3&gt;='Gastos Gerais'!$D$4:$D$615),-('Gastos das Atividades'!AF$3&lt;='Gastos Gerais'!$E$4:$E$615),-('Gastos Gerais'!$C$4:$C$615)))</f>
        <v>173800</v>
      </c>
      <c r="AG14" s="73">
        <f>IF($B14="",0,SUMPRODUCT(-('Gastos Gerais'!$F$4:$F$615='Gastos das Atividades'!$B14),-('Gastos das Atividades'!AG$3&gt;='Gastos Gerais'!$D$4:$D$615),-('Gastos das Atividades'!AG$3&lt;='Gastos Gerais'!$E$4:$E$615),-('Gastos Gerais'!$C$4:$C$615)))</f>
        <v>159800</v>
      </c>
      <c r="AH14" s="73">
        <f>IF($B14="",0,SUMPRODUCT(-('Gastos Gerais'!$F$4:$F$615='Gastos das Atividades'!$B14),-('Gastos das Atividades'!AH$3&gt;='Gastos Gerais'!$D$4:$D$615),-('Gastos das Atividades'!AH$3&lt;='Gastos Gerais'!$E$4:$E$615),-('Gastos Gerais'!$C$4:$C$615)))</f>
        <v>159800</v>
      </c>
      <c r="AI14" s="73">
        <f>IF($B14="",0,SUMPRODUCT(-('Gastos Gerais'!$F$4:$F$615='Gastos das Atividades'!$B14),-('Gastos das Atividades'!AI$3&gt;='Gastos Gerais'!$D$4:$D$615),-('Gastos das Atividades'!AI$3&lt;='Gastos Gerais'!$E$4:$E$615),-('Gastos Gerais'!$C$4:$C$615)))</f>
        <v>159800</v>
      </c>
      <c r="AJ14" s="73">
        <f>IF($B14="",0,SUMPRODUCT(-('Gastos Gerais'!$F$4:$F$615='Gastos das Atividades'!$B14),-('Gastos das Atividades'!AJ$3&gt;='Gastos Gerais'!$D$4:$D$615),-('Gastos das Atividades'!AJ$3&lt;='Gastos Gerais'!$E$4:$E$615),-('Gastos Gerais'!$C$4:$C$615)))</f>
        <v>159800</v>
      </c>
      <c r="AK14" s="73">
        <f>IF($B14="",0,SUMPRODUCT(-('Gastos Gerais'!$F$4:$F$615='Gastos das Atividades'!$B14),-('Gastos das Atividades'!AK$3&gt;='Gastos Gerais'!$D$4:$D$615),-('Gastos das Atividades'!AK$3&lt;='Gastos Gerais'!$E$4:$E$615),-('Gastos Gerais'!$C$4:$C$615)))</f>
        <v>159800</v>
      </c>
      <c r="AL14" s="73">
        <f>IF($B14="",0,SUMPRODUCT(-('Gastos Gerais'!$F$4:$F$615='Gastos das Atividades'!$B14),-('Gastos das Atividades'!AL$3&gt;='Gastos Gerais'!$D$4:$D$615),-('Gastos das Atividades'!AL$3&lt;='Gastos Gerais'!$E$4:$E$615),-('Gastos Gerais'!$C$4:$C$615)))</f>
        <v>159800</v>
      </c>
      <c r="AM14" s="73">
        <f>IF($B14="",0,SUMPRODUCT(-('Gastos Gerais'!$F$4:$F$615='Gastos das Atividades'!$B14),-('Gastos das Atividades'!AM$3&gt;='Gastos Gerais'!$D$4:$D$615),-('Gastos das Atividades'!AM$3&lt;='Gastos Gerais'!$E$4:$E$615),-('Gastos Gerais'!$C$4:$C$615)))</f>
        <v>159800</v>
      </c>
      <c r="AN14" s="73">
        <f>IF($B14="",0,SUMPRODUCT(-('Gastos Gerais'!$F$4:$F$615='Gastos das Atividades'!$B14),-('Gastos das Atividades'!AN$3&gt;='Gastos Gerais'!$D$4:$D$615),-('Gastos das Atividades'!AN$3&lt;='Gastos Gerais'!$E$4:$E$615),-('Gastos Gerais'!$C$4:$C$615)))</f>
        <v>159800</v>
      </c>
      <c r="AO14" s="73">
        <f>IF($B14="",0,SUMPRODUCT(-('Gastos Gerais'!$F$4:$F$615='Gastos das Atividades'!$B14),-('Gastos das Atividades'!AO$3&gt;='Gastos Gerais'!$D$4:$D$615),-('Gastos das Atividades'!AO$3&lt;='Gastos Gerais'!$E$4:$E$615),-('Gastos Gerais'!$C$4:$C$615)))</f>
        <v>268300</v>
      </c>
      <c r="AP14" s="73">
        <f>IF($B14="",0,SUMPRODUCT(-('Gastos Gerais'!$F$4:$F$615='Gastos das Atividades'!$B14),-('Gastos das Atividades'!AP$3&gt;='Gastos Gerais'!$D$4:$D$615),-('Gastos das Atividades'!AP$3&lt;='Gastos Gerais'!$E$4:$E$615),-('Gastos Gerais'!$C$4:$C$615)))</f>
        <v>165800</v>
      </c>
      <c r="AQ14" s="73">
        <f>IF($B14="",0,SUMPRODUCT(-('Gastos Gerais'!$F$4:$F$615='Gastos das Atividades'!$B14),-('Gastos das Atividades'!AQ$3&gt;='Gastos Gerais'!$D$4:$D$615),-('Gastos das Atividades'!AQ$3&lt;='Gastos Gerais'!$E$4:$E$615),-('Gastos Gerais'!$C$4:$C$615)))</f>
        <v>165800</v>
      </c>
      <c r="AR14" s="73">
        <f>IF($B14="",0,SUMPRODUCT(-('Gastos Gerais'!$F$4:$F$615='Gastos das Atividades'!$B14),-('Gastos das Atividades'!AR$3&gt;='Gastos Gerais'!$D$4:$D$615),-('Gastos das Atividades'!AR$3&lt;='Gastos Gerais'!$E$4:$E$615),-('Gastos Gerais'!$C$4:$C$615)))</f>
        <v>179800</v>
      </c>
      <c r="AS14" s="73">
        <f>IF($B14="",0,SUMPRODUCT(-('Gastos Gerais'!$F$4:$F$615='Gastos das Atividades'!$B14),-('Gastos das Atividades'!AS$3&gt;='Gastos Gerais'!$D$4:$D$615),-('Gastos das Atividades'!AS$3&lt;='Gastos Gerais'!$E$4:$E$615),-('Gastos Gerais'!$C$4:$C$615)))</f>
        <v>165800</v>
      </c>
      <c r="AT14" s="73">
        <f>IF($B14="",0,SUMPRODUCT(-('Gastos Gerais'!$F$4:$F$615='Gastos das Atividades'!$B14),-('Gastos das Atividades'!AT$3&gt;='Gastos Gerais'!$D$4:$D$615),-('Gastos das Atividades'!AT$3&lt;='Gastos Gerais'!$E$4:$E$615),-('Gastos Gerais'!$C$4:$C$615)))</f>
        <v>165800</v>
      </c>
      <c r="AU14" s="73">
        <f>IF($B14="",0,SUMPRODUCT(-('Gastos Gerais'!$F$4:$F$615='Gastos das Atividades'!$B14),-('Gastos das Atividades'!AU$3&gt;='Gastos Gerais'!$D$4:$D$615),-('Gastos das Atividades'!AU$3&lt;='Gastos Gerais'!$E$4:$E$615),-('Gastos Gerais'!$C$4:$C$615)))</f>
        <v>165800</v>
      </c>
      <c r="AV14" s="73">
        <f>IF($B14="",0,SUMPRODUCT(-('Gastos Gerais'!$F$4:$F$615='Gastos das Atividades'!$B14),-('Gastos das Atividades'!AV$3&gt;='Gastos Gerais'!$D$4:$D$615),-('Gastos das Atividades'!AV$3&lt;='Gastos Gerais'!$E$4:$E$615),-('Gastos Gerais'!$C$4:$C$615)))</f>
        <v>165800</v>
      </c>
      <c r="AW14" s="73">
        <f>IF($B14="",0,SUMPRODUCT(-('Gastos Gerais'!$F$4:$F$615='Gastos das Atividades'!$B14),-('Gastos das Atividades'!AW$3&gt;='Gastos Gerais'!$D$4:$D$615),-('Gastos das Atividades'!AW$3&lt;='Gastos Gerais'!$E$4:$E$615),-('Gastos Gerais'!$C$4:$C$615)))</f>
        <v>165800</v>
      </c>
      <c r="AX14" s="73">
        <f>IF($B14="",0,SUMPRODUCT(-('Gastos Gerais'!$F$4:$F$615='Gastos das Atividades'!$B14),-('Gastos das Atividades'!AX$3&gt;='Gastos Gerais'!$D$4:$D$615),-('Gastos das Atividades'!AX$3&lt;='Gastos Gerais'!$E$4:$E$615),-('Gastos Gerais'!$C$4:$C$615)))</f>
        <v>165800</v>
      </c>
      <c r="AY14" s="73">
        <f>IF($B14="",0,SUMPRODUCT(-('Gastos Gerais'!$F$4:$F$615='Gastos das Atividades'!$B14),-('Gastos das Atividades'!AY$3&gt;='Gastos Gerais'!$D$4:$D$615),-('Gastos das Atividades'!AY$3&lt;='Gastos Gerais'!$E$4:$E$615),-('Gastos Gerais'!$C$4:$C$615)))</f>
        <v>165800</v>
      </c>
      <c r="AZ14" s="73">
        <f>IF($B14="",0,SUMPRODUCT(-('Gastos Gerais'!$F$4:$F$615='Gastos das Atividades'!$B14),-('Gastos das Atividades'!AZ$3&gt;='Gastos Gerais'!$D$4:$D$615),-('Gastos das Atividades'!AZ$3&lt;='Gastos Gerais'!$E$4:$E$615),-('Gastos Gerais'!$C$4:$C$615)))</f>
        <v>165800</v>
      </c>
      <c r="BA14" s="73">
        <f>IF($B14="",0,SUMPRODUCT(-('Gastos Gerais'!$F$4:$F$615='Gastos das Atividades'!$B14),-('Gastos das Atividades'!BA$3&gt;='Gastos Gerais'!$D$4:$D$615),-('Gastos das Atividades'!BA$3&lt;='Gastos Gerais'!$E$4:$E$615),-('Gastos Gerais'!$C$4:$C$615)))</f>
        <v>0</v>
      </c>
      <c r="BB14" s="73">
        <f>IF($B14="",0,SUMPRODUCT(-('Gastos Gerais'!$F$4:$F$615='Gastos das Atividades'!$B14),-('Gastos das Atividades'!BB$3&gt;='Gastos Gerais'!$D$4:$D$615),-('Gastos das Atividades'!BB$3&lt;='Gastos Gerais'!$E$4:$E$615),-('Gastos Gerais'!$C$4:$C$615)))</f>
        <v>0</v>
      </c>
      <c r="BC14" s="73">
        <f>IF($B14="",0,SUMPRODUCT(-('Gastos Gerais'!$F$4:$F$615='Gastos das Atividades'!$B14),-('Gastos das Atividades'!BC$3&gt;='Gastos Gerais'!$D$4:$D$615),-('Gastos das Atividades'!BC$3&lt;='Gastos Gerais'!$E$4:$E$615),-('Gastos Gerais'!$C$4:$C$615)))</f>
        <v>0</v>
      </c>
      <c r="BD14" s="73">
        <f>IF($B14="",0,SUMPRODUCT(-('Gastos Gerais'!$F$4:$F$615='Gastos das Atividades'!$B14),-('Gastos das Atividades'!BD$3&gt;='Gastos Gerais'!$D$4:$D$615),-('Gastos das Atividades'!BD$3&lt;='Gastos Gerais'!$E$4:$E$615),-('Gastos Gerais'!$C$4:$C$615)))</f>
        <v>0</v>
      </c>
      <c r="BE14" s="73">
        <f>IF($B14="",0,SUMPRODUCT(-('Gastos Gerais'!$F$4:$F$615='Gastos das Atividades'!$B14),-('Gastos das Atividades'!BE$3&gt;='Gastos Gerais'!$D$4:$D$615),-('Gastos das Atividades'!BE$3&lt;='Gastos Gerais'!$E$4:$E$615),-('Gastos Gerais'!$C$4:$C$615)))</f>
        <v>0</v>
      </c>
      <c r="BF14" s="73">
        <f>IF($B14="",0,SUMPRODUCT(-('Gastos Gerais'!$F$4:$F$615='Gastos das Atividades'!$B14),-('Gastos das Atividades'!BF$3&gt;='Gastos Gerais'!$D$4:$D$615),-('Gastos das Atividades'!BF$3&lt;='Gastos Gerais'!$E$4:$E$615),-('Gastos Gerais'!$C$4:$C$615)))</f>
        <v>0</v>
      </c>
      <c r="BG14" s="73">
        <f>IF($B14="",0,SUMPRODUCT(-('Gastos Gerais'!$F$4:$F$615='Gastos das Atividades'!$B14),-('Gastos das Atividades'!BG$3&gt;='Gastos Gerais'!$D$4:$D$615),-('Gastos das Atividades'!BG$3&lt;='Gastos Gerais'!$E$4:$E$615),-('Gastos Gerais'!$C$4:$C$615)))</f>
        <v>0</v>
      </c>
      <c r="BH14" s="73">
        <f>IF($B14="",0,SUMPRODUCT(-('Gastos Gerais'!$F$4:$F$615='Gastos das Atividades'!$B14),-('Gastos das Atividades'!BH$3&gt;='Gastos Gerais'!$D$4:$D$615),-('Gastos das Atividades'!BH$3&lt;='Gastos Gerais'!$E$4:$E$615),-('Gastos Gerais'!$C$4:$C$615)))</f>
        <v>0</v>
      </c>
      <c r="BI14" s="73">
        <f>IF($B14="",0,SUMPRODUCT(-('Gastos Gerais'!$F$4:$F$615='Gastos das Atividades'!$B14),-('Gastos das Atividades'!BI$3&gt;='Gastos Gerais'!$D$4:$D$615),-('Gastos das Atividades'!BI$3&lt;='Gastos Gerais'!$E$4:$E$615),-('Gastos Gerais'!$C$4:$C$615)))</f>
        <v>0</v>
      </c>
      <c r="BJ14" s="73">
        <f>IF($B14="",0,SUMPRODUCT(-('Gastos Gerais'!$F$4:$F$615='Gastos das Atividades'!$B14),-('Gastos das Atividades'!BJ$3&gt;='Gastos Gerais'!$D$4:$D$615),-('Gastos das Atividades'!BJ$3&lt;='Gastos Gerais'!$E$4:$E$615),-('Gastos Gerais'!$C$4:$C$615)))</f>
        <v>0</v>
      </c>
      <c r="BK14" s="73">
        <f>IF($B14="",0,SUMPRODUCT(-('Gastos Gerais'!$F$4:$F$615='Gastos das Atividades'!$B14),-('Gastos das Atividades'!BK$3&gt;='Gastos Gerais'!$D$4:$D$615),-('Gastos das Atividades'!BK$3&lt;='Gastos Gerais'!$E$4:$E$615),-('Gastos Gerais'!$C$4:$C$615)))</f>
        <v>0</v>
      </c>
      <c r="BL14" s="73">
        <f>IF($B14="",0,SUMPRODUCT(-('Gastos Gerais'!$F$4:$F$615='Gastos das Atividades'!$B14),-('Gastos das Atividades'!BL$3&gt;='Gastos Gerais'!$D$4:$D$615),-('Gastos das Atividades'!BL$3&lt;='Gastos Gerais'!$E$4:$E$615),-('Gastos Gerais'!$C$4:$C$615)))</f>
        <v>0</v>
      </c>
      <c r="BM14" s="73">
        <f>IF($B14="",0,SUMPRODUCT(-('Gastos Gerais'!$F$4:$F$615='Gastos das Atividades'!$B14),-('Gastos das Atividades'!BM$3&gt;='Gastos Gerais'!$D$4:$D$615),-('Gastos das Atividades'!BM$3&lt;='Gastos Gerais'!$E$4:$E$615),-('Gastos Gerais'!$C$4:$C$615)))</f>
        <v>0</v>
      </c>
      <c r="BN14" s="73">
        <f>IF($B14="",0,SUMPRODUCT(-('Gastos Gerais'!$F$4:$F$615='Gastos das Atividades'!$B14),-('Gastos das Atividades'!BN$3&gt;='Gastos Gerais'!$D$4:$D$615),-('Gastos das Atividades'!BN$3&lt;='Gastos Gerais'!$E$4:$E$615),-('Gastos Gerais'!$C$4:$C$615)))</f>
        <v>0</v>
      </c>
      <c r="BO14" s="73">
        <f>IF($B14="",0,SUMPRODUCT(-('Gastos Gerais'!$F$4:$F$615='Gastos das Atividades'!$B14),-('Gastos das Atividades'!BO$3&gt;='Gastos Gerais'!$D$4:$D$615),-('Gastos das Atividades'!BO$3&lt;='Gastos Gerais'!$E$4:$E$615),-('Gastos Gerais'!$C$4:$C$615)))</f>
        <v>0</v>
      </c>
      <c r="BP14" s="73">
        <f>IF($B14="",0,SUMPRODUCT(-('Gastos Gerais'!$F$4:$F$615='Gastos das Atividades'!$B14),-('Gastos das Atividades'!BP$3&gt;='Gastos Gerais'!$D$4:$D$615),-('Gastos das Atividades'!BP$3&lt;='Gastos Gerais'!$E$4:$E$615),-('Gastos Gerais'!$C$4:$C$615)))</f>
        <v>0</v>
      </c>
      <c r="BQ14" s="73">
        <f>IF($B14="",0,SUMPRODUCT(-('Gastos Gerais'!$F$4:$F$615='Gastos das Atividades'!$B14),-('Gastos das Atividades'!BQ$3&gt;='Gastos Gerais'!$D$4:$D$615),-('Gastos das Atividades'!BQ$3&lt;='Gastos Gerais'!$E$4:$E$615),-('Gastos Gerais'!$C$4:$C$615)))</f>
        <v>0</v>
      </c>
      <c r="BR14" s="73">
        <f>IF($B14="",0,SUMPRODUCT(-('Gastos Gerais'!$F$4:$F$615='Gastos das Atividades'!$B14),-('Gastos das Atividades'!BR$3&gt;='Gastos Gerais'!$D$4:$D$615),-('Gastos das Atividades'!BR$3&lt;='Gastos Gerais'!$E$4:$E$615),-('Gastos Gerais'!$C$4:$C$615)))</f>
        <v>0</v>
      </c>
      <c r="BS14" s="73">
        <f>IF($B14="",0,SUMPRODUCT(-('Gastos Gerais'!$F$4:$F$615='Gastos das Atividades'!$B14),-('Gastos das Atividades'!BS$3&gt;='Gastos Gerais'!$D$4:$D$615),-('Gastos das Atividades'!BS$3&lt;='Gastos Gerais'!$E$4:$E$615),-('Gastos Gerais'!$C$4:$C$615)))</f>
        <v>0</v>
      </c>
      <c r="BT14" s="73">
        <f>IF($B14="",0,SUMPRODUCT(-('Gastos Gerais'!$F$4:$F$615='Gastos das Atividades'!$B14),-('Gastos das Atividades'!BT$3&gt;='Gastos Gerais'!$D$4:$D$615),-('Gastos das Atividades'!BT$3&lt;='Gastos Gerais'!$E$4:$E$615),-('Gastos Gerais'!$C$4:$C$615)))</f>
        <v>0</v>
      </c>
      <c r="BU14" s="73">
        <f>IF($B14="",0,SUMPRODUCT(-('Gastos Gerais'!$F$4:$F$615='Gastos das Atividades'!$B14),-('Gastos das Atividades'!BU$3&gt;='Gastos Gerais'!$D$4:$D$615),-('Gastos das Atividades'!BU$3&lt;='Gastos Gerais'!$E$4:$E$615),-('Gastos Gerais'!$C$4:$C$615)))</f>
        <v>0</v>
      </c>
      <c r="BV14" s="73">
        <f>IF($B14="",0,SUMPRODUCT(-('Gastos Gerais'!$F$4:$F$615='Gastos das Atividades'!$B14),-('Gastos das Atividades'!BV$3&gt;='Gastos Gerais'!$D$4:$D$615),-('Gastos das Atividades'!BV$3&lt;='Gastos Gerais'!$E$4:$E$615),-('Gastos Gerais'!$C$4:$C$615)))</f>
        <v>0</v>
      </c>
      <c r="BW14" s="73">
        <f>IF($B14="",0,SUMPRODUCT(-('Gastos Gerais'!$F$4:$F$615='Gastos das Atividades'!$B14),-('Gastos das Atividades'!BW$3&gt;='Gastos Gerais'!$D$4:$D$615),-('Gastos das Atividades'!BW$3&lt;='Gastos Gerais'!$E$4:$E$615),-('Gastos Gerais'!$C$4:$C$615)))</f>
        <v>0</v>
      </c>
      <c r="BX14" s="73">
        <f>IF($B14="",0,SUMPRODUCT(-('Gastos Gerais'!$F$4:$F$615='Gastos das Atividades'!$B14),-('Gastos das Atividades'!BX$3&gt;='Gastos Gerais'!$D$4:$D$615),-('Gastos das Atividades'!BX$3&lt;='Gastos Gerais'!$E$4:$E$615),-('Gastos Gerais'!$C$4:$C$615)))</f>
        <v>0</v>
      </c>
    </row>
    <row r="15" spans="1:77" hidden="1" x14ac:dyDescent="0.2">
      <c r="A15" s="146">
        <v>12</v>
      </c>
      <c r="B15" s="164"/>
      <c r="C15" s="305">
        <v>0</v>
      </c>
      <c r="D15" s="357">
        <f t="shared" si="10"/>
        <v>0</v>
      </c>
      <c r="E15" s="144">
        <f t="shared" si="11"/>
        <v>0</v>
      </c>
      <c r="F15" s="73">
        <f t="shared" si="2"/>
        <v>0</v>
      </c>
      <c r="G15" s="73">
        <f t="shared" si="2"/>
        <v>0</v>
      </c>
      <c r="H15" s="73">
        <f t="shared" si="2"/>
        <v>0</v>
      </c>
      <c r="I15" s="73">
        <f t="shared" si="2"/>
        <v>0</v>
      </c>
      <c r="J15" s="145">
        <f t="shared" si="3"/>
        <v>0</v>
      </c>
      <c r="K15" s="76">
        <f t="shared" si="4"/>
        <v>0</v>
      </c>
      <c r="L15" s="76">
        <f t="shared" si="5"/>
        <v>0</v>
      </c>
      <c r="M15" s="76">
        <f t="shared" si="6"/>
        <v>0</v>
      </c>
      <c r="N15" s="76">
        <f t="shared" si="7"/>
        <v>0</v>
      </c>
      <c r="O15" s="76">
        <f t="shared" si="8"/>
        <v>0</v>
      </c>
      <c r="P15" s="209">
        <f t="shared" si="9"/>
        <v>0</v>
      </c>
      <c r="Q15" s="73">
        <f>IF($B15="",0,SUMPRODUCT(-('Gastos Gerais'!$F$4:$F$615='Gastos das Atividades'!$B15),-('Gastos das Atividades'!Q$3&gt;='Gastos Gerais'!$D$4:$D$615),-('Gastos das Atividades'!Q$3&lt;='Gastos Gerais'!$E$4:$E$615),-('Gastos Gerais'!$C$4:$C$615)))</f>
        <v>0</v>
      </c>
      <c r="R15" s="73">
        <f>IF($B15="",0,SUMPRODUCT(-('Gastos Gerais'!$F$4:$F$615='Gastos das Atividades'!$B15),-('Gastos das Atividades'!R$3&gt;='Gastos Gerais'!$D$4:$D$615),-('Gastos das Atividades'!R$3&lt;='Gastos Gerais'!$E$4:$E$615),-('Gastos Gerais'!$C$4:$C$615)))</f>
        <v>0</v>
      </c>
      <c r="S15" s="73">
        <f>IF($B15="",0,SUMPRODUCT(-('Gastos Gerais'!$F$4:$F$615='Gastos das Atividades'!$B15),-('Gastos das Atividades'!S$3&gt;='Gastos Gerais'!$D$4:$D$615),-('Gastos das Atividades'!S$3&lt;='Gastos Gerais'!$E$4:$E$615),-('Gastos Gerais'!$C$4:$C$615)))</f>
        <v>0</v>
      </c>
      <c r="T15" s="73">
        <f>IF($B15="",0,SUMPRODUCT(-('Gastos Gerais'!$F$4:$F$615='Gastos das Atividades'!$B15),-('Gastos das Atividades'!T$3&gt;='Gastos Gerais'!$D$4:$D$615),-('Gastos das Atividades'!T$3&lt;='Gastos Gerais'!$E$4:$E$615),-('Gastos Gerais'!$C$4:$C$615)))</f>
        <v>0</v>
      </c>
      <c r="U15" s="73">
        <f>IF($B15="",0,SUMPRODUCT(-('Gastos Gerais'!$F$4:$F$615='Gastos das Atividades'!$B15),-('Gastos das Atividades'!U$3&gt;='Gastos Gerais'!$D$4:$D$615),-('Gastos das Atividades'!U$3&lt;='Gastos Gerais'!$E$4:$E$615),-('Gastos Gerais'!$C$4:$C$615)))</f>
        <v>0</v>
      </c>
      <c r="V15" s="73">
        <f>IF($B15="",0,SUMPRODUCT(-('Gastos Gerais'!$F$4:$F$615='Gastos das Atividades'!$B15),-('Gastos das Atividades'!V$3&gt;='Gastos Gerais'!$D$4:$D$615),-('Gastos das Atividades'!V$3&lt;='Gastos Gerais'!$E$4:$E$615),-('Gastos Gerais'!$C$4:$C$615)))</f>
        <v>0</v>
      </c>
      <c r="W15" s="73">
        <f>IF($B15="",0,SUMPRODUCT(-('Gastos Gerais'!$F$4:$F$615='Gastos das Atividades'!$B15),-('Gastos das Atividades'!W$3&gt;='Gastos Gerais'!$D$4:$D$615),-('Gastos das Atividades'!W$3&lt;='Gastos Gerais'!$E$4:$E$615),-('Gastos Gerais'!$C$4:$C$615)))</f>
        <v>0</v>
      </c>
      <c r="X15" s="73">
        <f>IF($B15="",0,SUMPRODUCT(-('Gastos Gerais'!$F$4:$F$615='Gastos das Atividades'!$B15),-('Gastos das Atividades'!X$3&gt;='Gastos Gerais'!$D$4:$D$615),-('Gastos das Atividades'!X$3&lt;='Gastos Gerais'!$E$4:$E$615),-('Gastos Gerais'!$C$4:$C$615)))</f>
        <v>0</v>
      </c>
      <c r="Y15" s="73">
        <f>IF($B15="",0,SUMPRODUCT(-('Gastos Gerais'!$F$4:$F$615='Gastos das Atividades'!$B15),-('Gastos das Atividades'!Y$3&gt;='Gastos Gerais'!$D$4:$D$615),-('Gastos das Atividades'!Y$3&lt;='Gastos Gerais'!$E$4:$E$615),-('Gastos Gerais'!$C$4:$C$615)))</f>
        <v>0</v>
      </c>
      <c r="Z15" s="73">
        <f>IF($B15="",0,SUMPRODUCT(-('Gastos Gerais'!$F$4:$F$615='Gastos das Atividades'!$B15),-('Gastos das Atividades'!Z$3&gt;='Gastos Gerais'!$D$4:$D$615),-('Gastos das Atividades'!Z$3&lt;='Gastos Gerais'!$E$4:$E$615),-('Gastos Gerais'!$C$4:$C$615)))</f>
        <v>0</v>
      </c>
      <c r="AA15" s="73">
        <f>IF($B15="",0,SUMPRODUCT(-('Gastos Gerais'!$F$4:$F$615='Gastos das Atividades'!$B15),-('Gastos das Atividades'!AA$3&gt;='Gastos Gerais'!$D$4:$D$615),-('Gastos das Atividades'!AA$3&lt;='Gastos Gerais'!$E$4:$E$615),-('Gastos Gerais'!$C$4:$C$615)))</f>
        <v>0</v>
      </c>
      <c r="AB15" s="73">
        <f>IF($B15="",0,SUMPRODUCT(-('Gastos Gerais'!$F$4:$F$615='Gastos das Atividades'!$B15),-('Gastos das Atividades'!AB$3&gt;='Gastos Gerais'!$D$4:$D$615),-('Gastos das Atividades'!AB$3&lt;='Gastos Gerais'!$E$4:$E$615),-('Gastos Gerais'!$C$4:$C$615)))</f>
        <v>0</v>
      </c>
      <c r="AC15" s="73">
        <f>IF($B15="",0,SUMPRODUCT(-('Gastos Gerais'!$F$4:$F$615='Gastos das Atividades'!$B15),-('Gastos das Atividades'!AC$3&gt;='Gastos Gerais'!$D$4:$D$615),-('Gastos das Atividades'!AC$3&lt;='Gastos Gerais'!$E$4:$E$615),-('Gastos Gerais'!$C$4:$C$615)))</f>
        <v>0</v>
      </c>
      <c r="AD15" s="73">
        <f>IF($B15="",0,SUMPRODUCT(-('Gastos Gerais'!$F$4:$F$615='Gastos das Atividades'!$B15),-('Gastos das Atividades'!AD$3&gt;='Gastos Gerais'!$D$4:$D$615),-('Gastos das Atividades'!AD$3&lt;='Gastos Gerais'!$E$4:$E$615),-('Gastos Gerais'!$C$4:$C$615)))</f>
        <v>0</v>
      </c>
      <c r="AE15" s="73">
        <f>IF($B15="",0,SUMPRODUCT(-('Gastos Gerais'!$F$4:$F$615='Gastos das Atividades'!$B15),-('Gastos das Atividades'!AE$3&gt;='Gastos Gerais'!$D$4:$D$615),-('Gastos das Atividades'!AE$3&lt;='Gastos Gerais'!$E$4:$E$615),-('Gastos Gerais'!$C$4:$C$615)))</f>
        <v>0</v>
      </c>
      <c r="AF15" s="73">
        <f>IF($B15="",0,SUMPRODUCT(-('Gastos Gerais'!$F$4:$F$615='Gastos das Atividades'!$B15),-('Gastos das Atividades'!AF$3&gt;='Gastos Gerais'!$D$4:$D$615),-('Gastos das Atividades'!AF$3&lt;='Gastos Gerais'!$E$4:$E$615),-('Gastos Gerais'!$C$4:$C$615)))</f>
        <v>0</v>
      </c>
      <c r="AG15" s="73">
        <f>IF($B15="",0,SUMPRODUCT(-('Gastos Gerais'!$F$4:$F$615='Gastos das Atividades'!$B15),-('Gastos das Atividades'!AG$3&gt;='Gastos Gerais'!$D$4:$D$615),-('Gastos das Atividades'!AG$3&lt;='Gastos Gerais'!$E$4:$E$615),-('Gastos Gerais'!$C$4:$C$615)))</f>
        <v>0</v>
      </c>
      <c r="AH15" s="73">
        <f>IF($B15="",0,SUMPRODUCT(-('Gastos Gerais'!$F$4:$F$615='Gastos das Atividades'!$B15),-('Gastos das Atividades'!AH$3&gt;='Gastos Gerais'!$D$4:$D$615),-('Gastos das Atividades'!AH$3&lt;='Gastos Gerais'!$E$4:$E$615),-('Gastos Gerais'!$C$4:$C$615)))</f>
        <v>0</v>
      </c>
      <c r="AI15" s="73">
        <f>IF($B15="",0,SUMPRODUCT(-('Gastos Gerais'!$F$4:$F$615='Gastos das Atividades'!$B15),-('Gastos das Atividades'!AI$3&gt;='Gastos Gerais'!$D$4:$D$615),-('Gastos das Atividades'!AI$3&lt;='Gastos Gerais'!$E$4:$E$615),-('Gastos Gerais'!$C$4:$C$615)))</f>
        <v>0</v>
      </c>
      <c r="AJ15" s="73">
        <f>IF($B15="",0,SUMPRODUCT(-('Gastos Gerais'!$F$4:$F$615='Gastos das Atividades'!$B15),-('Gastos das Atividades'!AJ$3&gt;='Gastos Gerais'!$D$4:$D$615),-('Gastos das Atividades'!AJ$3&lt;='Gastos Gerais'!$E$4:$E$615),-('Gastos Gerais'!$C$4:$C$615)))</f>
        <v>0</v>
      </c>
      <c r="AK15" s="73">
        <f>IF($B15="",0,SUMPRODUCT(-('Gastos Gerais'!$F$4:$F$615='Gastos das Atividades'!$B15),-('Gastos das Atividades'!AK$3&gt;='Gastos Gerais'!$D$4:$D$615),-('Gastos das Atividades'!AK$3&lt;='Gastos Gerais'!$E$4:$E$615),-('Gastos Gerais'!$C$4:$C$615)))</f>
        <v>0</v>
      </c>
      <c r="AL15" s="73">
        <f>IF($B15="",0,SUMPRODUCT(-('Gastos Gerais'!$F$4:$F$615='Gastos das Atividades'!$B15),-('Gastos das Atividades'!AL$3&gt;='Gastos Gerais'!$D$4:$D$615),-('Gastos das Atividades'!AL$3&lt;='Gastos Gerais'!$E$4:$E$615),-('Gastos Gerais'!$C$4:$C$615)))</f>
        <v>0</v>
      </c>
      <c r="AM15" s="73">
        <f>IF($B15="",0,SUMPRODUCT(-('Gastos Gerais'!$F$4:$F$615='Gastos das Atividades'!$B15),-('Gastos das Atividades'!AM$3&gt;='Gastos Gerais'!$D$4:$D$615),-('Gastos das Atividades'!AM$3&lt;='Gastos Gerais'!$E$4:$E$615),-('Gastos Gerais'!$C$4:$C$615)))</f>
        <v>0</v>
      </c>
      <c r="AN15" s="73">
        <f>IF($B15="",0,SUMPRODUCT(-('Gastos Gerais'!$F$4:$F$615='Gastos das Atividades'!$B15),-('Gastos das Atividades'!AN$3&gt;='Gastos Gerais'!$D$4:$D$615),-('Gastos das Atividades'!AN$3&lt;='Gastos Gerais'!$E$4:$E$615),-('Gastos Gerais'!$C$4:$C$615)))</f>
        <v>0</v>
      </c>
      <c r="AO15" s="73">
        <f>IF($B15="",0,SUMPRODUCT(-('Gastos Gerais'!$F$4:$F$615='Gastos das Atividades'!$B15),-('Gastos das Atividades'!AO$3&gt;='Gastos Gerais'!$D$4:$D$615),-('Gastos das Atividades'!AO$3&lt;='Gastos Gerais'!$E$4:$E$615),-('Gastos Gerais'!$C$4:$C$615)))</f>
        <v>0</v>
      </c>
      <c r="AP15" s="73">
        <f>IF($B15="",0,SUMPRODUCT(-('Gastos Gerais'!$F$4:$F$615='Gastos das Atividades'!$B15),-('Gastos das Atividades'!AP$3&gt;='Gastos Gerais'!$D$4:$D$615),-('Gastos das Atividades'!AP$3&lt;='Gastos Gerais'!$E$4:$E$615),-('Gastos Gerais'!$C$4:$C$615)))</f>
        <v>0</v>
      </c>
      <c r="AQ15" s="73">
        <f>IF($B15="",0,SUMPRODUCT(-('Gastos Gerais'!$F$4:$F$615='Gastos das Atividades'!$B15),-('Gastos das Atividades'!AQ$3&gt;='Gastos Gerais'!$D$4:$D$615),-('Gastos das Atividades'!AQ$3&lt;='Gastos Gerais'!$E$4:$E$615),-('Gastos Gerais'!$C$4:$C$615)))</f>
        <v>0</v>
      </c>
      <c r="AR15" s="73">
        <f>IF($B15="",0,SUMPRODUCT(-('Gastos Gerais'!$F$4:$F$615='Gastos das Atividades'!$B15),-('Gastos das Atividades'!AR$3&gt;='Gastos Gerais'!$D$4:$D$615),-('Gastos das Atividades'!AR$3&lt;='Gastos Gerais'!$E$4:$E$615),-('Gastos Gerais'!$C$4:$C$615)))</f>
        <v>0</v>
      </c>
      <c r="AS15" s="73">
        <f>IF($B15="",0,SUMPRODUCT(-('Gastos Gerais'!$F$4:$F$615='Gastos das Atividades'!$B15),-('Gastos das Atividades'!AS$3&gt;='Gastos Gerais'!$D$4:$D$615),-('Gastos das Atividades'!AS$3&lt;='Gastos Gerais'!$E$4:$E$615),-('Gastos Gerais'!$C$4:$C$615)))</f>
        <v>0</v>
      </c>
      <c r="AT15" s="73">
        <f>IF($B15="",0,SUMPRODUCT(-('Gastos Gerais'!$F$4:$F$615='Gastos das Atividades'!$B15),-('Gastos das Atividades'!AT$3&gt;='Gastos Gerais'!$D$4:$D$615),-('Gastos das Atividades'!AT$3&lt;='Gastos Gerais'!$E$4:$E$615),-('Gastos Gerais'!$C$4:$C$615)))</f>
        <v>0</v>
      </c>
      <c r="AU15" s="73">
        <f>IF($B15="",0,SUMPRODUCT(-('Gastos Gerais'!$F$4:$F$615='Gastos das Atividades'!$B15),-('Gastos das Atividades'!AU$3&gt;='Gastos Gerais'!$D$4:$D$615),-('Gastos das Atividades'!AU$3&lt;='Gastos Gerais'!$E$4:$E$615),-('Gastos Gerais'!$C$4:$C$615)))</f>
        <v>0</v>
      </c>
      <c r="AV15" s="73">
        <f>IF($B15="",0,SUMPRODUCT(-('Gastos Gerais'!$F$4:$F$615='Gastos das Atividades'!$B15),-('Gastos das Atividades'!AV$3&gt;='Gastos Gerais'!$D$4:$D$615),-('Gastos das Atividades'!AV$3&lt;='Gastos Gerais'!$E$4:$E$615),-('Gastos Gerais'!$C$4:$C$615)))</f>
        <v>0</v>
      </c>
      <c r="AW15" s="73">
        <f>IF($B15="",0,SUMPRODUCT(-('Gastos Gerais'!$F$4:$F$615='Gastos das Atividades'!$B15),-('Gastos das Atividades'!AW$3&gt;='Gastos Gerais'!$D$4:$D$615),-('Gastos das Atividades'!AW$3&lt;='Gastos Gerais'!$E$4:$E$615),-('Gastos Gerais'!$C$4:$C$615)))</f>
        <v>0</v>
      </c>
      <c r="AX15" s="73">
        <f>IF($B15="",0,SUMPRODUCT(-('Gastos Gerais'!$F$4:$F$615='Gastos das Atividades'!$B15),-('Gastos das Atividades'!AX$3&gt;='Gastos Gerais'!$D$4:$D$615),-('Gastos das Atividades'!AX$3&lt;='Gastos Gerais'!$E$4:$E$615),-('Gastos Gerais'!$C$4:$C$615)))</f>
        <v>0</v>
      </c>
      <c r="AY15" s="73">
        <f>IF($B15="",0,SUMPRODUCT(-('Gastos Gerais'!$F$4:$F$615='Gastos das Atividades'!$B15),-('Gastos das Atividades'!AY$3&gt;='Gastos Gerais'!$D$4:$D$615),-('Gastos das Atividades'!AY$3&lt;='Gastos Gerais'!$E$4:$E$615),-('Gastos Gerais'!$C$4:$C$615)))</f>
        <v>0</v>
      </c>
      <c r="AZ15" s="73">
        <f>IF($B15="",0,SUMPRODUCT(-('Gastos Gerais'!$F$4:$F$615='Gastos das Atividades'!$B15),-('Gastos das Atividades'!AZ$3&gt;='Gastos Gerais'!$D$4:$D$615),-('Gastos das Atividades'!AZ$3&lt;='Gastos Gerais'!$E$4:$E$615),-('Gastos Gerais'!$C$4:$C$615)))</f>
        <v>0</v>
      </c>
      <c r="BA15" s="73">
        <f>IF($B15="",0,SUMPRODUCT(-('Gastos Gerais'!$F$4:$F$615='Gastos das Atividades'!$B15),-('Gastos das Atividades'!BA$3&gt;='Gastos Gerais'!$D$4:$D$615),-('Gastos das Atividades'!BA$3&lt;='Gastos Gerais'!$E$4:$E$615),-('Gastos Gerais'!$C$4:$C$615)))</f>
        <v>0</v>
      </c>
      <c r="BB15" s="73">
        <f>IF($B15="",0,SUMPRODUCT(-('Gastos Gerais'!$F$4:$F$615='Gastos das Atividades'!$B15),-('Gastos das Atividades'!BB$3&gt;='Gastos Gerais'!$D$4:$D$615),-('Gastos das Atividades'!BB$3&lt;='Gastos Gerais'!$E$4:$E$615),-('Gastos Gerais'!$C$4:$C$615)))</f>
        <v>0</v>
      </c>
      <c r="BC15" s="73">
        <f>IF($B15="",0,SUMPRODUCT(-('Gastos Gerais'!$F$4:$F$615='Gastos das Atividades'!$B15),-('Gastos das Atividades'!BC$3&gt;='Gastos Gerais'!$D$4:$D$615),-('Gastos das Atividades'!BC$3&lt;='Gastos Gerais'!$E$4:$E$615),-('Gastos Gerais'!$C$4:$C$615)))</f>
        <v>0</v>
      </c>
      <c r="BD15" s="73">
        <f>IF($B15="",0,SUMPRODUCT(-('Gastos Gerais'!$F$4:$F$615='Gastos das Atividades'!$B15),-('Gastos das Atividades'!BD$3&gt;='Gastos Gerais'!$D$4:$D$615),-('Gastos das Atividades'!BD$3&lt;='Gastos Gerais'!$E$4:$E$615),-('Gastos Gerais'!$C$4:$C$615)))</f>
        <v>0</v>
      </c>
      <c r="BE15" s="73">
        <f>IF($B15="",0,SUMPRODUCT(-('Gastos Gerais'!$F$4:$F$615='Gastos das Atividades'!$B15),-('Gastos das Atividades'!BE$3&gt;='Gastos Gerais'!$D$4:$D$615),-('Gastos das Atividades'!BE$3&lt;='Gastos Gerais'!$E$4:$E$615),-('Gastos Gerais'!$C$4:$C$615)))</f>
        <v>0</v>
      </c>
      <c r="BF15" s="73">
        <f>IF($B15="",0,SUMPRODUCT(-('Gastos Gerais'!$F$4:$F$615='Gastos das Atividades'!$B15),-('Gastos das Atividades'!BF$3&gt;='Gastos Gerais'!$D$4:$D$615),-('Gastos das Atividades'!BF$3&lt;='Gastos Gerais'!$E$4:$E$615),-('Gastos Gerais'!$C$4:$C$615)))</f>
        <v>0</v>
      </c>
      <c r="BG15" s="73">
        <f>IF($B15="",0,SUMPRODUCT(-('Gastos Gerais'!$F$4:$F$615='Gastos das Atividades'!$B15),-('Gastos das Atividades'!BG$3&gt;='Gastos Gerais'!$D$4:$D$615),-('Gastos das Atividades'!BG$3&lt;='Gastos Gerais'!$E$4:$E$615),-('Gastos Gerais'!$C$4:$C$615)))</f>
        <v>0</v>
      </c>
      <c r="BH15" s="73">
        <f>IF($B15="",0,SUMPRODUCT(-('Gastos Gerais'!$F$4:$F$615='Gastos das Atividades'!$B15),-('Gastos das Atividades'!BH$3&gt;='Gastos Gerais'!$D$4:$D$615),-('Gastos das Atividades'!BH$3&lt;='Gastos Gerais'!$E$4:$E$615),-('Gastos Gerais'!$C$4:$C$615)))</f>
        <v>0</v>
      </c>
      <c r="BI15" s="73">
        <f>IF($B15="",0,SUMPRODUCT(-('Gastos Gerais'!$F$4:$F$615='Gastos das Atividades'!$B15),-('Gastos das Atividades'!BI$3&gt;='Gastos Gerais'!$D$4:$D$615),-('Gastos das Atividades'!BI$3&lt;='Gastos Gerais'!$E$4:$E$615),-('Gastos Gerais'!$C$4:$C$615)))</f>
        <v>0</v>
      </c>
      <c r="BJ15" s="73">
        <f>IF($B15="",0,SUMPRODUCT(-('Gastos Gerais'!$F$4:$F$615='Gastos das Atividades'!$B15),-('Gastos das Atividades'!BJ$3&gt;='Gastos Gerais'!$D$4:$D$615),-('Gastos das Atividades'!BJ$3&lt;='Gastos Gerais'!$E$4:$E$615),-('Gastos Gerais'!$C$4:$C$615)))</f>
        <v>0</v>
      </c>
      <c r="BK15" s="73">
        <f>IF($B15="",0,SUMPRODUCT(-('Gastos Gerais'!$F$4:$F$615='Gastos das Atividades'!$B15),-('Gastos das Atividades'!BK$3&gt;='Gastos Gerais'!$D$4:$D$615),-('Gastos das Atividades'!BK$3&lt;='Gastos Gerais'!$E$4:$E$615),-('Gastos Gerais'!$C$4:$C$615)))</f>
        <v>0</v>
      </c>
      <c r="BL15" s="73">
        <f>IF($B15="",0,SUMPRODUCT(-('Gastos Gerais'!$F$4:$F$615='Gastos das Atividades'!$B15),-('Gastos das Atividades'!BL$3&gt;='Gastos Gerais'!$D$4:$D$615),-('Gastos das Atividades'!BL$3&lt;='Gastos Gerais'!$E$4:$E$615),-('Gastos Gerais'!$C$4:$C$615)))</f>
        <v>0</v>
      </c>
      <c r="BM15" s="73">
        <f>IF($B15="",0,SUMPRODUCT(-('Gastos Gerais'!$F$4:$F$615='Gastos das Atividades'!$B15),-('Gastos das Atividades'!BM$3&gt;='Gastos Gerais'!$D$4:$D$615),-('Gastos das Atividades'!BM$3&lt;='Gastos Gerais'!$E$4:$E$615),-('Gastos Gerais'!$C$4:$C$615)))</f>
        <v>0</v>
      </c>
      <c r="BN15" s="73">
        <f>IF($B15="",0,SUMPRODUCT(-('Gastos Gerais'!$F$4:$F$615='Gastos das Atividades'!$B15),-('Gastos das Atividades'!BN$3&gt;='Gastos Gerais'!$D$4:$D$615),-('Gastos das Atividades'!BN$3&lt;='Gastos Gerais'!$E$4:$E$615),-('Gastos Gerais'!$C$4:$C$615)))</f>
        <v>0</v>
      </c>
      <c r="BO15" s="73">
        <f>IF($B15="",0,SUMPRODUCT(-('Gastos Gerais'!$F$4:$F$615='Gastos das Atividades'!$B15),-('Gastos das Atividades'!BO$3&gt;='Gastos Gerais'!$D$4:$D$615),-('Gastos das Atividades'!BO$3&lt;='Gastos Gerais'!$E$4:$E$615),-('Gastos Gerais'!$C$4:$C$615)))</f>
        <v>0</v>
      </c>
      <c r="BP15" s="73">
        <f>IF($B15="",0,SUMPRODUCT(-('Gastos Gerais'!$F$4:$F$615='Gastos das Atividades'!$B15),-('Gastos das Atividades'!BP$3&gt;='Gastos Gerais'!$D$4:$D$615),-('Gastos das Atividades'!BP$3&lt;='Gastos Gerais'!$E$4:$E$615),-('Gastos Gerais'!$C$4:$C$615)))</f>
        <v>0</v>
      </c>
      <c r="BQ15" s="73">
        <f>IF($B15="",0,SUMPRODUCT(-('Gastos Gerais'!$F$4:$F$615='Gastos das Atividades'!$B15),-('Gastos das Atividades'!BQ$3&gt;='Gastos Gerais'!$D$4:$D$615),-('Gastos das Atividades'!BQ$3&lt;='Gastos Gerais'!$E$4:$E$615),-('Gastos Gerais'!$C$4:$C$615)))</f>
        <v>0</v>
      </c>
      <c r="BR15" s="73">
        <f>IF($B15="",0,SUMPRODUCT(-('Gastos Gerais'!$F$4:$F$615='Gastos das Atividades'!$B15),-('Gastos das Atividades'!BR$3&gt;='Gastos Gerais'!$D$4:$D$615),-('Gastos das Atividades'!BR$3&lt;='Gastos Gerais'!$E$4:$E$615),-('Gastos Gerais'!$C$4:$C$615)))</f>
        <v>0</v>
      </c>
      <c r="BS15" s="73">
        <f>IF($B15="",0,SUMPRODUCT(-('Gastos Gerais'!$F$4:$F$615='Gastos das Atividades'!$B15),-('Gastos das Atividades'!BS$3&gt;='Gastos Gerais'!$D$4:$D$615),-('Gastos das Atividades'!BS$3&lt;='Gastos Gerais'!$E$4:$E$615),-('Gastos Gerais'!$C$4:$C$615)))</f>
        <v>0</v>
      </c>
      <c r="BT15" s="73">
        <f>IF($B15="",0,SUMPRODUCT(-('Gastos Gerais'!$F$4:$F$615='Gastos das Atividades'!$B15),-('Gastos das Atividades'!BT$3&gt;='Gastos Gerais'!$D$4:$D$615),-('Gastos das Atividades'!BT$3&lt;='Gastos Gerais'!$E$4:$E$615),-('Gastos Gerais'!$C$4:$C$615)))</f>
        <v>0</v>
      </c>
      <c r="BU15" s="73">
        <f>IF($B15="",0,SUMPRODUCT(-('Gastos Gerais'!$F$4:$F$615='Gastos das Atividades'!$B15),-('Gastos das Atividades'!BU$3&gt;='Gastos Gerais'!$D$4:$D$615),-('Gastos das Atividades'!BU$3&lt;='Gastos Gerais'!$E$4:$E$615),-('Gastos Gerais'!$C$4:$C$615)))</f>
        <v>0</v>
      </c>
      <c r="BV15" s="73">
        <f>IF($B15="",0,SUMPRODUCT(-('Gastos Gerais'!$F$4:$F$615='Gastos das Atividades'!$B15),-('Gastos das Atividades'!BV$3&gt;='Gastos Gerais'!$D$4:$D$615),-('Gastos das Atividades'!BV$3&lt;='Gastos Gerais'!$E$4:$E$615),-('Gastos Gerais'!$C$4:$C$615)))</f>
        <v>0</v>
      </c>
      <c r="BW15" s="73">
        <f>IF($B15="",0,SUMPRODUCT(-('Gastos Gerais'!$F$4:$F$615='Gastos das Atividades'!$B15),-('Gastos das Atividades'!BW$3&gt;='Gastos Gerais'!$D$4:$D$615),-('Gastos das Atividades'!BW$3&lt;='Gastos Gerais'!$E$4:$E$615),-('Gastos Gerais'!$C$4:$C$615)))</f>
        <v>0</v>
      </c>
      <c r="BX15" s="73">
        <f>IF($B15="",0,SUMPRODUCT(-('Gastos Gerais'!$F$4:$F$615='Gastos das Atividades'!$B15),-('Gastos das Atividades'!BX$3&gt;='Gastos Gerais'!$D$4:$D$615),-('Gastos das Atividades'!BX$3&lt;='Gastos Gerais'!$E$4:$E$615),-('Gastos Gerais'!$C$4:$C$615)))</f>
        <v>0</v>
      </c>
    </row>
    <row r="16" spans="1:77" hidden="1" x14ac:dyDescent="0.2">
      <c r="A16" s="146">
        <v>13</v>
      </c>
      <c r="B16" s="164"/>
      <c r="C16" s="305">
        <v>0</v>
      </c>
      <c r="D16" s="357">
        <f t="shared" si="10"/>
        <v>0</v>
      </c>
      <c r="E16" s="144">
        <f t="shared" si="11"/>
        <v>0</v>
      </c>
      <c r="F16" s="73">
        <f t="shared" si="2"/>
        <v>0</v>
      </c>
      <c r="G16" s="73">
        <f t="shared" si="2"/>
        <v>0</v>
      </c>
      <c r="H16" s="73">
        <f t="shared" si="2"/>
        <v>0</v>
      </c>
      <c r="I16" s="73">
        <f t="shared" si="2"/>
        <v>0</v>
      </c>
      <c r="J16" s="145">
        <f t="shared" si="3"/>
        <v>0</v>
      </c>
      <c r="K16" s="76">
        <f t="shared" si="4"/>
        <v>0</v>
      </c>
      <c r="L16" s="76">
        <f t="shared" si="5"/>
        <v>0</v>
      </c>
      <c r="M16" s="76">
        <f t="shared" si="6"/>
        <v>0</v>
      </c>
      <c r="N16" s="76">
        <f t="shared" si="7"/>
        <v>0</v>
      </c>
      <c r="O16" s="76">
        <f t="shared" si="8"/>
        <v>0</v>
      </c>
      <c r="P16" s="209">
        <f t="shared" si="9"/>
        <v>0</v>
      </c>
      <c r="Q16" s="73">
        <f>IF($B16="",0,SUMPRODUCT(-('Gastos Gerais'!$F$4:$F$615='Gastos das Atividades'!$B16),-('Gastos das Atividades'!Q$3&gt;='Gastos Gerais'!$D$4:$D$615),-('Gastos das Atividades'!Q$3&lt;='Gastos Gerais'!$E$4:$E$615),-('Gastos Gerais'!$C$4:$C$615)))</f>
        <v>0</v>
      </c>
      <c r="R16" s="73">
        <f>IF($B16="",0,SUMPRODUCT(-('Gastos Gerais'!$F$4:$F$615='Gastos das Atividades'!$B16),-('Gastos das Atividades'!R$3&gt;='Gastos Gerais'!$D$4:$D$615),-('Gastos das Atividades'!R$3&lt;='Gastos Gerais'!$E$4:$E$615),-('Gastos Gerais'!$C$4:$C$615)))</f>
        <v>0</v>
      </c>
      <c r="S16" s="73">
        <f>IF($B16="",0,SUMPRODUCT(-('Gastos Gerais'!$F$4:$F$615='Gastos das Atividades'!$B16),-('Gastos das Atividades'!S$3&gt;='Gastos Gerais'!$D$4:$D$615),-('Gastos das Atividades'!S$3&lt;='Gastos Gerais'!$E$4:$E$615),-('Gastos Gerais'!$C$4:$C$615)))</f>
        <v>0</v>
      </c>
      <c r="T16" s="73">
        <f>IF($B16="",0,SUMPRODUCT(-('Gastos Gerais'!$F$4:$F$615='Gastos das Atividades'!$B16),-('Gastos das Atividades'!T$3&gt;='Gastos Gerais'!$D$4:$D$615),-('Gastos das Atividades'!T$3&lt;='Gastos Gerais'!$E$4:$E$615),-('Gastos Gerais'!$C$4:$C$615)))</f>
        <v>0</v>
      </c>
      <c r="U16" s="73">
        <f>IF($B16="",0,SUMPRODUCT(-('Gastos Gerais'!$F$4:$F$615='Gastos das Atividades'!$B16),-('Gastos das Atividades'!U$3&gt;='Gastos Gerais'!$D$4:$D$615),-('Gastos das Atividades'!U$3&lt;='Gastos Gerais'!$E$4:$E$615),-('Gastos Gerais'!$C$4:$C$615)))</f>
        <v>0</v>
      </c>
      <c r="V16" s="73">
        <f>IF($B16="",0,SUMPRODUCT(-('Gastos Gerais'!$F$4:$F$615='Gastos das Atividades'!$B16),-('Gastos das Atividades'!V$3&gt;='Gastos Gerais'!$D$4:$D$615),-('Gastos das Atividades'!V$3&lt;='Gastos Gerais'!$E$4:$E$615),-('Gastos Gerais'!$C$4:$C$615)))</f>
        <v>0</v>
      </c>
      <c r="W16" s="73">
        <f>IF($B16="",0,SUMPRODUCT(-('Gastos Gerais'!$F$4:$F$615='Gastos das Atividades'!$B16),-('Gastos das Atividades'!W$3&gt;='Gastos Gerais'!$D$4:$D$615),-('Gastos das Atividades'!W$3&lt;='Gastos Gerais'!$E$4:$E$615),-('Gastos Gerais'!$C$4:$C$615)))</f>
        <v>0</v>
      </c>
      <c r="X16" s="73">
        <f>IF($B16="",0,SUMPRODUCT(-('Gastos Gerais'!$F$4:$F$615='Gastos das Atividades'!$B16),-('Gastos das Atividades'!X$3&gt;='Gastos Gerais'!$D$4:$D$615),-('Gastos das Atividades'!X$3&lt;='Gastos Gerais'!$E$4:$E$615),-('Gastos Gerais'!$C$4:$C$615)))</f>
        <v>0</v>
      </c>
      <c r="Y16" s="73">
        <f>IF($B16="",0,SUMPRODUCT(-('Gastos Gerais'!$F$4:$F$615='Gastos das Atividades'!$B16),-('Gastos das Atividades'!Y$3&gt;='Gastos Gerais'!$D$4:$D$615),-('Gastos das Atividades'!Y$3&lt;='Gastos Gerais'!$E$4:$E$615),-('Gastos Gerais'!$C$4:$C$615)))</f>
        <v>0</v>
      </c>
      <c r="Z16" s="73">
        <f>IF($B16="",0,SUMPRODUCT(-('Gastos Gerais'!$F$4:$F$615='Gastos das Atividades'!$B16),-('Gastos das Atividades'!Z$3&gt;='Gastos Gerais'!$D$4:$D$615),-('Gastos das Atividades'!Z$3&lt;='Gastos Gerais'!$E$4:$E$615),-('Gastos Gerais'!$C$4:$C$615)))</f>
        <v>0</v>
      </c>
      <c r="AA16" s="73">
        <f>IF($B16="",0,SUMPRODUCT(-('Gastos Gerais'!$F$4:$F$615='Gastos das Atividades'!$B16),-('Gastos das Atividades'!AA$3&gt;='Gastos Gerais'!$D$4:$D$615),-('Gastos das Atividades'!AA$3&lt;='Gastos Gerais'!$E$4:$E$615),-('Gastos Gerais'!$C$4:$C$615)))</f>
        <v>0</v>
      </c>
      <c r="AB16" s="73">
        <f>IF($B16="",0,SUMPRODUCT(-('Gastos Gerais'!$F$4:$F$615='Gastos das Atividades'!$B16),-('Gastos das Atividades'!AB$3&gt;='Gastos Gerais'!$D$4:$D$615),-('Gastos das Atividades'!AB$3&lt;='Gastos Gerais'!$E$4:$E$615),-('Gastos Gerais'!$C$4:$C$615)))</f>
        <v>0</v>
      </c>
      <c r="AC16" s="73">
        <f>IF($B16="",0,SUMPRODUCT(-('Gastos Gerais'!$F$4:$F$615='Gastos das Atividades'!$B16),-('Gastos das Atividades'!AC$3&gt;='Gastos Gerais'!$D$4:$D$615),-('Gastos das Atividades'!AC$3&lt;='Gastos Gerais'!$E$4:$E$615),-('Gastos Gerais'!$C$4:$C$615)))</f>
        <v>0</v>
      </c>
      <c r="AD16" s="73">
        <f>IF($B16="",0,SUMPRODUCT(-('Gastos Gerais'!$F$4:$F$615='Gastos das Atividades'!$B16),-('Gastos das Atividades'!AD$3&gt;='Gastos Gerais'!$D$4:$D$615),-('Gastos das Atividades'!AD$3&lt;='Gastos Gerais'!$E$4:$E$615),-('Gastos Gerais'!$C$4:$C$615)))</f>
        <v>0</v>
      </c>
      <c r="AE16" s="73">
        <f>IF($B16="",0,SUMPRODUCT(-('Gastos Gerais'!$F$4:$F$615='Gastos das Atividades'!$B16),-('Gastos das Atividades'!AE$3&gt;='Gastos Gerais'!$D$4:$D$615),-('Gastos das Atividades'!AE$3&lt;='Gastos Gerais'!$E$4:$E$615),-('Gastos Gerais'!$C$4:$C$615)))</f>
        <v>0</v>
      </c>
      <c r="AF16" s="73">
        <f>IF($B16="",0,SUMPRODUCT(-('Gastos Gerais'!$F$4:$F$615='Gastos das Atividades'!$B16),-('Gastos das Atividades'!AF$3&gt;='Gastos Gerais'!$D$4:$D$615),-('Gastos das Atividades'!AF$3&lt;='Gastos Gerais'!$E$4:$E$615),-('Gastos Gerais'!$C$4:$C$615)))</f>
        <v>0</v>
      </c>
      <c r="AG16" s="73">
        <f>IF($B16="",0,SUMPRODUCT(-('Gastos Gerais'!$F$4:$F$615='Gastos das Atividades'!$B16),-('Gastos das Atividades'!AG$3&gt;='Gastos Gerais'!$D$4:$D$615),-('Gastos das Atividades'!AG$3&lt;='Gastos Gerais'!$E$4:$E$615),-('Gastos Gerais'!$C$4:$C$615)))</f>
        <v>0</v>
      </c>
      <c r="AH16" s="73">
        <f>IF($B16="",0,SUMPRODUCT(-('Gastos Gerais'!$F$4:$F$615='Gastos das Atividades'!$B16),-('Gastos das Atividades'!AH$3&gt;='Gastos Gerais'!$D$4:$D$615),-('Gastos das Atividades'!AH$3&lt;='Gastos Gerais'!$E$4:$E$615),-('Gastos Gerais'!$C$4:$C$615)))</f>
        <v>0</v>
      </c>
      <c r="AI16" s="73">
        <f>IF($B16="",0,SUMPRODUCT(-('Gastos Gerais'!$F$4:$F$615='Gastos das Atividades'!$B16),-('Gastos das Atividades'!AI$3&gt;='Gastos Gerais'!$D$4:$D$615),-('Gastos das Atividades'!AI$3&lt;='Gastos Gerais'!$E$4:$E$615),-('Gastos Gerais'!$C$4:$C$615)))</f>
        <v>0</v>
      </c>
      <c r="AJ16" s="73">
        <f>IF($B16="",0,SUMPRODUCT(-('Gastos Gerais'!$F$4:$F$615='Gastos das Atividades'!$B16),-('Gastos das Atividades'!AJ$3&gt;='Gastos Gerais'!$D$4:$D$615),-('Gastos das Atividades'!AJ$3&lt;='Gastos Gerais'!$E$4:$E$615),-('Gastos Gerais'!$C$4:$C$615)))</f>
        <v>0</v>
      </c>
      <c r="AK16" s="73">
        <f>IF($B16="",0,SUMPRODUCT(-('Gastos Gerais'!$F$4:$F$615='Gastos das Atividades'!$B16),-('Gastos das Atividades'!AK$3&gt;='Gastos Gerais'!$D$4:$D$615),-('Gastos das Atividades'!AK$3&lt;='Gastos Gerais'!$E$4:$E$615),-('Gastos Gerais'!$C$4:$C$615)))</f>
        <v>0</v>
      </c>
      <c r="AL16" s="73">
        <f>IF($B16="",0,SUMPRODUCT(-('Gastos Gerais'!$F$4:$F$615='Gastos das Atividades'!$B16),-('Gastos das Atividades'!AL$3&gt;='Gastos Gerais'!$D$4:$D$615),-('Gastos das Atividades'!AL$3&lt;='Gastos Gerais'!$E$4:$E$615),-('Gastos Gerais'!$C$4:$C$615)))</f>
        <v>0</v>
      </c>
      <c r="AM16" s="73">
        <f>IF($B16="",0,SUMPRODUCT(-('Gastos Gerais'!$F$4:$F$615='Gastos das Atividades'!$B16),-('Gastos das Atividades'!AM$3&gt;='Gastos Gerais'!$D$4:$D$615),-('Gastos das Atividades'!AM$3&lt;='Gastos Gerais'!$E$4:$E$615),-('Gastos Gerais'!$C$4:$C$615)))</f>
        <v>0</v>
      </c>
      <c r="AN16" s="73">
        <f>IF($B16="",0,SUMPRODUCT(-('Gastos Gerais'!$F$4:$F$615='Gastos das Atividades'!$B16),-('Gastos das Atividades'!AN$3&gt;='Gastos Gerais'!$D$4:$D$615),-('Gastos das Atividades'!AN$3&lt;='Gastos Gerais'!$E$4:$E$615),-('Gastos Gerais'!$C$4:$C$615)))</f>
        <v>0</v>
      </c>
      <c r="AO16" s="73">
        <f>IF($B16="",0,SUMPRODUCT(-('Gastos Gerais'!$F$4:$F$615='Gastos das Atividades'!$B16),-('Gastos das Atividades'!AO$3&gt;='Gastos Gerais'!$D$4:$D$615),-('Gastos das Atividades'!AO$3&lt;='Gastos Gerais'!$E$4:$E$615),-('Gastos Gerais'!$C$4:$C$615)))</f>
        <v>0</v>
      </c>
      <c r="AP16" s="73">
        <f>IF($B16="",0,SUMPRODUCT(-('Gastos Gerais'!$F$4:$F$615='Gastos das Atividades'!$B16),-('Gastos das Atividades'!AP$3&gt;='Gastos Gerais'!$D$4:$D$615),-('Gastos das Atividades'!AP$3&lt;='Gastos Gerais'!$E$4:$E$615),-('Gastos Gerais'!$C$4:$C$615)))</f>
        <v>0</v>
      </c>
      <c r="AQ16" s="73">
        <f>IF($B16="",0,SUMPRODUCT(-('Gastos Gerais'!$F$4:$F$615='Gastos das Atividades'!$B16),-('Gastos das Atividades'!AQ$3&gt;='Gastos Gerais'!$D$4:$D$615),-('Gastos das Atividades'!AQ$3&lt;='Gastos Gerais'!$E$4:$E$615),-('Gastos Gerais'!$C$4:$C$615)))</f>
        <v>0</v>
      </c>
      <c r="AR16" s="73">
        <f>IF($B16="",0,SUMPRODUCT(-('Gastos Gerais'!$F$4:$F$615='Gastos das Atividades'!$B16),-('Gastos das Atividades'!AR$3&gt;='Gastos Gerais'!$D$4:$D$615),-('Gastos das Atividades'!AR$3&lt;='Gastos Gerais'!$E$4:$E$615),-('Gastos Gerais'!$C$4:$C$615)))</f>
        <v>0</v>
      </c>
      <c r="AS16" s="73">
        <f>IF($B16="",0,SUMPRODUCT(-('Gastos Gerais'!$F$4:$F$615='Gastos das Atividades'!$B16),-('Gastos das Atividades'!AS$3&gt;='Gastos Gerais'!$D$4:$D$615),-('Gastos das Atividades'!AS$3&lt;='Gastos Gerais'!$E$4:$E$615),-('Gastos Gerais'!$C$4:$C$615)))</f>
        <v>0</v>
      </c>
      <c r="AT16" s="73">
        <f>IF($B16="",0,SUMPRODUCT(-('Gastos Gerais'!$F$4:$F$615='Gastos das Atividades'!$B16),-('Gastos das Atividades'!AT$3&gt;='Gastos Gerais'!$D$4:$D$615),-('Gastos das Atividades'!AT$3&lt;='Gastos Gerais'!$E$4:$E$615),-('Gastos Gerais'!$C$4:$C$615)))</f>
        <v>0</v>
      </c>
      <c r="AU16" s="73">
        <f>IF($B16="",0,SUMPRODUCT(-('Gastos Gerais'!$F$4:$F$615='Gastos das Atividades'!$B16),-('Gastos das Atividades'!AU$3&gt;='Gastos Gerais'!$D$4:$D$615),-('Gastos das Atividades'!AU$3&lt;='Gastos Gerais'!$E$4:$E$615),-('Gastos Gerais'!$C$4:$C$615)))</f>
        <v>0</v>
      </c>
      <c r="AV16" s="73">
        <f>IF($B16="",0,SUMPRODUCT(-('Gastos Gerais'!$F$4:$F$615='Gastos das Atividades'!$B16),-('Gastos das Atividades'!AV$3&gt;='Gastos Gerais'!$D$4:$D$615),-('Gastos das Atividades'!AV$3&lt;='Gastos Gerais'!$E$4:$E$615),-('Gastos Gerais'!$C$4:$C$615)))</f>
        <v>0</v>
      </c>
      <c r="AW16" s="73">
        <f>IF($B16="",0,SUMPRODUCT(-('Gastos Gerais'!$F$4:$F$615='Gastos das Atividades'!$B16),-('Gastos das Atividades'!AW$3&gt;='Gastos Gerais'!$D$4:$D$615),-('Gastos das Atividades'!AW$3&lt;='Gastos Gerais'!$E$4:$E$615),-('Gastos Gerais'!$C$4:$C$615)))</f>
        <v>0</v>
      </c>
      <c r="AX16" s="73">
        <f>IF($B16="",0,SUMPRODUCT(-('Gastos Gerais'!$F$4:$F$615='Gastos das Atividades'!$B16),-('Gastos das Atividades'!AX$3&gt;='Gastos Gerais'!$D$4:$D$615),-('Gastos das Atividades'!AX$3&lt;='Gastos Gerais'!$E$4:$E$615),-('Gastos Gerais'!$C$4:$C$615)))</f>
        <v>0</v>
      </c>
      <c r="AY16" s="73">
        <f>IF($B16="",0,SUMPRODUCT(-('Gastos Gerais'!$F$4:$F$615='Gastos das Atividades'!$B16),-('Gastos das Atividades'!AY$3&gt;='Gastos Gerais'!$D$4:$D$615),-('Gastos das Atividades'!AY$3&lt;='Gastos Gerais'!$E$4:$E$615),-('Gastos Gerais'!$C$4:$C$615)))</f>
        <v>0</v>
      </c>
      <c r="AZ16" s="73">
        <f>IF($B16="",0,SUMPRODUCT(-('Gastos Gerais'!$F$4:$F$615='Gastos das Atividades'!$B16),-('Gastos das Atividades'!AZ$3&gt;='Gastos Gerais'!$D$4:$D$615),-('Gastos das Atividades'!AZ$3&lt;='Gastos Gerais'!$E$4:$E$615),-('Gastos Gerais'!$C$4:$C$615)))</f>
        <v>0</v>
      </c>
      <c r="BA16" s="73">
        <f>IF($B16="",0,SUMPRODUCT(-('Gastos Gerais'!$F$4:$F$615='Gastos das Atividades'!$B16),-('Gastos das Atividades'!BA$3&gt;='Gastos Gerais'!$D$4:$D$615),-('Gastos das Atividades'!BA$3&lt;='Gastos Gerais'!$E$4:$E$615),-('Gastos Gerais'!$C$4:$C$615)))</f>
        <v>0</v>
      </c>
      <c r="BB16" s="73">
        <f>IF($B16="",0,SUMPRODUCT(-('Gastos Gerais'!$F$4:$F$615='Gastos das Atividades'!$B16),-('Gastos das Atividades'!BB$3&gt;='Gastos Gerais'!$D$4:$D$615),-('Gastos das Atividades'!BB$3&lt;='Gastos Gerais'!$E$4:$E$615),-('Gastos Gerais'!$C$4:$C$615)))</f>
        <v>0</v>
      </c>
      <c r="BC16" s="73">
        <f>IF($B16="",0,SUMPRODUCT(-('Gastos Gerais'!$F$4:$F$615='Gastos das Atividades'!$B16),-('Gastos das Atividades'!BC$3&gt;='Gastos Gerais'!$D$4:$D$615),-('Gastos das Atividades'!BC$3&lt;='Gastos Gerais'!$E$4:$E$615),-('Gastos Gerais'!$C$4:$C$615)))</f>
        <v>0</v>
      </c>
      <c r="BD16" s="73">
        <f>IF($B16="",0,SUMPRODUCT(-('Gastos Gerais'!$F$4:$F$615='Gastos das Atividades'!$B16),-('Gastos das Atividades'!BD$3&gt;='Gastos Gerais'!$D$4:$D$615),-('Gastos das Atividades'!BD$3&lt;='Gastos Gerais'!$E$4:$E$615),-('Gastos Gerais'!$C$4:$C$615)))</f>
        <v>0</v>
      </c>
      <c r="BE16" s="73">
        <f>IF($B16="",0,SUMPRODUCT(-('Gastos Gerais'!$F$4:$F$615='Gastos das Atividades'!$B16),-('Gastos das Atividades'!BE$3&gt;='Gastos Gerais'!$D$4:$D$615),-('Gastos das Atividades'!BE$3&lt;='Gastos Gerais'!$E$4:$E$615),-('Gastos Gerais'!$C$4:$C$615)))</f>
        <v>0</v>
      </c>
      <c r="BF16" s="73">
        <f>IF($B16="",0,SUMPRODUCT(-('Gastos Gerais'!$F$4:$F$615='Gastos das Atividades'!$B16),-('Gastos das Atividades'!BF$3&gt;='Gastos Gerais'!$D$4:$D$615),-('Gastos das Atividades'!BF$3&lt;='Gastos Gerais'!$E$4:$E$615),-('Gastos Gerais'!$C$4:$C$615)))</f>
        <v>0</v>
      </c>
      <c r="BG16" s="73">
        <f>IF($B16="",0,SUMPRODUCT(-('Gastos Gerais'!$F$4:$F$615='Gastos das Atividades'!$B16),-('Gastos das Atividades'!BG$3&gt;='Gastos Gerais'!$D$4:$D$615),-('Gastos das Atividades'!BG$3&lt;='Gastos Gerais'!$E$4:$E$615),-('Gastos Gerais'!$C$4:$C$615)))</f>
        <v>0</v>
      </c>
      <c r="BH16" s="73">
        <f>IF($B16="",0,SUMPRODUCT(-('Gastos Gerais'!$F$4:$F$615='Gastos das Atividades'!$B16),-('Gastos das Atividades'!BH$3&gt;='Gastos Gerais'!$D$4:$D$615),-('Gastos das Atividades'!BH$3&lt;='Gastos Gerais'!$E$4:$E$615),-('Gastos Gerais'!$C$4:$C$615)))</f>
        <v>0</v>
      </c>
      <c r="BI16" s="73">
        <f>IF($B16="",0,SUMPRODUCT(-('Gastos Gerais'!$F$4:$F$615='Gastos das Atividades'!$B16),-('Gastos das Atividades'!BI$3&gt;='Gastos Gerais'!$D$4:$D$615),-('Gastos das Atividades'!BI$3&lt;='Gastos Gerais'!$E$4:$E$615),-('Gastos Gerais'!$C$4:$C$615)))</f>
        <v>0</v>
      </c>
      <c r="BJ16" s="73">
        <f>IF($B16="",0,SUMPRODUCT(-('Gastos Gerais'!$F$4:$F$615='Gastos das Atividades'!$B16),-('Gastos das Atividades'!BJ$3&gt;='Gastos Gerais'!$D$4:$D$615),-('Gastos das Atividades'!BJ$3&lt;='Gastos Gerais'!$E$4:$E$615),-('Gastos Gerais'!$C$4:$C$615)))</f>
        <v>0</v>
      </c>
      <c r="BK16" s="73">
        <f>IF($B16="",0,SUMPRODUCT(-('Gastos Gerais'!$F$4:$F$615='Gastos das Atividades'!$B16),-('Gastos das Atividades'!BK$3&gt;='Gastos Gerais'!$D$4:$D$615),-('Gastos das Atividades'!BK$3&lt;='Gastos Gerais'!$E$4:$E$615),-('Gastos Gerais'!$C$4:$C$615)))</f>
        <v>0</v>
      </c>
      <c r="BL16" s="73">
        <f>IF($B16="",0,SUMPRODUCT(-('Gastos Gerais'!$F$4:$F$615='Gastos das Atividades'!$B16),-('Gastos das Atividades'!BL$3&gt;='Gastos Gerais'!$D$4:$D$615),-('Gastos das Atividades'!BL$3&lt;='Gastos Gerais'!$E$4:$E$615),-('Gastos Gerais'!$C$4:$C$615)))</f>
        <v>0</v>
      </c>
      <c r="BM16" s="73">
        <f>IF($B16="",0,SUMPRODUCT(-('Gastos Gerais'!$F$4:$F$615='Gastos das Atividades'!$B16),-('Gastos das Atividades'!BM$3&gt;='Gastos Gerais'!$D$4:$D$615),-('Gastos das Atividades'!BM$3&lt;='Gastos Gerais'!$E$4:$E$615),-('Gastos Gerais'!$C$4:$C$615)))</f>
        <v>0</v>
      </c>
      <c r="BN16" s="73">
        <f>IF($B16="",0,SUMPRODUCT(-('Gastos Gerais'!$F$4:$F$615='Gastos das Atividades'!$B16),-('Gastos das Atividades'!BN$3&gt;='Gastos Gerais'!$D$4:$D$615),-('Gastos das Atividades'!BN$3&lt;='Gastos Gerais'!$E$4:$E$615),-('Gastos Gerais'!$C$4:$C$615)))</f>
        <v>0</v>
      </c>
      <c r="BO16" s="73">
        <f>IF($B16="",0,SUMPRODUCT(-('Gastos Gerais'!$F$4:$F$615='Gastos das Atividades'!$B16),-('Gastos das Atividades'!BO$3&gt;='Gastos Gerais'!$D$4:$D$615),-('Gastos das Atividades'!BO$3&lt;='Gastos Gerais'!$E$4:$E$615),-('Gastos Gerais'!$C$4:$C$615)))</f>
        <v>0</v>
      </c>
      <c r="BP16" s="73">
        <f>IF($B16="",0,SUMPRODUCT(-('Gastos Gerais'!$F$4:$F$615='Gastos das Atividades'!$B16),-('Gastos das Atividades'!BP$3&gt;='Gastos Gerais'!$D$4:$D$615),-('Gastos das Atividades'!BP$3&lt;='Gastos Gerais'!$E$4:$E$615),-('Gastos Gerais'!$C$4:$C$615)))</f>
        <v>0</v>
      </c>
      <c r="BQ16" s="73">
        <f>IF($B16="",0,SUMPRODUCT(-('Gastos Gerais'!$F$4:$F$615='Gastos das Atividades'!$B16),-('Gastos das Atividades'!BQ$3&gt;='Gastos Gerais'!$D$4:$D$615),-('Gastos das Atividades'!BQ$3&lt;='Gastos Gerais'!$E$4:$E$615),-('Gastos Gerais'!$C$4:$C$615)))</f>
        <v>0</v>
      </c>
      <c r="BR16" s="73">
        <f>IF($B16="",0,SUMPRODUCT(-('Gastos Gerais'!$F$4:$F$615='Gastos das Atividades'!$B16),-('Gastos das Atividades'!BR$3&gt;='Gastos Gerais'!$D$4:$D$615),-('Gastos das Atividades'!BR$3&lt;='Gastos Gerais'!$E$4:$E$615),-('Gastos Gerais'!$C$4:$C$615)))</f>
        <v>0</v>
      </c>
      <c r="BS16" s="73">
        <f>IF($B16="",0,SUMPRODUCT(-('Gastos Gerais'!$F$4:$F$615='Gastos das Atividades'!$B16),-('Gastos das Atividades'!BS$3&gt;='Gastos Gerais'!$D$4:$D$615),-('Gastos das Atividades'!BS$3&lt;='Gastos Gerais'!$E$4:$E$615),-('Gastos Gerais'!$C$4:$C$615)))</f>
        <v>0</v>
      </c>
      <c r="BT16" s="73">
        <f>IF($B16="",0,SUMPRODUCT(-('Gastos Gerais'!$F$4:$F$615='Gastos das Atividades'!$B16),-('Gastos das Atividades'!BT$3&gt;='Gastos Gerais'!$D$4:$D$615),-('Gastos das Atividades'!BT$3&lt;='Gastos Gerais'!$E$4:$E$615),-('Gastos Gerais'!$C$4:$C$615)))</f>
        <v>0</v>
      </c>
      <c r="BU16" s="73">
        <f>IF($B16="",0,SUMPRODUCT(-('Gastos Gerais'!$F$4:$F$615='Gastos das Atividades'!$B16),-('Gastos das Atividades'!BU$3&gt;='Gastos Gerais'!$D$4:$D$615),-('Gastos das Atividades'!BU$3&lt;='Gastos Gerais'!$E$4:$E$615),-('Gastos Gerais'!$C$4:$C$615)))</f>
        <v>0</v>
      </c>
      <c r="BV16" s="73">
        <f>IF($B16="",0,SUMPRODUCT(-('Gastos Gerais'!$F$4:$F$615='Gastos das Atividades'!$B16),-('Gastos das Atividades'!BV$3&gt;='Gastos Gerais'!$D$4:$D$615),-('Gastos das Atividades'!BV$3&lt;='Gastos Gerais'!$E$4:$E$615),-('Gastos Gerais'!$C$4:$C$615)))</f>
        <v>0</v>
      </c>
      <c r="BW16" s="73">
        <f>IF($B16="",0,SUMPRODUCT(-('Gastos Gerais'!$F$4:$F$615='Gastos das Atividades'!$B16),-('Gastos das Atividades'!BW$3&gt;='Gastos Gerais'!$D$4:$D$615),-('Gastos das Atividades'!BW$3&lt;='Gastos Gerais'!$E$4:$E$615),-('Gastos Gerais'!$C$4:$C$615)))</f>
        <v>0</v>
      </c>
      <c r="BX16" s="73">
        <f>IF($B16="",0,SUMPRODUCT(-('Gastos Gerais'!$F$4:$F$615='Gastos das Atividades'!$B16),-('Gastos das Atividades'!BX$3&gt;='Gastos Gerais'!$D$4:$D$615),-('Gastos das Atividades'!BX$3&lt;='Gastos Gerais'!$E$4:$E$615),-('Gastos Gerais'!$C$4:$C$615)))</f>
        <v>0</v>
      </c>
    </row>
    <row r="17" spans="1:76" hidden="1" x14ac:dyDescent="0.2">
      <c r="A17" s="146">
        <v>14</v>
      </c>
      <c r="B17" s="164"/>
      <c r="C17" s="305">
        <v>0</v>
      </c>
      <c r="D17" s="357">
        <f t="shared" si="10"/>
        <v>0</v>
      </c>
      <c r="E17" s="144">
        <f t="shared" si="11"/>
        <v>0</v>
      </c>
      <c r="F17" s="73">
        <f t="shared" si="2"/>
        <v>0</v>
      </c>
      <c r="G17" s="73">
        <f t="shared" si="2"/>
        <v>0</v>
      </c>
      <c r="H17" s="73">
        <f t="shared" si="2"/>
        <v>0</v>
      </c>
      <c r="I17" s="73">
        <f t="shared" si="2"/>
        <v>0</v>
      </c>
      <c r="J17" s="145">
        <f t="shared" si="3"/>
        <v>0</v>
      </c>
      <c r="K17" s="76">
        <f t="shared" si="4"/>
        <v>0</v>
      </c>
      <c r="L17" s="76">
        <f t="shared" si="5"/>
        <v>0</v>
      </c>
      <c r="M17" s="76">
        <f t="shared" si="6"/>
        <v>0</v>
      </c>
      <c r="N17" s="76">
        <f t="shared" si="7"/>
        <v>0</v>
      </c>
      <c r="O17" s="76">
        <f t="shared" si="8"/>
        <v>0</v>
      </c>
      <c r="P17" s="209">
        <f t="shared" si="9"/>
        <v>0</v>
      </c>
      <c r="Q17" s="73">
        <f>IF($B17="",0,SUMPRODUCT(-('Gastos Gerais'!$F$4:$F$615='Gastos das Atividades'!$B17),-('Gastos das Atividades'!Q$3&gt;='Gastos Gerais'!$D$4:$D$615),-('Gastos das Atividades'!Q$3&lt;='Gastos Gerais'!$E$4:$E$615),-('Gastos Gerais'!$C$4:$C$615)))</f>
        <v>0</v>
      </c>
      <c r="R17" s="73">
        <f>IF($B17="",0,SUMPRODUCT(-('Gastos Gerais'!$F$4:$F$615='Gastos das Atividades'!$B17),-('Gastos das Atividades'!R$3&gt;='Gastos Gerais'!$D$4:$D$615),-('Gastos das Atividades'!R$3&lt;='Gastos Gerais'!$E$4:$E$615),-('Gastos Gerais'!$C$4:$C$615)))</f>
        <v>0</v>
      </c>
      <c r="S17" s="73">
        <f>IF($B17="",0,SUMPRODUCT(-('Gastos Gerais'!$F$4:$F$615='Gastos das Atividades'!$B17),-('Gastos das Atividades'!S$3&gt;='Gastos Gerais'!$D$4:$D$615),-('Gastos das Atividades'!S$3&lt;='Gastos Gerais'!$E$4:$E$615),-('Gastos Gerais'!$C$4:$C$615)))</f>
        <v>0</v>
      </c>
      <c r="T17" s="73">
        <f>IF($B17="",0,SUMPRODUCT(-('Gastos Gerais'!$F$4:$F$615='Gastos das Atividades'!$B17),-('Gastos das Atividades'!T$3&gt;='Gastos Gerais'!$D$4:$D$615),-('Gastos das Atividades'!T$3&lt;='Gastos Gerais'!$E$4:$E$615),-('Gastos Gerais'!$C$4:$C$615)))</f>
        <v>0</v>
      </c>
      <c r="U17" s="73">
        <f>IF($B17="",0,SUMPRODUCT(-('Gastos Gerais'!$F$4:$F$615='Gastos das Atividades'!$B17),-('Gastos das Atividades'!U$3&gt;='Gastos Gerais'!$D$4:$D$615),-('Gastos das Atividades'!U$3&lt;='Gastos Gerais'!$E$4:$E$615),-('Gastos Gerais'!$C$4:$C$615)))</f>
        <v>0</v>
      </c>
      <c r="V17" s="73">
        <f>IF($B17="",0,SUMPRODUCT(-('Gastos Gerais'!$F$4:$F$615='Gastos das Atividades'!$B17),-('Gastos das Atividades'!V$3&gt;='Gastos Gerais'!$D$4:$D$615),-('Gastos das Atividades'!V$3&lt;='Gastos Gerais'!$E$4:$E$615),-('Gastos Gerais'!$C$4:$C$615)))</f>
        <v>0</v>
      </c>
      <c r="W17" s="73">
        <f>IF($B17="",0,SUMPRODUCT(-('Gastos Gerais'!$F$4:$F$615='Gastos das Atividades'!$B17),-('Gastos das Atividades'!W$3&gt;='Gastos Gerais'!$D$4:$D$615),-('Gastos das Atividades'!W$3&lt;='Gastos Gerais'!$E$4:$E$615),-('Gastos Gerais'!$C$4:$C$615)))</f>
        <v>0</v>
      </c>
      <c r="X17" s="73">
        <f>IF($B17="",0,SUMPRODUCT(-('Gastos Gerais'!$F$4:$F$615='Gastos das Atividades'!$B17),-('Gastos das Atividades'!X$3&gt;='Gastos Gerais'!$D$4:$D$615),-('Gastos das Atividades'!X$3&lt;='Gastos Gerais'!$E$4:$E$615),-('Gastos Gerais'!$C$4:$C$615)))</f>
        <v>0</v>
      </c>
      <c r="Y17" s="73">
        <f>IF($B17="",0,SUMPRODUCT(-('Gastos Gerais'!$F$4:$F$615='Gastos das Atividades'!$B17),-('Gastos das Atividades'!Y$3&gt;='Gastos Gerais'!$D$4:$D$615),-('Gastos das Atividades'!Y$3&lt;='Gastos Gerais'!$E$4:$E$615),-('Gastos Gerais'!$C$4:$C$615)))</f>
        <v>0</v>
      </c>
      <c r="Z17" s="73">
        <f>IF($B17="",0,SUMPRODUCT(-('Gastos Gerais'!$F$4:$F$615='Gastos das Atividades'!$B17),-('Gastos das Atividades'!Z$3&gt;='Gastos Gerais'!$D$4:$D$615),-('Gastos das Atividades'!Z$3&lt;='Gastos Gerais'!$E$4:$E$615),-('Gastos Gerais'!$C$4:$C$615)))</f>
        <v>0</v>
      </c>
      <c r="AA17" s="73">
        <f>IF($B17="",0,SUMPRODUCT(-('Gastos Gerais'!$F$4:$F$615='Gastos das Atividades'!$B17),-('Gastos das Atividades'!AA$3&gt;='Gastos Gerais'!$D$4:$D$615),-('Gastos das Atividades'!AA$3&lt;='Gastos Gerais'!$E$4:$E$615),-('Gastos Gerais'!$C$4:$C$615)))</f>
        <v>0</v>
      </c>
      <c r="AB17" s="73">
        <f>IF($B17="",0,SUMPRODUCT(-('Gastos Gerais'!$F$4:$F$615='Gastos das Atividades'!$B17),-('Gastos das Atividades'!AB$3&gt;='Gastos Gerais'!$D$4:$D$615),-('Gastos das Atividades'!AB$3&lt;='Gastos Gerais'!$E$4:$E$615),-('Gastos Gerais'!$C$4:$C$615)))</f>
        <v>0</v>
      </c>
      <c r="AC17" s="73">
        <f>IF($B17="",0,SUMPRODUCT(-('Gastos Gerais'!$F$4:$F$615='Gastos das Atividades'!$B17),-('Gastos das Atividades'!AC$3&gt;='Gastos Gerais'!$D$4:$D$615),-('Gastos das Atividades'!AC$3&lt;='Gastos Gerais'!$E$4:$E$615),-('Gastos Gerais'!$C$4:$C$615)))</f>
        <v>0</v>
      </c>
      <c r="AD17" s="73">
        <f>IF($B17="",0,SUMPRODUCT(-('Gastos Gerais'!$F$4:$F$615='Gastos das Atividades'!$B17),-('Gastos das Atividades'!AD$3&gt;='Gastos Gerais'!$D$4:$D$615),-('Gastos das Atividades'!AD$3&lt;='Gastos Gerais'!$E$4:$E$615),-('Gastos Gerais'!$C$4:$C$615)))</f>
        <v>0</v>
      </c>
      <c r="AE17" s="73">
        <f>IF($B17="",0,SUMPRODUCT(-('Gastos Gerais'!$F$4:$F$615='Gastos das Atividades'!$B17),-('Gastos das Atividades'!AE$3&gt;='Gastos Gerais'!$D$4:$D$615),-('Gastos das Atividades'!AE$3&lt;='Gastos Gerais'!$E$4:$E$615),-('Gastos Gerais'!$C$4:$C$615)))</f>
        <v>0</v>
      </c>
      <c r="AF17" s="73">
        <f>IF($B17="",0,SUMPRODUCT(-('Gastos Gerais'!$F$4:$F$615='Gastos das Atividades'!$B17),-('Gastos das Atividades'!AF$3&gt;='Gastos Gerais'!$D$4:$D$615),-('Gastos das Atividades'!AF$3&lt;='Gastos Gerais'!$E$4:$E$615),-('Gastos Gerais'!$C$4:$C$615)))</f>
        <v>0</v>
      </c>
      <c r="AG17" s="73">
        <f>IF($B17="",0,SUMPRODUCT(-('Gastos Gerais'!$F$4:$F$615='Gastos das Atividades'!$B17),-('Gastos das Atividades'!AG$3&gt;='Gastos Gerais'!$D$4:$D$615),-('Gastos das Atividades'!AG$3&lt;='Gastos Gerais'!$E$4:$E$615),-('Gastos Gerais'!$C$4:$C$615)))</f>
        <v>0</v>
      </c>
      <c r="AH17" s="73">
        <f>IF($B17="",0,SUMPRODUCT(-('Gastos Gerais'!$F$4:$F$615='Gastos das Atividades'!$B17),-('Gastos das Atividades'!AH$3&gt;='Gastos Gerais'!$D$4:$D$615),-('Gastos das Atividades'!AH$3&lt;='Gastos Gerais'!$E$4:$E$615),-('Gastos Gerais'!$C$4:$C$615)))</f>
        <v>0</v>
      </c>
      <c r="AI17" s="73">
        <f>IF($B17="",0,SUMPRODUCT(-('Gastos Gerais'!$F$4:$F$615='Gastos das Atividades'!$B17),-('Gastos das Atividades'!AI$3&gt;='Gastos Gerais'!$D$4:$D$615),-('Gastos das Atividades'!AI$3&lt;='Gastos Gerais'!$E$4:$E$615),-('Gastos Gerais'!$C$4:$C$615)))</f>
        <v>0</v>
      </c>
      <c r="AJ17" s="73">
        <f>IF($B17="",0,SUMPRODUCT(-('Gastos Gerais'!$F$4:$F$615='Gastos das Atividades'!$B17),-('Gastos das Atividades'!AJ$3&gt;='Gastos Gerais'!$D$4:$D$615),-('Gastos das Atividades'!AJ$3&lt;='Gastos Gerais'!$E$4:$E$615),-('Gastos Gerais'!$C$4:$C$615)))</f>
        <v>0</v>
      </c>
      <c r="AK17" s="73">
        <f>IF($B17="",0,SUMPRODUCT(-('Gastos Gerais'!$F$4:$F$615='Gastos das Atividades'!$B17),-('Gastos das Atividades'!AK$3&gt;='Gastos Gerais'!$D$4:$D$615),-('Gastos das Atividades'!AK$3&lt;='Gastos Gerais'!$E$4:$E$615),-('Gastos Gerais'!$C$4:$C$615)))</f>
        <v>0</v>
      </c>
      <c r="AL17" s="73">
        <f>IF($B17="",0,SUMPRODUCT(-('Gastos Gerais'!$F$4:$F$615='Gastos das Atividades'!$B17),-('Gastos das Atividades'!AL$3&gt;='Gastos Gerais'!$D$4:$D$615),-('Gastos das Atividades'!AL$3&lt;='Gastos Gerais'!$E$4:$E$615),-('Gastos Gerais'!$C$4:$C$615)))</f>
        <v>0</v>
      </c>
      <c r="AM17" s="73">
        <f>IF($B17="",0,SUMPRODUCT(-('Gastos Gerais'!$F$4:$F$615='Gastos das Atividades'!$B17),-('Gastos das Atividades'!AM$3&gt;='Gastos Gerais'!$D$4:$D$615),-('Gastos das Atividades'!AM$3&lt;='Gastos Gerais'!$E$4:$E$615),-('Gastos Gerais'!$C$4:$C$615)))</f>
        <v>0</v>
      </c>
      <c r="AN17" s="73">
        <f>IF($B17="",0,SUMPRODUCT(-('Gastos Gerais'!$F$4:$F$615='Gastos das Atividades'!$B17),-('Gastos das Atividades'!AN$3&gt;='Gastos Gerais'!$D$4:$D$615),-('Gastos das Atividades'!AN$3&lt;='Gastos Gerais'!$E$4:$E$615),-('Gastos Gerais'!$C$4:$C$615)))</f>
        <v>0</v>
      </c>
      <c r="AO17" s="73">
        <f>IF($B17="",0,SUMPRODUCT(-('Gastos Gerais'!$F$4:$F$615='Gastos das Atividades'!$B17),-('Gastos das Atividades'!AO$3&gt;='Gastos Gerais'!$D$4:$D$615),-('Gastos das Atividades'!AO$3&lt;='Gastos Gerais'!$E$4:$E$615),-('Gastos Gerais'!$C$4:$C$615)))</f>
        <v>0</v>
      </c>
      <c r="AP17" s="73">
        <f>IF($B17="",0,SUMPRODUCT(-('Gastos Gerais'!$F$4:$F$615='Gastos das Atividades'!$B17),-('Gastos das Atividades'!AP$3&gt;='Gastos Gerais'!$D$4:$D$615),-('Gastos das Atividades'!AP$3&lt;='Gastos Gerais'!$E$4:$E$615),-('Gastos Gerais'!$C$4:$C$615)))</f>
        <v>0</v>
      </c>
      <c r="AQ17" s="73">
        <f>IF($B17="",0,SUMPRODUCT(-('Gastos Gerais'!$F$4:$F$615='Gastos das Atividades'!$B17),-('Gastos das Atividades'!AQ$3&gt;='Gastos Gerais'!$D$4:$D$615),-('Gastos das Atividades'!AQ$3&lt;='Gastos Gerais'!$E$4:$E$615),-('Gastos Gerais'!$C$4:$C$615)))</f>
        <v>0</v>
      </c>
      <c r="AR17" s="73">
        <f>IF($B17="",0,SUMPRODUCT(-('Gastos Gerais'!$F$4:$F$615='Gastos das Atividades'!$B17),-('Gastos das Atividades'!AR$3&gt;='Gastos Gerais'!$D$4:$D$615),-('Gastos das Atividades'!AR$3&lt;='Gastos Gerais'!$E$4:$E$615),-('Gastos Gerais'!$C$4:$C$615)))</f>
        <v>0</v>
      </c>
      <c r="AS17" s="73">
        <f>IF($B17="",0,SUMPRODUCT(-('Gastos Gerais'!$F$4:$F$615='Gastos das Atividades'!$B17),-('Gastos das Atividades'!AS$3&gt;='Gastos Gerais'!$D$4:$D$615),-('Gastos das Atividades'!AS$3&lt;='Gastos Gerais'!$E$4:$E$615),-('Gastos Gerais'!$C$4:$C$615)))</f>
        <v>0</v>
      </c>
      <c r="AT17" s="73">
        <f>IF($B17="",0,SUMPRODUCT(-('Gastos Gerais'!$F$4:$F$615='Gastos das Atividades'!$B17),-('Gastos das Atividades'!AT$3&gt;='Gastos Gerais'!$D$4:$D$615),-('Gastos das Atividades'!AT$3&lt;='Gastos Gerais'!$E$4:$E$615),-('Gastos Gerais'!$C$4:$C$615)))</f>
        <v>0</v>
      </c>
      <c r="AU17" s="73">
        <f>IF($B17="",0,SUMPRODUCT(-('Gastos Gerais'!$F$4:$F$615='Gastos das Atividades'!$B17),-('Gastos das Atividades'!AU$3&gt;='Gastos Gerais'!$D$4:$D$615),-('Gastos das Atividades'!AU$3&lt;='Gastos Gerais'!$E$4:$E$615),-('Gastos Gerais'!$C$4:$C$615)))</f>
        <v>0</v>
      </c>
      <c r="AV17" s="73">
        <f>IF($B17="",0,SUMPRODUCT(-('Gastos Gerais'!$F$4:$F$615='Gastos das Atividades'!$B17),-('Gastos das Atividades'!AV$3&gt;='Gastos Gerais'!$D$4:$D$615),-('Gastos das Atividades'!AV$3&lt;='Gastos Gerais'!$E$4:$E$615),-('Gastos Gerais'!$C$4:$C$615)))</f>
        <v>0</v>
      </c>
      <c r="AW17" s="73">
        <f>IF($B17="",0,SUMPRODUCT(-('Gastos Gerais'!$F$4:$F$615='Gastos das Atividades'!$B17),-('Gastos das Atividades'!AW$3&gt;='Gastos Gerais'!$D$4:$D$615),-('Gastos das Atividades'!AW$3&lt;='Gastos Gerais'!$E$4:$E$615),-('Gastos Gerais'!$C$4:$C$615)))</f>
        <v>0</v>
      </c>
      <c r="AX17" s="73">
        <f>IF($B17="",0,SUMPRODUCT(-('Gastos Gerais'!$F$4:$F$615='Gastos das Atividades'!$B17),-('Gastos das Atividades'!AX$3&gt;='Gastos Gerais'!$D$4:$D$615),-('Gastos das Atividades'!AX$3&lt;='Gastos Gerais'!$E$4:$E$615),-('Gastos Gerais'!$C$4:$C$615)))</f>
        <v>0</v>
      </c>
      <c r="AY17" s="73">
        <f>IF($B17="",0,SUMPRODUCT(-('Gastos Gerais'!$F$4:$F$615='Gastos das Atividades'!$B17),-('Gastos das Atividades'!AY$3&gt;='Gastos Gerais'!$D$4:$D$615),-('Gastos das Atividades'!AY$3&lt;='Gastos Gerais'!$E$4:$E$615),-('Gastos Gerais'!$C$4:$C$615)))</f>
        <v>0</v>
      </c>
      <c r="AZ17" s="73">
        <f>IF($B17="",0,SUMPRODUCT(-('Gastos Gerais'!$F$4:$F$615='Gastos das Atividades'!$B17),-('Gastos das Atividades'!AZ$3&gt;='Gastos Gerais'!$D$4:$D$615),-('Gastos das Atividades'!AZ$3&lt;='Gastos Gerais'!$E$4:$E$615),-('Gastos Gerais'!$C$4:$C$615)))</f>
        <v>0</v>
      </c>
      <c r="BA17" s="73">
        <f>IF($B17="",0,SUMPRODUCT(-('Gastos Gerais'!$F$4:$F$615='Gastos das Atividades'!$B17),-('Gastos das Atividades'!BA$3&gt;='Gastos Gerais'!$D$4:$D$615),-('Gastos das Atividades'!BA$3&lt;='Gastos Gerais'!$E$4:$E$615),-('Gastos Gerais'!$C$4:$C$615)))</f>
        <v>0</v>
      </c>
      <c r="BB17" s="73">
        <f>IF($B17="",0,SUMPRODUCT(-('Gastos Gerais'!$F$4:$F$615='Gastos das Atividades'!$B17),-('Gastos das Atividades'!BB$3&gt;='Gastos Gerais'!$D$4:$D$615),-('Gastos das Atividades'!BB$3&lt;='Gastos Gerais'!$E$4:$E$615),-('Gastos Gerais'!$C$4:$C$615)))</f>
        <v>0</v>
      </c>
      <c r="BC17" s="73">
        <f>IF($B17="",0,SUMPRODUCT(-('Gastos Gerais'!$F$4:$F$615='Gastos das Atividades'!$B17),-('Gastos das Atividades'!BC$3&gt;='Gastos Gerais'!$D$4:$D$615),-('Gastos das Atividades'!BC$3&lt;='Gastos Gerais'!$E$4:$E$615),-('Gastos Gerais'!$C$4:$C$615)))</f>
        <v>0</v>
      </c>
      <c r="BD17" s="73">
        <f>IF($B17="",0,SUMPRODUCT(-('Gastos Gerais'!$F$4:$F$615='Gastos das Atividades'!$B17),-('Gastos das Atividades'!BD$3&gt;='Gastos Gerais'!$D$4:$D$615),-('Gastos das Atividades'!BD$3&lt;='Gastos Gerais'!$E$4:$E$615),-('Gastos Gerais'!$C$4:$C$615)))</f>
        <v>0</v>
      </c>
      <c r="BE17" s="73">
        <f>IF($B17="",0,SUMPRODUCT(-('Gastos Gerais'!$F$4:$F$615='Gastos das Atividades'!$B17),-('Gastos das Atividades'!BE$3&gt;='Gastos Gerais'!$D$4:$D$615),-('Gastos das Atividades'!BE$3&lt;='Gastos Gerais'!$E$4:$E$615),-('Gastos Gerais'!$C$4:$C$615)))</f>
        <v>0</v>
      </c>
      <c r="BF17" s="73">
        <f>IF($B17="",0,SUMPRODUCT(-('Gastos Gerais'!$F$4:$F$615='Gastos das Atividades'!$B17),-('Gastos das Atividades'!BF$3&gt;='Gastos Gerais'!$D$4:$D$615),-('Gastos das Atividades'!BF$3&lt;='Gastos Gerais'!$E$4:$E$615),-('Gastos Gerais'!$C$4:$C$615)))</f>
        <v>0</v>
      </c>
      <c r="BG17" s="73">
        <f>IF($B17="",0,SUMPRODUCT(-('Gastos Gerais'!$F$4:$F$615='Gastos das Atividades'!$B17),-('Gastos das Atividades'!BG$3&gt;='Gastos Gerais'!$D$4:$D$615),-('Gastos das Atividades'!BG$3&lt;='Gastos Gerais'!$E$4:$E$615),-('Gastos Gerais'!$C$4:$C$615)))</f>
        <v>0</v>
      </c>
      <c r="BH17" s="73">
        <f>IF($B17="",0,SUMPRODUCT(-('Gastos Gerais'!$F$4:$F$615='Gastos das Atividades'!$B17),-('Gastos das Atividades'!BH$3&gt;='Gastos Gerais'!$D$4:$D$615),-('Gastos das Atividades'!BH$3&lt;='Gastos Gerais'!$E$4:$E$615),-('Gastos Gerais'!$C$4:$C$615)))</f>
        <v>0</v>
      </c>
      <c r="BI17" s="73">
        <f>IF($B17="",0,SUMPRODUCT(-('Gastos Gerais'!$F$4:$F$615='Gastos das Atividades'!$B17),-('Gastos das Atividades'!BI$3&gt;='Gastos Gerais'!$D$4:$D$615),-('Gastos das Atividades'!BI$3&lt;='Gastos Gerais'!$E$4:$E$615),-('Gastos Gerais'!$C$4:$C$615)))</f>
        <v>0</v>
      </c>
      <c r="BJ17" s="73">
        <f>IF($B17="",0,SUMPRODUCT(-('Gastos Gerais'!$F$4:$F$615='Gastos das Atividades'!$B17),-('Gastos das Atividades'!BJ$3&gt;='Gastos Gerais'!$D$4:$D$615),-('Gastos das Atividades'!BJ$3&lt;='Gastos Gerais'!$E$4:$E$615),-('Gastos Gerais'!$C$4:$C$615)))</f>
        <v>0</v>
      </c>
      <c r="BK17" s="73">
        <f>IF($B17="",0,SUMPRODUCT(-('Gastos Gerais'!$F$4:$F$615='Gastos das Atividades'!$B17),-('Gastos das Atividades'!BK$3&gt;='Gastos Gerais'!$D$4:$D$615),-('Gastos das Atividades'!BK$3&lt;='Gastos Gerais'!$E$4:$E$615),-('Gastos Gerais'!$C$4:$C$615)))</f>
        <v>0</v>
      </c>
      <c r="BL17" s="73">
        <f>IF($B17="",0,SUMPRODUCT(-('Gastos Gerais'!$F$4:$F$615='Gastos das Atividades'!$B17),-('Gastos das Atividades'!BL$3&gt;='Gastos Gerais'!$D$4:$D$615),-('Gastos das Atividades'!BL$3&lt;='Gastos Gerais'!$E$4:$E$615),-('Gastos Gerais'!$C$4:$C$615)))</f>
        <v>0</v>
      </c>
      <c r="BM17" s="73">
        <f>IF($B17="",0,SUMPRODUCT(-('Gastos Gerais'!$F$4:$F$615='Gastos das Atividades'!$B17),-('Gastos das Atividades'!BM$3&gt;='Gastos Gerais'!$D$4:$D$615),-('Gastos das Atividades'!BM$3&lt;='Gastos Gerais'!$E$4:$E$615),-('Gastos Gerais'!$C$4:$C$615)))</f>
        <v>0</v>
      </c>
      <c r="BN17" s="73">
        <f>IF($B17="",0,SUMPRODUCT(-('Gastos Gerais'!$F$4:$F$615='Gastos das Atividades'!$B17),-('Gastos das Atividades'!BN$3&gt;='Gastos Gerais'!$D$4:$D$615),-('Gastos das Atividades'!BN$3&lt;='Gastos Gerais'!$E$4:$E$615),-('Gastos Gerais'!$C$4:$C$615)))</f>
        <v>0</v>
      </c>
      <c r="BO17" s="73">
        <f>IF($B17="",0,SUMPRODUCT(-('Gastos Gerais'!$F$4:$F$615='Gastos das Atividades'!$B17),-('Gastos das Atividades'!BO$3&gt;='Gastos Gerais'!$D$4:$D$615),-('Gastos das Atividades'!BO$3&lt;='Gastos Gerais'!$E$4:$E$615),-('Gastos Gerais'!$C$4:$C$615)))</f>
        <v>0</v>
      </c>
      <c r="BP17" s="73">
        <f>IF($B17="",0,SUMPRODUCT(-('Gastos Gerais'!$F$4:$F$615='Gastos das Atividades'!$B17),-('Gastos das Atividades'!BP$3&gt;='Gastos Gerais'!$D$4:$D$615),-('Gastos das Atividades'!BP$3&lt;='Gastos Gerais'!$E$4:$E$615),-('Gastos Gerais'!$C$4:$C$615)))</f>
        <v>0</v>
      </c>
      <c r="BQ17" s="73">
        <f>IF($B17="",0,SUMPRODUCT(-('Gastos Gerais'!$F$4:$F$615='Gastos das Atividades'!$B17),-('Gastos das Atividades'!BQ$3&gt;='Gastos Gerais'!$D$4:$D$615),-('Gastos das Atividades'!BQ$3&lt;='Gastos Gerais'!$E$4:$E$615),-('Gastos Gerais'!$C$4:$C$615)))</f>
        <v>0</v>
      </c>
      <c r="BR17" s="73">
        <f>IF($B17="",0,SUMPRODUCT(-('Gastos Gerais'!$F$4:$F$615='Gastos das Atividades'!$B17),-('Gastos das Atividades'!BR$3&gt;='Gastos Gerais'!$D$4:$D$615),-('Gastos das Atividades'!BR$3&lt;='Gastos Gerais'!$E$4:$E$615),-('Gastos Gerais'!$C$4:$C$615)))</f>
        <v>0</v>
      </c>
      <c r="BS17" s="73">
        <f>IF($B17="",0,SUMPRODUCT(-('Gastos Gerais'!$F$4:$F$615='Gastos das Atividades'!$B17),-('Gastos das Atividades'!BS$3&gt;='Gastos Gerais'!$D$4:$D$615),-('Gastos das Atividades'!BS$3&lt;='Gastos Gerais'!$E$4:$E$615),-('Gastos Gerais'!$C$4:$C$615)))</f>
        <v>0</v>
      </c>
      <c r="BT17" s="73">
        <f>IF($B17="",0,SUMPRODUCT(-('Gastos Gerais'!$F$4:$F$615='Gastos das Atividades'!$B17),-('Gastos das Atividades'!BT$3&gt;='Gastos Gerais'!$D$4:$D$615),-('Gastos das Atividades'!BT$3&lt;='Gastos Gerais'!$E$4:$E$615),-('Gastos Gerais'!$C$4:$C$615)))</f>
        <v>0</v>
      </c>
      <c r="BU17" s="73">
        <f>IF($B17="",0,SUMPRODUCT(-('Gastos Gerais'!$F$4:$F$615='Gastos das Atividades'!$B17),-('Gastos das Atividades'!BU$3&gt;='Gastos Gerais'!$D$4:$D$615),-('Gastos das Atividades'!BU$3&lt;='Gastos Gerais'!$E$4:$E$615),-('Gastos Gerais'!$C$4:$C$615)))</f>
        <v>0</v>
      </c>
      <c r="BV17" s="73">
        <f>IF($B17="",0,SUMPRODUCT(-('Gastos Gerais'!$F$4:$F$615='Gastos das Atividades'!$B17),-('Gastos das Atividades'!BV$3&gt;='Gastos Gerais'!$D$4:$D$615),-('Gastos das Atividades'!BV$3&lt;='Gastos Gerais'!$E$4:$E$615),-('Gastos Gerais'!$C$4:$C$615)))</f>
        <v>0</v>
      </c>
      <c r="BW17" s="73">
        <f>IF($B17="",0,SUMPRODUCT(-('Gastos Gerais'!$F$4:$F$615='Gastos das Atividades'!$B17),-('Gastos das Atividades'!BW$3&gt;='Gastos Gerais'!$D$4:$D$615),-('Gastos das Atividades'!BW$3&lt;='Gastos Gerais'!$E$4:$E$615),-('Gastos Gerais'!$C$4:$C$615)))</f>
        <v>0</v>
      </c>
      <c r="BX17" s="73">
        <f>IF($B17="",0,SUMPRODUCT(-('Gastos Gerais'!$F$4:$F$615='Gastos das Atividades'!$B17),-('Gastos das Atividades'!BX$3&gt;='Gastos Gerais'!$D$4:$D$615),-('Gastos das Atividades'!BX$3&lt;='Gastos Gerais'!$E$4:$E$615),-('Gastos Gerais'!$C$4:$C$615)))</f>
        <v>0</v>
      </c>
    </row>
    <row r="18" spans="1:76" ht="13.5" hidden="1" thickBot="1" x14ac:dyDescent="0.25">
      <c r="A18" s="146">
        <v>15</v>
      </c>
      <c r="B18" s="164"/>
      <c r="C18" s="305">
        <v>0</v>
      </c>
      <c r="D18" s="357">
        <f t="shared" si="10"/>
        <v>0</v>
      </c>
      <c r="E18" s="144">
        <f t="shared" si="11"/>
        <v>0</v>
      </c>
      <c r="F18" s="73">
        <f t="shared" si="2"/>
        <v>0</v>
      </c>
      <c r="G18" s="73">
        <f t="shared" si="2"/>
        <v>0</v>
      </c>
      <c r="H18" s="73">
        <f t="shared" si="2"/>
        <v>0</v>
      </c>
      <c r="I18" s="73">
        <f t="shared" si="2"/>
        <v>0</v>
      </c>
      <c r="J18" s="145">
        <f t="shared" si="3"/>
        <v>0</v>
      </c>
      <c r="K18" s="76">
        <f t="shared" si="4"/>
        <v>0</v>
      </c>
      <c r="L18" s="76">
        <f t="shared" si="5"/>
        <v>0</v>
      </c>
      <c r="M18" s="76">
        <f t="shared" si="6"/>
        <v>0</v>
      </c>
      <c r="N18" s="76">
        <f t="shared" si="7"/>
        <v>0</v>
      </c>
      <c r="O18" s="76">
        <f t="shared" si="8"/>
        <v>0</v>
      </c>
      <c r="P18" s="209">
        <f t="shared" si="9"/>
        <v>0</v>
      </c>
      <c r="Q18" s="73">
        <f>IF($B18="",0,SUMPRODUCT(-('Gastos Gerais'!$F$4:$F$615='Gastos das Atividades'!$B18),-('Gastos das Atividades'!Q$3&gt;='Gastos Gerais'!$D$4:$D$615),-('Gastos das Atividades'!Q$3&lt;='Gastos Gerais'!$E$4:$E$615),-('Gastos Gerais'!$C$4:$C$615)))</f>
        <v>0</v>
      </c>
      <c r="R18" s="73">
        <f>IF($B18="",0,SUMPRODUCT(-('Gastos Gerais'!$F$4:$F$615='Gastos das Atividades'!$B18),-('Gastos das Atividades'!R$3&gt;='Gastos Gerais'!$D$4:$D$615),-('Gastos das Atividades'!R$3&lt;='Gastos Gerais'!$E$4:$E$615),-('Gastos Gerais'!$C$4:$C$615)))</f>
        <v>0</v>
      </c>
      <c r="S18" s="73">
        <f>IF($B18="",0,SUMPRODUCT(-('Gastos Gerais'!$F$4:$F$615='Gastos das Atividades'!$B18),-('Gastos das Atividades'!S$3&gt;='Gastos Gerais'!$D$4:$D$615),-('Gastos das Atividades'!S$3&lt;='Gastos Gerais'!$E$4:$E$615),-('Gastos Gerais'!$C$4:$C$615)))</f>
        <v>0</v>
      </c>
      <c r="T18" s="73">
        <f>IF($B18="",0,SUMPRODUCT(-('Gastos Gerais'!$F$4:$F$615='Gastos das Atividades'!$B18),-('Gastos das Atividades'!T$3&gt;='Gastos Gerais'!$D$4:$D$615),-('Gastos das Atividades'!T$3&lt;='Gastos Gerais'!$E$4:$E$615),-('Gastos Gerais'!$C$4:$C$615)))</f>
        <v>0</v>
      </c>
      <c r="U18" s="73">
        <f>IF($B18="",0,SUMPRODUCT(-('Gastos Gerais'!$F$4:$F$615='Gastos das Atividades'!$B18),-('Gastos das Atividades'!U$3&gt;='Gastos Gerais'!$D$4:$D$615),-('Gastos das Atividades'!U$3&lt;='Gastos Gerais'!$E$4:$E$615),-('Gastos Gerais'!$C$4:$C$615)))</f>
        <v>0</v>
      </c>
      <c r="V18" s="73">
        <f>IF($B18="",0,SUMPRODUCT(-('Gastos Gerais'!$F$4:$F$615='Gastos das Atividades'!$B18),-('Gastos das Atividades'!V$3&gt;='Gastos Gerais'!$D$4:$D$615),-('Gastos das Atividades'!V$3&lt;='Gastos Gerais'!$E$4:$E$615),-('Gastos Gerais'!$C$4:$C$615)))</f>
        <v>0</v>
      </c>
      <c r="W18" s="73">
        <f>IF($B18="",0,SUMPRODUCT(-('Gastos Gerais'!$F$4:$F$615='Gastos das Atividades'!$B18),-('Gastos das Atividades'!W$3&gt;='Gastos Gerais'!$D$4:$D$615),-('Gastos das Atividades'!W$3&lt;='Gastos Gerais'!$E$4:$E$615),-('Gastos Gerais'!$C$4:$C$615)))</f>
        <v>0</v>
      </c>
      <c r="X18" s="73">
        <f>IF($B18="",0,SUMPRODUCT(-('Gastos Gerais'!$F$4:$F$615='Gastos das Atividades'!$B18),-('Gastos das Atividades'!X$3&gt;='Gastos Gerais'!$D$4:$D$615),-('Gastos das Atividades'!X$3&lt;='Gastos Gerais'!$E$4:$E$615),-('Gastos Gerais'!$C$4:$C$615)))</f>
        <v>0</v>
      </c>
      <c r="Y18" s="73">
        <f>IF($B18="",0,SUMPRODUCT(-('Gastos Gerais'!$F$4:$F$615='Gastos das Atividades'!$B18),-('Gastos das Atividades'!Y$3&gt;='Gastos Gerais'!$D$4:$D$615),-('Gastos das Atividades'!Y$3&lt;='Gastos Gerais'!$E$4:$E$615),-('Gastos Gerais'!$C$4:$C$615)))</f>
        <v>0</v>
      </c>
      <c r="Z18" s="73">
        <f>IF($B18="",0,SUMPRODUCT(-('Gastos Gerais'!$F$4:$F$615='Gastos das Atividades'!$B18),-('Gastos das Atividades'!Z$3&gt;='Gastos Gerais'!$D$4:$D$615),-('Gastos das Atividades'!Z$3&lt;='Gastos Gerais'!$E$4:$E$615),-('Gastos Gerais'!$C$4:$C$615)))</f>
        <v>0</v>
      </c>
      <c r="AA18" s="73">
        <f>IF($B18="",0,SUMPRODUCT(-('Gastos Gerais'!$F$4:$F$615='Gastos das Atividades'!$B18),-('Gastos das Atividades'!AA$3&gt;='Gastos Gerais'!$D$4:$D$615),-('Gastos das Atividades'!AA$3&lt;='Gastos Gerais'!$E$4:$E$615),-('Gastos Gerais'!$C$4:$C$615)))</f>
        <v>0</v>
      </c>
      <c r="AB18" s="73">
        <f>IF($B18="",0,SUMPRODUCT(-('Gastos Gerais'!$F$4:$F$615='Gastos das Atividades'!$B18),-('Gastos das Atividades'!AB$3&gt;='Gastos Gerais'!$D$4:$D$615),-('Gastos das Atividades'!AB$3&lt;='Gastos Gerais'!$E$4:$E$615),-('Gastos Gerais'!$C$4:$C$615)))</f>
        <v>0</v>
      </c>
      <c r="AC18" s="73">
        <f>IF($B18="",0,SUMPRODUCT(-('Gastos Gerais'!$F$4:$F$615='Gastos das Atividades'!$B18),-('Gastos das Atividades'!AC$3&gt;='Gastos Gerais'!$D$4:$D$615),-('Gastos das Atividades'!AC$3&lt;='Gastos Gerais'!$E$4:$E$615),-('Gastos Gerais'!$C$4:$C$615)))</f>
        <v>0</v>
      </c>
      <c r="AD18" s="73">
        <f>IF($B18="",0,SUMPRODUCT(-('Gastos Gerais'!$F$4:$F$615='Gastos das Atividades'!$B18),-('Gastos das Atividades'!AD$3&gt;='Gastos Gerais'!$D$4:$D$615),-('Gastos das Atividades'!AD$3&lt;='Gastos Gerais'!$E$4:$E$615),-('Gastos Gerais'!$C$4:$C$615)))</f>
        <v>0</v>
      </c>
      <c r="AE18" s="73">
        <f>IF($B18="",0,SUMPRODUCT(-('Gastos Gerais'!$F$4:$F$615='Gastos das Atividades'!$B18),-('Gastos das Atividades'!AE$3&gt;='Gastos Gerais'!$D$4:$D$615),-('Gastos das Atividades'!AE$3&lt;='Gastos Gerais'!$E$4:$E$615),-('Gastos Gerais'!$C$4:$C$615)))</f>
        <v>0</v>
      </c>
      <c r="AF18" s="73">
        <f>IF($B18="",0,SUMPRODUCT(-('Gastos Gerais'!$F$4:$F$615='Gastos das Atividades'!$B18),-('Gastos das Atividades'!AF$3&gt;='Gastos Gerais'!$D$4:$D$615),-('Gastos das Atividades'!AF$3&lt;='Gastos Gerais'!$E$4:$E$615),-('Gastos Gerais'!$C$4:$C$615)))</f>
        <v>0</v>
      </c>
      <c r="AG18" s="73">
        <f>IF($B18="",0,SUMPRODUCT(-('Gastos Gerais'!$F$4:$F$615='Gastos das Atividades'!$B18),-('Gastos das Atividades'!AG$3&gt;='Gastos Gerais'!$D$4:$D$615),-('Gastos das Atividades'!AG$3&lt;='Gastos Gerais'!$E$4:$E$615),-('Gastos Gerais'!$C$4:$C$615)))</f>
        <v>0</v>
      </c>
      <c r="AH18" s="73">
        <f>IF($B18="",0,SUMPRODUCT(-('Gastos Gerais'!$F$4:$F$615='Gastos das Atividades'!$B18),-('Gastos das Atividades'!AH$3&gt;='Gastos Gerais'!$D$4:$D$615),-('Gastos das Atividades'!AH$3&lt;='Gastos Gerais'!$E$4:$E$615),-('Gastos Gerais'!$C$4:$C$615)))</f>
        <v>0</v>
      </c>
      <c r="AI18" s="73">
        <f>IF($B18="",0,SUMPRODUCT(-('Gastos Gerais'!$F$4:$F$615='Gastos das Atividades'!$B18),-('Gastos das Atividades'!AI$3&gt;='Gastos Gerais'!$D$4:$D$615),-('Gastos das Atividades'!AI$3&lt;='Gastos Gerais'!$E$4:$E$615),-('Gastos Gerais'!$C$4:$C$615)))</f>
        <v>0</v>
      </c>
      <c r="AJ18" s="73">
        <f>IF($B18="",0,SUMPRODUCT(-('Gastos Gerais'!$F$4:$F$615='Gastos das Atividades'!$B18),-('Gastos das Atividades'!AJ$3&gt;='Gastos Gerais'!$D$4:$D$615),-('Gastos das Atividades'!AJ$3&lt;='Gastos Gerais'!$E$4:$E$615),-('Gastos Gerais'!$C$4:$C$615)))</f>
        <v>0</v>
      </c>
      <c r="AK18" s="73">
        <f>IF($B18="",0,SUMPRODUCT(-('Gastos Gerais'!$F$4:$F$615='Gastos das Atividades'!$B18),-('Gastos das Atividades'!AK$3&gt;='Gastos Gerais'!$D$4:$D$615),-('Gastos das Atividades'!AK$3&lt;='Gastos Gerais'!$E$4:$E$615),-('Gastos Gerais'!$C$4:$C$615)))</f>
        <v>0</v>
      </c>
      <c r="AL18" s="73">
        <f>IF($B18="",0,SUMPRODUCT(-('Gastos Gerais'!$F$4:$F$615='Gastos das Atividades'!$B18),-('Gastos das Atividades'!AL$3&gt;='Gastos Gerais'!$D$4:$D$615),-('Gastos das Atividades'!AL$3&lt;='Gastos Gerais'!$E$4:$E$615),-('Gastos Gerais'!$C$4:$C$615)))</f>
        <v>0</v>
      </c>
      <c r="AM18" s="73">
        <f>IF($B18="",0,SUMPRODUCT(-('Gastos Gerais'!$F$4:$F$615='Gastos das Atividades'!$B18),-('Gastos das Atividades'!AM$3&gt;='Gastos Gerais'!$D$4:$D$615),-('Gastos das Atividades'!AM$3&lt;='Gastos Gerais'!$E$4:$E$615),-('Gastos Gerais'!$C$4:$C$615)))</f>
        <v>0</v>
      </c>
      <c r="AN18" s="73">
        <f>IF($B18="",0,SUMPRODUCT(-('Gastos Gerais'!$F$4:$F$615='Gastos das Atividades'!$B18),-('Gastos das Atividades'!AN$3&gt;='Gastos Gerais'!$D$4:$D$615),-('Gastos das Atividades'!AN$3&lt;='Gastos Gerais'!$E$4:$E$615),-('Gastos Gerais'!$C$4:$C$615)))</f>
        <v>0</v>
      </c>
      <c r="AO18" s="73">
        <f>IF($B18="",0,SUMPRODUCT(-('Gastos Gerais'!$F$4:$F$615='Gastos das Atividades'!$B18),-('Gastos das Atividades'!AO$3&gt;='Gastos Gerais'!$D$4:$D$615),-('Gastos das Atividades'!AO$3&lt;='Gastos Gerais'!$E$4:$E$615),-('Gastos Gerais'!$C$4:$C$615)))</f>
        <v>0</v>
      </c>
      <c r="AP18" s="73">
        <f>IF($B18="",0,SUMPRODUCT(-('Gastos Gerais'!$F$4:$F$615='Gastos das Atividades'!$B18),-('Gastos das Atividades'!AP$3&gt;='Gastos Gerais'!$D$4:$D$615),-('Gastos das Atividades'!AP$3&lt;='Gastos Gerais'!$E$4:$E$615),-('Gastos Gerais'!$C$4:$C$615)))</f>
        <v>0</v>
      </c>
      <c r="AQ18" s="73">
        <f>IF($B18="",0,SUMPRODUCT(-('Gastos Gerais'!$F$4:$F$615='Gastos das Atividades'!$B18),-('Gastos das Atividades'!AQ$3&gt;='Gastos Gerais'!$D$4:$D$615),-('Gastos das Atividades'!AQ$3&lt;='Gastos Gerais'!$E$4:$E$615),-('Gastos Gerais'!$C$4:$C$615)))</f>
        <v>0</v>
      </c>
      <c r="AR18" s="73">
        <f>IF($B18="",0,SUMPRODUCT(-('Gastos Gerais'!$F$4:$F$615='Gastos das Atividades'!$B18),-('Gastos das Atividades'!AR$3&gt;='Gastos Gerais'!$D$4:$D$615),-('Gastos das Atividades'!AR$3&lt;='Gastos Gerais'!$E$4:$E$615),-('Gastos Gerais'!$C$4:$C$615)))</f>
        <v>0</v>
      </c>
      <c r="AS18" s="73">
        <f>IF($B18="",0,SUMPRODUCT(-('Gastos Gerais'!$F$4:$F$615='Gastos das Atividades'!$B18),-('Gastos das Atividades'!AS$3&gt;='Gastos Gerais'!$D$4:$D$615),-('Gastos das Atividades'!AS$3&lt;='Gastos Gerais'!$E$4:$E$615),-('Gastos Gerais'!$C$4:$C$615)))</f>
        <v>0</v>
      </c>
      <c r="AT18" s="73">
        <f>IF($B18="",0,SUMPRODUCT(-('Gastos Gerais'!$F$4:$F$615='Gastos das Atividades'!$B18),-('Gastos das Atividades'!AT$3&gt;='Gastos Gerais'!$D$4:$D$615),-('Gastos das Atividades'!AT$3&lt;='Gastos Gerais'!$E$4:$E$615),-('Gastos Gerais'!$C$4:$C$615)))</f>
        <v>0</v>
      </c>
      <c r="AU18" s="73">
        <f>IF($B18="",0,SUMPRODUCT(-('Gastos Gerais'!$F$4:$F$615='Gastos das Atividades'!$B18),-('Gastos das Atividades'!AU$3&gt;='Gastos Gerais'!$D$4:$D$615),-('Gastos das Atividades'!AU$3&lt;='Gastos Gerais'!$E$4:$E$615),-('Gastos Gerais'!$C$4:$C$615)))</f>
        <v>0</v>
      </c>
      <c r="AV18" s="73">
        <f>IF($B18="",0,SUMPRODUCT(-('Gastos Gerais'!$F$4:$F$615='Gastos das Atividades'!$B18),-('Gastos das Atividades'!AV$3&gt;='Gastos Gerais'!$D$4:$D$615),-('Gastos das Atividades'!AV$3&lt;='Gastos Gerais'!$E$4:$E$615),-('Gastos Gerais'!$C$4:$C$615)))</f>
        <v>0</v>
      </c>
      <c r="AW18" s="73">
        <f>IF($B18="",0,SUMPRODUCT(-('Gastos Gerais'!$F$4:$F$615='Gastos das Atividades'!$B18),-('Gastos das Atividades'!AW$3&gt;='Gastos Gerais'!$D$4:$D$615),-('Gastos das Atividades'!AW$3&lt;='Gastos Gerais'!$E$4:$E$615),-('Gastos Gerais'!$C$4:$C$615)))</f>
        <v>0</v>
      </c>
      <c r="AX18" s="73">
        <f>IF($B18="",0,SUMPRODUCT(-('Gastos Gerais'!$F$4:$F$615='Gastos das Atividades'!$B18),-('Gastos das Atividades'!AX$3&gt;='Gastos Gerais'!$D$4:$D$615),-('Gastos das Atividades'!AX$3&lt;='Gastos Gerais'!$E$4:$E$615),-('Gastos Gerais'!$C$4:$C$615)))</f>
        <v>0</v>
      </c>
      <c r="AY18" s="73">
        <f>IF($B18="",0,SUMPRODUCT(-('Gastos Gerais'!$F$4:$F$615='Gastos das Atividades'!$B18),-('Gastos das Atividades'!AY$3&gt;='Gastos Gerais'!$D$4:$D$615),-('Gastos das Atividades'!AY$3&lt;='Gastos Gerais'!$E$4:$E$615),-('Gastos Gerais'!$C$4:$C$615)))</f>
        <v>0</v>
      </c>
      <c r="AZ18" s="73">
        <f>IF($B18="",0,SUMPRODUCT(-('Gastos Gerais'!$F$4:$F$615='Gastos das Atividades'!$B18),-('Gastos das Atividades'!AZ$3&gt;='Gastos Gerais'!$D$4:$D$615),-('Gastos das Atividades'!AZ$3&lt;='Gastos Gerais'!$E$4:$E$615),-('Gastos Gerais'!$C$4:$C$615)))</f>
        <v>0</v>
      </c>
      <c r="BA18" s="73">
        <f>IF($B18="",0,SUMPRODUCT(-('Gastos Gerais'!$F$4:$F$615='Gastos das Atividades'!$B18),-('Gastos das Atividades'!BA$3&gt;='Gastos Gerais'!$D$4:$D$615),-('Gastos das Atividades'!BA$3&lt;='Gastos Gerais'!$E$4:$E$615),-('Gastos Gerais'!$C$4:$C$615)))</f>
        <v>0</v>
      </c>
      <c r="BB18" s="73">
        <f>IF($B18="",0,SUMPRODUCT(-('Gastos Gerais'!$F$4:$F$615='Gastos das Atividades'!$B18),-('Gastos das Atividades'!BB$3&gt;='Gastos Gerais'!$D$4:$D$615),-('Gastos das Atividades'!BB$3&lt;='Gastos Gerais'!$E$4:$E$615),-('Gastos Gerais'!$C$4:$C$615)))</f>
        <v>0</v>
      </c>
      <c r="BC18" s="73">
        <f>IF($B18="",0,SUMPRODUCT(-('Gastos Gerais'!$F$4:$F$615='Gastos das Atividades'!$B18),-('Gastos das Atividades'!BC$3&gt;='Gastos Gerais'!$D$4:$D$615),-('Gastos das Atividades'!BC$3&lt;='Gastos Gerais'!$E$4:$E$615),-('Gastos Gerais'!$C$4:$C$615)))</f>
        <v>0</v>
      </c>
      <c r="BD18" s="73">
        <f>IF($B18="",0,SUMPRODUCT(-('Gastos Gerais'!$F$4:$F$615='Gastos das Atividades'!$B18),-('Gastos das Atividades'!BD$3&gt;='Gastos Gerais'!$D$4:$D$615),-('Gastos das Atividades'!BD$3&lt;='Gastos Gerais'!$E$4:$E$615),-('Gastos Gerais'!$C$4:$C$615)))</f>
        <v>0</v>
      </c>
      <c r="BE18" s="73">
        <f>IF($B18="",0,SUMPRODUCT(-('Gastos Gerais'!$F$4:$F$615='Gastos das Atividades'!$B18),-('Gastos das Atividades'!BE$3&gt;='Gastos Gerais'!$D$4:$D$615),-('Gastos das Atividades'!BE$3&lt;='Gastos Gerais'!$E$4:$E$615),-('Gastos Gerais'!$C$4:$C$615)))</f>
        <v>0</v>
      </c>
      <c r="BF18" s="73">
        <f>IF($B18="",0,SUMPRODUCT(-('Gastos Gerais'!$F$4:$F$615='Gastos das Atividades'!$B18),-('Gastos das Atividades'!BF$3&gt;='Gastos Gerais'!$D$4:$D$615),-('Gastos das Atividades'!BF$3&lt;='Gastos Gerais'!$E$4:$E$615),-('Gastos Gerais'!$C$4:$C$615)))</f>
        <v>0</v>
      </c>
      <c r="BG18" s="73">
        <f>IF($B18="",0,SUMPRODUCT(-('Gastos Gerais'!$F$4:$F$615='Gastos das Atividades'!$B18),-('Gastos das Atividades'!BG$3&gt;='Gastos Gerais'!$D$4:$D$615),-('Gastos das Atividades'!BG$3&lt;='Gastos Gerais'!$E$4:$E$615),-('Gastos Gerais'!$C$4:$C$615)))</f>
        <v>0</v>
      </c>
      <c r="BH18" s="73">
        <f>IF($B18="",0,SUMPRODUCT(-('Gastos Gerais'!$F$4:$F$615='Gastos das Atividades'!$B18),-('Gastos das Atividades'!BH$3&gt;='Gastos Gerais'!$D$4:$D$615),-('Gastos das Atividades'!BH$3&lt;='Gastos Gerais'!$E$4:$E$615),-('Gastos Gerais'!$C$4:$C$615)))</f>
        <v>0</v>
      </c>
      <c r="BI18" s="73">
        <f>IF($B18="",0,SUMPRODUCT(-('Gastos Gerais'!$F$4:$F$615='Gastos das Atividades'!$B18),-('Gastos das Atividades'!BI$3&gt;='Gastos Gerais'!$D$4:$D$615),-('Gastos das Atividades'!BI$3&lt;='Gastos Gerais'!$E$4:$E$615),-('Gastos Gerais'!$C$4:$C$615)))</f>
        <v>0</v>
      </c>
      <c r="BJ18" s="73">
        <f>IF($B18="",0,SUMPRODUCT(-('Gastos Gerais'!$F$4:$F$615='Gastos das Atividades'!$B18),-('Gastos das Atividades'!BJ$3&gt;='Gastos Gerais'!$D$4:$D$615),-('Gastos das Atividades'!BJ$3&lt;='Gastos Gerais'!$E$4:$E$615),-('Gastos Gerais'!$C$4:$C$615)))</f>
        <v>0</v>
      </c>
      <c r="BK18" s="73">
        <f>IF($B18="",0,SUMPRODUCT(-('Gastos Gerais'!$F$4:$F$615='Gastos das Atividades'!$B18),-('Gastos das Atividades'!BK$3&gt;='Gastos Gerais'!$D$4:$D$615),-('Gastos das Atividades'!BK$3&lt;='Gastos Gerais'!$E$4:$E$615),-('Gastos Gerais'!$C$4:$C$615)))</f>
        <v>0</v>
      </c>
      <c r="BL18" s="73">
        <f>IF($B18="",0,SUMPRODUCT(-('Gastos Gerais'!$F$4:$F$615='Gastos das Atividades'!$B18),-('Gastos das Atividades'!BL$3&gt;='Gastos Gerais'!$D$4:$D$615),-('Gastos das Atividades'!BL$3&lt;='Gastos Gerais'!$E$4:$E$615),-('Gastos Gerais'!$C$4:$C$615)))</f>
        <v>0</v>
      </c>
      <c r="BM18" s="73">
        <f>IF($B18="",0,SUMPRODUCT(-('Gastos Gerais'!$F$4:$F$615='Gastos das Atividades'!$B18),-('Gastos das Atividades'!BM$3&gt;='Gastos Gerais'!$D$4:$D$615),-('Gastos das Atividades'!BM$3&lt;='Gastos Gerais'!$E$4:$E$615),-('Gastos Gerais'!$C$4:$C$615)))</f>
        <v>0</v>
      </c>
      <c r="BN18" s="73">
        <f>IF($B18="",0,SUMPRODUCT(-('Gastos Gerais'!$F$4:$F$615='Gastos das Atividades'!$B18),-('Gastos das Atividades'!BN$3&gt;='Gastos Gerais'!$D$4:$D$615),-('Gastos das Atividades'!BN$3&lt;='Gastos Gerais'!$E$4:$E$615),-('Gastos Gerais'!$C$4:$C$615)))</f>
        <v>0</v>
      </c>
      <c r="BO18" s="73">
        <f>IF($B18="",0,SUMPRODUCT(-('Gastos Gerais'!$F$4:$F$615='Gastos das Atividades'!$B18),-('Gastos das Atividades'!BO$3&gt;='Gastos Gerais'!$D$4:$D$615),-('Gastos das Atividades'!BO$3&lt;='Gastos Gerais'!$E$4:$E$615),-('Gastos Gerais'!$C$4:$C$615)))</f>
        <v>0</v>
      </c>
      <c r="BP18" s="73">
        <f>IF($B18="",0,SUMPRODUCT(-('Gastos Gerais'!$F$4:$F$615='Gastos das Atividades'!$B18),-('Gastos das Atividades'!BP$3&gt;='Gastos Gerais'!$D$4:$D$615),-('Gastos das Atividades'!BP$3&lt;='Gastos Gerais'!$E$4:$E$615),-('Gastos Gerais'!$C$4:$C$615)))</f>
        <v>0</v>
      </c>
      <c r="BQ18" s="73">
        <f>IF($B18="",0,SUMPRODUCT(-('Gastos Gerais'!$F$4:$F$615='Gastos das Atividades'!$B18),-('Gastos das Atividades'!BQ$3&gt;='Gastos Gerais'!$D$4:$D$615),-('Gastos das Atividades'!BQ$3&lt;='Gastos Gerais'!$E$4:$E$615),-('Gastos Gerais'!$C$4:$C$615)))</f>
        <v>0</v>
      </c>
      <c r="BR18" s="73">
        <f>IF($B18="",0,SUMPRODUCT(-('Gastos Gerais'!$F$4:$F$615='Gastos das Atividades'!$B18),-('Gastos das Atividades'!BR$3&gt;='Gastos Gerais'!$D$4:$D$615),-('Gastos das Atividades'!BR$3&lt;='Gastos Gerais'!$E$4:$E$615),-('Gastos Gerais'!$C$4:$C$615)))</f>
        <v>0</v>
      </c>
      <c r="BS18" s="73">
        <f>IF($B18="",0,SUMPRODUCT(-('Gastos Gerais'!$F$4:$F$615='Gastos das Atividades'!$B18),-('Gastos das Atividades'!BS$3&gt;='Gastos Gerais'!$D$4:$D$615),-('Gastos das Atividades'!BS$3&lt;='Gastos Gerais'!$E$4:$E$615),-('Gastos Gerais'!$C$4:$C$615)))</f>
        <v>0</v>
      </c>
      <c r="BT18" s="73">
        <f>IF($B18="",0,SUMPRODUCT(-('Gastos Gerais'!$F$4:$F$615='Gastos das Atividades'!$B18),-('Gastos das Atividades'!BT$3&gt;='Gastos Gerais'!$D$4:$D$615),-('Gastos das Atividades'!BT$3&lt;='Gastos Gerais'!$E$4:$E$615),-('Gastos Gerais'!$C$4:$C$615)))</f>
        <v>0</v>
      </c>
      <c r="BU18" s="73">
        <f>IF($B18="",0,SUMPRODUCT(-('Gastos Gerais'!$F$4:$F$615='Gastos das Atividades'!$B18),-('Gastos das Atividades'!BU$3&gt;='Gastos Gerais'!$D$4:$D$615),-('Gastos das Atividades'!BU$3&lt;='Gastos Gerais'!$E$4:$E$615),-('Gastos Gerais'!$C$4:$C$615)))</f>
        <v>0</v>
      </c>
      <c r="BV18" s="73">
        <f>IF($B18="",0,SUMPRODUCT(-('Gastos Gerais'!$F$4:$F$615='Gastos das Atividades'!$B18),-('Gastos das Atividades'!BV$3&gt;='Gastos Gerais'!$D$4:$D$615),-('Gastos das Atividades'!BV$3&lt;='Gastos Gerais'!$E$4:$E$615),-('Gastos Gerais'!$C$4:$C$615)))</f>
        <v>0</v>
      </c>
      <c r="BW18" s="73">
        <f>IF($B18="",0,SUMPRODUCT(-('Gastos Gerais'!$F$4:$F$615='Gastos das Atividades'!$B18),-('Gastos das Atividades'!BW$3&gt;='Gastos Gerais'!$D$4:$D$615),-('Gastos das Atividades'!BW$3&lt;='Gastos Gerais'!$E$4:$E$615),-('Gastos Gerais'!$C$4:$C$615)))</f>
        <v>0</v>
      </c>
      <c r="BX18" s="73">
        <f>IF($B18="",0,SUMPRODUCT(-('Gastos Gerais'!$F$4:$F$615='Gastos das Atividades'!$B18),-('Gastos das Atividades'!BX$3&gt;='Gastos Gerais'!$D$4:$D$615),-('Gastos das Atividades'!BX$3&lt;='Gastos Gerais'!$E$4:$E$615),-('Gastos Gerais'!$C$4:$C$615)))</f>
        <v>0</v>
      </c>
    </row>
    <row r="19" spans="1:76" hidden="1" x14ac:dyDescent="0.2">
      <c r="A19" s="146">
        <v>16</v>
      </c>
      <c r="B19" s="164"/>
      <c r="C19" s="305">
        <v>0</v>
      </c>
      <c r="D19" s="357">
        <f t="shared" si="10"/>
        <v>0</v>
      </c>
      <c r="E19" s="144">
        <f t="shared" si="11"/>
        <v>0</v>
      </c>
      <c r="F19" s="73">
        <f t="shared" si="2"/>
        <v>0</v>
      </c>
      <c r="G19" s="73">
        <f t="shared" si="2"/>
        <v>0</v>
      </c>
      <c r="H19" s="73">
        <f t="shared" si="2"/>
        <v>0</v>
      </c>
      <c r="I19" s="73">
        <f t="shared" si="2"/>
        <v>0</v>
      </c>
      <c r="J19" s="145">
        <f t="shared" si="3"/>
        <v>0</v>
      </c>
      <c r="K19" s="76">
        <f t="shared" si="4"/>
        <v>0</v>
      </c>
      <c r="L19" s="76">
        <f t="shared" si="5"/>
        <v>0</v>
      </c>
      <c r="M19" s="76">
        <f t="shared" si="6"/>
        <v>0</v>
      </c>
      <c r="N19" s="76">
        <f t="shared" si="7"/>
        <v>0</v>
      </c>
      <c r="O19" s="76">
        <f t="shared" si="8"/>
        <v>0</v>
      </c>
      <c r="P19" s="209">
        <f t="shared" si="9"/>
        <v>0</v>
      </c>
      <c r="Q19" s="73">
        <f>IF($B19="",0,SUMPRODUCT(-('Gastos Gerais'!$F$4:$F$615='Gastos das Atividades'!$B19),-('Gastos das Atividades'!Q$3&gt;='Gastos Gerais'!$D$4:$D$615),-('Gastos das Atividades'!Q$3&lt;='Gastos Gerais'!$E$4:$E$615),-('Gastos Gerais'!$C$4:$C$615)))</f>
        <v>0</v>
      </c>
      <c r="R19" s="73">
        <f>IF($B19="",0,SUMPRODUCT(-('Gastos Gerais'!$F$4:$F$615='Gastos das Atividades'!$B19),-('Gastos das Atividades'!R$3&gt;='Gastos Gerais'!$D$4:$D$615),-('Gastos das Atividades'!R$3&lt;='Gastos Gerais'!$E$4:$E$615),-('Gastos Gerais'!$C$4:$C$615)))</f>
        <v>0</v>
      </c>
      <c r="S19" s="73">
        <f>IF($B19="",0,SUMPRODUCT(-('Gastos Gerais'!$F$4:$F$615='Gastos das Atividades'!$B19),-('Gastos das Atividades'!S$3&gt;='Gastos Gerais'!$D$4:$D$615),-('Gastos das Atividades'!S$3&lt;='Gastos Gerais'!$E$4:$E$615),-('Gastos Gerais'!$C$4:$C$615)))</f>
        <v>0</v>
      </c>
      <c r="T19" s="73">
        <f>IF($B19="",0,SUMPRODUCT(-('Gastos Gerais'!$F$4:$F$615='Gastos das Atividades'!$B19),-('Gastos das Atividades'!T$3&gt;='Gastos Gerais'!$D$4:$D$615),-('Gastos das Atividades'!T$3&lt;='Gastos Gerais'!$E$4:$E$615),-('Gastos Gerais'!$C$4:$C$615)))</f>
        <v>0</v>
      </c>
      <c r="U19" s="73">
        <f>IF($B19="",0,SUMPRODUCT(-('Gastos Gerais'!$F$4:$F$615='Gastos das Atividades'!$B19),-('Gastos das Atividades'!U$3&gt;='Gastos Gerais'!$D$4:$D$615),-('Gastos das Atividades'!U$3&lt;='Gastos Gerais'!$E$4:$E$615),-('Gastos Gerais'!$C$4:$C$615)))</f>
        <v>0</v>
      </c>
      <c r="V19" s="73">
        <f>IF($B19="",0,SUMPRODUCT(-('Gastos Gerais'!$F$4:$F$615='Gastos das Atividades'!$B19),-('Gastos das Atividades'!V$3&gt;='Gastos Gerais'!$D$4:$D$615),-('Gastos das Atividades'!V$3&lt;='Gastos Gerais'!$E$4:$E$615),-('Gastos Gerais'!$C$4:$C$615)))</f>
        <v>0</v>
      </c>
      <c r="W19" s="73">
        <f>IF($B19="",0,SUMPRODUCT(-('Gastos Gerais'!$F$4:$F$615='Gastos das Atividades'!$B19),-('Gastos das Atividades'!W$3&gt;='Gastos Gerais'!$D$4:$D$615),-('Gastos das Atividades'!W$3&lt;='Gastos Gerais'!$E$4:$E$615),-('Gastos Gerais'!$C$4:$C$615)))</f>
        <v>0</v>
      </c>
      <c r="X19" s="73">
        <f>IF($B19="",0,SUMPRODUCT(-('Gastos Gerais'!$F$4:$F$615='Gastos das Atividades'!$B19),-('Gastos das Atividades'!X$3&gt;='Gastos Gerais'!$D$4:$D$615),-('Gastos das Atividades'!X$3&lt;='Gastos Gerais'!$E$4:$E$615),-('Gastos Gerais'!$C$4:$C$615)))</f>
        <v>0</v>
      </c>
      <c r="Y19" s="73">
        <f>IF($B19="",0,SUMPRODUCT(-('Gastos Gerais'!$F$4:$F$615='Gastos das Atividades'!$B19),-('Gastos das Atividades'!Y$3&gt;='Gastos Gerais'!$D$4:$D$615),-('Gastos das Atividades'!Y$3&lt;='Gastos Gerais'!$E$4:$E$615),-('Gastos Gerais'!$C$4:$C$615)))</f>
        <v>0</v>
      </c>
      <c r="Z19" s="73">
        <f>IF($B19="",0,SUMPRODUCT(-('Gastos Gerais'!$F$4:$F$615='Gastos das Atividades'!$B19),-('Gastos das Atividades'!Z$3&gt;='Gastos Gerais'!$D$4:$D$615),-('Gastos das Atividades'!Z$3&lt;='Gastos Gerais'!$E$4:$E$615),-('Gastos Gerais'!$C$4:$C$615)))</f>
        <v>0</v>
      </c>
      <c r="AA19" s="73">
        <f>IF($B19="",0,SUMPRODUCT(-('Gastos Gerais'!$F$4:$F$615='Gastos das Atividades'!$B19),-('Gastos das Atividades'!AA$3&gt;='Gastos Gerais'!$D$4:$D$615),-('Gastos das Atividades'!AA$3&lt;='Gastos Gerais'!$E$4:$E$615),-('Gastos Gerais'!$C$4:$C$615)))</f>
        <v>0</v>
      </c>
      <c r="AB19" s="73">
        <f>IF($B19="",0,SUMPRODUCT(-('Gastos Gerais'!$F$4:$F$615='Gastos das Atividades'!$B19),-('Gastos das Atividades'!AB$3&gt;='Gastos Gerais'!$D$4:$D$615),-('Gastos das Atividades'!AB$3&lt;='Gastos Gerais'!$E$4:$E$615),-('Gastos Gerais'!$C$4:$C$615)))</f>
        <v>0</v>
      </c>
      <c r="AC19" s="73">
        <f>IF($B19="",0,SUMPRODUCT(-('Gastos Gerais'!$F$4:$F$615='Gastos das Atividades'!$B19),-('Gastos das Atividades'!AC$3&gt;='Gastos Gerais'!$D$4:$D$615),-('Gastos das Atividades'!AC$3&lt;='Gastos Gerais'!$E$4:$E$615),-('Gastos Gerais'!$C$4:$C$615)))</f>
        <v>0</v>
      </c>
      <c r="AD19" s="73">
        <f>IF($B19="",0,SUMPRODUCT(-('Gastos Gerais'!$F$4:$F$615='Gastos das Atividades'!$B19),-('Gastos das Atividades'!AD$3&gt;='Gastos Gerais'!$D$4:$D$615),-('Gastos das Atividades'!AD$3&lt;='Gastos Gerais'!$E$4:$E$615),-('Gastos Gerais'!$C$4:$C$615)))</f>
        <v>0</v>
      </c>
      <c r="AE19" s="73">
        <f>IF($B19="",0,SUMPRODUCT(-('Gastos Gerais'!$F$4:$F$615='Gastos das Atividades'!$B19),-('Gastos das Atividades'!AE$3&gt;='Gastos Gerais'!$D$4:$D$615),-('Gastos das Atividades'!AE$3&lt;='Gastos Gerais'!$E$4:$E$615),-('Gastos Gerais'!$C$4:$C$615)))</f>
        <v>0</v>
      </c>
      <c r="AF19" s="73">
        <f>IF($B19="",0,SUMPRODUCT(-('Gastos Gerais'!$F$4:$F$615='Gastos das Atividades'!$B19),-('Gastos das Atividades'!AF$3&gt;='Gastos Gerais'!$D$4:$D$615),-('Gastos das Atividades'!AF$3&lt;='Gastos Gerais'!$E$4:$E$615),-('Gastos Gerais'!$C$4:$C$615)))</f>
        <v>0</v>
      </c>
      <c r="AG19" s="73">
        <f>IF($B19="",0,SUMPRODUCT(-('Gastos Gerais'!$F$4:$F$615='Gastos das Atividades'!$B19),-('Gastos das Atividades'!AG$3&gt;='Gastos Gerais'!$D$4:$D$615),-('Gastos das Atividades'!AG$3&lt;='Gastos Gerais'!$E$4:$E$615),-('Gastos Gerais'!$C$4:$C$615)))</f>
        <v>0</v>
      </c>
      <c r="AH19" s="73">
        <f>IF($B19="",0,SUMPRODUCT(-('Gastos Gerais'!$F$4:$F$615='Gastos das Atividades'!$B19),-('Gastos das Atividades'!AH$3&gt;='Gastos Gerais'!$D$4:$D$615),-('Gastos das Atividades'!AH$3&lt;='Gastos Gerais'!$E$4:$E$615),-('Gastos Gerais'!$C$4:$C$615)))</f>
        <v>0</v>
      </c>
      <c r="AI19" s="73">
        <f>IF($B19="",0,SUMPRODUCT(-('Gastos Gerais'!$F$4:$F$615='Gastos das Atividades'!$B19),-('Gastos das Atividades'!AI$3&gt;='Gastos Gerais'!$D$4:$D$615),-('Gastos das Atividades'!AI$3&lt;='Gastos Gerais'!$E$4:$E$615),-('Gastos Gerais'!$C$4:$C$615)))</f>
        <v>0</v>
      </c>
      <c r="AJ19" s="73">
        <f>IF($B19="",0,SUMPRODUCT(-('Gastos Gerais'!$F$4:$F$615='Gastos das Atividades'!$B19),-('Gastos das Atividades'!AJ$3&gt;='Gastos Gerais'!$D$4:$D$615),-('Gastos das Atividades'!AJ$3&lt;='Gastos Gerais'!$E$4:$E$615),-('Gastos Gerais'!$C$4:$C$615)))</f>
        <v>0</v>
      </c>
      <c r="AK19" s="73">
        <f>IF($B19="",0,SUMPRODUCT(-('Gastos Gerais'!$F$4:$F$615='Gastos das Atividades'!$B19),-('Gastos das Atividades'!AK$3&gt;='Gastos Gerais'!$D$4:$D$615),-('Gastos das Atividades'!AK$3&lt;='Gastos Gerais'!$E$4:$E$615),-('Gastos Gerais'!$C$4:$C$615)))</f>
        <v>0</v>
      </c>
      <c r="AL19" s="73">
        <f>IF($B19="",0,SUMPRODUCT(-('Gastos Gerais'!$F$4:$F$615='Gastos das Atividades'!$B19),-('Gastos das Atividades'!AL$3&gt;='Gastos Gerais'!$D$4:$D$615),-('Gastos das Atividades'!AL$3&lt;='Gastos Gerais'!$E$4:$E$615),-('Gastos Gerais'!$C$4:$C$615)))</f>
        <v>0</v>
      </c>
      <c r="AM19" s="73">
        <f>IF($B19="",0,SUMPRODUCT(-('Gastos Gerais'!$F$4:$F$615='Gastos das Atividades'!$B19),-('Gastos das Atividades'!AM$3&gt;='Gastos Gerais'!$D$4:$D$615),-('Gastos das Atividades'!AM$3&lt;='Gastos Gerais'!$E$4:$E$615),-('Gastos Gerais'!$C$4:$C$615)))</f>
        <v>0</v>
      </c>
      <c r="AN19" s="73">
        <f>IF($B19="",0,SUMPRODUCT(-('Gastos Gerais'!$F$4:$F$615='Gastos das Atividades'!$B19),-('Gastos das Atividades'!AN$3&gt;='Gastos Gerais'!$D$4:$D$615),-('Gastos das Atividades'!AN$3&lt;='Gastos Gerais'!$E$4:$E$615),-('Gastos Gerais'!$C$4:$C$615)))</f>
        <v>0</v>
      </c>
      <c r="AO19" s="73">
        <f>IF($B19="",0,SUMPRODUCT(-('Gastos Gerais'!$F$4:$F$615='Gastos das Atividades'!$B19),-('Gastos das Atividades'!AO$3&gt;='Gastos Gerais'!$D$4:$D$615),-('Gastos das Atividades'!AO$3&lt;='Gastos Gerais'!$E$4:$E$615),-('Gastos Gerais'!$C$4:$C$615)))</f>
        <v>0</v>
      </c>
      <c r="AP19" s="73">
        <f>IF($B19="",0,SUMPRODUCT(-('Gastos Gerais'!$F$4:$F$615='Gastos das Atividades'!$B19),-('Gastos das Atividades'!AP$3&gt;='Gastos Gerais'!$D$4:$D$615),-('Gastos das Atividades'!AP$3&lt;='Gastos Gerais'!$E$4:$E$615),-('Gastos Gerais'!$C$4:$C$615)))</f>
        <v>0</v>
      </c>
      <c r="AQ19" s="73">
        <f>IF($B19="",0,SUMPRODUCT(-('Gastos Gerais'!$F$4:$F$615='Gastos das Atividades'!$B19),-('Gastos das Atividades'!AQ$3&gt;='Gastos Gerais'!$D$4:$D$615),-('Gastos das Atividades'!AQ$3&lt;='Gastos Gerais'!$E$4:$E$615),-('Gastos Gerais'!$C$4:$C$615)))</f>
        <v>0</v>
      </c>
      <c r="AR19" s="73">
        <f>IF($B19="",0,SUMPRODUCT(-('Gastos Gerais'!$F$4:$F$615='Gastos das Atividades'!$B19),-('Gastos das Atividades'!AR$3&gt;='Gastos Gerais'!$D$4:$D$615),-('Gastos das Atividades'!AR$3&lt;='Gastos Gerais'!$E$4:$E$615),-('Gastos Gerais'!$C$4:$C$615)))</f>
        <v>0</v>
      </c>
      <c r="AS19" s="73">
        <f>IF($B19="",0,SUMPRODUCT(-('Gastos Gerais'!$F$4:$F$615='Gastos das Atividades'!$B19),-('Gastos das Atividades'!AS$3&gt;='Gastos Gerais'!$D$4:$D$615),-('Gastos das Atividades'!AS$3&lt;='Gastos Gerais'!$E$4:$E$615),-('Gastos Gerais'!$C$4:$C$615)))</f>
        <v>0</v>
      </c>
      <c r="AT19" s="73">
        <f>IF($B19="",0,SUMPRODUCT(-('Gastos Gerais'!$F$4:$F$615='Gastos das Atividades'!$B19),-('Gastos das Atividades'!AT$3&gt;='Gastos Gerais'!$D$4:$D$615),-('Gastos das Atividades'!AT$3&lt;='Gastos Gerais'!$E$4:$E$615),-('Gastos Gerais'!$C$4:$C$615)))</f>
        <v>0</v>
      </c>
      <c r="AU19" s="73">
        <f>IF($B19="",0,SUMPRODUCT(-('Gastos Gerais'!$F$4:$F$615='Gastos das Atividades'!$B19),-('Gastos das Atividades'!AU$3&gt;='Gastos Gerais'!$D$4:$D$615),-('Gastos das Atividades'!AU$3&lt;='Gastos Gerais'!$E$4:$E$615),-('Gastos Gerais'!$C$4:$C$615)))</f>
        <v>0</v>
      </c>
      <c r="AV19" s="73">
        <f>IF($B19="",0,SUMPRODUCT(-('Gastos Gerais'!$F$4:$F$615='Gastos das Atividades'!$B19),-('Gastos das Atividades'!AV$3&gt;='Gastos Gerais'!$D$4:$D$615),-('Gastos das Atividades'!AV$3&lt;='Gastos Gerais'!$E$4:$E$615),-('Gastos Gerais'!$C$4:$C$615)))</f>
        <v>0</v>
      </c>
      <c r="AW19" s="73">
        <f>IF($B19="",0,SUMPRODUCT(-('Gastos Gerais'!$F$4:$F$615='Gastos das Atividades'!$B19),-('Gastos das Atividades'!AW$3&gt;='Gastos Gerais'!$D$4:$D$615),-('Gastos das Atividades'!AW$3&lt;='Gastos Gerais'!$E$4:$E$615),-('Gastos Gerais'!$C$4:$C$615)))</f>
        <v>0</v>
      </c>
      <c r="AX19" s="73">
        <f>IF($B19="",0,SUMPRODUCT(-('Gastos Gerais'!$F$4:$F$615='Gastos das Atividades'!$B19),-('Gastos das Atividades'!AX$3&gt;='Gastos Gerais'!$D$4:$D$615),-('Gastos das Atividades'!AX$3&lt;='Gastos Gerais'!$E$4:$E$615),-('Gastos Gerais'!$C$4:$C$615)))</f>
        <v>0</v>
      </c>
      <c r="AY19" s="73">
        <f>IF($B19="",0,SUMPRODUCT(-('Gastos Gerais'!$F$4:$F$615='Gastos das Atividades'!$B19),-('Gastos das Atividades'!AY$3&gt;='Gastos Gerais'!$D$4:$D$615),-('Gastos das Atividades'!AY$3&lt;='Gastos Gerais'!$E$4:$E$615),-('Gastos Gerais'!$C$4:$C$615)))</f>
        <v>0</v>
      </c>
      <c r="AZ19" s="73">
        <f>IF($B19="",0,SUMPRODUCT(-('Gastos Gerais'!$F$4:$F$615='Gastos das Atividades'!$B19),-('Gastos das Atividades'!AZ$3&gt;='Gastos Gerais'!$D$4:$D$615),-('Gastos das Atividades'!AZ$3&lt;='Gastos Gerais'!$E$4:$E$615),-('Gastos Gerais'!$C$4:$C$615)))</f>
        <v>0</v>
      </c>
      <c r="BA19" s="73">
        <f>IF($B19="",0,SUMPRODUCT(-('Gastos Gerais'!$F$4:$F$615='Gastos das Atividades'!$B19),-('Gastos das Atividades'!BA$3&gt;='Gastos Gerais'!$D$4:$D$615),-('Gastos das Atividades'!BA$3&lt;='Gastos Gerais'!$E$4:$E$615),-('Gastos Gerais'!$C$4:$C$615)))</f>
        <v>0</v>
      </c>
      <c r="BB19" s="73">
        <f>IF($B19="",0,SUMPRODUCT(-('Gastos Gerais'!$F$4:$F$615='Gastos das Atividades'!$B19),-('Gastos das Atividades'!BB$3&gt;='Gastos Gerais'!$D$4:$D$615),-('Gastos das Atividades'!BB$3&lt;='Gastos Gerais'!$E$4:$E$615),-('Gastos Gerais'!$C$4:$C$615)))</f>
        <v>0</v>
      </c>
      <c r="BC19" s="73">
        <f>IF($B19="",0,SUMPRODUCT(-('Gastos Gerais'!$F$4:$F$615='Gastos das Atividades'!$B19),-('Gastos das Atividades'!BC$3&gt;='Gastos Gerais'!$D$4:$D$615),-('Gastos das Atividades'!BC$3&lt;='Gastos Gerais'!$E$4:$E$615),-('Gastos Gerais'!$C$4:$C$615)))</f>
        <v>0</v>
      </c>
      <c r="BD19" s="73">
        <f>IF($B19="",0,SUMPRODUCT(-('Gastos Gerais'!$F$4:$F$615='Gastos das Atividades'!$B19),-('Gastos das Atividades'!BD$3&gt;='Gastos Gerais'!$D$4:$D$615),-('Gastos das Atividades'!BD$3&lt;='Gastos Gerais'!$E$4:$E$615),-('Gastos Gerais'!$C$4:$C$615)))</f>
        <v>0</v>
      </c>
      <c r="BE19" s="73">
        <f>IF($B19="",0,SUMPRODUCT(-('Gastos Gerais'!$F$4:$F$615='Gastos das Atividades'!$B19),-('Gastos das Atividades'!BE$3&gt;='Gastos Gerais'!$D$4:$D$615),-('Gastos das Atividades'!BE$3&lt;='Gastos Gerais'!$E$4:$E$615),-('Gastos Gerais'!$C$4:$C$615)))</f>
        <v>0</v>
      </c>
      <c r="BF19" s="73">
        <f>IF($B19="",0,SUMPRODUCT(-('Gastos Gerais'!$F$4:$F$615='Gastos das Atividades'!$B19),-('Gastos das Atividades'!BF$3&gt;='Gastos Gerais'!$D$4:$D$615),-('Gastos das Atividades'!BF$3&lt;='Gastos Gerais'!$E$4:$E$615),-('Gastos Gerais'!$C$4:$C$615)))</f>
        <v>0</v>
      </c>
      <c r="BG19" s="73">
        <f>IF($B19="",0,SUMPRODUCT(-('Gastos Gerais'!$F$4:$F$615='Gastos das Atividades'!$B19),-('Gastos das Atividades'!BG$3&gt;='Gastos Gerais'!$D$4:$D$615),-('Gastos das Atividades'!BG$3&lt;='Gastos Gerais'!$E$4:$E$615),-('Gastos Gerais'!$C$4:$C$615)))</f>
        <v>0</v>
      </c>
      <c r="BH19" s="73">
        <f>IF($B19="",0,SUMPRODUCT(-('Gastos Gerais'!$F$4:$F$615='Gastos das Atividades'!$B19),-('Gastos das Atividades'!BH$3&gt;='Gastos Gerais'!$D$4:$D$615),-('Gastos das Atividades'!BH$3&lt;='Gastos Gerais'!$E$4:$E$615),-('Gastos Gerais'!$C$4:$C$615)))</f>
        <v>0</v>
      </c>
      <c r="BI19" s="73">
        <f>IF($B19="",0,SUMPRODUCT(-('Gastos Gerais'!$F$4:$F$615='Gastos das Atividades'!$B19),-('Gastos das Atividades'!BI$3&gt;='Gastos Gerais'!$D$4:$D$615),-('Gastos das Atividades'!BI$3&lt;='Gastos Gerais'!$E$4:$E$615),-('Gastos Gerais'!$C$4:$C$615)))</f>
        <v>0</v>
      </c>
      <c r="BJ19" s="73">
        <f>IF($B19="",0,SUMPRODUCT(-('Gastos Gerais'!$F$4:$F$615='Gastos das Atividades'!$B19),-('Gastos das Atividades'!BJ$3&gt;='Gastos Gerais'!$D$4:$D$615),-('Gastos das Atividades'!BJ$3&lt;='Gastos Gerais'!$E$4:$E$615),-('Gastos Gerais'!$C$4:$C$615)))</f>
        <v>0</v>
      </c>
      <c r="BK19" s="73">
        <f>IF($B19="",0,SUMPRODUCT(-('Gastos Gerais'!$F$4:$F$615='Gastos das Atividades'!$B19),-('Gastos das Atividades'!BK$3&gt;='Gastos Gerais'!$D$4:$D$615),-('Gastos das Atividades'!BK$3&lt;='Gastos Gerais'!$E$4:$E$615),-('Gastos Gerais'!$C$4:$C$615)))</f>
        <v>0</v>
      </c>
      <c r="BL19" s="73">
        <f>IF($B19="",0,SUMPRODUCT(-('Gastos Gerais'!$F$4:$F$615='Gastos das Atividades'!$B19),-('Gastos das Atividades'!BL$3&gt;='Gastos Gerais'!$D$4:$D$615),-('Gastos das Atividades'!BL$3&lt;='Gastos Gerais'!$E$4:$E$615),-('Gastos Gerais'!$C$4:$C$615)))</f>
        <v>0</v>
      </c>
      <c r="BM19" s="73">
        <f>IF($B19="",0,SUMPRODUCT(-('Gastos Gerais'!$F$4:$F$615='Gastos das Atividades'!$B19),-('Gastos das Atividades'!BM$3&gt;='Gastos Gerais'!$D$4:$D$615),-('Gastos das Atividades'!BM$3&lt;='Gastos Gerais'!$E$4:$E$615),-('Gastos Gerais'!$C$4:$C$615)))</f>
        <v>0</v>
      </c>
      <c r="BN19" s="73">
        <f>IF($B19="",0,SUMPRODUCT(-('Gastos Gerais'!$F$4:$F$615='Gastos das Atividades'!$B19),-('Gastos das Atividades'!BN$3&gt;='Gastos Gerais'!$D$4:$D$615),-('Gastos das Atividades'!BN$3&lt;='Gastos Gerais'!$E$4:$E$615),-('Gastos Gerais'!$C$4:$C$615)))</f>
        <v>0</v>
      </c>
      <c r="BO19" s="73">
        <f>IF($B19="",0,SUMPRODUCT(-('Gastos Gerais'!$F$4:$F$615='Gastos das Atividades'!$B19),-('Gastos das Atividades'!BO$3&gt;='Gastos Gerais'!$D$4:$D$615),-('Gastos das Atividades'!BO$3&lt;='Gastos Gerais'!$E$4:$E$615),-('Gastos Gerais'!$C$4:$C$615)))</f>
        <v>0</v>
      </c>
      <c r="BP19" s="73">
        <f>IF($B19="",0,SUMPRODUCT(-('Gastos Gerais'!$F$4:$F$615='Gastos das Atividades'!$B19),-('Gastos das Atividades'!BP$3&gt;='Gastos Gerais'!$D$4:$D$615),-('Gastos das Atividades'!BP$3&lt;='Gastos Gerais'!$E$4:$E$615),-('Gastos Gerais'!$C$4:$C$615)))</f>
        <v>0</v>
      </c>
      <c r="BQ19" s="73">
        <f>IF($B19="",0,SUMPRODUCT(-('Gastos Gerais'!$F$4:$F$615='Gastos das Atividades'!$B19),-('Gastos das Atividades'!BQ$3&gt;='Gastos Gerais'!$D$4:$D$615),-('Gastos das Atividades'!BQ$3&lt;='Gastos Gerais'!$E$4:$E$615),-('Gastos Gerais'!$C$4:$C$615)))</f>
        <v>0</v>
      </c>
      <c r="BR19" s="73">
        <f>IF($B19="",0,SUMPRODUCT(-('Gastos Gerais'!$F$4:$F$615='Gastos das Atividades'!$B19),-('Gastos das Atividades'!BR$3&gt;='Gastos Gerais'!$D$4:$D$615),-('Gastos das Atividades'!BR$3&lt;='Gastos Gerais'!$E$4:$E$615),-('Gastos Gerais'!$C$4:$C$615)))</f>
        <v>0</v>
      </c>
      <c r="BS19" s="73">
        <f>IF($B19="",0,SUMPRODUCT(-('Gastos Gerais'!$F$4:$F$615='Gastos das Atividades'!$B19),-('Gastos das Atividades'!BS$3&gt;='Gastos Gerais'!$D$4:$D$615),-('Gastos das Atividades'!BS$3&lt;='Gastos Gerais'!$E$4:$E$615),-('Gastos Gerais'!$C$4:$C$615)))</f>
        <v>0</v>
      </c>
      <c r="BT19" s="73">
        <f>IF($B19="",0,SUMPRODUCT(-('Gastos Gerais'!$F$4:$F$615='Gastos das Atividades'!$B19),-('Gastos das Atividades'!BT$3&gt;='Gastos Gerais'!$D$4:$D$615),-('Gastos das Atividades'!BT$3&lt;='Gastos Gerais'!$E$4:$E$615),-('Gastos Gerais'!$C$4:$C$615)))</f>
        <v>0</v>
      </c>
      <c r="BU19" s="73">
        <f>IF($B19="",0,SUMPRODUCT(-('Gastos Gerais'!$F$4:$F$615='Gastos das Atividades'!$B19),-('Gastos das Atividades'!BU$3&gt;='Gastos Gerais'!$D$4:$D$615),-('Gastos das Atividades'!BU$3&lt;='Gastos Gerais'!$E$4:$E$615),-('Gastos Gerais'!$C$4:$C$615)))</f>
        <v>0</v>
      </c>
      <c r="BV19" s="73">
        <f>IF($B19="",0,SUMPRODUCT(-('Gastos Gerais'!$F$4:$F$615='Gastos das Atividades'!$B19),-('Gastos das Atividades'!BV$3&gt;='Gastos Gerais'!$D$4:$D$615),-('Gastos das Atividades'!BV$3&lt;='Gastos Gerais'!$E$4:$E$615),-('Gastos Gerais'!$C$4:$C$615)))</f>
        <v>0</v>
      </c>
      <c r="BW19" s="73">
        <f>IF($B19="",0,SUMPRODUCT(-('Gastos Gerais'!$F$4:$F$615='Gastos das Atividades'!$B19),-('Gastos das Atividades'!BW$3&gt;='Gastos Gerais'!$D$4:$D$615),-('Gastos das Atividades'!BW$3&lt;='Gastos Gerais'!$E$4:$E$615),-('Gastos Gerais'!$C$4:$C$615)))</f>
        <v>0</v>
      </c>
      <c r="BX19" s="73">
        <f>IF($B19="",0,SUMPRODUCT(-('Gastos Gerais'!$F$4:$F$615='Gastos das Atividades'!$B19),-('Gastos das Atividades'!BX$3&gt;='Gastos Gerais'!$D$4:$D$615),-('Gastos das Atividades'!BX$3&lt;='Gastos Gerais'!$E$4:$E$615),-('Gastos Gerais'!$C$4:$C$615)))</f>
        <v>0</v>
      </c>
    </row>
    <row r="20" spans="1:76" hidden="1" x14ac:dyDescent="0.2">
      <c r="A20" s="146">
        <v>17</v>
      </c>
      <c r="B20" s="164"/>
      <c r="C20" s="305">
        <v>0</v>
      </c>
      <c r="D20" s="357">
        <f t="shared" si="10"/>
        <v>0</v>
      </c>
      <c r="E20" s="144">
        <f t="shared" si="11"/>
        <v>0</v>
      </c>
      <c r="F20" s="73">
        <f t="shared" si="2"/>
        <v>0</v>
      </c>
      <c r="G20" s="73">
        <f t="shared" si="2"/>
        <v>0</v>
      </c>
      <c r="H20" s="73">
        <f t="shared" si="2"/>
        <v>0</v>
      </c>
      <c r="I20" s="73">
        <f t="shared" si="2"/>
        <v>0</v>
      </c>
      <c r="J20" s="145">
        <f t="shared" si="3"/>
        <v>0</v>
      </c>
      <c r="K20" s="76">
        <f t="shared" si="4"/>
        <v>0</v>
      </c>
      <c r="L20" s="76">
        <f t="shared" si="5"/>
        <v>0</v>
      </c>
      <c r="M20" s="76">
        <f t="shared" si="6"/>
        <v>0</v>
      </c>
      <c r="N20" s="76">
        <f t="shared" si="7"/>
        <v>0</v>
      </c>
      <c r="O20" s="76">
        <f t="shared" si="8"/>
        <v>0</v>
      </c>
      <c r="P20" s="209">
        <f t="shared" si="9"/>
        <v>0</v>
      </c>
      <c r="Q20" s="73">
        <f>IF($B20="",0,SUMPRODUCT(-('Gastos Gerais'!$F$4:$F$615='Gastos das Atividades'!$B20),-('Gastos das Atividades'!Q$3&gt;='Gastos Gerais'!$D$4:$D$615),-('Gastos das Atividades'!Q$3&lt;='Gastos Gerais'!$E$4:$E$615),-('Gastos Gerais'!$C$4:$C$615)))</f>
        <v>0</v>
      </c>
      <c r="R20" s="73">
        <f>IF($B20="",0,SUMPRODUCT(-('Gastos Gerais'!$F$4:$F$615='Gastos das Atividades'!$B20),-('Gastos das Atividades'!R$3&gt;='Gastos Gerais'!$D$4:$D$615),-('Gastos das Atividades'!R$3&lt;='Gastos Gerais'!$E$4:$E$615),-('Gastos Gerais'!$C$4:$C$615)))</f>
        <v>0</v>
      </c>
      <c r="S20" s="73">
        <f>IF($B20="",0,SUMPRODUCT(-('Gastos Gerais'!$F$4:$F$615='Gastos das Atividades'!$B20),-('Gastos das Atividades'!S$3&gt;='Gastos Gerais'!$D$4:$D$615),-('Gastos das Atividades'!S$3&lt;='Gastos Gerais'!$E$4:$E$615),-('Gastos Gerais'!$C$4:$C$615)))</f>
        <v>0</v>
      </c>
      <c r="T20" s="73">
        <f>IF($B20="",0,SUMPRODUCT(-('Gastos Gerais'!$F$4:$F$615='Gastos das Atividades'!$B20),-('Gastos das Atividades'!T$3&gt;='Gastos Gerais'!$D$4:$D$615),-('Gastos das Atividades'!T$3&lt;='Gastos Gerais'!$E$4:$E$615),-('Gastos Gerais'!$C$4:$C$615)))</f>
        <v>0</v>
      </c>
      <c r="U20" s="73">
        <f>IF($B20="",0,SUMPRODUCT(-('Gastos Gerais'!$F$4:$F$615='Gastos das Atividades'!$B20),-('Gastos das Atividades'!U$3&gt;='Gastos Gerais'!$D$4:$D$615),-('Gastos das Atividades'!U$3&lt;='Gastos Gerais'!$E$4:$E$615),-('Gastos Gerais'!$C$4:$C$615)))</f>
        <v>0</v>
      </c>
      <c r="V20" s="73">
        <f>IF($B20="",0,SUMPRODUCT(-('Gastos Gerais'!$F$4:$F$615='Gastos das Atividades'!$B20),-('Gastos das Atividades'!V$3&gt;='Gastos Gerais'!$D$4:$D$615),-('Gastos das Atividades'!V$3&lt;='Gastos Gerais'!$E$4:$E$615),-('Gastos Gerais'!$C$4:$C$615)))</f>
        <v>0</v>
      </c>
      <c r="W20" s="73">
        <f>IF($B20="",0,SUMPRODUCT(-('Gastos Gerais'!$F$4:$F$615='Gastos das Atividades'!$B20),-('Gastos das Atividades'!W$3&gt;='Gastos Gerais'!$D$4:$D$615),-('Gastos das Atividades'!W$3&lt;='Gastos Gerais'!$E$4:$E$615),-('Gastos Gerais'!$C$4:$C$615)))</f>
        <v>0</v>
      </c>
      <c r="X20" s="73">
        <f>IF($B20="",0,SUMPRODUCT(-('Gastos Gerais'!$F$4:$F$615='Gastos das Atividades'!$B20),-('Gastos das Atividades'!X$3&gt;='Gastos Gerais'!$D$4:$D$615),-('Gastos das Atividades'!X$3&lt;='Gastos Gerais'!$E$4:$E$615),-('Gastos Gerais'!$C$4:$C$615)))</f>
        <v>0</v>
      </c>
      <c r="Y20" s="73">
        <f>IF($B20="",0,SUMPRODUCT(-('Gastos Gerais'!$F$4:$F$615='Gastos das Atividades'!$B20),-('Gastos das Atividades'!Y$3&gt;='Gastos Gerais'!$D$4:$D$615),-('Gastos das Atividades'!Y$3&lt;='Gastos Gerais'!$E$4:$E$615),-('Gastos Gerais'!$C$4:$C$615)))</f>
        <v>0</v>
      </c>
      <c r="Z20" s="73">
        <f>IF($B20="",0,SUMPRODUCT(-('Gastos Gerais'!$F$4:$F$615='Gastos das Atividades'!$B20),-('Gastos das Atividades'!Z$3&gt;='Gastos Gerais'!$D$4:$D$615),-('Gastos das Atividades'!Z$3&lt;='Gastos Gerais'!$E$4:$E$615),-('Gastos Gerais'!$C$4:$C$615)))</f>
        <v>0</v>
      </c>
      <c r="AA20" s="73">
        <f>IF($B20="",0,SUMPRODUCT(-('Gastos Gerais'!$F$4:$F$615='Gastos das Atividades'!$B20),-('Gastos das Atividades'!AA$3&gt;='Gastos Gerais'!$D$4:$D$615),-('Gastos das Atividades'!AA$3&lt;='Gastos Gerais'!$E$4:$E$615),-('Gastos Gerais'!$C$4:$C$615)))</f>
        <v>0</v>
      </c>
      <c r="AB20" s="73">
        <f>IF($B20="",0,SUMPRODUCT(-('Gastos Gerais'!$F$4:$F$615='Gastos das Atividades'!$B20),-('Gastos das Atividades'!AB$3&gt;='Gastos Gerais'!$D$4:$D$615),-('Gastos das Atividades'!AB$3&lt;='Gastos Gerais'!$E$4:$E$615),-('Gastos Gerais'!$C$4:$C$615)))</f>
        <v>0</v>
      </c>
      <c r="AC20" s="73">
        <f>IF($B20="",0,SUMPRODUCT(-('Gastos Gerais'!$F$4:$F$615='Gastos das Atividades'!$B20),-('Gastos das Atividades'!AC$3&gt;='Gastos Gerais'!$D$4:$D$615),-('Gastos das Atividades'!AC$3&lt;='Gastos Gerais'!$E$4:$E$615),-('Gastos Gerais'!$C$4:$C$615)))</f>
        <v>0</v>
      </c>
      <c r="AD20" s="73">
        <f>IF($B20="",0,SUMPRODUCT(-('Gastos Gerais'!$F$4:$F$615='Gastos das Atividades'!$B20),-('Gastos das Atividades'!AD$3&gt;='Gastos Gerais'!$D$4:$D$615),-('Gastos das Atividades'!AD$3&lt;='Gastos Gerais'!$E$4:$E$615),-('Gastos Gerais'!$C$4:$C$615)))</f>
        <v>0</v>
      </c>
      <c r="AE20" s="73">
        <f>IF($B20="",0,SUMPRODUCT(-('Gastos Gerais'!$F$4:$F$615='Gastos das Atividades'!$B20),-('Gastos das Atividades'!AE$3&gt;='Gastos Gerais'!$D$4:$D$615),-('Gastos das Atividades'!AE$3&lt;='Gastos Gerais'!$E$4:$E$615),-('Gastos Gerais'!$C$4:$C$615)))</f>
        <v>0</v>
      </c>
      <c r="AF20" s="73">
        <f>IF($B20="",0,SUMPRODUCT(-('Gastos Gerais'!$F$4:$F$615='Gastos das Atividades'!$B20),-('Gastos das Atividades'!AF$3&gt;='Gastos Gerais'!$D$4:$D$615),-('Gastos das Atividades'!AF$3&lt;='Gastos Gerais'!$E$4:$E$615),-('Gastos Gerais'!$C$4:$C$615)))</f>
        <v>0</v>
      </c>
      <c r="AG20" s="73">
        <f>IF($B20="",0,SUMPRODUCT(-('Gastos Gerais'!$F$4:$F$615='Gastos das Atividades'!$B20),-('Gastos das Atividades'!AG$3&gt;='Gastos Gerais'!$D$4:$D$615),-('Gastos das Atividades'!AG$3&lt;='Gastos Gerais'!$E$4:$E$615),-('Gastos Gerais'!$C$4:$C$615)))</f>
        <v>0</v>
      </c>
      <c r="AH20" s="73">
        <f>IF($B20="",0,SUMPRODUCT(-('Gastos Gerais'!$F$4:$F$615='Gastos das Atividades'!$B20),-('Gastos das Atividades'!AH$3&gt;='Gastos Gerais'!$D$4:$D$615),-('Gastos das Atividades'!AH$3&lt;='Gastos Gerais'!$E$4:$E$615),-('Gastos Gerais'!$C$4:$C$615)))</f>
        <v>0</v>
      </c>
      <c r="AI20" s="73">
        <f>IF($B20="",0,SUMPRODUCT(-('Gastos Gerais'!$F$4:$F$615='Gastos das Atividades'!$B20),-('Gastos das Atividades'!AI$3&gt;='Gastos Gerais'!$D$4:$D$615),-('Gastos das Atividades'!AI$3&lt;='Gastos Gerais'!$E$4:$E$615),-('Gastos Gerais'!$C$4:$C$615)))</f>
        <v>0</v>
      </c>
      <c r="AJ20" s="73">
        <f>IF($B20="",0,SUMPRODUCT(-('Gastos Gerais'!$F$4:$F$615='Gastos das Atividades'!$B20),-('Gastos das Atividades'!AJ$3&gt;='Gastos Gerais'!$D$4:$D$615),-('Gastos das Atividades'!AJ$3&lt;='Gastos Gerais'!$E$4:$E$615),-('Gastos Gerais'!$C$4:$C$615)))</f>
        <v>0</v>
      </c>
      <c r="AK20" s="73">
        <f>IF($B20="",0,SUMPRODUCT(-('Gastos Gerais'!$F$4:$F$615='Gastos das Atividades'!$B20),-('Gastos das Atividades'!AK$3&gt;='Gastos Gerais'!$D$4:$D$615),-('Gastos das Atividades'!AK$3&lt;='Gastos Gerais'!$E$4:$E$615),-('Gastos Gerais'!$C$4:$C$615)))</f>
        <v>0</v>
      </c>
      <c r="AL20" s="73">
        <f>IF($B20="",0,SUMPRODUCT(-('Gastos Gerais'!$F$4:$F$615='Gastos das Atividades'!$B20),-('Gastos das Atividades'!AL$3&gt;='Gastos Gerais'!$D$4:$D$615),-('Gastos das Atividades'!AL$3&lt;='Gastos Gerais'!$E$4:$E$615),-('Gastos Gerais'!$C$4:$C$615)))</f>
        <v>0</v>
      </c>
      <c r="AM20" s="73">
        <f>IF($B20="",0,SUMPRODUCT(-('Gastos Gerais'!$F$4:$F$615='Gastos das Atividades'!$B20),-('Gastos das Atividades'!AM$3&gt;='Gastos Gerais'!$D$4:$D$615),-('Gastos das Atividades'!AM$3&lt;='Gastos Gerais'!$E$4:$E$615),-('Gastos Gerais'!$C$4:$C$615)))</f>
        <v>0</v>
      </c>
      <c r="AN20" s="73">
        <f>IF($B20="",0,SUMPRODUCT(-('Gastos Gerais'!$F$4:$F$615='Gastos das Atividades'!$B20),-('Gastos das Atividades'!AN$3&gt;='Gastos Gerais'!$D$4:$D$615),-('Gastos das Atividades'!AN$3&lt;='Gastos Gerais'!$E$4:$E$615),-('Gastos Gerais'!$C$4:$C$615)))</f>
        <v>0</v>
      </c>
      <c r="AO20" s="73">
        <f>IF($B20="",0,SUMPRODUCT(-('Gastos Gerais'!$F$4:$F$615='Gastos das Atividades'!$B20),-('Gastos das Atividades'!AO$3&gt;='Gastos Gerais'!$D$4:$D$615),-('Gastos das Atividades'!AO$3&lt;='Gastos Gerais'!$E$4:$E$615),-('Gastos Gerais'!$C$4:$C$615)))</f>
        <v>0</v>
      </c>
      <c r="AP20" s="73">
        <f>IF($B20="",0,SUMPRODUCT(-('Gastos Gerais'!$F$4:$F$615='Gastos das Atividades'!$B20),-('Gastos das Atividades'!AP$3&gt;='Gastos Gerais'!$D$4:$D$615),-('Gastos das Atividades'!AP$3&lt;='Gastos Gerais'!$E$4:$E$615),-('Gastos Gerais'!$C$4:$C$615)))</f>
        <v>0</v>
      </c>
      <c r="AQ20" s="73">
        <f>IF($B20="",0,SUMPRODUCT(-('Gastos Gerais'!$F$4:$F$615='Gastos das Atividades'!$B20),-('Gastos das Atividades'!AQ$3&gt;='Gastos Gerais'!$D$4:$D$615),-('Gastos das Atividades'!AQ$3&lt;='Gastos Gerais'!$E$4:$E$615),-('Gastos Gerais'!$C$4:$C$615)))</f>
        <v>0</v>
      </c>
      <c r="AR20" s="73">
        <f>IF($B20="",0,SUMPRODUCT(-('Gastos Gerais'!$F$4:$F$615='Gastos das Atividades'!$B20),-('Gastos das Atividades'!AR$3&gt;='Gastos Gerais'!$D$4:$D$615),-('Gastos das Atividades'!AR$3&lt;='Gastos Gerais'!$E$4:$E$615),-('Gastos Gerais'!$C$4:$C$615)))</f>
        <v>0</v>
      </c>
      <c r="AS20" s="73">
        <f>IF($B20="",0,SUMPRODUCT(-('Gastos Gerais'!$F$4:$F$615='Gastos das Atividades'!$B20),-('Gastos das Atividades'!AS$3&gt;='Gastos Gerais'!$D$4:$D$615),-('Gastos das Atividades'!AS$3&lt;='Gastos Gerais'!$E$4:$E$615),-('Gastos Gerais'!$C$4:$C$615)))</f>
        <v>0</v>
      </c>
      <c r="AT20" s="73">
        <f>IF($B20="",0,SUMPRODUCT(-('Gastos Gerais'!$F$4:$F$615='Gastos das Atividades'!$B20),-('Gastos das Atividades'!AT$3&gt;='Gastos Gerais'!$D$4:$D$615),-('Gastos das Atividades'!AT$3&lt;='Gastos Gerais'!$E$4:$E$615),-('Gastos Gerais'!$C$4:$C$615)))</f>
        <v>0</v>
      </c>
      <c r="AU20" s="73">
        <f>IF($B20="",0,SUMPRODUCT(-('Gastos Gerais'!$F$4:$F$615='Gastos das Atividades'!$B20),-('Gastos das Atividades'!AU$3&gt;='Gastos Gerais'!$D$4:$D$615),-('Gastos das Atividades'!AU$3&lt;='Gastos Gerais'!$E$4:$E$615),-('Gastos Gerais'!$C$4:$C$615)))</f>
        <v>0</v>
      </c>
      <c r="AV20" s="73">
        <f>IF($B20="",0,SUMPRODUCT(-('Gastos Gerais'!$F$4:$F$615='Gastos das Atividades'!$B20),-('Gastos das Atividades'!AV$3&gt;='Gastos Gerais'!$D$4:$D$615),-('Gastos das Atividades'!AV$3&lt;='Gastos Gerais'!$E$4:$E$615),-('Gastos Gerais'!$C$4:$C$615)))</f>
        <v>0</v>
      </c>
      <c r="AW20" s="73">
        <f>IF($B20="",0,SUMPRODUCT(-('Gastos Gerais'!$F$4:$F$615='Gastos das Atividades'!$B20),-('Gastos das Atividades'!AW$3&gt;='Gastos Gerais'!$D$4:$D$615),-('Gastos das Atividades'!AW$3&lt;='Gastos Gerais'!$E$4:$E$615),-('Gastos Gerais'!$C$4:$C$615)))</f>
        <v>0</v>
      </c>
      <c r="AX20" s="73">
        <f>IF($B20="",0,SUMPRODUCT(-('Gastos Gerais'!$F$4:$F$615='Gastos das Atividades'!$B20),-('Gastos das Atividades'!AX$3&gt;='Gastos Gerais'!$D$4:$D$615),-('Gastos das Atividades'!AX$3&lt;='Gastos Gerais'!$E$4:$E$615),-('Gastos Gerais'!$C$4:$C$615)))</f>
        <v>0</v>
      </c>
      <c r="AY20" s="73">
        <f>IF($B20="",0,SUMPRODUCT(-('Gastos Gerais'!$F$4:$F$615='Gastos das Atividades'!$B20),-('Gastos das Atividades'!AY$3&gt;='Gastos Gerais'!$D$4:$D$615),-('Gastos das Atividades'!AY$3&lt;='Gastos Gerais'!$E$4:$E$615),-('Gastos Gerais'!$C$4:$C$615)))</f>
        <v>0</v>
      </c>
      <c r="AZ20" s="73">
        <f>IF($B20="",0,SUMPRODUCT(-('Gastos Gerais'!$F$4:$F$615='Gastos das Atividades'!$B20),-('Gastos das Atividades'!AZ$3&gt;='Gastos Gerais'!$D$4:$D$615),-('Gastos das Atividades'!AZ$3&lt;='Gastos Gerais'!$E$4:$E$615),-('Gastos Gerais'!$C$4:$C$615)))</f>
        <v>0</v>
      </c>
      <c r="BA20" s="73">
        <f>IF($B20="",0,SUMPRODUCT(-('Gastos Gerais'!$F$4:$F$615='Gastos das Atividades'!$B20),-('Gastos das Atividades'!BA$3&gt;='Gastos Gerais'!$D$4:$D$615),-('Gastos das Atividades'!BA$3&lt;='Gastos Gerais'!$E$4:$E$615),-('Gastos Gerais'!$C$4:$C$615)))</f>
        <v>0</v>
      </c>
      <c r="BB20" s="73">
        <f>IF($B20="",0,SUMPRODUCT(-('Gastos Gerais'!$F$4:$F$615='Gastos das Atividades'!$B20),-('Gastos das Atividades'!BB$3&gt;='Gastos Gerais'!$D$4:$D$615),-('Gastos das Atividades'!BB$3&lt;='Gastos Gerais'!$E$4:$E$615),-('Gastos Gerais'!$C$4:$C$615)))</f>
        <v>0</v>
      </c>
      <c r="BC20" s="73">
        <f>IF($B20="",0,SUMPRODUCT(-('Gastos Gerais'!$F$4:$F$615='Gastos das Atividades'!$B20),-('Gastos das Atividades'!BC$3&gt;='Gastos Gerais'!$D$4:$D$615),-('Gastos das Atividades'!BC$3&lt;='Gastos Gerais'!$E$4:$E$615),-('Gastos Gerais'!$C$4:$C$615)))</f>
        <v>0</v>
      </c>
      <c r="BD20" s="73">
        <f>IF($B20="",0,SUMPRODUCT(-('Gastos Gerais'!$F$4:$F$615='Gastos das Atividades'!$B20),-('Gastos das Atividades'!BD$3&gt;='Gastos Gerais'!$D$4:$D$615),-('Gastos das Atividades'!BD$3&lt;='Gastos Gerais'!$E$4:$E$615),-('Gastos Gerais'!$C$4:$C$615)))</f>
        <v>0</v>
      </c>
      <c r="BE20" s="73">
        <f>IF($B20="",0,SUMPRODUCT(-('Gastos Gerais'!$F$4:$F$615='Gastos das Atividades'!$B20),-('Gastos das Atividades'!BE$3&gt;='Gastos Gerais'!$D$4:$D$615),-('Gastos das Atividades'!BE$3&lt;='Gastos Gerais'!$E$4:$E$615),-('Gastos Gerais'!$C$4:$C$615)))</f>
        <v>0</v>
      </c>
      <c r="BF20" s="73">
        <f>IF($B20="",0,SUMPRODUCT(-('Gastos Gerais'!$F$4:$F$615='Gastos das Atividades'!$B20),-('Gastos das Atividades'!BF$3&gt;='Gastos Gerais'!$D$4:$D$615),-('Gastos das Atividades'!BF$3&lt;='Gastos Gerais'!$E$4:$E$615),-('Gastos Gerais'!$C$4:$C$615)))</f>
        <v>0</v>
      </c>
      <c r="BG20" s="73">
        <f>IF($B20="",0,SUMPRODUCT(-('Gastos Gerais'!$F$4:$F$615='Gastos das Atividades'!$B20),-('Gastos das Atividades'!BG$3&gt;='Gastos Gerais'!$D$4:$D$615),-('Gastos das Atividades'!BG$3&lt;='Gastos Gerais'!$E$4:$E$615),-('Gastos Gerais'!$C$4:$C$615)))</f>
        <v>0</v>
      </c>
      <c r="BH20" s="73">
        <f>IF($B20="",0,SUMPRODUCT(-('Gastos Gerais'!$F$4:$F$615='Gastos das Atividades'!$B20),-('Gastos das Atividades'!BH$3&gt;='Gastos Gerais'!$D$4:$D$615),-('Gastos das Atividades'!BH$3&lt;='Gastos Gerais'!$E$4:$E$615),-('Gastos Gerais'!$C$4:$C$615)))</f>
        <v>0</v>
      </c>
      <c r="BI20" s="73">
        <f>IF($B20="",0,SUMPRODUCT(-('Gastos Gerais'!$F$4:$F$615='Gastos das Atividades'!$B20),-('Gastos das Atividades'!BI$3&gt;='Gastos Gerais'!$D$4:$D$615),-('Gastos das Atividades'!BI$3&lt;='Gastos Gerais'!$E$4:$E$615),-('Gastos Gerais'!$C$4:$C$615)))</f>
        <v>0</v>
      </c>
      <c r="BJ20" s="73">
        <f>IF($B20="",0,SUMPRODUCT(-('Gastos Gerais'!$F$4:$F$615='Gastos das Atividades'!$B20),-('Gastos das Atividades'!BJ$3&gt;='Gastos Gerais'!$D$4:$D$615),-('Gastos das Atividades'!BJ$3&lt;='Gastos Gerais'!$E$4:$E$615),-('Gastos Gerais'!$C$4:$C$615)))</f>
        <v>0</v>
      </c>
      <c r="BK20" s="73">
        <f>IF($B20="",0,SUMPRODUCT(-('Gastos Gerais'!$F$4:$F$615='Gastos das Atividades'!$B20),-('Gastos das Atividades'!BK$3&gt;='Gastos Gerais'!$D$4:$D$615),-('Gastos das Atividades'!BK$3&lt;='Gastos Gerais'!$E$4:$E$615),-('Gastos Gerais'!$C$4:$C$615)))</f>
        <v>0</v>
      </c>
      <c r="BL20" s="73">
        <f>IF($B20="",0,SUMPRODUCT(-('Gastos Gerais'!$F$4:$F$615='Gastos das Atividades'!$B20),-('Gastos das Atividades'!BL$3&gt;='Gastos Gerais'!$D$4:$D$615),-('Gastos das Atividades'!BL$3&lt;='Gastos Gerais'!$E$4:$E$615),-('Gastos Gerais'!$C$4:$C$615)))</f>
        <v>0</v>
      </c>
      <c r="BM20" s="73">
        <f>IF($B20="",0,SUMPRODUCT(-('Gastos Gerais'!$F$4:$F$615='Gastos das Atividades'!$B20),-('Gastos das Atividades'!BM$3&gt;='Gastos Gerais'!$D$4:$D$615),-('Gastos das Atividades'!BM$3&lt;='Gastos Gerais'!$E$4:$E$615),-('Gastos Gerais'!$C$4:$C$615)))</f>
        <v>0</v>
      </c>
      <c r="BN20" s="73">
        <f>IF($B20="",0,SUMPRODUCT(-('Gastos Gerais'!$F$4:$F$615='Gastos das Atividades'!$B20),-('Gastos das Atividades'!BN$3&gt;='Gastos Gerais'!$D$4:$D$615),-('Gastos das Atividades'!BN$3&lt;='Gastos Gerais'!$E$4:$E$615),-('Gastos Gerais'!$C$4:$C$615)))</f>
        <v>0</v>
      </c>
      <c r="BO20" s="73">
        <f>IF($B20="",0,SUMPRODUCT(-('Gastos Gerais'!$F$4:$F$615='Gastos das Atividades'!$B20),-('Gastos das Atividades'!BO$3&gt;='Gastos Gerais'!$D$4:$D$615),-('Gastos das Atividades'!BO$3&lt;='Gastos Gerais'!$E$4:$E$615),-('Gastos Gerais'!$C$4:$C$615)))</f>
        <v>0</v>
      </c>
      <c r="BP20" s="73">
        <f>IF($B20="",0,SUMPRODUCT(-('Gastos Gerais'!$F$4:$F$615='Gastos das Atividades'!$B20),-('Gastos das Atividades'!BP$3&gt;='Gastos Gerais'!$D$4:$D$615),-('Gastos das Atividades'!BP$3&lt;='Gastos Gerais'!$E$4:$E$615),-('Gastos Gerais'!$C$4:$C$615)))</f>
        <v>0</v>
      </c>
      <c r="BQ20" s="73">
        <f>IF($B20="",0,SUMPRODUCT(-('Gastos Gerais'!$F$4:$F$615='Gastos das Atividades'!$B20),-('Gastos das Atividades'!BQ$3&gt;='Gastos Gerais'!$D$4:$D$615),-('Gastos das Atividades'!BQ$3&lt;='Gastos Gerais'!$E$4:$E$615),-('Gastos Gerais'!$C$4:$C$615)))</f>
        <v>0</v>
      </c>
      <c r="BR20" s="73">
        <f>IF($B20="",0,SUMPRODUCT(-('Gastos Gerais'!$F$4:$F$615='Gastos das Atividades'!$B20),-('Gastos das Atividades'!BR$3&gt;='Gastos Gerais'!$D$4:$D$615),-('Gastos das Atividades'!BR$3&lt;='Gastos Gerais'!$E$4:$E$615),-('Gastos Gerais'!$C$4:$C$615)))</f>
        <v>0</v>
      </c>
      <c r="BS20" s="73">
        <f>IF($B20="",0,SUMPRODUCT(-('Gastos Gerais'!$F$4:$F$615='Gastos das Atividades'!$B20),-('Gastos das Atividades'!BS$3&gt;='Gastos Gerais'!$D$4:$D$615),-('Gastos das Atividades'!BS$3&lt;='Gastos Gerais'!$E$4:$E$615),-('Gastos Gerais'!$C$4:$C$615)))</f>
        <v>0</v>
      </c>
      <c r="BT20" s="73">
        <f>IF($B20="",0,SUMPRODUCT(-('Gastos Gerais'!$F$4:$F$615='Gastos das Atividades'!$B20),-('Gastos das Atividades'!BT$3&gt;='Gastos Gerais'!$D$4:$D$615),-('Gastos das Atividades'!BT$3&lt;='Gastos Gerais'!$E$4:$E$615),-('Gastos Gerais'!$C$4:$C$615)))</f>
        <v>0</v>
      </c>
      <c r="BU20" s="73">
        <f>IF($B20="",0,SUMPRODUCT(-('Gastos Gerais'!$F$4:$F$615='Gastos das Atividades'!$B20),-('Gastos das Atividades'!BU$3&gt;='Gastos Gerais'!$D$4:$D$615),-('Gastos das Atividades'!BU$3&lt;='Gastos Gerais'!$E$4:$E$615),-('Gastos Gerais'!$C$4:$C$615)))</f>
        <v>0</v>
      </c>
      <c r="BV20" s="73">
        <f>IF($B20="",0,SUMPRODUCT(-('Gastos Gerais'!$F$4:$F$615='Gastos das Atividades'!$B20),-('Gastos das Atividades'!BV$3&gt;='Gastos Gerais'!$D$4:$D$615),-('Gastos das Atividades'!BV$3&lt;='Gastos Gerais'!$E$4:$E$615),-('Gastos Gerais'!$C$4:$C$615)))</f>
        <v>0</v>
      </c>
      <c r="BW20" s="73">
        <f>IF($B20="",0,SUMPRODUCT(-('Gastos Gerais'!$F$4:$F$615='Gastos das Atividades'!$B20),-('Gastos das Atividades'!BW$3&gt;='Gastos Gerais'!$D$4:$D$615),-('Gastos das Atividades'!BW$3&lt;='Gastos Gerais'!$E$4:$E$615),-('Gastos Gerais'!$C$4:$C$615)))</f>
        <v>0</v>
      </c>
      <c r="BX20" s="73">
        <f>IF($B20="",0,SUMPRODUCT(-('Gastos Gerais'!$F$4:$F$615='Gastos das Atividades'!$B20),-('Gastos das Atividades'!BX$3&gt;='Gastos Gerais'!$D$4:$D$615),-('Gastos das Atividades'!BX$3&lt;='Gastos Gerais'!$E$4:$E$615),-('Gastos Gerais'!$C$4:$C$615)))</f>
        <v>0</v>
      </c>
    </row>
    <row r="21" spans="1:76" hidden="1" x14ac:dyDescent="0.2">
      <c r="A21" s="146">
        <v>18</v>
      </c>
      <c r="B21" s="164"/>
      <c r="C21" s="305">
        <v>0</v>
      </c>
      <c r="D21" s="357">
        <f t="shared" si="10"/>
        <v>0</v>
      </c>
      <c r="E21" s="144">
        <f t="shared" si="11"/>
        <v>0</v>
      </c>
      <c r="F21" s="73">
        <f t="shared" si="2"/>
        <v>0</v>
      </c>
      <c r="G21" s="73">
        <f t="shared" si="2"/>
        <v>0</v>
      </c>
      <c r="H21" s="73">
        <f t="shared" si="2"/>
        <v>0</v>
      </c>
      <c r="I21" s="73">
        <f t="shared" si="2"/>
        <v>0</v>
      </c>
      <c r="J21" s="145">
        <f t="shared" si="3"/>
        <v>0</v>
      </c>
      <c r="K21" s="76">
        <f t="shared" si="4"/>
        <v>0</v>
      </c>
      <c r="L21" s="76">
        <f t="shared" si="5"/>
        <v>0</v>
      </c>
      <c r="M21" s="76">
        <f t="shared" si="6"/>
        <v>0</v>
      </c>
      <c r="N21" s="76">
        <f t="shared" si="7"/>
        <v>0</v>
      </c>
      <c r="O21" s="76">
        <f t="shared" si="8"/>
        <v>0</v>
      </c>
      <c r="P21" s="209">
        <f t="shared" si="9"/>
        <v>0</v>
      </c>
      <c r="Q21" s="73">
        <f>IF($B21="",0,SUMPRODUCT(-('Gastos Gerais'!$F$4:$F$615='Gastos das Atividades'!$B21),-('Gastos das Atividades'!Q$3&gt;='Gastos Gerais'!$D$4:$D$615),-('Gastos das Atividades'!Q$3&lt;='Gastos Gerais'!$E$4:$E$615),-('Gastos Gerais'!$C$4:$C$615)))</f>
        <v>0</v>
      </c>
      <c r="R21" s="73">
        <f>IF($B21="",0,SUMPRODUCT(-('Gastos Gerais'!$F$4:$F$615='Gastos das Atividades'!$B21),-('Gastos das Atividades'!R$3&gt;='Gastos Gerais'!$D$4:$D$615),-('Gastos das Atividades'!R$3&lt;='Gastos Gerais'!$E$4:$E$615),-('Gastos Gerais'!$C$4:$C$615)))</f>
        <v>0</v>
      </c>
      <c r="S21" s="73">
        <f>IF($B21="",0,SUMPRODUCT(-('Gastos Gerais'!$F$4:$F$615='Gastos das Atividades'!$B21),-('Gastos das Atividades'!S$3&gt;='Gastos Gerais'!$D$4:$D$615),-('Gastos das Atividades'!S$3&lt;='Gastos Gerais'!$E$4:$E$615),-('Gastos Gerais'!$C$4:$C$615)))</f>
        <v>0</v>
      </c>
      <c r="T21" s="73">
        <f>IF($B21="",0,SUMPRODUCT(-('Gastos Gerais'!$F$4:$F$615='Gastos das Atividades'!$B21),-('Gastos das Atividades'!T$3&gt;='Gastos Gerais'!$D$4:$D$615),-('Gastos das Atividades'!T$3&lt;='Gastos Gerais'!$E$4:$E$615),-('Gastos Gerais'!$C$4:$C$615)))</f>
        <v>0</v>
      </c>
      <c r="U21" s="73">
        <f>IF($B21="",0,SUMPRODUCT(-('Gastos Gerais'!$F$4:$F$615='Gastos das Atividades'!$B21),-('Gastos das Atividades'!U$3&gt;='Gastos Gerais'!$D$4:$D$615),-('Gastos das Atividades'!U$3&lt;='Gastos Gerais'!$E$4:$E$615),-('Gastos Gerais'!$C$4:$C$615)))</f>
        <v>0</v>
      </c>
      <c r="V21" s="73">
        <f>IF($B21="",0,SUMPRODUCT(-('Gastos Gerais'!$F$4:$F$615='Gastos das Atividades'!$B21),-('Gastos das Atividades'!V$3&gt;='Gastos Gerais'!$D$4:$D$615),-('Gastos das Atividades'!V$3&lt;='Gastos Gerais'!$E$4:$E$615),-('Gastos Gerais'!$C$4:$C$615)))</f>
        <v>0</v>
      </c>
      <c r="W21" s="73">
        <f>IF($B21="",0,SUMPRODUCT(-('Gastos Gerais'!$F$4:$F$615='Gastos das Atividades'!$B21),-('Gastos das Atividades'!W$3&gt;='Gastos Gerais'!$D$4:$D$615),-('Gastos das Atividades'!W$3&lt;='Gastos Gerais'!$E$4:$E$615),-('Gastos Gerais'!$C$4:$C$615)))</f>
        <v>0</v>
      </c>
      <c r="X21" s="73">
        <f>IF($B21="",0,SUMPRODUCT(-('Gastos Gerais'!$F$4:$F$615='Gastos das Atividades'!$B21),-('Gastos das Atividades'!X$3&gt;='Gastos Gerais'!$D$4:$D$615),-('Gastos das Atividades'!X$3&lt;='Gastos Gerais'!$E$4:$E$615),-('Gastos Gerais'!$C$4:$C$615)))</f>
        <v>0</v>
      </c>
      <c r="Y21" s="73">
        <f>IF($B21="",0,SUMPRODUCT(-('Gastos Gerais'!$F$4:$F$615='Gastos das Atividades'!$B21),-('Gastos das Atividades'!Y$3&gt;='Gastos Gerais'!$D$4:$D$615),-('Gastos das Atividades'!Y$3&lt;='Gastos Gerais'!$E$4:$E$615),-('Gastos Gerais'!$C$4:$C$615)))</f>
        <v>0</v>
      </c>
      <c r="Z21" s="73">
        <f>IF($B21="",0,SUMPRODUCT(-('Gastos Gerais'!$F$4:$F$615='Gastos das Atividades'!$B21),-('Gastos das Atividades'!Z$3&gt;='Gastos Gerais'!$D$4:$D$615),-('Gastos das Atividades'!Z$3&lt;='Gastos Gerais'!$E$4:$E$615),-('Gastos Gerais'!$C$4:$C$615)))</f>
        <v>0</v>
      </c>
      <c r="AA21" s="73">
        <f>IF($B21="",0,SUMPRODUCT(-('Gastos Gerais'!$F$4:$F$615='Gastos das Atividades'!$B21),-('Gastos das Atividades'!AA$3&gt;='Gastos Gerais'!$D$4:$D$615),-('Gastos das Atividades'!AA$3&lt;='Gastos Gerais'!$E$4:$E$615),-('Gastos Gerais'!$C$4:$C$615)))</f>
        <v>0</v>
      </c>
      <c r="AB21" s="73">
        <f>IF($B21="",0,SUMPRODUCT(-('Gastos Gerais'!$F$4:$F$615='Gastos das Atividades'!$B21),-('Gastos das Atividades'!AB$3&gt;='Gastos Gerais'!$D$4:$D$615),-('Gastos das Atividades'!AB$3&lt;='Gastos Gerais'!$E$4:$E$615),-('Gastos Gerais'!$C$4:$C$615)))</f>
        <v>0</v>
      </c>
      <c r="AC21" s="73">
        <f>IF($B21="",0,SUMPRODUCT(-('Gastos Gerais'!$F$4:$F$615='Gastos das Atividades'!$B21),-('Gastos das Atividades'!AC$3&gt;='Gastos Gerais'!$D$4:$D$615),-('Gastos das Atividades'!AC$3&lt;='Gastos Gerais'!$E$4:$E$615),-('Gastos Gerais'!$C$4:$C$615)))</f>
        <v>0</v>
      </c>
      <c r="AD21" s="73">
        <f>IF($B21="",0,SUMPRODUCT(-('Gastos Gerais'!$F$4:$F$615='Gastos das Atividades'!$B21),-('Gastos das Atividades'!AD$3&gt;='Gastos Gerais'!$D$4:$D$615),-('Gastos das Atividades'!AD$3&lt;='Gastos Gerais'!$E$4:$E$615),-('Gastos Gerais'!$C$4:$C$615)))</f>
        <v>0</v>
      </c>
      <c r="AE21" s="73">
        <f>IF($B21="",0,SUMPRODUCT(-('Gastos Gerais'!$F$4:$F$615='Gastos das Atividades'!$B21),-('Gastos das Atividades'!AE$3&gt;='Gastos Gerais'!$D$4:$D$615),-('Gastos das Atividades'!AE$3&lt;='Gastos Gerais'!$E$4:$E$615),-('Gastos Gerais'!$C$4:$C$615)))</f>
        <v>0</v>
      </c>
      <c r="AF21" s="73">
        <f>IF($B21="",0,SUMPRODUCT(-('Gastos Gerais'!$F$4:$F$615='Gastos das Atividades'!$B21),-('Gastos das Atividades'!AF$3&gt;='Gastos Gerais'!$D$4:$D$615),-('Gastos das Atividades'!AF$3&lt;='Gastos Gerais'!$E$4:$E$615),-('Gastos Gerais'!$C$4:$C$615)))</f>
        <v>0</v>
      </c>
      <c r="AG21" s="73">
        <f>IF($B21="",0,SUMPRODUCT(-('Gastos Gerais'!$F$4:$F$615='Gastos das Atividades'!$B21),-('Gastos das Atividades'!AG$3&gt;='Gastos Gerais'!$D$4:$D$615),-('Gastos das Atividades'!AG$3&lt;='Gastos Gerais'!$E$4:$E$615),-('Gastos Gerais'!$C$4:$C$615)))</f>
        <v>0</v>
      </c>
      <c r="AH21" s="73">
        <f>IF($B21="",0,SUMPRODUCT(-('Gastos Gerais'!$F$4:$F$615='Gastos das Atividades'!$B21),-('Gastos das Atividades'!AH$3&gt;='Gastos Gerais'!$D$4:$D$615),-('Gastos das Atividades'!AH$3&lt;='Gastos Gerais'!$E$4:$E$615),-('Gastos Gerais'!$C$4:$C$615)))</f>
        <v>0</v>
      </c>
      <c r="AI21" s="73">
        <f>IF($B21="",0,SUMPRODUCT(-('Gastos Gerais'!$F$4:$F$615='Gastos das Atividades'!$B21),-('Gastos das Atividades'!AI$3&gt;='Gastos Gerais'!$D$4:$D$615),-('Gastos das Atividades'!AI$3&lt;='Gastos Gerais'!$E$4:$E$615),-('Gastos Gerais'!$C$4:$C$615)))</f>
        <v>0</v>
      </c>
      <c r="AJ21" s="73">
        <f>IF($B21="",0,SUMPRODUCT(-('Gastos Gerais'!$F$4:$F$615='Gastos das Atividades'!$B21),-('Gastos das Atividades'!AJ$3&gt;='Gastos Gerais'!$D$4:$D$615),-('Gastos das Atividades'!AJ$3&lt;='Gastos Gerais'!$E$4:$E$615),-('Gastos Gerais'!$C$4:$C$615)))</f>
        <v>0</v>
      </c>
      <c r="AK21" s="73">
        <f>IF($B21="",0,SUMPRODUCT(-('Gastos Gerais'!$F$4:$F$615='Gastos das Atividades'!$B21),-('Gastos das Atividades'!AK$3&gt;='Gastos Gerais'!$D$4:$D$615),-('Gastos das Atividades'!AK$3&lt;='Gastos Gerais'!$E$4:$E$615),-('Gastos Gerais'!$C$4:$C$615)))</f>
        <v>0</v>
      </c>
      <c r="AL21" s="73">
        <f>IF($B21="",0,SUMPRODUCT(-('Gastos Gerais'!$F$4:$F$615='Gastos das Atividades'!$B21),-('Gastos das Atividades'!AL$3&gt;='Gastos Gerais'!$D$4:$D$615),-('Gastos das Atividades'!AL$3&lt;='Gastos Gerais'!$E$4:$E$615),-('Gastos Gerais'!$C$4:$C$615)))</f>
        <v>0</v>
      </c>
      <c r="AM21" s="73">
        <f>IF($B21="",0,SUMPRODUCT(-('Gastos Gerais'!$F$4:$F$615='Gastos das Atividades'!$B21),-('Gastos das Atividades'!AM$3&gt;='Gastos Gerais'!$D$4:$D$615),-('Gastos das Atividades'!AM$3&lt;='Gastos Gerais'!$E$4:$E$615),-('Gastos Gerais'!$C$4:$C$615)))</f>
        <v>0</v>
      </c>
      <c r="AN21" s="73">
        <f>IF($B21="",0,SUMPRODUCT(-('Gastos Gerais'!$F$4:$F$615='Gastos das Atividades'!$B21),-('Gastos das Atividades'!AN$3&gt;='Gastos Gerais'!$D$4:$D$615),-('Gastos das Atividades'!AN$3&lt;='Gastos Gerais'!$E$4:$E$615),-('Gastos Gerais'!$C$4:$C$615)))</f>
        <v>0</v>
      </c>
      <c r="AO21" s="73">
        <f>IF($B21="",0,SUMPRODUCT(-('Gastos Gerais'!$F$4:$F$615='Gastos das Atividades'!$B21),-('Gastos das Atividades'!AO$3&gt;='Gastos Gerais'!$D$4:$D$615),-('Gastos das Atividades'!AO$3&lt;='Gastos Gerais'!$E$4:$E$615),-('Gastos Gerais'!$C$4:$C$615)))</f>
        <v>0</v>
      </c>
      <c r="AP21" s="73">
        <f>IF($B21="",0,SUMPRODUCT(-('Gastos Gerais'!$F$4:$F$615='Gastos das Atividades'!$B21),-('Gastos das Atividades'!AP$3&gt;='Gastos Gerais'!$D$4:$D$615),-('Gastos das Atividades'!AP$3&lt;='Gastos Gerais'!$E$4:$E$615),-('Gastos Gerais'!$C$4:$C$615)))</f>
        <v>0</v>
      </c>
      <c r="AQ21" s="73">
        <f>IF($B21="",0,SUMPRODUCT(-('Gastos Gerais'!$F$4:$F$615='Gastos das Atividades'!$B21),-('Gastos das Atividades'!AQ$3&gt;='Gastos Gerais'!$D$4:$D$615),-('Gastos das Atividades'!AQ$3&lt;='Gastos Gerais'!$E$4:$E$615),-('Gastos Gerais'!$C$4:$C$615)))</f>
        <v>0</v>
      </c>
      <c r="AR21" s="73">
        <f>IF($B21="",0,SUMPRODUCT(-('Gastos Gerais'!$F$4:$F$615='Gastos das Atividades'!$B21),-('Gastos das Atividades'!AR$3&gt;='Gastos Gerais'!$D$4:$D$615),-('Gastos das Atividades'!AR$3&lt;='Gastos Gerais'!$E$4:$E$615),-('Gastos Gerais'!$C$4:$C$615)))</f>
        <v>0</v>
      </c>
      <c r="AS21" s="73">
        <f>IF($B21="",0,SUMPRODUCT(-('Gastos Gerais'!$F$4:$F$615='Gastos das Atividades'!$B21),-('Gastos das Atividades'!AS$3&gt;='Gastos Gerais'!$D$4:$D$615),-('Gastos das Atividades'!AS$3&lt;='Gastos Gerais'!$E$4:$E$615),-('Gastos Gerais'!$C$4:$C$615)))</f>
        <v>0</v>
      </c>
      <c r="AT21" s="73">
        <f>IF($B21="",0,SUMPRODUCT(-('Gastos Gerais'!$F$4:$F$615='Gastos das Atividades'!$B21),-('Gastos das Atividades'!AT$3&gt;='Gastos Gerais'!$D$4:$D$615),-('Gastos das Atividades'!AT$3&lt;='Gastos Gerais'!$E$4:$E$615),-('Gastos Gerais'!$C$4:$C$615)))</f>
        <v>0</v>
      </c>
      <c r="AU21" s="73">
        <f>IF($B21="",0,SUMPRODUCT(-('Gastos Gerais'!$F$4:$F$615='Gastos das Atividades'!$B21),-('Gastos das Atividades'!AU$3&gt;='Gastos Gerais'!$D$4:$D$615),-('Gastos das Atividades'!AU$3&lt;='Gastos Gerais'!$E$4:$E$615),-('Gastos Gerais'!$C$4:$C$615)))</f>
        <v>0</v>
      </c>
      <c r="AV21" s="73">
        <f>IF($B21="",0,SUMPRODUCT(-('Gastos Gerais'!$F$4:$F$615='Gastos das Atividades'!$B21),-('Gastos das Atividades'!AV$3&gt;='Gastos Gerais'!$D$4:$D$615),-('Gastos das Atividades'!AV$3&lt;='Gastos Gerais'!$E$4:$E$615),-('Gastos Gerais'!$C$4:$C$615)))</f>
        <v>0</v>
      </c>
      <c r="AW21" s="73">
        <f>IF($B21="",0,SUMPRODUCT(-('Gastos Gerais'!$F$4:$F$615='Gastos das Atividades'!$B21),-('Gastos das Atividades'!AW$3&gt;='Gastos Gerais'!$D$4:$D$615),-('Gastos das Atividades'!AW$3&lt;='Gastos Gerais'!$E$4:$E$615),-('Gastos Gerais'!$C$4:$C$615)))</f>
        <v>0</v>
      </c>
      <c r="AX21" s="73">
        <f>IF($B21="",0,SUMPRODUCT(-('Gastos Gerais'!$F$4:$F$615='Gastos das Atividades'!$B21),-('Gastos das Atividades'!AX$3&gt;='Gastos Gerais'!$D$4:$D$615),-('Gastos das Atividades'!AX$3&lt;='Gastos Gerais'!$E$4:$E$615),-('Gastos Gerais'!$C$4:$C$615)))</f>
        <v>0</v>
      </c>
      <c r="AY21" s="73">
        <f>IF($B21="",0,SUMPRODUCT(-('Gastos Gerais'!$F$4:$F$615='Gastos das Atividades'!$B21),-('Gastos das Atividades'!AY$3&gt;='Gastos Gerais'!$D$4:$D$615),-('Gastos das Atividades'!AY$3&lt;='Gastos Gerais'!$E$4:$E$615),-('Gastos Gerais'!$C$4:$C$615)))</f>
        <v>0</v>
      </c>
      <c r="AZ21" s="73">
        <f>IF($B21="",0,SUMPRODUCT(-('Gastos Gerais'!$F$4:$F$615='Gastos das Atividades'!$B21),-('Gastos das Atividades'!AZ$3&gt;='Gastos Gerais'!$D$4:$D$615),-('Gastos das Atividades'!AZ$3&lt;='Gastos Gerais'!$E$4:$E$615),-('Gastos Gerais'!$C$4:$C$615)))</f>
        <v>0</v>
      </c>
      <c r="BA21" s="73">
        <f>IF($B21="",0,SUMPRODUCT(-('Gastos Gerais'!$F$4:$F$615='Gastos das Atividades'!$B21),-('Gastos das Atividades'!BA$3&gt;='Gastos Gerais'!$D$4:$D$615),-('Gastos das Atividades'!BA$3&lt;='Gastos Gerais'!$E$4:$E$615),-('Gastos Gerais'!$C$4:$C$615)))</f>
        <v>0</v>
      </c>
      <c r="BB21" s="73">
        <f>IF($B21="",0,SUMPRODUCT(-('Gastos Gerais'!$F$4:$F$615='Gastos das Atividades'!$B21),-('Gastos das Atividades'!BB$3&gt;='Gastos Gerais'!$D$4:$D$615),-('Gastos das Atividades'!BB$3&lt;='Gastos Gerais'!$E$4:$E$615),-('Gastos Gerais'!$C$4:$C$615)))</f>
        <v>0</v>
      </c>
      <c r="BC21" s="73">
        <f>IF($B21="",0,SUMPRODUCT(-('Gastos Gerais'!$F$4:$F$615='Gastos das Atividades'!$B21),-('Gastos das Atividades'!BC$3&gt;='Gastos Gerais'!$D$4:$D$615),-('Gastos das Atividades'!BC$3&lt;='Gastos Gerais'!$E$4:$E$615),-('Gastos Gerais'!$C$4:$C$615)))</f>
        <v>0</v>
      </c>
      <c r="BD21" s="73">
        <f>IF($B21="",0,SUMPRODUCT(-('Gastos Gerais'!$F$4:$F$615='Gastos das Atividades'!$B21),-('Gastos das Atividades'!BD$3&gt;='Gastos Gerais'!$D$4:$D$615),-('Gastos das Atividades'!BD$3&lt;='Gastos Gerais'!$E$4:$E$615),-('Gastos Gerais'!$C$4:$C$615)))</f>
        <v>0</v>
      </c>
      <c r="BE21" s="73">
        <f>IF($B21="",0,SUMPRODUCT(-('Gastos Gerais'!$F$4:$F$615='Gastos das Atividades'!$B21),-('Gastos das Atividades'!BE$3&gt;='Gastos Gerais'!$D$4:$D$615),-('Gastos das Atividades'!BE$3&lt;='Gastos Gerais'!$E$4:$E$615),-('Gastos Gerais'!$C$4:$C$615)))</f>
        <v>0</v>
      </c>
      <c r="BF21" s="73">
        <f>IF($B21="",0,SUMPRODUCT(-('Gastos Gerais'!$F$4:$F$615='Gastos das Atividades'!$B21),-('Gastos das Atividades'!BF$3&gt;='Gastos Gerais'!$D$4:$D$615),-('Gastos das Atividades'!BF$3&lt;='Gastos Gerais'!$E$4:$E$615),-('Gastos Gerais'!$C$4:$C$615)))</f>
        <v>0</v>
      </c>
      <c r="BG21" s="73">
        <f>IF($B21="",0,SUMPRODUCT(-('Gastos Gerais'!$F$4:$F$615='Gastos das Atividades'!$B21),-('Gastos das Atividades'!BG$3&gt;='Gastos Gerais'!$D$4:$D$615),-('Gastos das Atividades'!BG$3&lt;='Gastos Gerais'!$E$4:$E$615),-('Gastos Gerais'!$C$4:$C$615)))</f>
        <v>0</v>
      </c>
      <c r="BH21" s="73">
        <f>IF($B21="",0,SUMPRODUCT(-('Gastos Gerais'!$F$4:$F$615='Gastos das Atividades'!$B21),-('Gastos das Atividades'!BH$3&gt;='Gastos Gerais'!$D$4:$D$615),-('Gastos das Atividades'!BH$3&lt;='Gastos Gerais'!$E$4:$E$615),-('Gastos Gerais'!$C$4:$C$615)))</f>
        <v>0</v>
      </c>
      <c r="BI21" s="73">
        <f>IF($B21="",0,SUMPRODUCT(-('Gastos Gerais'!$F$4:$F$615='Gastos das Atividades'!$B21),-('Gastos das Atividades'!BI$3&gt;='Gastos Gerais'!$D$4:$D$615),-('Gastos das Atividades'!BI$3&lt;='Gastos Gerais'!$E$4:$E$615),-('Gastos Gerais'!$C$4:$C$615)))</f>
        <v>0</v>
      </c>
      <c r="BJ21" s="73">
        <f>IF($B21="",0,SUMPRODUCT(-('Gastos Gerais'!$F$4:$F$615='Gastos das Atividades'!$B21),-('Gastos das Atividades'!BJ$3&gt;='Gastos Gerais'!$D$4:$D$615),-('Gastos das Atividades'!BJ$3&lt;='Gastos Gerais'!$E$4:$E$615),-('Gastos Gerais'!$C$4:$C$615)))</f>
        <v>0</v>
      </c>
      <c r="BK21" s="73">
        <f>IF($B21="",0,SUMPRODUCT(-('Gastos Gerais'!$F$4:$F$615='Gastos das Atividades'!$B21),-('Gastos das Atividades'!BK$3&gt;='Gastos Gerais'!$D$4:$D$615),-('Gastos das Atividades'!BK$3&lt;='Gastos Gerais'!$E$4:$E$615),-('Gastos Gerais'!$C$4:$C$615)))</f>
        <v>0</v>
      </c>
      <c r="BL21" s="73">
        <f>IF($B21="",0,SUMPRODUCT(-('Gastos Gerais'!$F$4:$F$615='Gastos das Atividades'!$B21),-('Gastos das Atividades'!BL$3&gt;='Gastos Gerais'!$D$4:$D$615),-('Gastos das Atividades'!BL$3&lt;='Gastos Gerais'!$E$4:$E$615),-('Gastos Gerais'!$C$4:$C$615)))</f>
        <v>0</v>
      </c>
      <c r="BM21" s="73">
        <f>IF($B21="",0,SUMPRODUCT(-('Gastos Gerais'!$F$4:$F$615='Gastos das Atividades'!$B21),-('Gastos das Atividades'!BM$3&gt;='Gastos Gerais'!$D$4:$D$615),-('Gastos das Atividades'!BM$3&lt;='Gastos Gerais'!$E$4:$E$615),-('Gastos Gerais'!$C$4:$C$615)))</f>
        <v>0</v>
      </c>
      <c r="BN21" s="73">
        <f>IF($B21="",0,SUMPRODUCT(-('Gastos Gerais'!$F$4:$F$615='Gastos das Atividades'!$B21),-('Gastos das Atividades'!BN$3&gt;='Gastos Gerais'!$D$4:$D$615),-('Gastos das Atividades'!BN$3&lt;='Gastos Gerais'!$E$4:$E$615),-('Gastos Gerais'!$C$4:$C$615)))</f>
        <v>0</v>
      </c>
      <c r="BO21" s="73">
        <f>IF($B21="",0,SUMPRODUCT(-('Gastos Gerais'!$F$4:$F$615='Gastos das Atividades'!$B21),-('Gastos das Atividades'!BO$3&gt;='Gastos Gerais'!$D$4:$D$615),-('Gastos das Atividades'!BO$3&lt;='Gastos Gerais'!$E$4:$E$615),-('Gastos Gerais'!$C$4:$C$615)))</f>
        <v>0</v>
      </c>
      <c r="BP21" s="73">
        <f>IF($B21="",0,SUMPRODUCT(-('Gastos Gerais'!$F$4:$F$615='Gastos das Atividades'!$B21),-('Gastos das Atividades'!BP$3&gt;='Gastos Gerais'!$D$4:$D$615),-('Gastos das Atividades'!BP$3&lt;='Gastos Gerais'!$E$4:$E$615),-('Gastos Gerais'!$C$4:$C$615)))</f>
        <v>0</v>
      </c>
      <c r="BQ21" s="73">
        <f>IF($B21="",0,SUMPRODUCT(-('Gastos Gerais'!$F$4:$F$615='Gastos das Atividades'!$B21),-('Gastos das Atividades'!BQ$3&gt;='Gastos Gerais'!$D$4:$D$615),-('Gastos das Atividades'!BQ$3&lt;='Gastos Gerais'!$E$4:$E$615),-('Gastos Gerais'!$C$4:$C$615)))</f>
        <v>0</v>
      </c>
      <c r="BR21" s="73">
        <f>IF($B21="",0,SUMPRODUCT(-('Gastos Gerais'!$F$4:$F$615='Gastos das Atividades'!$B21),-('Gastos das Atividades'!BR$3&gt;='Gastos Gerais'!$D$4:$D$615),-('Gastos das Atividades'!BR$3&lt;='Gastos Gerais'!$E$4:$E$615),-('Gastos Gerais'!$C$4:$C$615)))</f>
        <v>0</v>
      </c>
      <c r="BS21" s="73">
        <f>IF($B21="",0,SUMPRODUCT(-('Gastos Gerais'!$F$4:$F$615='Gastos das Atividades'!$B21),-('Gastos das Atividades'!BS$3&gt;='Gastos Gerais'!$D$4:$D$615),-('Gastos das Atividades'!BS$3&lt;='Gastos Gerais'!$E$4:$E$615),-('Gastos Gerais'!$C$4:$C$615)))</f>
        <v>0</v>
      </c>
      <c r="BT21" s="73">
        <f>IF($B21="",0,SUMPRODUCT(-('Gastos Gerais'!$F$4:$F$615='Gastos das Atividades'!$B21),-('Gastos das Atividades'!BT$3&gt;='Gastos Gerais'!$D$4:$D$615),-('Gastos das Atividades'!BT$3&lt;='Gastos Gerais'!$E$4:$E$615),-('Gastos Gerais'!$C$4:$C$615)))</f>
        <v>0</v>
      </c>
      <c r="BU21" s="73">
        <f>IF($B21="",0,SUMPRODUCT(-('Gastos Gerais'!$F$4:$F$615='Gastos das Atividades'!$B21),-('Gastos das Atividades'!BU$3&gt;='Gastos Gerais'!$D$4:$D$615),-('Gastos das Atividades'!BU$3&lt;='Gastos Gerais'!$E$4:$E$615),-('Gastos Gerais'!$C$4:$C$615)))</f>
        <v>0</v>
      </c>
      <c r="BV21" s="73">
        <f>IF($B21="",0,SUMPRODUCT(-('Gastos Gerais'!$F$4:$F$615='Gastos das Atividades'!$B21),-('Gastos das Atividades'!BV$3&gt;='Gastos Gerais'!$D$4:$D$615),-('Gastos das Atividades'!BV$3&lt;='Gastos Gerais'!$E$4:$E$615),-('Gastos Gerais'!$C$4:$C$615)))</f>
        <v>0</v>
      </c>
      <c r="BW21" s="73">
        <f>IF($B21="",0,SUMPRODUCT(-('Gastos Gerais'!$F$4:$F$615='Gastos das Atividades'!$B21),-('Gastos das Atividades'!BW$3&gt;='Gastos Gerais'!$D$4:$D$615),-('Gastos das Atividades'!BW$3&lt;='Gastos Gerais'!$E$4:$E$615),-('Gastos Gerais'!$C$4:$C$615)))</f>
        <v>0</v>
      </c>
      <c r="BX21" s="73">
        <f>IF($B21="",0,SUMPRODUCT(-('Gastos Gerais'!$F$4:$F$615='Gastos das Atividades'!$B21),-('Gastos das Atividades'!BX$3&gt;='Gastos Gerais'!$D$4:$D$615),-('Gastos das Atividades'!BX$3&lt;='Gastos Gerais'!$E$4:$E$615),-('Gastos Gerais'!$C$4:$C$615)))</f>
        <v>0</v>
      </c>
    </row>
    <row r="22" spans="1:76" hidden="1" x14ac:dyDescent="0.2">
      <c r="A22" s="146">
        <v>19</v>
      </c>
      <c r="B22" s="164"/>
      <c r="C22" s="305">
        <v>0</v>
      </c>
      <c r="D22" s="357">
        <f t="shared" si="10"/>
        <v>0</v>
      </c>
      <c r="E22" s="144">
        <f t="shared" si="11"/>
        <v>0</v>
      </c>
      <c r="F22" s="73">
        <f t="shared" si="2"/>
        <v>0</v>
      </c>
      <c r="G22" s="73">
        <f t="shared" si="2"/>
        <v>0</v>
      </c>
      <c r="H22" s="73">
        <f t="shared" si="2"/>
        <v>0</v>
      </c>
      <c r="I22" s="73">
        <f t="shared" si="2"/>
        <v>0</v>
      </c>
      <c r="J22" s="145">
        <f t="shared" si="3"/>
        <v>0</v>
      </c>
      <c r="K22" s="76">
        <f t="shared" si="4"/>
        <v>0</v>
      </c>
      <c r="L22" s="76">
        <f t="shared" si="5"/>
        <v>0</v>
      </c>
      <c r="M22" s="76">
        <f t="shared" si="6"/>
        <v>0</v>
      </c>
      <c r="N22" s="76">
        <f t="shared" si="7"/>
        <v>0</v>
      </c>
      <c r="O22" s="76">
        <f t="shared" si="8"/>
        <v>0</v>
      </c>
      <c r="P22" s="209">
        <f t="shared" si="9"/>
        <v>0</v>
      </c>
      <c r="Q22" s="73">
        <f>IF($B22="",0,SUMPRODUCT(-('Gastos Gerais'!$F$4:$F$615='Gastos das Atividades'!$B22),-('Gastos das Atividades'!Q$3&gt;='Gastos Gerais'!$D$4:$D$615),-('Gastos das Atividades'!Q$3&lt;='Gastos Gerais'!$E$4:$E$615),-('Gastos Gerais'!$C$4:$C$615)))</f>
        <v>0</v>
      </c>
      <c r="R22" s="73">
        <f>IF($B22="",0,SUMPRODUCT(-('Gastos Gerais'!$F$4:$F$615='Gastos das Atividades'!$B22),-('Gastos das Atividades'!R$3&gt;='Gastos Gerais'!$D$4:$D$615),-('Gastos das Atividades'!R$3&lt;='Gastos Gerais'!$E$4:$E$615),-('Gastos Gerais'!$C$4:$C$615)))</f>
        <v>0</v>
      </c>
      <c r="S22" s="73">
        <f>IF($B22="",0,SUMPRODUCT(-('Gastos Gerais'!$F$4:$F$615='Gastos das Atividades'!$B22),-('Gastos das Atividades'!S$3&gt;='Gastos Gerais'!$D$4:$D$615),-('Gastos das Atividades'!S$3&lt;='Gastos Gerais'!$E$4:$E$615),-('Gastos Gerais'!$C$4:$C$615)))</f>
        <v>0</v>
      </c>
      <c r="T22" s="73">
        <f>IF($B22="",0,SUMPRODUCT(-('Gastos Gerais'!$F$4:$F$615='Gastos das Atividades'!$B22),-('Gastos das Atividades'!T$3&gt;='Gastos Gerais'!$D$4:$D$615),-('Gastos das Atividades'!T$3&lt;='Gastos Gerais'!$E$4:$E$615),-('Gastos Gerais'!$C$4:$C$615)))</f>
        <v>0</v>
      </c>
      <c r="U22" s="73">
        <f>IF($B22="",0,SUMPRODUCT(-('Gastos Gerais'!$F$4:$F$615='Gastos das Atividades'!$B22),-('Gastos das Atividades'!U$3&gt;='Gastos Gerais'!$D$4:$D$615),-('Gastos das Atividades'!U$3&lt;='Gastos Gerais'!$E$4:$E$615),-('Gastos Gerais'!$C$4:$C$615)))</f>
        <v>0</v>
      </c>
      <c r="V22" s="73">
        <f>IF($B22="",0,SUMPRODUCT(-('Gastos Gerais'!$F$4:$F$615='Gastos das Atividades'!$B22),-('Gastos das Atividades'!V$3&gt;='Gastos Gerais'!$D$4:$D$615),-('Gastos das Atividades'!V$3&lt;='Gastos Gerais'!$E$4:$E$615),-('Gastos Gerais'!$C$4:$C$615)))</f>
        <v>0</v>
      </c>
      <c r="W22" s="73">
        <f>IF($B22="",0,SUMPRODUCT(-('Gastos Gerais'!$F$4:$F$615='Gastos das Atividades'!$B22),-('Gastos das Atividades'!W$3&gt;='Gastos Gerais'!$D$4:$D$615),-('Gastos das Atividades'!W$3&lt;='Gastos Gerais'!$E$4:$E$615),-('Gastos Gerais'!$C$4:$C$615)))</f>
        <v>0</v>
      </c>
      <c r="X22" s="73">
        <f>IF($B22="",0,SUMPRODUCT(-('Gastos Gerais'!$F$4:$F$615='Gastos das Atividades'!$B22),-('Gastos das Atividades'!X$3&gt;='Gastos Gerais'!$D$4:$D$615),-('Gastos das Atividades'!X$3&lt;='Gastos Gerais'!$E$4:$E$615),-('Gastos Gerais'!$C$4:$C$615)))</f>
        <v>0</v>
      </c>
      <c r="Y22" s="73">
        <f>IF($B22="",0,SUMPRODUCT(-('Gastos Gerais'!$F$4:$F$615='Gastos das Atividades'!$B22),-('Gastos das Atividades'!Y$3&gt;='Gastos Gerais'!$D$4:$D$615),-('Gastos das Atividades'!Y$3&lt;='Gastos Gerais'!$E$4:$E$615),-('Gastos Gerais'!$C$4:$C$615)))</f>
        <v>0</v>
      </c>
      <c r="Z22" s="73">
        <f>IF($B22="",0,SUMPRODUCT(-('Gastos Gerais'!$F$4:$F$615='Gastos das Atividades'!$B22),-('Gastos das Atividades'!Z$3&gt;='Gastos Gerais'!$D$4:$D$615),-('Gastos das Atividades'!Z$3&lt;='Gastos Gerais'!$E$4:$E$615),-('Gastos Gerais'!$C$4:$C$615)))</f>
        <v>0</v>
      </c>
      <c r="AA22" s="73">
        <f>IF($B22="",0,SUMPRODUCT(-('Gastos Gerais'!$F$4:$F$615='Gastos das Atividades'!$B22),-('Gastos das Atividades'!AA$3&gt;='Gastos Gerais'!$D$4:$D$615),-('Gastos das Atividades'!AA$3&lt;='Gastos Gerais'!$E$4:$E$615),-('Gastos Gerais'!$C$4:$C$615)))</f>
        <v>0</v>
      </c>
      <c r="AB22" s="73">
        <f>IF($B22="",0,SUMPRODUCT(-('Gastos Gerais'!$F$4:$F$615='Gastos das Atividades'!$B22),-('Gastos das Atividades'!AB$3&gt;='Gastos Gerais'!$D$4:$D$615),-('Gastos das Atividades'!AB$3&lt;='Gastos Gerais'!$E$4:$E$615),-('Gastos Gerais'!$C$4:$C$615)))</f>
        <v>0</v>
      </c>
      <c r="AC22" s="73">
        <f>IF($B22="",0,SUMPRODUCT(-('Gastos Gerais'!$F$4:$F$615='Gastos das Atividades'!$B22),-('Gastos das Atividades'!AC$3&gt;='Gastos Gerais'!$D$4:$D$615),-('Gastos das Atividades'!AC$3&lt;='Gastos Gerais'!$E$4:$E$615),-('Gastos Gerais'!$C$4:$C$615)))</f>
        <v>0</v>
      </c>
      <c r="AD22" s="73">
        <f>IF($B22="",0,SUMPRODUCT(-('Gastos Gerais'!$F$4:$F$615='Gastos das Atividades'!$B22),-('Gastos das Atividades'!AD$3&gt;='Gastos Gerais'!$D$4:$D$615),-('Gastos das Atividades'!AD$3&lt;='Gastos Gerais'!$E$4:$E$615),-('Gastos Gerais'!$C$4:$C$615)))</f>
        <v>0</v>
      </c>
      <c r="AE22" s="73">
        <f>IF($B22="",0,SUMPRODUCT(-('Gastos Gerais'!$F$4:$F$615='Gastos das Atividades'!$B22),-('Gastos das Atividades'!AE$3&gt;='Gastos Gerais'!$D$4:$D$615),-('Gastos das Atividades'!AE$3&lt;='Gastos Gerais'!$E$4:$E$615),-('Gastos Gerais'!$C$4:$C$615)))</f>
        <v>0</v>
      </c>
      <c r="AF22" s="73">
        <f>IF($B22="",0,SUMPRODUCT(-('Gastos Gerais'!$F$4:$F$615='Gastos das Atividades'!$B22),-('Gastos das Atividades'!AF$3&gt;='Gastos Gerais'!$D$4:$D$615),-('Gastos das Atividades'!AF$3&lt;='Gastos Gerais'!$E$4:$E$615),-('Gastos Gerais'!$C$4:$C$615)))</f>
        <v>0</v>
      </c>
      <c r="AG22" s="73">
        <f>IF($B22="",0,SUMPRODUCT(-('Gastos Gerais'!$F$4:$F$615='Gastos das Atividades'!$B22),-('Gastos das Atividades'!AG$3&gt;='Gastos Gerais'!$D$4:$D$615),-('Gastos das Atividades'!AG$3&lt;='Gastos Gerais'!$E$4:$E$615),-('Gastos Gerais'!$C$4:$C$615)))</f>
        <v>0</v>
      </c>
      <c r="AH22" s="73">
        <f>IF($B22="",0,SUMPRODUCT(-('Gastos Gerais'!$F$4:$F$615='Gastos das Atividades'!$B22),-('Gastos das Atividades'!AH$3&gt;='Gastos Gerais'!$D$4:$D$615),-('Gastos das Atividades'!AH$3&lt;='Gastos Gerais'!$E$4:$E$615),-('Gastos Gerais'!$C$4:$C$615)))</f>
        <v>0</v>
      </c>
      <c r="AI22" s="73">
        <f>IF($B22="",0,SUMPRODUCT(-('Gastos Gerais'!$F$4:$F$615='Gastos das Atividades'!$B22),-('Gastos das Atividades'!AI$3&gt;='Gastos Gerais'!$D$4:$D$615),-('Gastos das Atividades'!AI$3&lt;='Gastos Gerais'!$E$4:$E$615),-('Gastos Gerais'!$C$4:$C$615)))</f>
        <v>0</v>
      </c>
      <c r="AJ22" s="73">
        <f>IF($B22="",0,SUMPRODUCT(-('Gastos Gerais'!$F$4:$F$615='Gastos das Atividades'!$B22),-('Gastos das Atividades'!AJ$3&gt;='Gastos Gerais'!$D$4:$D$615),-('Gastos das Atividades'!AJ$3&lt;='Gastos Gerais'!$E$4:$E$615),-('Gastos Gerais'!$C$4:$C$615)))</f>
        <v>0</v>
      </c>
      <c r="AK22" s="73">
        <f>IF($B22="",0,SUMPRODUCT(-('Gastos Gerais'!$F$4:$F$615='Gastos das Atividades'!$B22),-('Gastos das Atividades'!AK$3&gt;='Gastos Gerais'!$D$4:$D$615),-('Gastos das Atividades'!AK$3&lt;='Gastos Gerais'!$E$4:$E$615),-('Gastos Gerais'!$C$4:$C$615)))</f>
        <v>0</v>
      </c>
      <c r="AL22" s="73">
        <f>IF($B22="",0,SUMPRODUCT(-('Gastos Gerais'!$F$4:$F$615='Gastos das Atividades'!$B22),-('Gastos das Atividades'!AL$3&gt;='Gastos Gerais'!$D$4:$D$615),-('Gastos das Atividades'!AL$3&lt;='Gastos Gerais'!$E$4:$E$615),-('Gastos Gerais'!$C$4:$C$615)))</f>
        <v>0</v>
      </c>
      <c r="AM22" s="73">
        <f>IF($B22="",0,SUMPRODUCT(-('Gastos Gerais'!$F$4:$F$615='Gastos das Atividades'!$B22),-('Gastos das Atividades'!AM$3&gt;='Gastos Gerais'!$D$4:$D$615),-('Gastos das Atividades'!AM$3&lt;='Gastos Gerais'!$E$4:$E$615),-('Gastos Gerais'!$C$4:$C$615)))</f>
        <v>0</v>
      </c>
      <c r="AN22" s="73">
        <f>IF($B22="",0,SUMPRODUCT(-('Gastos Gerais'!$F$4:$F$615='Gastos das Atividades'!$B22),-('Gastos das Atividades'!AN$3&gt;='Gastos Gerais'!$D$4:$D$615),-('Gastos das Atividades'!AN$3&lt;='Gastos Gerais'!$E$4:$E$615),-('Gastos Gerais'!$C$4:$C$615)))</f>
        <v>0</v>
      </c>
      <c r="AO22" s="73">
        <f>IF($B22="",0,SUMPRODUCT(-('Gastos Gerais'!$F$4:$F$615='Gastos das Atividades'!$B22),-('Gastos das Atividades'!AO$3&gt;='Gastos Gerais'!$D$4:$D$615),-('Gastos das Atividades'!AO$3&lt;='Gastos Gerais'!$E$4:$E$615),-('Gastos Gerais'!$C$4:$C$615)))</f>
        <v>0</v>
      </c>
      <c r="AP22" s="73">
        <f>IF($B22="",0,SUMPRODUCT(-('Gastos Gerais'!$F$4:$F$615='Gastos das Atividades'!$B22),-('Gastos das Atividades'!AP$3&gt;='Gastos Gerais'!$D$4:$D$615),-('Gastos das Atividades'!AP$3&lt;='Gastos Gerais'!$E$4:$E$615),-('Gastos Gerais'!$C$4:$C$615)))</f>
        <v>0</v>
      </c>
      <c r="AQ22" s="73">
        <f>IF($B22="",0,SUMPRODUCT(-('Gastos Gerais'!$F$4:$F$615='Gastos das Atividades'!$B22),-('Gastos das Atividades'!AQ$3&gt;='Gastos Gerais'!$D$4:$D$615),-('Gastos das Atividades'!AQ$3&lt;='Gastos Gerais'!$E$4:$E$615),-('Gastos Gerais'!$C$4:$C$615)))</f>
        <v>0</v>
      </c>
      <c r="AR22" s="73">
        <f>IF($B22="",0,SUMPRODUCT(-('Gastos Gerais'!$F$4:$F$615='Gastos das Atividades'!$B22),-('Gastos das Atividades'!AR$3&gt;='Gastos Gerais'!$D$4:$D$615),-('Gastos das Atividades'!AR$3&lt;='Gastos Gerais'!$E$4:$E$615),-('Gastos Gerais'!$C$4:$C$615)))</f>
        <v>0</v>
      </c>
      <c r="AS22" s="73">
        <f>IF($B22="",0,SUMPRODUCT(-('Gastos Gerais'!$F$4:$F$615='Gastos das Atividades'!$B22),-('Gastos das Atividades'!AS$3&gt;='Gastos Gerais'!$D$4:$D$615),-('Gastos das Atividades'!AS$3&lt;='Gastos Gerais'!$E$4:$E$615),-('Gastos Gerais'!$C$4:$C$615)))</f>
        <v>0</v>
      </c>
      <c r="AT22" s="73">
        <f>IF($B22="",0,SUMPRODUCT(-('Gastos Gerais'!$F$4:$F$615='Gastos das Atividades'!$B22),-('Gastos das Atividades'!AT$3&gt;='Gastos Gerais'!$D$4:$D$615),-('Gastos das Atividades'!AT$3&lt;='Gastos Gerais'!$E$4:$E$615),-('Gastos Gerais'!$C$4:$C$615)))</f>
        <v>0</v>
      </c>
      <c r="AU22" s="73">
        <f>IF($B22="",0,SUMPRODUCT(-('Gastos Gerais'!$F$4:$F$615='Gastos das Atividades'!$B22),-('Gastos das Atividades'!AU$3&gt;='Gastos Gerais'!$D$4:$D$615),-('Gastos das Atividades'!AU$3&lt;='Gastos Gerais'!$E$4:$E$615),-('Gastos Gerais'!$C$4:$C$615)))</f>
        <v>0</v>
      </c>
      <c r="AV22" s="73">
        <f>IF($B22="",0,SUMPRODUCT(-('Gastos Gerais'!$F$4:$F$615='Gastos das Atividades'!$B22),-('Gastos das Atividades'!AV$3&gt;='Gastos Gerais'!$D$4:$D$615),-('Gastos das Atividades'!AV$3&lt;='Gastos Gerais'!$E$4:$E$615),-('Gastos Gerais'!$C$4:$C$615)))</f>
        <v>0</v>
      </c>
      <c r="AW22" s="73">
        <f>IF($B22="",0,SUMPRODUCT(-('Gastos Gerais'!$F$4:$F$615='Gastos das Atividades'!$B22),-('Gastos das Atividades'!AW$3&gt;='Gastos Gerais'!$D$4:$D$615),-('Gastos das Atividades'!AW$3&lt;='Gastos Gerais'!$E$4:$E$615),-('Gastos Gerais'!$C$4:$C$615)))</f>
        <v>0</v>
      </c>
      <c r="AX22" s="73">
        <f>IF($B22="",0,SUMPRODUCT(-('Gastos Gerais'!$F$4:$F$615='Gastos das Atividades'!$B22),-('Gastos das Atividades'!AX$3&gt;='Gastos Gerais'!$D$4:$D$615),-('Gastos das Atividades'!AX$3&lt;='Gastos Gerais'!$E$4:$E$615),-('Gastos Gerais'!$C$4:$C$615)))</f>
        <v>0</v>
      </c>
      <c r="AY22" s="73">
        <f>IF($B22="",0,SUMPRODUCT(-('Gastos Gerais'!$F$4:$F$615='Gastos das Atividades'!$B22),-('Gastos das Atividades'!AY$3&gt;='Gastos Gerais'!$D$4:$D$615),-('Gastos das Atividades'!AY$3&lt;='Gastos Gerais'!$E$4:$E$615),-('Gastos Gerais'!$C$4:$C$615)))</f>
        <v>0</v>
      </c>
      <c r="AZ22" s="73">
        <f>IF($B22="",0,SUMPRODUCT(-('Gastos Gerais'!$F$4:$F$615='Gastos das Atividades'!$B22),-('Gastos das Atividades'!AZ$3&gt;='Gastos Gerais'!$D$4:$D$615),-('Gastos das Atividades'!AZ$3&lt;='Gastos Gerais'!$E$4:$E$615),-('Gastos Gerais'!$C$4:$C$615)))</f>
        <v>0</v>
      </c>
      <c r="BA22" s="73">
        <f>IF($B22="",0,SUMPRODUCT(-('Gastos Gerais'!$F$4:$F$615='Gastos das Atividades'!$B22),-('Gastos das Atividades'!BA$3&gt;='Gastos Gerais'!$D$4:$D$615),-('Gastos das Atividades'!BA$3&lt;='Gastos Gerais'!$E$4:$E$615),-('Gastos Gerais'!$C$4:$C$615)))</f>
        <v>0</v>
      </c>
      <c r="BB22" s="73">
        <f>IF($B22="",0,SUMPRODUCT(-('Gastos Gerais'!$F$4:$F$615='Gastos das Atividades'!$B22),-('Gastos das Atividades'!BB$3&gt;='Gastos Gerais'!$D$4:$D$615),-('Gastos das Atividades'!BB$3&lt;='Gastos Gerais'!$E$4:$E$615),-('Gastos Gerais'!$C$4:$C$615)))</f>
        <v>0</v>
      </c>
      <c r="BC22" s="73">
        <f>IF($B22="",0,SUMPRODUCT(-('Gastos Gerais'!$F$4:$F$615='Gastos das Atividades'!$B22),-('Gastos das Atividades'!BC$3&gt;='Gastos Gerais'!$D$4:$D$615),-('Gastos das Atividades'!BC$3&lt;='Gastos Gerais'!$E$4:$E$615),-('Gastos Gerais'!$C$4:$C$615)))</f>
        <v>0</v>
      </c>
      <c r="BD22" s="73">
        <f>IF($B22="",0,SUMPRODUCT(-('Gastos Gerais'!$F$4:$F$615='Gastos das Atividades'!$B22),-('Gastos das Atividades'!BD$3&gt;='Gastos Gerais'!$D$4:$D$615),-('Gastos das Atividades'!BD$3&lt;='Gastos Gerais'!$E$4:$E$615),-('Gastos Gerais'!$C$4:$C$615)))</f>
        <v>0</v>
      </c>
      <c r="BE22" s="73">
        <f>IF($B22="",0,SUMPRODUCT(-('Gastos Gerais'!$F$4:$F$615='Gastos das Atividades'!$B22),-('Gastos das Atividades'!BE$3&gt;='Gastos Gerais'!$D$4:$D$615),-('Gastos das Atividades'!BE$3&lt;='Gastos Gerais'!$E$4:$E$615),-('Gastos Gerais'!$C$4:$C$615)))</f>
        <v>0</v>
      </c>
      <c r="BF22" s="73">
        <f>IF($B22="",0,SUMPRODUCT(-('Gastos Gerais'!$F$4:$F$615='Gastos das Atividades'!$B22),-('Gastos das Atividades'!BF$3&gt;='Gastos Gerais'!$D$4:$D$615),-('Gastos das Atividades'!BF$3&lt;='Gastos Gerais'!$E$4:$E$615),-('Gastos Gerais'!$C$4:$C$615)))</f>
        <v>0</v>
      </c>
      <c r="BG22" s="73">
        <f>IF($B22="",0,SUMPRODUCT(-('Gastos Gerais'!$F$4:$F$615='Gastos das Atividades'!$B22),-('Gastos das Atividades'!BG$3&gt;='Gastos Gerais'!$D$4:$D$615),-('Gastos das Atividades'!BG$3&lt;='Gastos Gerais'!$E$4:$E$615),-('Gastos Gerais'!$C$4:$C$615)))</f>
        <v>0</v>
      </c>
      <c r="BH22" s="73">
        <f>IF($B22="",0,SUMPRODUCT(-('Gastos Gerais'!$F$4:$F$615='Gastos das Atividades'!$B22),-('Gastos das Atividades'!BH$3&gt;='Gastos Gerais'!$D$4:$D$615),-('Gastos das Atividades'!BH$3&lt;='Gastos Gerais'!$E$4:$E$615),-('Gastos Gerais'!$C$4:$C$615)))</f>
        <v>0</v>
      </c>
      <c r="BI22" s="73">
        <f>IF($B22="",0,SUMPRODUCT(-('Gastos Gerais'!$F$4:$F$615='Gastos das Atividades'!$B22),-('Gastos das Atividades'!BI$3&gt;='Gastos Gerais'!$D$4:$D$615),-('Gastos das Atividades'!BI$3&lt;='Gastos Gerais'!$E$4:$E$615),-('Gastos Gerais'!$C$4:$C$615)))</f>
        <v>0</v>
      </c>
      <c r="BJ22" s="73">
        <f>IF($B22="",0,SUMPRODUCT(-('Gastos Gerais'!$F$4:$F$615='Gastos das Atividades'!$B22),-('Gastos das Atividades'!BJ$3&gt;='Gastos Gerais'!$D$4:$D$615),-('Gastos das Atividades'!BJ$3&lt;='Gastos Gerais'!$E$4:$E$615),-('Gastos Gerais'!$C$4:$C$615)))</f>
        <v>0</v>
      </c>
      <c r="BK22" s="73">
        <f>IF($B22="",0,SUMPRODUCT(-('Gastos Gerais'!$F$4:$F$615='Gastos das Atividades'!$B22),-('Gastos das Atividades'!BK$3&gt;='Gastos Gerais'!$D$4:$D$615),-('Gastos das Atividades'!BK$3&lt;='Gastos Gerais'!$E$4:$E$615),-('Gastos Gerais'!$C$4:$C$615)))</f>
        <v>0</v>
      </c>
      <c r="BL22" s="73">
        <f>IF($B22="",0,SUMPRODUCT(-('Gastos Gerais'!$F$4:$F$615='Gastos das Atividades'!$B22),-('Gastos das Atividades'!BL$3&gt;='Gastos Gerais'!$D$4:$D$615),-('Gastos das Atividades'!BL$3&lt;='Gastos Gerais'!$E$4:$E$615),-('Gastos Gerais'!$C$4:$C$615)))</f>
        <v>0</v>
      </c>
      <c r="BM22" s="73">
        <f>IF($B22="",0,SUMPRODUCT(-('Gastos Gerais'!$F$4:$F$615='Gastos das Atividades'!$B22),-('Gastos das Atividades'!BM$3&gt;='Gastos Gerais'!$D$4:$D$615),-('Gastos das Atividades'!BM$3&lt;='Gastos Gerais'!$E$4:$E$615),-('Gastos Gerais'!$C$4:$C$615)))</f>
        <v>0</v>
      </c>
      <c r="BN22" s="73">
        <f>IF($B22="",0,SUMPRODUCT(-('Gastos Gerais'!$F$4:$F$615='Gastos das Atividades'!$B22),-('Gastos das Atividades'!BN$3&gt;='Gastos Gerais'!$D$4:$D$615),-('Gastos das Atividades'!BN$3&lt;='Gastos Gerais'!$E$4:$E$615),-('Gastos Gerais'!$C$4:$C$615)))</f>
        <v>0</v>
      </c>
      <c r="BO22" s="73">
        <f>IF($B22="",0,SUMPRODUCT(-('Gastos Gerais'!$F$4:$F$615='Gastos das Atividades'!$B22),-('Gastos das Atividades'!BO$3&gt;='Gastos Gerais'!$D$4:$D$615),-('Gastos das Atividades'!BO$3&lt;='Gastos Gerais'!$E$4:$E$615),-('Gastos Gerais'!$C$4:$C$615)))</f>
        <v>0</v>
      </c>
      <c r="BP22" s="73">
        <f>IF($B22="",0,SUMPRODUCT(-('Gastos Gerais'!$F$4:$F$615='Gastos das Atividades'!$B22),-('Gastos das Atividades'!BP$3&gt;='Gastos Gerais'!$D$4:$D$615),-('Gastos das Atividades'!BP$3&lt;='Gastos Gerais'!$E$4:$E$615),-('Gastos Gerais'!$C$4:$C$615)))</f>
        <v>0</v>
      </c>
      <c r="BQ22" s="73">
        <f>IF($B22="",0,SUMPRODUCT(-('Gastos Gerais'!$F$4:$F$615='Gastos das Atividades'!$B22),-('Gastos das Atividades'!BQ$3&gt;='Gastos Gerais'!$D$4:$D$615),-('Gastos das Atividades'!BQ$3&lt;='Gastos Gerais'!$E$4:$E$615),-('Gastos Gerais'!$C$4:$C$615)))</f>
        <v>0</v>
      </c>
      <c r="BR22" s="73">
        <f>IF($B22="",0,SUMPRODUCT(-('Gastos Gerais'!$F$4:$F$615='Gastos das Atividades'!$B22),-('Gastos das Atividades'!BR$3&gt;='Gastos Gerais'!$D$4:$D$615),-('Gastos das Atividades'!BR$3&lt;='Gastos Gerais'!$E$4:$E$615),-('Gastos Gerais'!$C$4:$C$615)))</f>
        <v>0</v>
      </c>
      <c r="BS22" s="73">
        <f>IF($B22="",0,SUMPRODUCT(-('Gastos Gerais'!$F$4:$F$615='Gastos das Atividades'!$B22),-('Gastos das Atividades'!BS$3&gt;='Gastos Gerais'!$D$4:$D$615),-('Gastos das Atividades'!BS$3&lt;='Gastos Gerais'!$E$4:$E$615),-('Gastos Gerais'!$C$4:$C$615)))</f>
        <v>0</v>
      </c>
      <c r="BT22" s="73">
        <f>IF($B22="",0,SUMPRODUCT(-('Gastos Gerais'!$F$4:$F$615='Gastos das Atividades'!$B22),-('Gastos das Atividades'!BT$3&gt;='Gastos Gerais'!$D$4:$D$615),-('Gastos das Atividades'!BT$3&lt;='Gastos Gerais'!$E$4:$E$615),-('Gastos Gerais'!$C$4:$C$615)))</f>
        <v>0</v>
      </c>
      <c r="BU22" s="73">
        <f>IF($B22="",0,SUMPRODUCT(-('Gastos Gerais'!$F$4:$F$615='Gastos das Atividades'!$B22),-('Gastos das Atividades'!BU$3&gt;='Gastos Gerais'!$D$4:$D$615),-('Gastos das Atividades'!BU$3&lt;='Gastos Gerais'!$E$4:$E$615),-('Gastos Gerais'!$C$4:$C$615)))</f>
        <v>0</v>
      </c>
      <c r="BV22" s="73">
        <f>IF($B22="",0,SUMPRODUCT(-('Gastos Gerais'!$F$4:$F$615='Gastos das Atividades'!$B22),-('Gastos das Atividades'!BV$3&gt;='Gastos Gerais'!$D$4:$D$615),-('Gastos das Atividades'!BV$3&lt;='Gastos Gerais'!$E$4:$E$615),-('Gastos Gerais'!$C$4:$C$615)))</f>
        <v>0</v>
      </c>
      <c r="BW22" s="73">
        <f>IF($B22="",0,SUMPRODUCT(-('Gastos Gerais'!$F$4:$F$615='Gastos das Atividades'!$B22),-('Gastos das Atividades'!BW$3&gt;='Gastos Gerais'!$D$4:$D$615),-('Gastos das Atividades'!BW$3&lt;='Gastos Gerais'!$E$4:$E$615),-('Gastos Gerais'!$C$4:$C$615)))</f>
        <v>0</v>
      </c>
      <c r="BX22" s="73">
        <f>IF($B22="",0,SUMPRODUCT(-('Gastos Gerais'!$F$4:$F$615='Gastos das Atividades'!$B22),-('Gastos das Atividades'!BX$3&gt;='Gastos Gerais'!$D$4:$D$615),-('Gastos das Atividades'!BX$3&lt;='Gastos Gerais'!$E$4:$E$615),-('Gastos Gerais'!$C$4:$C$615)))</f>
        <v>0</v>
      </c>
    </row>
    <row r="23" spans="1:76" hidden="1" x14ac:dyDescent="0.2">
      <c r="A23" s="146">
        <v>20</v>
      </c>
      <c r="B23" s="164"/>
      <c r="C23" s="305">
        <v>0</v>
      </c>
      <c r="D23" s="357">
        <f t="shared" si="10"/>
        <v>0</v>
      </c>
      <c r="E23" s="144">
        <f t="shared" si="11"/>
        <v>0</v>
      </c>
      <c r="F23" s="73">
        <f t="shared" si="2"/>
        <v>0</v>
      </c>
      <c r="G23" s="73">
        <f t="shared" si="2"/>
        <v>0</v>
      </c>
      <c r="H23" s="73">
        <f t="shared" si="2"/>
        <v>0</v>
      </c>
      <c r="I23" s="73">
        <f t="shared" si="2"/>
        <v>0</v>
      </c>
      <c r="J23" s="145">
        <f t="shared" si="3"/>
        <v>0</v>
      </c>
      <c r="K23" s="76">
        <f t="shared" si="4"/>
        <v>0</v>
      </c>
      <c r="L23" s="76">
        <f t="shared" si="5"/>
        <v>0</v>
      </c>
      <c r="M23" s="76">
        <f t="shared" si="6"/>
        <v>0</v>
      </c>
      <c r="N23" s="76">
        <f t="shared" si="7"/>
        <v>0</v>
      </c>
      <c r="O23" s="76">
        <f t="shared" si="8"/>
        <v>0</v>
      </c>
      <c r="P23" s="209">
        <f t="shared" si="9"/>
        <v>0</v>
      </c>
      <c r="Q23" s="73">
        <f>IF($B23="",0,SUMPRODUCT(-('Gastos Gerais'!$F$4:$F$615='Gastos das Atividades'!$B23),-('Gastos das Atividades'!Q$3&gt;='Gastos Gerais'!$D$4:$D$615),-('Gastos das Atividades'!Q$3&lt;='Gastos Gerais'!$E$4:$E$615),-('Gastos Gerais'!$C$4:$C$615)))</f>
        <v>0</v>
      </c>
      <c r="R23" s="73">
        <f>IF($B23="",0,SUMPRODUCT(-('Gastos Gerais'!$F$4:$F$615='Gastos das Atividades'!$B23),-('Gastos das Atividades'!R$3&gt;='Gastos Gerais'!$D$4:$D$615),-('Gastos das Atividades'!R$3&lt;='Gastos Gerais'!$E$4:$E$615),-('Gastos Gerais'!$C$4:$C$615)))</f>
        <v>0</v>
      </c>
      <c r="S23" s="73">
        <f>IF($B23="",0,SUMPRODUCT(-('Gastos Gerais'!$F$4:$F$615='Gastos das Atividades'!$B23),-('Gastos das Atividades'!S$3&gt;='Gastos Gerais'!$D$4:$D$615),-('Gastos das Atividades'!S$3&lt;='Gastos Gerais'!$E$4:$E$615),-('Gastos Gerais'!$C$4:$C$615)))</f>
        <v>0</v>
      </c>
      <c r="T23" s="73">
        <f>IF($B23="",0,SUMPRODUCT(-('Gastos Gerais'!$F$4:$F$615='Gastos das Atividades'!$B23),-('Gastos das Atividades'!T$3&gt;='Gastos Gerais'!$D$4:$D$615),-('Gastos das Atividades'!T$3&lt;='Gastos Gerais'!$E$4:$E$615),-('Gastos Gerais'!$C$4:$C$615)))</f>
        <v>0</v>
      </c>
      <c r="U23" s="73">
        <f>IF($B23="",0,SUMPRODUCT(-('Gastos Gerais'!$F$4:$F$615='Gastos das Atividades'!$B23),-('Gastos das Atividades'!U$3&gt;='Gastos Gerais'!$D$4:$D$615),-('Gastos das Atividades'!U$3&lt;='Gastos Gerais'!$E$4:$E$615),-('Gastos Gerais'!$C$4:$C$615)))</f>
        <v>0</v>
      </c>
      <c r="V23" s="73">
        <f>IF($B23="",0,SUMPRODUCT(-('Gastos Gerais'!$F$4:$F$615='Gastos das Atividades'!$B23),-('Gastos das Atividades'!V$3&gt;='Gastos Gerais'!$D$4:$D$615),-('Gastos das Atividades'!V$3&lt;='Gastos Gerais'!$E$4:$E$615),-('Gastos Gerais'!$C$4:$C$615)))</f>
        <v>0</v>
      </c>
      <c r="W23" s="73">
        <f>IF($B23="",0,SUMPRODUCT(-('Gastos Gerais'!$F$4:$F$615='Gastos das Atividades'!$B23),-('Gastos das Atividades'!W$3&gt;='Gastos Gerais'!$D$4:$D$615),-('Gastos das Atividades'!W$3&lt;='Gastos Gerais'!$E$4:$E$615),-('Gastos Gerais'!$C$4:$C$615)))</f>
        <v>0</v>
      </c>
      <c r="X23" s="73">
        <f>IF($B23="",0,SUMPRODUCT(-('Gastos Gerais'!$F$4:$F$615='Gastos das Atividades'!$B23),-('Gastos das Atividades'!X$3&gt;='Gastos Gerais'!$D$4:$D$615),-('Gastos das Atividades'!X$3&lt;='Gastos Gerais'!$E$4:$E$615),-('Gastos Gerais'!$C$4:$C$615)))</f>
        <v>0</v>
      </c>
      <c r="Y23" s="73">
        <f>IF($B23="",0,SUMPRODUCT(-('Gastos Gerais'!$F$4:$F$615='Gastos das Atividades'!$B23),-('Gastos das Atividades'!Y$3&gt;='Gastos Gerais'!$D$4:$D$615),-('Gastos das Atividades'!Y$3&lt;='Gastos Gerais'!$E$4:$E$615),-('Gastos Gerais'!$C$4:$C$615)))</f>
        <v>0</v>
      </c>
      <c r="Z23" s="73">
        <f>IF($B23="",0,SUMPRODUCT(-('Gastos Gerais'!$F$4:$F$615='Gastos das Atividades'!$B23),-('Gastos das Atividades'!Z$3&gt;='Gastos Gerais'!$D$4:$D$615),-('Gastos das Atividades'!Z$3&lt;='Gastos Gerais'!$E$4:$E$615),-('Gastos Gerais'!$C$4:$C$615)))</f>
        <v>0</v>
      </c>
      <c r="AA23" s="73">
        <f>IF($B23="",0,SUMPRODUCT(-('Gastos Gerais'!$F$4:$F$615='Gastos das Atividades'!$B23),-('Gastos das Atividades'!AA$3&gt;='Gastos Gerais'!$D$4:$D$615),-('Gastos das Atividades'!AA$3&lt;='Gastos Gerais'!$E$4:$E$615),-('Gastos Gerais'!$C$4:$C$615)))</f>
        <v>0</v>
      </c>
      <c r="AB23" s="73">
        <f>IF($B23="",0,SUMPRODUCT(-('Gastos Gerais'!$F$4:$F$615='Gastos das Atividades'!$B23),-('Gastos das Atividades'!AB$3&gt;='Gastos Gerais'!$D$4:$D$615),-('Gastos das Atividades'!AB$3&lt;='Gastos Gerais'!$E$4:$E$615),-('Gastos Gerais'!$C$4:$C$615)))</f>
        <v>0</v>
      </c>
      <c r="AC23" s="73">
        <f>IF($B23="",0,SUMPRODUCT(-('Gastos Gerais'!$F$4:$F$615='Gastos das Atividades'!$B23),-('Gastos das Atividades'!AC$3&gt;='Gastos Gerais'!$D$4:$D$615),-('Gastos das Atividades'!AC$3&lt;='Gastos Gerais'!$E$4:$E$615),-('Gastos Gerais'!$C$4:$C$615)))</f>
        <v>0</v>
      </c>
      <c r="AD23" s="73">
        <f>IF($B23="",0,SUMPRODUCT(-('Gastos Gerais'!$F$4:$F$615='Gastos das Atividades'!$B23),-('Gastos das Atividades'!AD$3&gt;='Gastos Gerais'!$D$4:$D$615),-('Gastos das Atividades'!AD$3&lt;='Gastos Gerais'!$E$4:$E$615),-('Gastos Gerais'!$C$4:$C$615)))</f>
        <v>0</v>
      </c>
      <c r="AE23" s="73">
        <f>IF($B23="",0,SUMPRODUCT(-('Gastos Gerais'!$F$4:$F$615='Gastos das Atividades'!$B23),-('Gastos das Atividades'!AE$3&gt;='Gastos Gerais'!$D$4:$D$615),-('Gastos das Atividades'!AE$3&lt;='Gastos Gerais'!$E$4:$E$615),-('Gastos Gerais'!$C$4:$C$615)))</f>
        <v>0</v>
      </c>
      <c r="AF23" s="73">
        <f>IF($B23="",0,SUMPRODUCT(-('Gastos Gerais'!$F$4:$F$615='Gastos das Atividades'!$B23),-('Gastos das Atividades'!AF$3&gt;='Gastos Gerais'!$D$4:$D$615),-('Gastos das Atividades'!AF$3&lt;='Gastos Gerais'!$E$4:$E$615),-('Gastos Gerais'!$C$4:$C$615)))</f>
        <v>0</v>
      </c>
      <c r="AG23" s="73">
        <f>IF($B23="",0,SUMPRODUCT(-('Gastos Gerais'!$F$4:$F$615='Gastos das Atividades'!$B23),-('Gastos das Atividades'!AG$3&gt;='Gastos Gerais'!$D$4:$D$615),-('Gastos das Atividades'!AG$3&lt;='Gastos Gerais'!$E$4:$E$615),-('Gastos Gerais'!$C$4:$C$615)))</f>
        <v>0</v>
      </c>
      <c r="AH23" s="73">
        <f>IF($B23="",0,SUMPRODUCT(-('Gastos Gerais'!$F$4:$F$615='Gastos das Atividades'!$B23),-('Gastos das Atividades'!AH$3&gt;='Gastos Gerais'!$D$4:$D$615),-('Gastos das Atividades'!AH$3&lt;='Gastos Gerais'!$E$4:$E$615),-('Gastos Gerais'!$C$4:$C$615)))</f>
        <v>0</v>
      </c>
      <c r="AI23" s="73">
        <f>IF($B23="",0,SUMPRODUCT(-('Gastos Gerais'!$F$4:$F$615='Gastos das Atividades'!$B23),-('Gastos das Atividades'!AI$3&gt;='Gastos Gerais'!$D$4:$D$615),-('Gastos das Atividades'!AI$3&lt;='Gastos Gerais'!$E$4:$E$615),-('Gastos Gerais'!$C$4:$C$615)))</f>
        <v>0</v>
      </c>
      <c r="AJ23" s="73">
        <f>IF($B23="",0,SUMPRODUCT(-('Gastos Gerais'!$F$4:$F$615='Gastos das Atividades'!$B23),-('Gastos das Atividades'!AJ$3&gt;='Gastos Gerais'!$D$4:$D$615),-('Gastos das Atividades'!AJ$3&lt;='Gastos Gerais'!$E$4:$E$615),-('Gastos Gerais'!$C$4:$C$615)))</f>
        <v>0</v>
      </c>
      <c r="AK23" s="73">
        <f>IF($B23="",0,SUMPRODUCT(-('Gastos Gerais'!$F$4:$F$615='Gastos das Atividades'!$B23),-('Gastos das Atividades'!AK$3&gt;='Gastos Gerais'!$D$4:$D$615),-('Gastos das Atividades'!AK$3&lt;='Gastos Gerais'!$E$4:$E$615),-('Gastos Gerais'!$C$4:$C$615)))</f>
        <v>0</v>
      </c>
      <c r="AL23" s="73">
        <f>IF($B23="",0,SUMPRODUCT(-('Gastos Gerais'!$F$4:$F$615='Gastos das Atividades'!$B23),-('Gastos das Atividades'!AL$3&gt;='Gastos Gerais'!$D$4:$D$615),-('Gastos das Atividades'!AL$3&lt;='Gastos Gerais'!$E$4:$E$615),-('Gastos Gerais'!$C$4:$C$615)))</f>
        <v>0</v>
      </c>
      <c r="AM23" s="73">
        <f>IF($B23="",0,SUMPRODUCT(-('Gastos Gerais'!$F$4:$F$615='Gastos das Atividades'!$B23),-('Gastos das Atividades'!AM$3&gt;='Gastos Gerais'!$D$4:$D$615),-('Gastos das Atividades'!AM$3&lt;='Gastos Gerais'!$E$4:$E$615),-('Gastos Gerais'!$C$4:$C$615)))</f>
        <v>0</v>
      </c>
      <c r="AN23" s="73">
        <f>IF($B23="",0,SUMPRODUCT(-('Gastos Gerais'!$F$4:$F$615='Gastos das Atividades'!$B23),-('Gastos das Atividades'!AN$3&gt;='Gastos Gerais'!$D$4:$D$615),-('Gastos das Atividades'!AN$3&lt;='Gastos Gerais'!$E$4:$E$615),-('Gastos Gerais'!$C$4:$C$615)))</f>
        <v>0</v>
      </c>
      <c r="AO23" s="73">
        <f>IF($B23="",0,SUMPRODUCT(-('Gastos Gerais'!$F$4:$F$615='Gastos das Atividades'!$B23),-('Gastos das Atividades'!AO$3&gt;='Gastos Gerais'!$D$4:$D$615),-('Gastos das Atividades'!AO$3&lt;='Gastos Gerais'!$E$4:$E$615),-('Gastos Gerais'!$C$4:$C$615)))</f>
        <v>0</v>
      </c>
      <c r="AP23" s="73">
        <f>IF($B23="",0,SUMPRODUCT(-('Gastos Gerais'!$F$4:$F$615='Gastos das Atividades'!$B23),-('Gastos das Atividades'!AP$3&gt;='Gastos Gerais'!$D$4:$D$615),-('Gastos das Atividades'!AP$3&lt;='Gastos Gerais'!$E$4:$E$615),-('Gastos Gerais'!$C$4:$C$615)))</f>
        <v>0</v>
      </c>
      <c r="AQ23" s="73">
        <f>IF($B23="",0,SUMPRODUCT(-('Gastos Gerais'!$F$4:$F$615='Gastos das Atividades'!$B23),-('Gastos das Atividades'!AQ$3&gt;='Gastos Gerais'!$D$4:$D$615),-('Gastos das Atividades'!AQ$3&lt;='Gastos Gerais'!$E$4:$E$615),-('Gastos Gerais'!$C$4:$C$615)))</f>
        <v>0</v>
      </c>
      <c r="AR23" s="73">
        <f>IF($B23="",0,SUMPRODUCT(-('Gastos Gerais'!$F$4:$F$615='Gastos das Atividades'!$B23),-('Gastos das Atividades'!AR$3&gt;='Gastos Gerais'!$D$4:$D$615),-('Gastos das Atividades'!AR$3&lt;='Gastos Gerais'!$E$4:$E$615),-('Gastos Gerais'!$C$4:$C$615)))</f>
        <v>0</v>
      </c>
      <c r="AS23" s="73">
        <f>IF($B23="",0,SUMPRODUCT(-('Gastos Gerais'!$F$4:$F$615='Gastos das Atividades'!$B23),-('Gastos das Atividades'!AS$3&gt;='Gastos Gerais'!$D$4:$D$615),-('Gastos das Atividades'!AS$3&lt;='Gastos Gerais'!$E$4:$E$615),-('Gastos Gerais'!$C$4:$C$615)))</f>
        <v>0</v>
      </c>
      <c r="AT23" s="73">
        <f>IF($B23="",0,SUMPRODUCT(-('Gastos Gerais'!$F$4:$F$615='Gastos das Atividades'!$B23),-('Gastos das Atividades'!AT$3&gt;='Gastos Gerais'!$D$4:$D$615),-('Gastos das Atividades'!AT$3&lt;='Gastos Gerais'!$E$4:$E$615),-('Gastos Gerais'!$C$4:$C$615)))</f>
        <v>0</v>
      </c>
      <c r="AU23" s="73">
        <f>IF($B23="",0,SUMPRODUCT(-('Gastos Gerais'!$F$4:$F$615='Gastos das Atividades'!$B23),-('Gastos das Atividades'!AU$3&gt;='Gastos Gerais'!$D$4:$D$615),-('Gastos das Atividades'!AU$3&lt;='Gastos Gerais'!$E$4:$E$615),-('Gastos Gerais'!$C$4:$C$615)))</f>
        <v>0</v>
      </c>
      <c r="AV23" s="73">
        <f>IF($B23="",0,SUMPRODUCT(-('Gastos Gerais'!$F$4:$F$615='Gastos das Atividades'!$B23),-('Gastos das Atividades'!AV$3&gt;='Gastos Gerais'!$D$4:$D$615),-('Gastos das Atividades'!AV$3&lt;='Gastos Gerais'!$E$4:$E$615),-('Gastos Gerais'!$C$4:$C$615)))</f>
        <v>0</v>
      </c>
      <c r="AW23" s="73">
        <f>IF($B23="",0,SUMPRODUCT(-('Gastos Gerais'!$F$4:$F$615='Gastos das Atividades'!$B23),-('Gastos das Atividades'!AW$3&gt;='Gastos Gerais'!$D$4:$D$615),-('Gastos das Atividades'!AW$3&lt;='Gastos Gerais'!$E$4:$E$615),-('Gastos Gerais'!$C$4:$C$615)))</f>
        <v>0</v>
      </c>
      <c r="AX23" s="73">
        <f>IF($B23="",0,SUMPRODUCT(-('Gastos Gerais'!$F$4:$F$615='Gastos das Atividades'!$B23),-('Gastos das Atividades'!AX$3&gt;='Gastos Gerais'!$D$4:$D$615),-('Gastos das Atividades'!AX$3&lt;='Gastos Gerais'!$E$4:$E$615),-('Gastos Gerais'!$C$4:$C$615)))</f>
        <v>0</v>
      </c>
      <c r="AY23" s="73">
        <f>IF($B23="",0,SUMPRODUCT(-('Gastos Gerais'!$F$4:$F$615='Gastos das Atividades'!$B23),-('Gastos das Atividades'!AY$3&gt;='Gastos Gerais'!$D$4:$D$615),-('Gastos das Atividades'!AY$3&lt;='Gastos Gerais'!$E$4:$E$615),-('Gastos Gerais'!$C$4:$C$615)))</f>
        <v>0</v>
      </c>
      <c r="AZ23" s="73">
        <f>IF($B23="",0,SUMPRODUCT(-('Gastos Gerais'!$F$4:$F$615='Gastos das Atividades'!$B23),-('Gastos das Atividades'!AZ$3&gt;='Gastos Gerais'!$D$4:$D$615),-('Gastos das Atividades'!AZ$3&lt;='Gastos Gerais'!$E$4:$E$615),-('Gastos Gerais'!$C$4:$C$615)))</f>
        <v>0</v>
      </c>
      <c r="BA23" s="73">
        <f>IF($B23="",0,SUMPRODUCT(-('Gastos Gerais'!$F$4:$F$615='Gastos das Atividades'!$B23),-('Gastos das Atividades'!BA$3&gt;='Gastos Gerais'!$D$4:$D$615),-('Gastos das Atividades'!BA$3&lt;='Gastos Gerais'!$E$4:$E$615),-('Gastos Gerais'!$C$4:$C$615)))</f>
        <v>0</v>
      </c>
      <c r="BB23" s="73">
        <f>IF($B23="",0,SUMPRODUCT(-('Gastos Gerais'!$F$4:$F$615='Gastos das Atividades'!$B23),-('Gastos das Atividades'!BB$3&gt;='Gastos Gerais'!$D$4:$D$615),-('Gastos das Atividades'!BB$3&lt;='Gastos Gerais'!$E$4:$E$615),-('Gastos Gerais'!$C$4:$C$615)))</f>
        <v>0</v>
      </c>
      <c r="BC23" s="73">
        <f>IF($B23="",0,SUMPRODUCT(-('Gastos Gerais'!$F$4:$F$615='Gastos das Atividades'!$B23),-('Gastos das Atividades'!BC$3&gt;='Gastos Gerais'!$D$4:$D$615),-('Gastos das Atividades'!BC$3&lt;='Gastos Gerais'!$E$4:$E$615),-('Gastos Gerais'!$C$4:$C$615)))</f>
        <v>0</v>
      </c>
      <c r="BD23" s="73">
        <f>IF($B23="",0,SUMPRODUCT(-('Gastos Gerais'!$F$4:$F$615='Gastos das Atividades'!$B23),-('Gastos das Atividades'!BD$3&gt;='Gastos Gerais'!$D$4:$D$615),-('Gastos das Atividades'!BD$3&lt;='Gastos Gerais'!$E$4:$E$615),-('Gastos Gerais'!$C$4:$C$615)))</f>
        <v>0</v>
      </c>
      <c r="BE23" s="73">
        <f>IF($B23="",0,SUMPRODUCT(-('Gastos Gerais'!$F$4:$F$615='Gastos das Atividades'!$B23),-('Gastos das Atividades'!BE$3&gt;='Gastos Gerais'!$D$4:$D$615),-('Gastos das Atividades'!BE$3&lt;='Gastos Gerais'!$E$4:$E$615),-('Gastos Gerais'!$C$4:$C$615)))</f>
        <v>0</v>
      </c>
      <c r="BF23" s="73">
        <f>IF($B23="",0,SUMPRODUCT(-('Gastos Gerais'!$F$4:$F$615='Gastos das Atividades'!$B23),-('Gastos das Atividades'!BF$3&gt;='Gastos Gerais'!$D$4:$D$615),-('Gastos das Atividades'!BF$3&lt;='Gastos Gerais'!$E$4:$E$615),-('Gastos Gerais'!$C$4:$C$615)))</f>
        <v>0</v>
      </c>
      <c r="BG23" s="73">
        <f>IF($B23="",0,SUMPRODUCT(-('Gastos Gerais'!$F$4:$F$615='Gastos das Atividades'!$B23),-('Gastos das Atividades'!BG$3&gt;='Gastos Gerais'!$D$4:$D$615),-('Gastos das Atividades'!BG$3&lt;='Gastos Gerais'!$E$4:$E$615),-('Gastos Gerais'!$C$4:$C$615)))</f>
        <v>0</v>
      </c>
      <c r="BH23" s="73">
        <f>IF($B23="",0,SUMPRODUCT(-('Gastos Gerais'!$F$4:$F$615='Gastos das Atividades'!$B23),-('Gastos das Atividades'!BH$3&gt;='Gastos Gerais'!$D$4:$D$615),-('Gastos das Atividades'!BH$3&lt;='Gastos Gerais'!$E$4:$E$615),-('Gastos Gerais'!$C$4:$C$615)))</f>
        <v>0</v>
      </c>
      <c r="BI23" s="73">
        <f>IF($B23="",0,SUMPRODUCT(-('Gastos Gerais'!$F$4:$F$615='Gastos das Atividades'!$B23),-('Gastos das Atividades'!BI$3&gt;='Gastos Gerais'!$D$4:$D$615),-('Gastos das Atividades'!BI$3&lt;='Gastos Gerais'!$E$4:$E$615),-('Gastos Gerais'!$C$4:$C$615)))</f>
        <v>0</v>
      </c>
      <c r="BJ23" s="73">
        <f>IF($B23="",0,SUMPRODUCT(-('Gastos Gerais'!$F$4:$F$615='Gastos das Atividades'!$B23),-('Gastos das Atividades'!BJ$3&gt;='Gastos Gerais'!$D$4:$D$615),-('Gastos das Atividades'!BJ$3&lt;='Gastos Gerais'!$E$4:$E$615),-('Gastos Gerais'!$C$4:$C$615)))</f>
        <v>0</v>
      </c>
      <c r="BK23" s="73">
        <f>IF($B23="",0,SUMPRODUCT(-('Gastos Gerais'!$F$4:$F$615='Gastos das Atividades'!$B23),-('Gastos das Atividades'!BK$3&gt;='Gastos Gerais'!$D$4:$D$615),-('Gastos das Atividades'!BK$3&lt;='Gastos Gerais'!$E$4:$E$615),-('Gastos Gerais'!$C$4:$C$615)))</f>
        <v>0</v>
      </c>
      <c r="BL23" s="73">
        <f>IF($B23="",0,SUMPRODUCT(-('Gastos Gerais'!$F$4:$F$615='Gastos das Atividades'!$B23),-('Gastos das Atividades'!BL$3&gt;='Gastos Gerais'!$D$4:$D$615),-('Gastos das Atividades'!BL$3&lt;='Gastos Gerais'!$E$4:$E$615),-('Gastos Gerais'!$C$4:$C$615)))</f>
        <v>0</v>
      </c>
      <c r="BM23" s="73">
        <f>IF($B23="",0,SUMPRODUCT(-('Gastos Gerais'!$F$4:$F$615='Gastos das Atividades'!$B23),-('Gastos das Atividades'!BM$3&gt;='Gastos Gerais'!$D$4:$D$615),-('Gastos das Atividades'!BM$3&lt;='Gastos Gerais'!$E$4:$E$615),-('Gastos Gerais'!$C$4:$C$615)))</f>
        <v>0</v>
      </c>
      <c r="BN23" s="73">
        <f>IF($B23="",0,SUMPRODUCT(-('Gastos Gerais'!$F$4:$F$615='Gastos das Atividades'!$B23),-('Gastos das Atividades'!BN$3&gt;='Gastos Gerais'!$D$4:$D$615),-('Gastos das Atividades'!BN$3&lt;='Gastos Gerais'!$E$4:$E$615),-('Gastos Gerais'!$C$4:$C$615)))</f>
        <v>0</v>
      </c>
      <c r="BO23" s="73">
        <f>IF($B23="",0,SUMPRODUCT(-('Gastos Gerais'!$F$4:$F$615='Gastos das Atividades'!$B23),-('Gastos das Atividades'!BO$3&gt;='Gastos Gerais'!$D$4:$D$615),-('Gastos das Atividades'!BO$3&lt;='Gastos Gerais'!$E$4:$E$615),-('Gastos Gerais'!$C$4:$C$615)))</f>
        <v>0</v>
      </c>
      <c r="BP23" s="73">
        <f>IF($B23="",0,SUMPRODUCT(-('Gastos Gerais'!$F$4:$F$615='Gastos das Atividades'!$B23),-('Gastos das Atividades'!BP$3&gt;='Gastos Gerais'!$D$4:$D$615),-('Gastos das Atividades'!BP$3&lt;='Gastos Gerais'!$E$4:$E$615),-('Gastos Gerais'!$C$4:$C$615)))</f>
        <v>0</v>
      </c>
      <c r="BQ23" s="73">
        <f>IF($B23="",0,SUMPRODUCT(-('Gastos Gerais'!$F$4:$F$615='Gastos das Atividades'!$B23),-('Gastos das Atividades'!BQ$3&gt;='Gastos Gerais'!$D$4:$D$615),-('Gastos das Atividades'!BQ$3&lt;='Gastos Gerais'!$E$4:$E$615),-('Gastos Gerais'!$C$4:$C$615)))</f>
        <v>0</v>
      </c>
      <c r="BR23" s="73">
        <f>IF($B23="",0,SUMPRODUCT(-('Gastos Gerais'!$F$4:$F$615='Gastos das Atividades'!$B23),-('Gastos das Atividades'!BR$3&gt;='Gastos Gerais'!$D$4:$D$615),-('Gastos das Atividades'!BR$3&lt;='Gastos Gerais'!$E$4:$E$615),-('Gastos Gerais'!$C$4:$C$615)))</f>
        <v>0</v>
      </c>
      <c r="BS23" s="73">
        <f>IF($B23="",0,SUMPRODUCT(-('Gastos Gerais'!$F$4:$F$615='Gastos das Atividades'!$B23),-('Gastos das Atividades'!BS$3&gt;='Gastos Gerais'!$D$4:$D$615),-('Gastos das Atividades'!BS$3&lt;='Gastos Gerais'!$E$4:$E$615),-('Gastos Gerais'!$C$4:$C$615)))</f>
        <v>0</v>
      </c>
      <c r="BT23" s="73">
        <f>IF($B23="",0,SUMPRODUCT(-('Gastos Gerais'!$F$4:$F$615='Gastos das Atividades'!$B23),-('Gastos das Atividades'!BT$3&gt;='Gastos Gerais'!$D$4:$D$615),-('Gastos das Atividades'!BT$3&lt;='Gastos Gerais'!$E$4:$E$615),-('Gastos Gerais'!$C$4:$C$615)))</f>
        <v>0</v>
      </c>
      <c r="BU23" s="73">
        <f>IF($B23="",0,SUMPRODUCT(-('Gastos Gerais'!$F$4:$F$615='Gastos das Atividades'!$B23),-('Gastos das Atividades'!BU$3&gt;='Gastos Gerais'!$D$4:$D$615),-('Gastos das Atividades'!BU$3&lt;='Gastos Gerais'!$E$4:$E$615),-('Gastos Gerais'!$C$4:$C$615)))</f>
        <v>0</v>
      </c>
      <c r="BV23" s="73">
        <f>IF($B23="",0,SUMPRODUCT(-('Gastos Gerais'!$F$4:$F$615='Gastos das Atividades'!$B23),-('Gastos das Atividades'!BV$3&gt;='Gastos Gerais'!$D$4:$D$615),-('Gastos das Atividades'!BV$3&lt;='Gastos Gerais'!$E$4:$E$615),-('Gastos Gerais'!$C$4:$C$615)))</f>
        <v>0</v>
      </c>
      <c r="BW23" s="73">
        <f>IF($B23="",0,SUMPRODUCT(-('Gastos Gerais'!$F$4:$F$615='Gastos das Atividades'!$B23),-('Gastos das Atividades'!BW$3&gt;='Gastos Gerais'!$D$4:$D$615),-('Gastos das Atividades'!BW$3&lt;='Gastos Gerais'!$E$4:$E$615),-('Gastos Gerais'!$C$4:$C$615)))</f>
        <v>0</v>
      </c>
      <c r="BX23" s="73">
        <f>IF($B23="",0,SUMPRODUCT(-('Gastos Gerais'!$F$4:$F$615='Gastos das Atividades'!$B23),-('Gastos das Atividades'!BX$3&gt;='Gastos Gerais'!$D$4:$D$615),-('Gastos das Atividades'!BX$3&lt;='Gastos Gerais'!$E$4:$E$615),-('Gastos Gerais'!$C$4:$C$615)))</f>
        <v>0</v>
      </c>
    </row>
    <row r="24" spans="1:76" hidden="1" x14ac:dyDescent="0.2">
      <c r="A24" s="146">
        <v>21</v>
      </c>
      <c r="B24" s="164"/>
      <c r="C24" s="305">
        <v>0</v>
      </c>
      <c r="D24" s="357">
        <f t="shared" si="10"/>
        <v>0</v>
      </c>
      <c r="E24" s="144">
        <f t="shared" si="11"/>
        <v>0</v>
      </c>
      <c r="F24" s="73">
        <f t="shared" si="2"/>
        <v>0</v>
      </c>
      <c r="G24" s="73">
        <f t="shared" si="2"/>
        <v>0</v>
      </c>
      <c r="H24" s="73">
        <f t="shared" si="2"/>
        <v>0</v>
      </c>
      <c r="I24" s="73">
        <f t="shared" si="2"/>
        <v>0</v>
      </c>
      <c r="J24" s="145">
        <f t="shared" si="3"/>
        <v>0</v>
      </c>
      <c r="K24" s="76">
        <f t="shared" si="4"/>
        <v>0</v>
      </c>
      <c r="L24" s="76">
        <f t="shared" si="5"/>
        <v>0</v>
      </c>
      <c r="M24" s="76">
        <f t="shared" si="6"/>
        <v>0</v>
      </c>
      <c r="N24" s="76">
        <f t="shared" si="7"/>
        <v>0</v>
      </c>
      <c r="O24" s="76">
        <f t="shared" si="8"/>
        <v>0</v>
      </c>
      <c r="P24" s="209">
        <f t="shared" si="9"/>
        <v>0</v>
      </c>
      <c r="Q24" s="73">
        <f>IF($B24="",0,SUMPRODUCT(-('Gastos Gerais'!$F$4:$F$615='Gastos das Atividades'!$B24),-('Gastos das Atividades'!Q$3&gt;='Gastos Gerais'!$D$4:$D$615),-('Gastos das Atividades'!Q$3&lt;='Gastos Gerais'!$E$4:$E$615),-('Gastos Gerais'!$C$4:$C$615)))</f>
        <v>0</v>
      </c>
      <c r="R24" s="73">
        <f>IF($B24="",0,SUMPRODUCT(-('Gastos Gerais'!$F$4:$F$615='Gastos das Atividades'!$B24),-('Gastos das Atividades'!R$3&gt;='Gastos Gerais'!$D$4:$D$615),-('Gastos das Atividades'!R$3&lt;='Gastos Gerais'!$E$4:$E$615),-('Gastos Gerais'!$C$4:$C$615)))</f>
        <v>0</v>
      </c>
      <c r="S24" s="73">
        <f>IF($B24="",0,SUMPRODUCT(-('Gastos Gerais'!$F$4:$F$615='Gastos das Atividades'!$B24),-('Gastos das Atividades'!S$3&gt;='Gastos Gerais'!$D$4:$D$615),-('Gastos das Atividades'!S$3&lt;='Gastos Gerais'!$E$4:$E$615),-('Gastos Gerais'!$C$4:$C$615)))</f>
        <v>0</v>
      </c>
      <c r="T24" s="73">
        <f>IF($B24="",0,SUMPRODUCT(-('Gastos Gerais'!$F$4:$F$615='Gastos das Atividades'!$B24),-('Gastos das Atividades'!T$3&gt;='Gastos Gerais'!$D$4:$D$615),-('Gastos das Atividades'!T$3&lt;='Gastos Gerais'!$E$4:$E$615),-('Gastos Gerais'!$C$4:$C$615)))</f>
        <v>0</v>
      </c>
      <c r="U24" s="73">
        <f>IF($B24="",0,SUMPRODUCT(-('Gastos Gerais'!$F$4:$F$615='Gastos das Atividades'!$B24),-('Gastos das Atividades'!U$3&gt;='Gastos Gerais'!$D$4:$D$615),-('Gastos das Atividades'!U$3&lt;='Gastos Gerais'!$E$4:$E$615),-('Gastos Gerais'!$C$4:$C$615)))</f>
        <v>0</v>
      </c>
      <c r="V24" s="73">
        <f>IF($B24="",0,SUMPRODUCT(-('Gastos Gerais'!$F$4:$F$615='Gastos das Atividades'!$B24),-('Gastos das Atividades'!V$3&gt;='Gastos Gerais'!$D$4:$D$615),-('Gastos das Atividades'!V$3&lt;='Gastos Gerais'!$E$4:$E$615),-('Gastos Gerais'!$C$4:$C$615)))</f>
        <v>0</v>
      </c>
      <c r="W24" s="73">
        <f>IF($B24="",0,SUMPRODUCT(-('Gastos Gerais'!$F$4:$F$615='Gastos das Atividades'!$B24),-('Gastos das Atividades'!W$3&gt;='Gastos Gerais'!$D$4:$D$615),-('Gastos das Atividades'!W$3&lt;='Gastos Gerais'!$E$4:$E$615),-('Gastos Gerais'!$C$4:$C$615)))</f>
        <v>0</v>
      </c>
      <c r="X24" s="73">
        <f>IF($B24="",0,SUMPRODUCT(-('Gastos Gerais'!$F$4:$F$615='Gastos das Atividades'!$B24),-('Gastos das Atividades'!X$3&gt;='Gastos Gerais'!$D$4:$D$615),-('Gastos das Atividades'!X$3&lt;='Gastos Gerais'!$E$4:$E$615),-('Gastos Gerais'!$C$4:$C$615)))</f>
        <v>0</v>
      </c>
      <c r="Y24" s="73">
        <f>IF($B24="",0,SUMPRODUCT(-('Gastos Gerais'!$F$4:$F$615='Gastos das Atividades'!$B24),-('Gastos das Atividades'!Y$3&gt;='Gastos Gerais'!$D$4:$D$615),-('Gastos das Atividades'!Y$3&lt;='Gastos Gerais'!$E$4:$E$615),-('Gastos Gerais'!$C$4:$C$615)))</f>
        <v>0</v>
      </c>
      <c r="Z24" s="73">
        <f>IF($B24="",0,SUMPRODUCT(-('Gastos Gerais'!$F$4:$F$615='Gastos das Atividades'!$B24),-('Gastos das Atividades'!Z$3&gt;='Gastos Gerais'!$D$4:$D$615),-('Gastos das Atividades'!Z$3&lt;='Gastos Gerais'!$E$4:$E$615),-('Gastos Gerais'!$C$4:$C$615)))</f>
        <v>0</v>
      </c>
      <c r="AA24" s="73">
        <f>IF($B24="",0,SUMPRODUCT(-('Gastos Gerais'!$F$4:$F$615='Gastos das Atividades'!$B24),-('Gastos das Atividades'!AA$3&gt;='Gastos Gerais'!$D$4:$D$615),-('Gastos das Atividades'!AA$3&lt;='Gastos Gerais'!$E$4:$E$615),-('Gastos Gerais'!$C$4:$C$615)))</f>
        <v>0</v>
      </c>
      <c r="AB24" s="73">
        <f>IF($B24="",0,SUMPRODUCT(-('Gastos Gerais'!$F$4:$F$615='Gastos das Atividades'!$B24),-('Gastos das Atividades'!AB$3&gt;='Gastos Gerais'!$D$4:$D$615),-('Gastos das Atividades'!AB$3&lt;='Gastos Gerais'!$E$4:$E$615),-('Gastos Gerais'!$C$4:$C$615)))</f>
        <v>0</v>
      </c>
      <c r="AC24" s="73">
        <f>IF($B24="",0,SUMPRODUCT(-('Gastos Gerais'!$F$4:$F$615='Gastos das Atividades'!$B24),-('Gastos das Atividades'!AC$3&gt;='Gastos Gerais'!$D$4:$D$615),-('Gastos das Atividades'!AC$3&lt;='Gastos Gerais'!$E$4:$E$615),-('Gastos Gerais'!$C$4:$C$615)))</f>
        <v>0</v>
      </c>
      <c r="AD24" s="73">
        <f>IF($B24="",0,SUMPRODUCT(-('Gastos Gerais'!$F$4:$F$615='Gastos das Atividades'!$B24),-('Gastos das Atividades'!AD$3&gt;='Gastos Gerais'!$D$4:$D$615),-('Gastos das Atividades'!AD$3&lt;='Gastos Gerais'!$E$4:$E$615),-('Gastos Gerais'!$C$4:$C$615)))</f>
        <v>0</v>
      </c>
      <c r="AE24" s="73">
        <f>IF($B24="",0,SUMPRODUCT(-('Gastos Gerais'!$F$4:$F$615='Gastos das Atividades'!$B24),-('Gastos das Atividades'!AE$3&gt;='Gastos Gerais'!$D$4:$D$615),-('Gastos das Atividades'!AE$3&lt;='Gastos Gerais'!$E$4:$E$615),-('Gastos Gerais'!$C$4:$C$615)))</f>
        <v>0</v>
      </c>
      <c r="AF24" s="73">
        <f>IF($B24="",0,SUMPRODUCT(-('Gastos Gerais'!$F$4:$F$615='Gastos das Atividades'!$B24),-('Gastos das Atividades'!AF$3&gt;='Gastos Gerais'!$D$4:$D$615),-('Gastos das Atividades'!AF$3&lt;='Gastos Gerais'!$E$4:$E$615),-('Gastos Gerais'!$C$4:$C$615)))</f>
        <v>0</v>
      </c>
      <c r="AG24" s="73">
        <f>IF($B24="",0,SUMPRODUCT(-('Gastos Gerais'!$F$4:$F$615='Gastos das Atividades'!$B24),-('Gastos das Atividades'!AG$3&gt;='Gastos Gerais'!$D$4:$D$615),-('Gastos das Atividades'!AG$3&lt;='Gastos Gerais'!$E$4:$E$615),-('Gastos Gerais'!$C$4:$C$615)))</f>
        <v>0</v>
      </c>
      <c r="AH24" s="73">
        <f>IF($B24="",0,SUMPRODUCT(-('Gastos Gerais'!$F$4:$F$615='Gastos das Atividades'!$B24),-('Gastos das Atividades'!AH$3&gt;='Gastos Gerais'!$D$4:$D$615),-('Gastos das Atividades'!AH$3&lt;='Gastos Gerais'!$E$4:$E$615),-('Gastos Gerais'!$C$4:$C$615)))</f>
        <v>0</v>
      </c>
      <c r="AI24" s="73">
        <f>IF($B24="",0,SUMPRODUCT(-('Gastos Gerais'!$F$4:$F$615='Gastos das Atividades'!$B24),-('Gastos das Atividades'!AI$3&gt;='Gastos Gerais'!$D$4:$D$615),-('Gastos das Atividades'!AI$3&lt;='Gastos Gerais'!$E$4:$E$615),-('Gastos Gerais'!$C$4:$C$615)))</f>
        <v>0</v>
      </c>
      <c r="AJ24" s="73">
        <f>IF($B24="",0,SUMPRODUCT(-('Gastos Gerais'!$F$4:$F$615='Gastos das Atividades'!$B24),-('Gastos das Atividades'!AJ$3&gt;='Gastos Gerais'!$D$4:$D$615),-('Gastos das Atividades'!AJ$3&lt;='Gastos Gerais'!$E$4:$E$615),-('Gastos Gerais'!$C$4:$C$615)))</f>
        <v>0</v>
      </c>
      <c r="AK24" s="73">
        <f>IF($B24="",0,SUMPRODUCT(-('Gastos Gerais'!$F$4:$F$615='Gastos das Atividades'!$B24),-('Gastos das Atividades'!AK$3&gt;='Gastos Gerais'!$D$4:$D$615),-('Gastos das Atividades'!AK$3&lt;='Gastos Gerais'!$E$4:$E$615),-('Gastos Gerais'!$C$4:$C$615)))</f>
        <v>0</v>
      </c>
      <c r="AL24" s="73">
        <f>IF($B24="",0,SUMPRODUCT(-('Gastos Gerais'!$F$4:$F$615='Gastos das Atividades'!$B24),-('Gastos das Atividades'!AL$3&gt;='Gastos Gerais'!$D$4:$D$615),-('Gastos das Atividades'!AL$3&lt;='Gastos Gerais'!$E$4:$E$615),-('Gastos Gerais'!$C$4:$C$615)))</f>
        <v>0</v>
      </c>
      <c r="AM24" s="73">
        <f>IF($B24="",0,SUMPRODUCT(-('Gastos Gerais'!$F$4:$F$615='Gastos das Atividades'!$B24),-('Gastos das Atividades'!AM$3&gt;='Gastos Gerais'!$D$4:$D$615),-('Gastos das Atividades'!AM$3&lt;='Gastos Gerais'!$E$4:$E$615),-('Gastos Gerais'!$C$4:$C$615)))</f>
        <v>0</v>
      </c>
      <c r="AN24" s="73">
        <f>IF($B24="",0,SUMPRODUCT(-('Gastos Gerais'!$F$4:$F$615='Gastos das Atividades'!$B24),-('Gastos das Atividades'!AN$3&gt;='Gastos Gerais'!$D$4:$D$615),-('Gastos das Atividades'!AN$3&lt;='Gastos Gerais'!$E$4:$E$615),-('Gastos Gerais'!$C$4:$C$615)))</f>
        <v>0</v>
      </c>
      <c r="AO24" s="73">
        <f>IF($B24="",0,SUMPRODUCT(-('Gastos Gerais'!$F$4:$F$615='Gastos das Atividades'!$B24),-('Gastos das Atividades'!AO$3&gt;='Gastos Gerais'!$D$4:$D$615),-('Gastos das Atividades'!AO$3&lt;='Gastos Gerais'!$E$4:$E$615),-('Gastos Gerais'!$C$4:$C$615)))</f>
        <v>0</v>
      </c>
      <c r="AP24" s="73">
        <f>IF($B24="",0,SUMPRODUCT(-('Gastos Gerais'!$F$4:$F$615='Gastos das Atividades'!$B24),-('Gastos das Atividades'!AP$3&gt;='Gastos Gerais'!$D$4:$D$615),-('Gastos das Atividades'!AP$3&lt;='Gastos Gerais'!$E$4:$E$615),-('Gastos Gerais'!$C$4:$C$615)))</f>
        <v>0</v>
      </c>
      <c r="AQ24" s="73">
        <f>IF($B24="",0,SUMPRODUCT(-('Gastos Gerais'!$F$4:$F$615='Gastos das Atividades'!$B24),-('Gastos das Atividades'!AQ$3&gt;='Gastos Gerais'!$D$4:$D$615),-('Gastos das Atividades'!AQ$3&lt;='Gastos Gerais'!$E$4:$E$615),-('Gastos Gerais'!$C$4:$C$615)))</f>
        <v>0</v>
      </c>
      <c r="AR24" s="73">
        <f>IF($B24="",0,SUMPRODUCT(-('Gastos Gerais'!$F$4:$F$615='Gastos das Atividades'!$B24),-('Gastos das Atividades'!AR$3&gt;='Gastos Gerais'!$D$4:$D$615),-('Gastos das Atividades'!AR$3&lt;='Gastos Gerais'!$E$4:$E$615),-('Gastos Gerais'!$C$4:$C$615)))</f>
        <v>0</v>
      </c>
      <c r="AS24" s="73">
        <f>IF($B24="",0,SUMPRODUCT(-('Gastos Gerais'!$F$4:$F$615='Gastos das Atividades'!$B24),-('Gastos das Atividades'!AS$3&gt;='Gastos Gerais'!$D$4:$D$615),-('Gastos das Atividades'!AS$3&lt;='Gastos Gerais'!$E$4:$E$615),-('Gastos Gerais'!$C$4:$C$615)))</f>
        <v>0</v>
      </c>
      <c r="AT24" s="73">
        <f>IF($B24="",0,SUMPRODUCT(-('Gastos Gerais'!$F$4:$F$615='Gastos das Atividades'!$B24),-('Gastos das Atividades'!AT$3&gt;='Gastos Gerais'!$D$4:$D$615),-('Gastos das Atividades'!AT$3&lt;='Gastos Gerais'!$E$4:$E$615),-('Gastos Gerais'!$C$4:$C$615)))</f>
        <v>0</v>
      </c>
      <c r="AU24" s="73">
        <f>IF($B24="",0,SUMPRODUCT(-('Gastos Gerais'!$F$4:$F$615='Gastos das Atividades'!$B24),-('Gastos das Atividades'!AU$3&gt;='Gastos Gerais'!$D$4:$D$615),-('Gastos das Atividades'!AU$3&lt;='Gastos Gerais'!$E$4:$E$615),-('Gastos Gerais'!$C$4:$C$615)))</f>
        <v>0</v>
      </c>
      <c r="AV24" s="73">
        <f>IF($B24="",0,SUMPRODUCT(-('Gastos Gerais'!$F$4:$F$615='Gastos das Atividades'!$B24),-('Gastos das Atividades'!AV$3&gt;='Gastos Gerais'!$D$4:$D$615),-('Gastos das Atividades'!AV$3&lt;='Gastos Gerais'!$E$4:$E$615),-('Gastos Gerais'!$C$4:$C$615)))</f>
        <v>0</v>
      </c>
      <c r="AW24" s="73">
        <f>IF($B24="",0,SUMPRODUCT(-('Gastos Gerais'!$F$4:$F$615='Gastos das Atividades'!$B24),-('Gastos das Atividades'!AW$3&gt;='Gastos Gerais'!$D$4:$D$615),-('Gastos das Atividades'!AW$3&lt;='Gastos Gerais'!$E$4:$E$615),-('Gastos Gerais'!$C$4:$C$615)))</f>
        <v>0</v>
      </c>
      <c r="AX24" s="73">
        <f>IF($B24="",0,SUMPRODUCT(-('Gastos Gerais'!$F$4:$F$615='Gastos das Atividades'!$B24),-('Gastos das Atividades'!AX$3&gt;='Gastos Gerais'!$D$4:$D$615),-('Gastos das Atividades'!AX$3&lt;='Gastos Gerais'!$E$4:$E$615),-('Gastos Gerais'!$C$4:$C$615)))</f>
        <v>0</v>
      </c>
      <c r="AY24" s="73">
        <f>IF($B24="",0,SUMPRODUCT(-('Gastos Gerais'!$F$4:$F$615='Gastos das Atividades'!$B24),-('Gastos das Atividades'!AY$3&gt;='Gastos Gerais'!$D$4:$D$615),-('Gastos das Atividades'!AY$3&lt;='Gastos Gerais'!$E$4:$E$615),-('Gastos Gerais'!$C$4:$C$615)))</f>
        <v>0</v>
      </c>
      <c r="AZ24" s="73">
        <f>IF($B24="",0,SUMPRODUCT(-('Gastos Gerais'!$F$4:$F$615='Gastos das Atividades'!$B24),-('Gastos das Atividades'!AZ$3&gt;='Gastos Gerais'!$D$4:$D$615),-('Gastos das Atividades'!AZ$3&lt;='Gastos Gerais'!$E$4:$E$615),-('Gastos Gerais'!$C$4:$C$615)))</f>
        <v>0</v>
      </c>
      <c r="BA24" s="73">
        <f>IF($B24="",0,SUMPRODUCT(-('Gastos Gerais'!$F$4:$F$615='Gastos das Atividades'!$B24),-('Gastos das Atividades'!BA$3&gt;='Gastos Gerais'!$D$4:$D$615),-('Gastos das Atividades'!BA$3&lt;='Gastos Gerais'!$E$4:$E$615),-('Gastos Gerais'!$C$4:$C$615)))</f>
        <v>0</v>
      </c>
      <c r="BB24" s="73">
        <f>IF($B24="",0,SUMPRODUCT(-('Gastos Gerais'!$F$4:$F$615='Gastos das Atividades'!$B24),-('Gastos das Atividades'!BB$3&gt;='Gastos Gerais'!$D$4:$D$615),-('Gastos das Atividades'!BB$3&lt;='Gastos Gerais'!$E$4:$E$615),-('Gastos Gerais'!$C$4:$C$615)))</f>
        <v>0</v>
      </c>
      <c r="BC24" s="73">
        <f>IF($B24="",0,SUMPRODUCT(-('Gastos Gerais'!$F$4:$F$615='Gastos das Atividades'!$B24),-('Gastos das Atividades'!BC$3&gt;='Gastos Gerais'!$D$4:$D$615),-('Gastos das Atividades'!BC$3&lt;='Gastos Gerais'!$E$4:$E$615),-('Gastos Gerais'!$C$4:$C$615)))</f>
        <v>0</v>
      </c>
      <c r="BD24" s="73">
        <f>IF($B24="",0,SUMPRODUCT(-('Gastos Gerais'!$F$4:$F$615='Gastos das Atividades'!$B24),-('Gastos das Atividades'!BD$3&gt;='Gastos Gerais'!$D$4:$D$615),-('Gastos das Atividades'!BD$3&lt;='Gastos Gerais'!$E$4:$E$615),-('Gastos Gerais'!$C$4:$C$615)))</f>
        <v>0</v>
      </c>
      <c r="BE24" s="73">
        <f>IF($B24="",0,SUMPRODUCT(-('Gastos Gerais'!$F$4:$F$615='Gastos das Atividades'!$B24),-('Gastos das Atividades'!BE$3&gt;='Gastos Gerais'!$D$4:$D$615),-('Gastos das Atividades'!BE$3&lt;='Gastos Gerais'!$E$4:$E$615),-('Gastos Gerais'!$C$4:$C$615)))</f>
        <v>0</v>
      </c>
      <c r="BF24" s="73">
        <f>IF($B24="",0,SUMPRODUCT(-('Gastos Gerais'!$F$4:$F$615='Gastos das Atividades'!$B24),-('Gastos das Atividades'!BF$3&gt;='Gastos Gerais'!$D$4:$D$615),-('Gastos das Atividades'!BF$3&lt;='Gastos Gerais'!$E$4:$E$615),-('Gastos Gerais'!$C$4:$C$615)))</f>
        <v>0</v>
      </c>
      <c r="BG24" s="73">
        <f>IF($B24="",0,SUMPRODUCT(-('Gastos Gerais'!$F$4:$F$615='Gastos das Atividades'!$B24),-('Gastos das Atividades'!BG$3&gt;='Gastos Gerais'!$D$4:$D$615),-('Gastos das Atividades'!BG$3&lt;='Gastos Gerais'!$E$4:$E$615),-('Gastos Gerais'!$C$4:$C$615)))</f>
        <v>0</v>
      </c>
      <c r="BH24" s="73">
        <f>IF($B24="",0,SUMPRODUCT(-('Gastos Gerais'!$F$4:$F$615='Gastos das Atividades'!$B24),-('Gastos das Atividades'!BH$3&gt;='Gastos Gerais'!$D$4:$D$615),-('Gastos das Atividades'!BH$3&lt;='Gastos Gerais'!$E$4:$E$615),-('Gastos Gerais'!$C$4:$C$615)))</f>
        <v>0</v>
      </c>
      <c r="BI24" s="73">
        <f>IF($B24="",0,SUMPRODUCT(-('Gastos Gerais'!$F$4:$F$615='Gastos das Atividades'!$B24),-('Gastos das Atividades'!BI$3&gt;='Gastos Gerais'!$D$4:$D$615),-('Gastos das Atividades'!BI$3&lt;='Gastos Gerais'!$E$4:$E$615),-('Gastos Gerais'!$C$4:$C$615)))</f>
        <v>0</v>
      </c>
      <c r="BJ24" s="73">
        <f>IF($B24="",0,SUMPRODUCT(-('Gastos Gerais'!$F$4:$F$615='Gastos das Atividades'!$B24),-('Gastos das Atividades'!BJ$3&gt;='Gastos Gerais'!$D$4:$D$615),-('Gastos das Atividades'!BJ$3&lt;='Gastos Gerais'!$E$4:$E$615),-('Gastos Gerais'!$C$4:$C$615)))</f>
        <v>0</v>
      </c>
      <c r="BK24" s="73">
        <f>IF($B24="",0,SUMPRODUCT(-('Gastos Gerais'!$F$4:$F$615='Gastos das Atividades'!$B24),-('Gastos das Atividades'!BK$3&gt;='Gastos Gerais'!$D$4:$D$615),-('Gastos das Atividades'!BK$3&lt;='Gastos Gerais'!$E$4:$E$615),-('Gastos Gerais'!$C$4:$C$615)))</f>
        <v>0</v>
      </c>
      <c r="BL24" s="73">
        <f>IF($B24="",0,SUMPRODUCT(-('Gastos Gerais'!$F$4:$F$615='Gastos das Atividades'!$B24),-('Gastos das Atividades'!BL$3&gt;='Gastos Gerais'!$D$4:$D$615),-('Gastos das Atividades'!BL$3&lt;='Gastos Gerais'!$E$4:$E$615),-('Gastos Gerais'!$C$4:$C$615)))</f>
        <v>0</v>
      </c>
      <c r="BM24" s="73">
        <f>IF($B24="",0,SUMPRODUCT(-('Gastos Gerais'!$F$4:$F$615='Gastos das Atividades'!$B24),-('Gastos das Atividades'!BM$3&gt;='Gastos Gerais'!$D$4:$D$615),-('Gastos das Atividades'!BM$3&lt;='Gastos Gerais'!$E$4:$E$615),-('Gastos Gerais'!$C$4:$C$615)))</f>
        <v>0</v>
      </c>
      <c r="BN24" s="73">
        <f>IF($B24="",0,SUMPRODUCT(-('Gastos Gerais'!$F$4:$F$615='Gastos das Atividades'!$B24),-('Gastos das Atividades'!BN$3&gt;='Gastos Gerais'!$D$4:$D$615),-('Gastos das Atividades'!BN$3&lt;='Gastos Gerais'!$E$4:$E$615),-('Gastos Gerais'!$C$4:$C$615)))</f>
        <v>0</v>
      </c>
      <c r="BO24" s="73">
        <f>IF($B24="",0,SUMPRODUCT(-('Gastos Gerais'!$F$4:$F$615='Gastos das Atividades'!$B24),-('Gastos das Atividades'!BO$3&gt;='Gastos Gerais'!$D$4:$D$615),-('Gastos das Atividades'!BO$3&lt;='Gastos Gerais'!$E$4:$E$615),-('Gastos Gerais'!$C$4:$C$615)))</f>
        <v>0</v>
      </c>
      <c r="BP24" s="73">
        <f>IF($B24="",0,SUMPRODUCT(-('Gastos Gerais'!$F$4:$F$615='Gastos das Atividades'!$B24),-('Gastos das Atividades'!BP$3&gt;='Gastos Gerais'!$D$4:$D$615),-('Gastos das Atividades'!BP$3&lt;='Gastos Gerais'!$E$4:$E$615),-('Gastos Gerais'!$C$4:$C$615)))</f>
        <v>0</v>
      </c>
      <c r="BQ24" s="73">
        <f>IF($B24="",0,SUMPRODUCT(-('Gastos Gerais'!$F$4:$F$615='Gastos das Atividades'!$B24),-('Gastos das Atividades'!BQ$3&gt;='Gastos Gerais'!$D$4:$D$615),-('Gastos das Atividades'!BQ$3&lt;='Gastos Gerais'!$E$4:$E$615),-('Gastos Gerais'!$C$4:$C$615)))</f>
        <v>0</v>
      </c>
      <c r="BR24" s="73">
        <f>IF($B24="",0,SUMPRODUCT(-('Gastos Gerais'!$F$4:$F$615='Gastos das Atividades'!$B24),-('Gastos das Atividades'!BR$3&gt;='Gastos Gerais'!$D$4:$D$615),-('Gastos das Atividades'!BR$3&lt;='Gastos Gerais'!$E$4:$E$615),-('Gastos Gerais'!$C$4:$C$615)))</f>
        <v>0</v>
      </c>
      <c r="BS24" s="73">
        <f>IF($B24="",0,SUMPRODUCT(-('Gastos Gerais'!$F$4:$F$615='Gastos das Atividades'!$B24),-('Gastos das Atividades'!BS$3&gt;='Gastos Gerais'!$D$4:$D$615),-('Gastos das Atividades'!BS$3&lt;='Gastos Gerais'!$E$4:$E$615),-('Gastos Gerais'!$C$4:$C$615)))</f>
        <v>0</v>
      </c>
      <c r="BT24" s="73">
        <f>IF($B24="",0,SUMPRODUCT(-('Gastos Gerais'!$F$4:$F$615='Gastos das Atividades'!$B24),-('Gastos das Atividades'!BT$3&gt;='Gastos Gerais'!$D$4:$D$615),-('Gastos das Atividades'!BT$3&lt;='Gastos Gerais'!$E$4:$E$615),-('Gastos Gerais'!$C$4:$C$615)))</f>
        <v>0</v>
      </c>
      <c r="BU24" s="73">
        <f>IF($B24="",0,SUMPRODUCT(-('Gastos Gerais'!$F$4:$F$615='Gastos das Atividades'!$B24),-('Gastos das Atividades'!BU$3&gt;='Gastos Gerais'!$D$4:$D$615),-('Gastos das Atividades'!BU$3&lt;='Gastos Gerais'!$E$4:$E$615),-('Gastos Gerais'!$C$4:$C$615)))</f>
        <v>0</v>
      </c>
      <c r="BV24" s="73">
        <f>IF($B24="",0,SUMPRODUCT(-('Gastos Gerais'!$F$4:$F$615='Gastos das Atividades'!$B24),-('Gastos das Atividades'!BV$3&gt;='Gastos Gerais'!$D$4:$D$615),-('Gastos das Atividades'!BV$3&lt;='Gastos Gerais'!$E$4:$E$615),-('Gastos Gerais'!$C$4:$C$615)))</f>
        <v>0</v>
      </c>
      <c r="BW24" s="73">
        <f>IF($B24="",0,SUMPRODUCT(-('Gastos Gerais'!$F$4:$F$615='Gastos das Atividades'!$B24),-('Gastos das Atividades'!BW$3&gt;='Gastos Gerais'!$D$4:$D$615),-('Gastos das Atividades'!BW$3&lt;='Gastos Gerais'!$E$4:$E$615),-('Gastos Gerais'!$C$4:$C$615)))</f>
        <v>0</v>
      </c>
      <c r="BX24" s="73">
        <f>IF($B24="",0,SUMPRODUCT(-('Gastos Gerais'!$F$4:$F$615='Gastos das Atividades'!$B24),-('Gastos das Atividades'!BX$3&gt;='Gastos Gerais'!$D$4:$D$615),-('Gastos das Atividades'!BX$3&lt;='Gastos Gerais'!$E$4:$E$615),-('Gastos Gerais'!$C$4:$C$615)))</f>
        <v>0</v>
      </c>
    </row>
    <row r="25" spans="1:76" hidden="1" x14ac:dyDescent="0.2">
      <c r="A25" s="146">
        <v>22</v>
      </c>
      <c r="B25" s="164"/>
      <c r="C25" s="305">
        <v>0</v>
      </c>
      <c r="D25" s="357">
        <f t="shared" si="10"/>
        <v>0</v>
      </c>
      <c r="E25" s="144">
        <f t="shared" si="11"/>
        <v>0</v>
      </c>
      <c r="F25" s="73">
        <f t="shared" si="2"/>
        <v>0</v>
      </c>
      <c r="G25" s="73">
        <f t="shared" si="2"/>
        <v>0</v>
      </c>
      <c r="H25" s="73">
        <f t="shared" si="2"/>
        <v>0</v>
      </c>
      <c r="I25" s="73">
        <f t="shared" si="2"/>
        <v>0</v>
      </c>
      <c r="J25" s="145">
        <f t="shared" si="3"/>
        <v>0</v>
      </c>
      <c r="K25" s="76">
        <f t="shared" si="4"/>
        <v>0</v>
      </c>
      <c r="L25" s="76">
        <f t="shared" si="5"/>
        <v>0</v>
      </c>
      <c r="M25" s="76">
        <f t="shared" si="6"/>
        <v>0</v>
      </c>
      <c r="N25" s="76">
        <f t="shared" si="7"/>
        <v>0</v>
      </c>
      <c r="O25" s="76">
        <f t="shared" si="8"/>
        <v>0</v>
      </c>
      <c r="P25" s="209">
        <f t="shared" si="9"/>
        <v>0</v>
      </c>
      <c r="Q25" s="73">
        <f>IF($B25="",0,SUMPRODUCT(-('Gastos Gerais'!$F$4:$F$615='Gastos das Atividades'!$B25),-('Gastos das Atividades'!Q$3&gt;='Gastos Gerais'!$D$4:$D$615),-('Gastos das Atividades'!Q$3&lt;='Gastos Gerais'!$E$4:$E$615),-('Gastos Gerais'!$C$4:$C$615)))</f>
        <v>0</v>
      </c>
      <c r="R25" s="73">
        <f>IF($B25="",0,SUMPRODUCT(-('Gastos Gerais'!$F$4:$F$615='Gastos das Atividades'!$B25),-('Gastos das Atividades'!R$3&gt;='Gastos Gerais'!$D$4:$D$615),-('Gastos das Atividades'!R$3&lt;='Gastos Gerais'!$E$4:$E$615),-('Gastos Gerais'!$C$4:$C$615)))</f>
        <v>0</v>
      </c>
      <c r="S25" s="73">
        <f>IF($B25="",0,SUMPRODUCT(-('Gastos Gerais'!$F$4:$F$615='Gastos das Atividades'!$B25),-('Gastos das Atividades'!S$3&gt;='Gastos Gerais'!$D$4:$D$615),-('Gastos das Atividades'!S$3&lt;='Gastos Gerais'!$E$4:$E$615),-('Gastos Gerais'!$C$4:$C$615)))</f>
        <v>0</v>
      </c>
      <c r="T25" s="73">
        <f>IF($B25="",0,SUMPRODUCT(-('Gastos Gerais'!$F$4:$F$615='Gastos das Atividades'!$B25),-('Gastos das Atividades'!T$3&gt;='Gastos Gerais'!$D$4:$D$615),-('Gastos das Atividades'!T$3&lt;='Gastos Gerais'!$E$4:$E$615),-('Gastos Gerais'!$C$4:$C$615)))</f>
        <v>0</v>
      </c>
      <c r="U25" s="73">
        <f>IF($B25="",0,SUMPRODUCT(-('Gastos Gerais'!$F$4:$F$615='Gastos das Atividades'!$B25),-('Gastos das Atividades'!U$3&gt;='Gastos Gerais'!$D$4:$D$615),-('Gastos das Atividades'!U$3&lt;='Gastos Gerais'!$E$4:$E$615),-('Gastos Gerais'!$C$4:$C$615)))</f>
        <v>0</v>
      </c>
      <c r="V25" s="73">
        <f>IF($B25="",0,SUMPRODUCT(-('Gastos Gerais'!$F$4:$F$615='Gastos das Atividades'!$B25),-('Gastos das Atividades'!V$3&gt;='Gastos Gerais'!$D$4:$D$615),-('Gastos das Atividades'!V$3&lt;='Gastos Gerais'!$E$4:$E$615),-('Gastos Gerais'!$C$4:$C$615)))</f>
        <v>0</v>
      </c>
      <c r="W25" s="73">
        <f>IF($B25="",0,SUMPRODUCT(-('Gastos Gerais'!$F$4:$F$615='Gastos das Atividades'!$B25),-('Gastos das Atividades'!W$3&gt;='Gastos Gerais'!$D$4:$D$615),-('Gastos das Atividades'!W$3&lt;='Gastos Gerais'!$E$4:$E$615),-('Gastos Gerais'!$C$4:$C$615)))</f>
        <v>0</v>
      </c>
      <c r="X25" s="73">
        <f>IF($B25="",0,SUMPRODUCT(-('Gastos Gerais'!$F$4:$F$615='Gastos das Atividades'!$B25),-('Gastos das Atividades'!X$3&gt;='Gastos Gerais'!$D$4:$D$615),-('Gastos das Atividades'!X$3&lt;='Gastos Gerais'!$E$4:$E$615),-('Gastos Gerais'!$C$4:$C$615)))</f>
        <v>0</v>
      </c>
      <c r="Y25" s="73">
        <f>IF($B25="",0,SUMPRODUCT(-('Gastos Gerais'!$F$4:$F$615='Gastos das Atividades'!$B25),-('Gastos das Atividades'!Y$3&gt;='Gastos Gerais'!$D$4:$D$615),-('Gastos das Atividades'!Y$3&lt;='Gastos Gerais'!$E$4:$E$615),-('Gastos Gerais'!$C$4:$C$615)))</f>
        <v>0</v>
      </c>
      <c r="Z25" s="73">
        <f>IF($B25="",0,SUMPRODUCT(-('Gastos Gerais'!$F$4:$F$615='Gastos das Atividades'!$B25),-('Gastos das Atividades'!Z$3&gt;='Gastos Gerais'!$D$4:$D$615),-('Gastos das Atividades'!Z$3&lt;='Gastos Gerais'!$E$4:$E$615),-('Gastos Gerais'!$C$4:$C$615)))</f>
        <v>0</v>
      </c>
      <c r="AA25" s="73">
        <f>IF($B25="",0,SUMPRODUCT(-('Gastos Gerais'!$F$4:$F$615='Gastos das Atividades'!$B25),-('Gastos das Atividades'!AA$3&gt;='Gastos Gerais'!$D$4:$D$615),-('Gastos das Atividades'!AA$3&lt;='Gastos Gerais'!$E$4:$E$615),-('Gastos Gerais'!$C$4:$C$615)))</f>
        <v>0</v>
      </c>
      <c r="AB25" s="73">
        <f>IF($B25="",0,SUMPRODUCT(-('Gastos Gerais'!$F$4:$F$615='Gastos das Atividades'!$B25),-('Gastos das Atividades'!AB$3&gt;='Gastos Gerais'!$D$4:$D$615),-('Gastos das Atividades'!AB$3&lt;='Gastos Gerais'!$E$4:$E$615),-('Gastos Gerais'!$C$4:$C$615)))</f>
        <v>0</v>
      </c>
      <c r="AC25" s="73">
        <f>IF($B25="",0,SUMPRODUCT(-('Gastos Gerais'!$F$4:$F$615='Gastos das Atividades'!$B25),-('Gastos das Atividades'!AC$3&gt;='Gastos Gerais'!$D$4:$D$615),-('Gastos das Atividades'!AC$3&lt;='Gastos Gerais'!$E$4:$E$615),-('Gastos Gerais'!$C$4:$C$615)))</f>
        <v>0</v>
      </c>
      <c r="AD25" s="73">
        <f>IF($B25="",0,SUMPRODUCT(-('Gastos Gerais'!$F$4:$F$615='Gastos das Atividades'!$B25),-('Gastos das Atividades'!AD$3&gt;='Gastos Gerais'!$D$4:$D$615),-('Gastos das Atividades'!AD$3&lt;='Gastos Gerais'!$E$4:$E$615),-('Gastos Gerais'!$C$4:$C$615)))</f>
        <v>0</v>
      </c>
      <c r="AE25" s="73">
        <f>IF($B25="",0,SUMPRODUCT(-('Gastos Gerais'!$F$4:$F$615='Gastos das Atividades'!$B25),-('Gastos das Atividades'!AE$3&gt;='Gastos Gerais'!$D$4:$D$615),-('Gastos das Atividades'!AE$3&lt;='Gastos Gerais'!$E$4:$E$615),-('Gastos Gerais'!$C$4:$C$615)))</f>
        <v>0</v>
      </c>
      <c r="AF25" s="73">
        <f>IF($B25="",0,SUMPRODUCT(-('Gastos Gerais'!$F$4:$F$615='Gastos das Atividades'!$B25),-('Gastos das Atividades'!AF$3&gt;='Gastos Gerais'!$D$4:$D$615),-('Gastos das Atividades'!AF$3&lt;='Gastos Gerais'!$E$4:$E$615),-('Gastos Gerais'!$C$4:$C$615)))</f>
        <v>0</v>
      </c>
      <c r="AG25" s="73">
        <f>IF($B25="",0,SUMPRODUCT(-('Gastos Gerais'!$F$4:$F$615='Gastos das Atividades'!$B25),-('Gastos das Atividades'!AG$3&gt;='Gastos Gerais'!$D$4:$D$615),-('Gastos das Atividades'!AG$3&lt;='Gastos Gerais'!$E$4:$E$615),-('Gastos Gerais'!$C$4:$C$615)))</f>
        <v>0</v>
      </c>
      <c r="AH25" s="73">
        <f>IF($B25="",0,SUMPRODUCT(-('Gastos Gerais'!$F$4:$F$615='Gastos das Atividades'!$B25),-('Gastos das Atividades'!AH$3&gt;='Gastos Gerais'!$D$4:$D$615),-('Gastos das Atividades'!AH$3&lt;='Gastos Gerais'!$E$4:$E$615),-('Gastos Gerais'!$C$4:$C$615)))</f>
        <v>0</v>
      </c>
      <c r="AI25" s="73">
        <f>IF($B25="",0,SUMPRODUCT(-('Gastos Gerais'!$F$4:$F$615='Gastos das Atividades'!$B25),-('Gastos das Atividades'!AI$3&gt;='Gastos Gerais'!$D$4:$D$615),-('Gastos das Atividades'!AI$3&lt;='Gastos Gerais'!$E$4:$E$615),-('Gastos Gerais'!$C$4:$C$615)))</f>
        <v>0</v>
      </c>
      <c r="AJ25" s="73">
        <f>IF($B25="",0,SUMPRODUCT(-('Gastos Gerais'!$F$4:$F$615='Gastos das Atividades'!$B25),-('Gastos das Atividades'!AJ$3&gt;='Gastos Gerais'!$D$4:$D$615),-('Gastos das Atividades'!AJ$3&lt;='Gastos Gerais'!$E$4:$E$615),-('Gastos Gerais'!$C$4:$C$615)))</f>
        <v>0</v>
      </c>
      <c r="AK25" s="73">
        <f>IF($B25="",0,SUMPRODUCT(-('Gastos Gerais'!$F$4:$F$615='Gastos das Atividades'!$B25),-('Gastos das Atividades'!AK$3&gt;='Gastos Gerais'!$D$4:$D$615),-('Gastos das Atividades'!AK$3&lt;='Gastos Gerais'!$E$4:$E$615),-('Gastos Gerais'!$C$4:$C$615)))</f>
        <v>0</v>
      </c>
      <c r="AL25" s="73">
        <f>IF($B25="",0,SUMPRODUCT(-('Gastos Gerais'!$F$4:$F$615='Gastos das Atividades'!$B25),-('Gastos das Atividades'!AL$3&gt;='Gastos Gerais'!$D$4:$D$615),-('Gastos das Atividades'!AL$3&lt;='Gastos Gerais'!$E$4:$E$615),-('Gastos Gerais'!$C$4:$C$615)))</f>
        <v>0</v>
      </c>
      <c r="AM25" s="73">
        <f>IF($B25="",0,SUMPRODUCT(-('Gastos Gerais'!$F$4:$F$615='Gastos das Atividades'!$B25),-('Gastos das Atividades'!AM$3&gt;='Gastos Gerais'!$D$4:$D$615),-('Gastos das Atividades'!AM$3&lt;='Gastos Gerais'!$E$4:$E$615),-('Gastos Gerais'!$C$4:$C$615)))</f>
        <v>0</v>
      </c>
      <c r="AN25" s="73">
        <f>IF($B25="",0,SUMPRODUCT(-('Gastos Gerais'!$F$4:$F$615='Gastos das Atividades'!$B25),-('Gastos das Atividades'!AN$3&gt;='Gastos Gerais'!$D$4:$D$615),-('Gastos das Atividades'!AN$3&lt;='Gastos Gerais'!$E$4:$E$615),-('Gastos Gerais'!$C$4:$C$615)))</f>
        <v>0</v>
      </c>
      <c r="AO25" s="73">
        <f>IF($B25="",0,SUMPRODUCT(-('Gastos Gerais'!$F$4:$F$615='Gastos das Atividades'!$B25),-('Gastos das Atividades'!AO$3&gt;='Gastos Gerais'!$D$4:$D$615),-('Gastos das Atividades'!AO$3&lt;='Gastos Gerais'!$E$4:$E$615),-('Gastos Gerais'!$C$4:$C$615)))</f>
        <v>0</v>
      </c>
      <c r="AP25" s="73">
        <f>IF($B25="",0,SUMPRODUCT(-('Gastos Gerais'!$F$4:$F$615='Gastos das Atividades'!$B25),-('Gastos das Atividades'!AP$3&gt;='Gastos Gerais'!$D$4:$D$615),-('Gastos das Atividades'!AP$3&lt;='Gastos Gerais'!$E$4:$E$615),-('Gastos Gerais'!$C$4:$C$615)))</f>
        <v>0</v>
      </c>
      <c r="AQ25" s="73">
        <f>IF($B25="",0,SUMPRODUCT(-('Gastos Gerais'!$F$4:$F$615='Gastos das Atividades'!$B25),-('Gastos das Atividades'!AQ$3&gt;='Gastos Gerais'!$D$4:$D$615),-('Gastos das Atividades'!AQ$3&lt;='Gastos Gerais'!$E$4:$E$615),-('Gastos Gerais'!$C$4:$C$615)))</f>
        <v>0</v>
      </c>
      <c r="AR25" s="73">
        <f>IF($B25="",0,SUMPRODUCT(-('Gastos Gerais'!$F$4:$F$615='Gastos das Atividades'!$B25),-('Gastos das Atividades'!AR$3&gt;='Gastos Gerais'!$D$4:$D$615),-('Gastos das Atividades'!AR$3&lt;='Gastos Gerais'!$E$4:$E$615),-('Gastos Gerais'!$C$4:$C$615)))</f>
        <v>0</v>
      </c>
      <c r="AS25" s="73">
        <f>IF($B25="",0,SUMPRODUCT(-('Gastos Gerais'!$F$4:$F$615='Gastos das Atividades'!$B25),-('Gastos das Atividades'!AS$3&gt;='Gastos Gerais'!$D$4:$D$615),-('Gastos das Atividades'!AS$3&lt;='Gastos Gerais'!$E$4:$E$615),-('Gastos Gerais'!$C$4:$C$615)))</f>
        <v>0</v>
      </c>
      <c r="AT25" s="73">
        <f>IF($B25="",0,SUMPRODUCT(-('Gastos Gerais'!$F$4:$F$615='Gastos das Atividades'!$B25),-('Gastos das Atividades'!AT$3&gt;='Gastos Gerais'!$D$4:$D$615),-('Gastos das Atividades'!AT$3&lt;='Gastos Gerais'!$E$4:$E$615),-('Gastos Gerais'!$C$4:$C$615)))</f>
        <v>0</v>
      </c>
      <c r="AU25" s="73">
        <f>IF($B25="",0,SUMPRODUCT(-('Gastos Gerais'!$F$4:$F$615='Gastos das Atividades'!$B25),-('Gastos das Atividades'!AU$3&gt;='Gastos Gerais'!$D$4:$D$615),-('Gastos das Atividades'!AU$3&lt;='Gastos Gerais'!$E$4:$E$615),-('Gastos Gerais'!$C$4:$C$615)))</f>
        <v>0</v>
      </c>
      <c r="AV25" s="73">
        <f>IF($B25="",0,SUMPRODUCT(-('Gastos Gerais'!$F$4:$F$615='Gastos das Atividades'!$B25),-('Gastos das Atividades'!AV$3&gt;='Gastos Gerais'!$D$4:$D$615),-('Gastos das Atividades'!AV$3&lt;='Gastos Gerais'!$E$4:$E$615),-('Gastos Gerais'!$C$4:$C$615)))</f>
        <v>0</v>
      </c>
      <c r="AW25" s="73">
        <f>IF($B25="",0,SUMPRODUCT(-('Gastos Gerais'!$F$4:$F$615='Gastos das Atividades'!$B25),-('Gastos das Atividades'!AW$3&gt;='Gastos Gerais'!$D$4:$D$615),-('Gastos das Atividades'!AW$3&lt;='Gastos Gerais'!$E$4:$E$615),-('Gastos Gerais'!$C$4:$C$615)))</f>
        <v>0</v>
      </c>
      <c r="AX25" s="73">
        <f>IF($B25="",0,SUMPRODUCT(-('Gastos Gerais'!$F$4:$F$615='Gastos das Atividades'!$B25),-('Gastos das Atividades'!AX$3&gt;='Gastos Gerais'!$D$4:$D$615),-('Gastos das Atividades'!AX$3&lt;='Gastos Gerais'!$E$4:$E$615),-('Gastos Gerais'!$C$4:$C$615)))</f>
        <v>0</v>
      </c>
      <c r="AY25" s="73">
        <f>IF($B25="",0,SUMPRODUCT(-('Gastos Gerais'!$F$4:$F$615='Gastos das Atividades'!$B25),-('Gastos das Atividades'!AY$3&gt;='Gastos Gerais'!$D$4:$D$615),-('Gastos das Atividades'!AY$3&lt;='Gastos Gerais'!$E$4:$E$615),-('Gastos Gerais'!$C$4:$C$615)))</f>
        <v>0</v>
      </c>
      <c r="AZ25" s="73">
        <f>IF($B25="",0,SUMPRODUCT(-('Gastos Gerais'!$F$4:$F$615='Gastos das Atividades'!$B25),-('Gastos das Atividades'!AZ$3&gt;='Gastos Gerais'!$D$4:$D$615),-('Gastos das Atividades'!AZ$3&lt;='Gastos Gerais'!$E$4:$E$615),-('Gastos Gerais'!$C$4:$C$615)))</f>
        <v>0</v>
      </c>
      <c r="BA25" s="73">
        <f>IF($B25="",0,SUMPRODUCT(-('Gastos Gerais'!$F$4:$F$615='Gastos das Atividades'!$B25),-('Gastos das Atividades'!BA$3&gt;='Gastos Gerais'!$D$4:$D$615),-('Gastos das Atividades'!BA$3&lt;='Gastos Gerais'!$E$4:$E$615),-('Gastos Gerais'!$C$4:$C$615)))</f>
        <v>0</v>
      </c>
      <c r="BB25" s="73">
        <f>IF($B25="",0,SUMPRODUCT(-('Gastos Gerais'!$F$4:$F$615='Gastos das Atividades'!$B25),-('Gastos das Atividades'!BB$3&gt;='Gastos Gerais'!$D$4:$D$615),-('Gastos das Atividades'!BB$3&lt;='Gastos Gerais'!$E$4:$E$615),-('Gastos Gerais'!$C$4:$C$615)))</f>
        <v>0</v>
      </c>
      <c r="BC25" s="73">
        <f>IF($B25="",0,SUMPRODUCT(-('Gastos Gerais'!$F$4:$F$615='Gastos das Atividades'!$B25),-('Gastos das Atividades'!BC$3&gt;='Gastos Gerais'!$D$4:$D$615),-('Gastos das Atividades'!BC$3&lt;='Gastos Gerais'!$E$4:$E$615),-('Gastos Gerais'!$C$4:$C$615)))</f>
        <v>0</v>
      </c>
      <c r="BD25" s="73">
        <f>IF($B25="",0,SUMPRODUCT(-('Gastos Gerais'!$F$4:$F$615='Gastos das Atividades'!$B25),-('Gastos das Atividades'!BD$3&gt;='Gastos Gerais'!$D$4:$D$615),-('Gastos das Atividades'!BD$3&lt;='Gastos Gerais'!$E$4:$E$615),-('Gastos Gerais'!$C$4:$C$615)))</f>
        <v>0</v>
      </c>
      <c r="BE25" s="73">
        <f>IF($B25="",0,SUMPRODUCT(-('Gastos Gerais'!$F$4:$F$615='Gastos das Atividades'!$B25),-('Gastos das Atividades'!BE$3&gt;='Gastos Gerais'!$D$4:$D$615),-('Gastos das Atividades'!BE$3&lt;='Gastos Gerais'!$E$4:$E$615),-('Gastos Gerais'!$C$4:$C$615)))</f>
        <v>0</v>
      </c>
      <c r="BF25" s="73">
        <f>IF($B25="",0,SUMPRODUCT(-('Gastos Gerais'!$F$4:$F$615='Gastos das Atividades'!$B25),-('Gastos das Atividades'!BF$3&gt;='Gastos Gerais'!$D$4:$D$615),-('Gastos das Atividades'!BF$3&lt;='Gastos Gerais'!$E$4:$E$615),-('Gastos Gerais'!$C$4:$C$615)))</f>
        <v>0</v>
      </c>
      <c r="BG25" s="73">
        <f>IF($B25="",0,SUMPRODUCT(-('Gastos Gerais'!$F$4:$F$615='Gastos das Atividades'!$B25),-('Gastos das Atividades'!BG$3&gt;='Gastos Gerais'!$D$4:$D$615),-('Gastos das Atividades'!BG$3&lt;='Gastos Gerais'!$E$4:$E$615),-('Gastos Gerais'!$C$4:$C$615)))</f>
        <v>0</v>
      </c>
      <c r="BH25" s="73">
        <f>IF($B25="",0,SUMPRODUCT(-('Gastos Gerais'!$F$4:$F$615='Gastos das Atividades'!$B25),-('Gastos das Atividades'!BH$3&gt;='Gastos Gerais'!$D$4:$D$615),-('Gastos das Atividades'!BH$3&lt;='Gastos Gerais'!$E$4:$E$615),-('Gastos Gerais'!$C$4:$C$615)))</f>
        <v>0</v>
      </c>
      <c r="BI25" s="73">
        <f>IF($B25="",0,SUMPRODUCT(-('Gastos Gerais'!$F$4:$F$615='Gastos das Atividades'!$B25),-('Gastos das Atividades'!BI$3&gt;='Gastos Gerais'!$D$4:$D$615),-('Gastos das Atividades'!BI$3&lt;='Gastos Gerais'!$E$4:$E$615),-('Gastos Gerais'!$C$4:$C$615)))</f>
        <v>0</v>
      </c>
      <c r="BJ25" s="73">
        <f>IF($B25="",0,SUMPRODUCT(-('Gastos Gerais'!$F$4:$F$615='Gastos das Atividades'!$B25),-('Gastos das Atividades'!BJ$3&gt;='Gastos Gerais'!$D$4:$D$615),-('Gastos das Atividades'!BJ$3&lt;='Gastos Gerais'!$E$4:$E$615),-('Gastos Gerais'!$C$4:$C$615)))</f>
        <v>0</v>
      </c>
      <c r="BK25" s="73">
        <f>IF($B25="",0,SUMPRODUCT(-('Gastos Gerais'!$F$4:$F$615='Gastos das Atividades'!$B25),-('Gastos das Atividades'!BK$3&gt;='Gastos Gerais'!$D$4:$D$615),-('Gastos das Atividades'!BK$3&lt;='Gastos Gerais'!$E$4:$E$615),-('Gastos Gerais'!$C$4:$C$615)))</f>
        <v>0</v>
      </c>
      <c r="BL25" s="73">
        <f>IF($B25="",0,SUMPRODUCT(-('Gastos Gerais'!$F$4:$F$615='Gastos das Atividades'!$B25),-('Gastos das Atividades'!BL$3&gt;='Gastos Gerais'!$D$4:$D$615),-('Gastos das Atividades'!BL$3&lt;='Gastos Gerais'!$E$4:$E$615),-('Gastos Gerais'!$C$4:$C$615)))</f>
        <v>0</v>
      </c>
      <c r="BM25" s="73">
        <f>IF($B25="",0,SUMPRODUCT(-('Gastos Gerais'!$F$4:$F$615='Gastos das Atividades'!$B25),-('Gastos das Atividades'!BM$3&gt;='Gastos Gerais'!$D$4:$D$615),-('Gastos das Atividades'!BM$3&lt;='Gastos Gerais'!$E$4:$E$615),-('Gastos Gerais'!$C$4:$C$615)))</f>
        <v>0</v>
      </c>
      <c r="BN25" s="73">
        <f>IF($B25="",0,SUMPRODUCT(-('Gastos Gerais'!$F$4:$F$615='Gastos das Atividades'!$B25),-('Gastos das Atividades'!BN$3&gt;='Gastos Gerais'!$D$4:$D$615),-('Gastos das Atividades'!BN$3&lt;='Gastos Gerais'!$E$4:$E$615),-('Gastos Gerais'!$C$4:$C$615)))</f>
        <v>0</v>
      </c>
      <c r="BO25" s="73">
        <f>IF($B25="",0,SUMPRODUCT(-('Gastos Gerais'!$F$4:$F$615='Gastos das Atividades'!$B25),-('Gastos das Atividades'!BO$3&gt;='Gastos Gerais'!$D$4:$D$615),-('Gastos das Atividades'!BO$3&lt;='Gastos Gerais'!$E$4:$E$615),-('Gastos Gerais'!$C$4:$C$615)))</f>
        <v>0</v>
      </c>
      <c r="BP25" s="73">
        <f>IF($B25="",0,SUMPRODUCT(-('Gastos Gerais'!$F$4:$F$615='Gastos das Atividades'!$B25),-('Gastos das Atividades'!BP$3&gt;='Gastos Gerais'!$D$4:$D$615),-('Gastos das Atividades'!BP$3&lt;='Gastos Gerais'!$E$4:$E$615),-('Gastos Gerais'!$C$4:$C$615)))</f>
        <v>0</v>
      </c>
      <c r="BQ25" s="73">
        <f>IF($B25="",0,SUMPRODUCT(-('Gastos Gerais'!$F$4:$F$615='Gastos das Atividades'!$B25),-('Gastos das Atividades'!BQ$3&gt;='Gastos Gerais'!$D$4:$D$615),-('Gastos das Atividades'!BQ$3&lt;='Gastos Gerais'!$E$4:$E$615),-('Gastos Gerais'!$C$4:$C$615)))</f>
        <v>0</v>
      </c>
      <c r="BR25" s="73">
        <f>IF($B25="",0,SUMPRODUCT(-('Gastos Gerais'!$F$4:$F$615='Gastos das Atividades'!$B25),-('Gastos das Atividades'!BR$3&gt;='Gastos Gerais'!$D$4:$D$615),-('Gastos das Atividades'!BR$3&lt;='Gastos Gerais'!$E$4:$E$615),-('Gastos Gerais'!$C$4:$C$615)))</f>
        <v>0</v>
      </c>
      <c r="BS25" s="73">
        <f>IF($B25="",0,SUMPRODUCT(-('Gastos Gerais'!$F$4:$F$615='Gastos das Atividades'!$B25),-('Gastos das Atividades'!BS$3&gt;='Gastos Gerais'!$D$4:$D$615),-('Gastos das Atividades'!BS$3&lt;='Gastos Gerais'!$E$4:$E$615),-('Gastos Gerais'!$C$4:$C$615)))</f>
        <v>0</v>
      </c>
      <c r="BT25" s="73">
        <f>IF($B25="",0,SUMPRODUCT(-('Gastos Gerais'!$F$4:$F$615='Gastos das Atividades'!$B25),-('Gastos das Atividades'!BT$3&gt;='Gastos Gerais'!$D$4:$D$615),-('Gastos das Atividades'!BT$3&lt;='Gastos Gerais'!$E$4:$E$615),-('Gastos Gerais'!$C$4:$C$615)))</f>
        <v>0</v>
      </c>
      <c r="BU25" s="73">
        <f>IF($B25="",0,SUMPRODUCT(-('Gastos Gerais'!$F$4:$F$615='Gastos das Atividades'!$B25),-('Gastos das Atividades'!BU$3&gt;='Gastos Gerais'!$D$4:$D$615),-('Gastos das Atividades'!BU$3&lt;='Gastos Gerais'!$E$4:$E$615),-('Gastos Gerais'!$C$4:$C$615)))</f>
        <v>0</v>
      </c>
      <c r="BV25" s="73">
        <f>IF($B25="",0,SUMPRODUCT(-('Gastos Gerais'!$F$4:$F$615='Gastos das Atividades'!$B25),-('Gastos das Atividades'!BV$3&gt;='Gastos Gerais'!$D$4:$D$615),-('Gastos das Atividades'!BV$3&lt;='Gastos Gerais'!$E$4:$E$615),-('Gastos Gerais'!$C$4:$C$615)))</f>
        <v>0</v>
      </c>
      <c r="BW25" s="73">
        <f>IF($B25="",0,SUMPRODUCT(-('Gastos Gerais'!$F$4:$F$615='Gastos das Atividades'!$B25),-('Gastos das Atividades'!BW$3&gt;='Gastos Gerais'!$D$4:$D$615),-('Gastos das Atividades'!BW$3&lt;='Gastos Gerais'!$E$4:$E$615),-('Gastos Gerais'!$C$4:$C$615)))</f>
        <v>0</v>
      </c>
      <c r="BX25" s="73">
        <f>IF($B25="",0,SUMPRODUCT(-('Gastos Gerais'!$F$4:$F$615='Gastos das Atividades'!$B25),-('Gastos das Atividades'!BX$3&gt;='Gastos Gerais'!$D$4:$D$615),-('Gastos das Atividades'!BX$3&lt;='Gastos Gerais'!$E$4:$E$615),-('Gastos Gerais'!$C$4:$C$615)))</f>
        <v>0</v>
      </c>
    </row>
    <row r="26" spans="1:76" hidden="1" x14ac:dyDescent="0.2">
      <c r="A26" s="146">
        <v>23</v>
      </c>
      <c r="B26" s="164"/>
      <c r="C26" s="305">
        <v>0</v>
      </c>
      <c r="D26" s="357">
        <f t="shared" si="10"/>
        <v>0</v>
      </c>
      <c r="E26" s="144">
        <f t="shared" si="11"/>
        <v>0</v>
      </c>
      <c r="F26" s="73">
        <f t="shared" si="2"/>
        <v>0</v>
      </c>
      <c r="G26" s="73">
        <f t="shared" si="2"/>
        <v>0</v>
      </c>
      <c r="H26" s="73">
        <f t="shared" si="2"/>
        <v>0</v>
      </c>
      <c r="I26" s="73">
        <f t="shared" si="2"/>
        <v>0</v>
      </c>
      <c r="J26" s="145">
        <f t="shared" si="3"/>
        <v>0</v>
      </c>
      <c r="K26" s="76">
        <f t="shared" si="4"/>
        <v>0</v>
      </c>
      <c r="L26" s="76">
        <f t="shared" si="5"/>
        <v>0</v>
      </c>
      <c r="M26" s="76">
        <f t="shared" si="6"/>
        <v>0</v>
      </c>
      <c r="N26" s="76">
        <f t="shared" si="7"/>
        <v>0</v>
      </c>
      <c r="O26" s="76">
        <f t="shared" si="8"/>
        <v>0</v>
      </c>
      <c r="P26" s="209">
        <f t="shared" si="9"/>
        <v>0</v>
      </c>
      <c r="Q26" s="73">
        <f>IF($B26="",0,SUMPRODUCT(-('Gastos Gerais'!$F$4:$F$615='Gastos das Atividades'!$B26),-('Gastos das Atividades'!Q$3&gt;='Gastos Gerais'!$D$4:$D$615),-('Gastos das Atividades'!Q$3&lt;='Gastos Gerais'!$E$4:$E$615),-('Gastos Gerais'!$C$4:$C$615)))</f>
        <v>0</v>
      </c>
      <c r="R26" s="73">
        <f>IF($B26="",0,SUMPRODUCT(-('Gastos Gerais'!$F$4:$F$615='Gastos das Atividades'!$B26),-('Gastos das Atividades'!R$3&gt;='Gastos Gerais'!$D$4:$D$615),-('Gastos das Atividades'!R$3&lt;='Gastos Gerais'!$E$4:$E$615),-('Gastos Gerais'!$C$4:$C$615)))</f>
        <v>0</v>
      </c>
      <c r="S26" s="73">
        <f>IF($B26="",0,SUMPRODUCT(-('Gastos Gerais'!$F$4:$F$615='Gastos das Atividades'!$B26),-('Gastos das Atividades'!S$3&gt;='Gastos Gerais'!$D$4:$D$615),-('Gastos das Atividades'!S$3&lt;='Gastos Gerais'!$E$4:$E$615),-('Gastos Gerais'!$C$4:$C$615)))</f>
        <v>0</v>
      </c>
      <c r="T26" s="73">
        <f>IF($B26="",0,SUMPRODUCT(-('Gastos Gerais'!$F$4:$F$615='Gastos das Atividades'!$B26),-('Gastos das Atividades'!T$3&gt;='Gastos Gerais'!$D$4:$D$615),-('Gastos das Atividades'!T$3&lt;='Gastos Gerais'!$E$4:$E$615),-('Gastos Gerais'!$C$4:$C$615)))</f>
        <v>0</v>
      </c>
      <c r="U26" s="73">
        <f>IF($B26="",0,SUMPRODUCT(-('Gastos Gerais'!$F$4:$F$615='Gastos das Atividades'!$B26),-('Gastos das Atividades'!U$3&gt;='Gastos Gerais'!$D$4:$D$615),-('Gastos das Atividades'!U$3&lt;='Gastos Gerais'!$E$4:$E$615),-('Gastos Gerais'!$C$4:$C$615)))</f>
        <v>0</v>
      </c>
      <c r="V26" s="73">
        <f>IF($B26="",0,SUMPRODUCT(-('Gastos Gerais'!$F$4:$F$615='Gastos das Atividades'!$B26),-('Gastos das Atividades'!V$3&gt;='Gastos Gerais'!$D$4:$D$615),-('Gastos das Atividades'!V$3&lt;='Gastos Gerais'!$E$4:$E$615),-('Gastos Gerais'!$C$4:$C$615)))</f>
        <v>0</v>
      </c>
      <c r="W26" s="73">
        <f>IF($B26="",0,SUMPRODUCT(-('Gastos Gerais'!$F$4:$F$615='Gastos das Atividades'!$B26),-('Gastos das Atividades'!W$3&gt;='Gastos Gerais'!$D$4:$D$615),-('Gastos das Atividades'!W$3&lt;='Gastos Gerais'!$E$4:$E$615),-('Gastos Gerais'!$C$4:$C$615)))</f>
        <v>0</v>
      </c>
      <c r="X26" s="73">
        <f>IF($B26="",0,SUMPRODUCT(-('Gastos Gerais'!$F$4:$F$615='Gastos das Atividades'!$B26),-('Gastos das Atividades'!X$3&gt;='Gastos Gerais'!$D$4:$D$615),-('Gastos das Atividades'!X$3&lt;='Gastos Gerais'!$E$4:$E$615),-('Gastos Gerais'!$C$4:$C$615)))</f>
        <v>0</v>
      </c>
      <c r="Y26" s="73">
        <f>IF($B26="",0,SUMPRODUCT(-('Gastos Gerais'!$F$4:$F$615='Gastos das Atividades'!$B26),-('Gastos das Atividades'!Y$3&gt;='Gastos Gerais'!$D$4:$D$615),-('Gastos das Atividades'!Y$3&lt;='Gastos Gerais'!$E$4:$E$615),-('Gastos Gerais'!$C$4:$C$615)))</f>
        <v>0</v>
      </c>
      <c r="Z26" s="73">
        <f>IF($B26="",0,SUMPRODUCT(-('Gastos Gerais'!$F$4:$F$615='Gastos das Atividades'!$B26),-('Gastos das Atividades'!Z$3&gt;='Gastos Gerais'!$D$4:$D$615),-('Gastos das Atividades'!Z$3&lt;='Gastos Gerais'!$E$4:$E$615),-('Gastos Gerais'!$C$4:$C$615)))</f>
        <v>0</v>
      </c>
      <c r="AA26" s="73">
        <f>IF($B26="",0,SUMPRODUCT(-('Gastos Gerais'!$F$4:$F$615='Gastos das Atividades'!$B26),-('Gastos das Atividades'!AA$3&gt;='Gastos Gerais'!$D$4:$D$615),-('Gastos das Atividades'!AA$3&lt;='Gastos Gerais'!$E$4:$E$615),-('Gastos Gerais'!$C$4:$C$615)))</f>
        <v>0</v>
      </c>
      <c r="AB26" s="73">
        <f>IF($B26="",0,SUMPRODUCT(-('Gastos Gerais'!$F$4:$F$615='Gastos das Atividades'!$B26),-('Gastos das Atividades'!AB$3&gt;='Gastos Gerais'!$D$4:$D$615),-('Gastos das Atividades'!AB$3&lt;='Gastos Gerais'!$E$4:$E$615),-('Gastos Gerais'!$C$4:$C$615)))</f>
        <v>0</v>
      </c>
      <c r="AC26" s="73">
        <f>IF($B26="",0,SUMPRODUCT(-('Gastos Gerais'!$F$4:$F$615='Gastos das Atividades'!$B26),-('Gastos das Atividades'!AC$3&gt;='Gastos Gerais'!$D$4:$D$615),-('Gastos das Atividades'!AC$3&lt;='Gastos Gerais'!$E$4:$E$615),-('Gastos Gerais'!$C$4:$C$615)))</f>
        <v>0</v>
      </c>
      <c r="AD26" s="73">
        <f>IF($B26="",0,SUMPRODUCT(-('Gastos Gerais'!$F$4:$F$615='Gastos das Atividades'!$B26),-('Gastos das Atividades'!AD$3&gt;='Gastos Gerais'!$D$4:$D$615),-('Gastos das Atividades'!AD$3&lt;='Gastos Gerais'!$E$4:$E$615),-('Gastos Gerais'!$C$4:$C$615)))</f>
        <v>0</v>
      </c>
      <c r="AE26" s="73">
        <f>IF($B26="",0,SUMPRODUCT(-('Gastos Gerais'!$F$4:$F$615='Gastos das Atividades'!$B26),-('Gastos das Atividades'!AE$3&gt;='Gastos Gerais'!$D$4:$D$615),-('Gastos das Atividades'!AE$3&lt;='Gastos Gerais'!$E$4:$E$615),-('Gastos Gerais'!$C$4:$C$615)))</f>
        <v>0</v>
      </c>
      <c r="AF26" s="73">
        <f>IF($B26="",0,SUMPRODUCT(-('Gastos Gerais'!$F$4:$F$615='Gastos das Atividades'!$B26),-('Gastos das Atividades'!AF$3&gt;='Gastos Gerais'!$D$4:$D$615),-('Gastos das Atividades'!AF$3&lt;='Gastos Gerais'!$E$4:$E$615),-('Gastos Gerais'!$C$4:$C$615)))</f>
        <v>0</v>
      </c>
      <c r="AG26" s="73">
        <f>IF($B26="",0,SUMPRODUCT(-('Gastos Gerais'!$F$4:$F$615='Gastos das Atividades'!$B26),-('Gastos das Atividades'!AG$3&gt;='Gastos Gerais'!$D$4:$D$615),-('Gastos das Atividades'!AG$3&lt;='Gastos Gerais'!$E$4:$E$615),-('Gastos Gerais'!$C$4:$C$615)))</f>
        <v>0</v>
      </c>
      <c r="AH26" s="73">
        <f>IF($B26="",0,SUMPRODUCT(-('Gastos Gerais'!$F$4:$F$615='Gastos das Atividades'!$B26),-('Gastos das Atividades'!AH$3&gt;='Gastos Gerais'!$D$4:$D$615),-('Gastos das Atividades'!AH$3&lt;='Gastos Gerais'!$E$4:$E$615),-('Gastos Gerais'!$C$4:$C$615)))</f>
        <v>0</v>
      </c>
      <c r="AI26" s="73">
        <f>IF($B26="",0,SUMPRODUCT(-('Gastos Gerais'!$F$4:$F$615='Gastos das Atividades'!$B26),-('Gastos das Atividades'!AI$3&gt;='Gastos Gerais'!$D$4:$D$615),-('Gastos das Atividades'!AI$3&lt;='Gastos Gerais'!$E$4:$E$615),-('Gastos Gerais'!$C$4:$C$615)))</f>
        <v>0</v>
      </c>
      <c r="AJ26" s="73">
        <f>IF($B26="",0,SUMPRODUCT(-('Gastos Gerais'!$F$4:$F$615='Gastos das Atividades'!$B26),-('Gastos das Atividades'!AJ$3&gt;='Gastos Gerais'!$D$4:$D$615),-('Gastos das Atividades'!AJ$3&lt;='Gastos Gerais'!$E$4:$E$615),-('Gastos Gerais'!$C$4:$C$615)))</f>
        <v>0</v>
      </c>
      <c r="AK26" s="73">
        <f>IF($B26="",0,SUMPRODUCT(-('Gastos Gerais'!$F$4:$F$615='Gastos das Atividades'!$B26),-('Gastos das Atividades'!AK$3&gt;='Gastos Gerais'!$D$4:$D$615),-('Gastos das Atividades'!AK$3&lt;='Gastos Gerais'!$E$4:$E$615),-('Gastos Gerais'!$C$4:$C$615)))</f>
        <v>0</v>
      </c>
      <c r="AL26" s="73">
        <f>IF($B26="",0,SUMPRODUCT(-('Gastos Gerais'!$F$4:$F$615='Gastos das Atividades'!$B26),-('Gastos das Atividades'!AL$3&gt;='Gastos Gerais'!$D$4:$D$615),-('Gastos das Atividades'!AL$3&lt;='Gastos Gerais'!$E$4:$E$615),-('Gastos Gerais'!$C$4:$C$615)))</f>
        <v>0</v>
      </c>
      <c r="AM26" s="73">
        <f>IF($B26="",0,SUMPRODUCT(-('Gastos Gerais'!$F$4:$F$615='Gastos das Atividades'!$B26),-('Gastos das Atividades'!AM$3&gt;='Gastos Gerais'!$D$4:$D$615),-('Gastos das Atividades'!AM$3&lt;='Gastos Gerais'!$E$4:$E$615),-('Gastos Gerais'!$C$4:$C$615)))</f>
        <v>0</v>
      </c>
      <c r="AN26" s="73">
        <f>IF($B26="",0,SUMPRODUCT(-('Gastos Gerais'!$F$4:$F$615='Gastos das Atividades'!$B26),-('Gastos das Atividades'!AN$3&gt;='Gastos Gerais'!$D$4:$D$615),-('Gastos das Atividades'!AN$3&lt;='Gastos Gerais'!$E$4:$E$615),-('Gastos Gerais'!$C$4:$C$615)))</f>
        <v>0</v>
      </c>
      <c r="AO26" s="73">
        <f>IF($B26="",0,SUMPRODUCT(-('Gastos Gerais'!$F$4:$F$615='Gastos das Atividades'!$B26),-('Gastos das Atividades'!AO$3&gt;='Gastos Gerais'!$D$4:$D$615),-('Gastos das Atividades'!AO$3&lt;='Gastos Gerais'!$E$4:$E$615),-('Gastos Gerais'!$C$4:$C$615)))</f>
        <v>0</v>
      </c>
      <c r="AP26" s="73">
        <f>IF($B26="",0,SUMPRODUCT(-('Gastos Gerais'!$F$4:$F$615='Gastos das Atividades'!$B26),-('Gastos das Atividades'!AP$3&gt;='Gastos Gerais'!$D$4:$D$615),-('Gastos das Atividades'!AP$3&lt;='Gastos Gerais'!$E$4:$E$615),-('Gastos Gerais'!$C$4:$C$615)))</f>
        <v>0</v>
      </c>
      <c r="AQ26" s="73">
        <f>IF($B26="",0,SUMPRODUCT(-('Gastos Gerais'!$F$4:$F$615='Gastos das Atividades'!$B26),-('Gastos das Atividades'!AQ$3&gt;='Gastos Gerais'!$D$4:$D$615),-('Gastos das Atividades'!AQ$3&lt;='Gastos Gerais'!$E$4:$E$615),-('Gastos Gerais'!$C$4:$C$615)))</f>
        <v>0</v>
      </c>
      <c r="AR26" s="73">
        <f>IF($B26="",0,SUMPRODUCT(-('Gastos Gerais'!$F$4:$F$615='Gastos das Atividades'!$B26),-('Gastos das Atividades'!AR$3&gt;='Gastos Gerais'!$D$4:$D$615),-('Gastos das Atividades'!AR$3&lt;='Gastos Gerais'!$E$4:$E$615),-('Gastos Gerais'!$C$4:$C$615)))</f>
        <v>0</v>
      </c>
      <c r="AS26" s="73">
        <f>IF($B26="",0,SUMPRODUCT(-('Gastos Gerais'!$F$4:$F$615='Gastos das Atividades'!$B26),-('Gastos das Atividades'!AS$3&gt;='Gastos Gerais'!$D$4:$D$615),-('Gastos das Atividades'!AS$3&lt;='Gastos Gerais'!$E$4:$E$615),-('Gastos Gerais'!$C$4:$C$615)))</f>
        <v>0</v>
      </c>
      <c r="AT26" s="73">
        <f>IF($B26="",0,SUMPRODUCT(-('Gastos Gerais'!$F$4:$F$615='Gastos das Atividades'!$B26),-('Gastos das Atividades'!AT$3&gt;='Gastos Gerais'!$D$4:$D$615),-('Gastos das Atividades'!AT$3&lt;='Gastos Gerais'!$E$4:$E$615),-('Gastos Gerais'!$C$4:$C$615)))</f>
        <v>0</v>
      </c>
      <c r="AU26" s="73">
        <f>IF($B26="",0,SUMPRODUCT(-('Gastos Gerais'!$F$4:$F$615='Gastos das Atividades'!$B26),-('Gastos das Atividades'!AU$3&gt;='Gastos Gerais'!$D$4:$D$615),-('Gastos das Atividades'!AU$3&lt;='Gastos Gerais'!$E$4:$E$615),-('Gastos Gerais'!$C$4:$C$615)))</f>
        <v>0</v>
      </c>
      <c r="AV26" s="73">
        <f>IF($B26="",0,SUMPRODUCT(-('Gastos Gerais'!$F$4:$F$615='Gastos das Atividades'!$B26),-('Gastos das Atividades'!AV$3&gt;='Gastos Gerais'!$D$4:$D$615),-('Gastos das Atividades'!AV$3&lt;='Gastos Gerais'!$E$4:$E$615),-('Gastos Gerais'!$C$4:$C$615)))</f>
        <v>0</v>
      </c>
      <c r="AW26" s="73">
        <f>IF($B26="",0,SUMPRODUCT(-('Gastos Gerais'!$F$4:$F$615='Gastos das Atividades'!$B26),-('Gastos das Atividades'!AW$3&gt;='Gastos Gerais'!$D$4:$D$615),-('Gastos das Atividades'!AW$3&lt;='Gastos Gerais'!$E$4:$E$615),-('Gastos Gerais'!$C$4:$C$615)))</f>
        <v>0</v>
      </c>
      <c r="AX26" s="73">
        <f>IF($B26="",0,SUMPRODUCT(-('Gastos Gerais'!$F$4:$F$615='Gastos das Atividades'!$B26),-('Gastos das Atividades'!AX$3&gt;='Gastos Gerais'!$D$4:$D$615),-('Gastos das Atividades'!AX$3&lt;='Gastos Gerais'!$E$4:$E$615),-('Gastos Gerais'!$C$4:$C$615)))</f>
        <v>0</v>
      </c>
      <c r="AY26" s="73">
        <f>IF($B26="",0,SUMPRODUCT(-('Gastos Gerais'!$F$4:$F$615='Gastos das Atividades'!$B26),-('Gastos das Atividades'!AY$3&gt;='Gastos Gerais'!$D$4:$D$615),-('Gastos das Atividades'!AY$3&lt;='Gastos Gerais'!$E$4:$E$615),-('Gastos Gerais'!$C$4:$C$615)))</f>
        <v>0</v>
      </c>
      <c r="AZ26" s="73">
        <f>IF($B26="",0,SUMPRODUCT(-('Gastos Gerais'!$F$4:$F$615='Gastos das Atividades'!$B26),-('Gastos das Atividades'!AZ$3&gt;='Gastos Gerais'!$D$4:$D$615),-('Gastos das Atividades'!AZ$3&lt;='Gastos Gerais'!$E$4:$E$615),-('Gastos Gerais'!$C$4:$C$615)))</f>
        <v>0</v>
      </c>
      <c r="BA26" s="73">
        <f>IF($B26="",0,SUMPRODUCT(-('Gastos Gerais'!$F$4:$F$615='Gastos das Atividades'!$B26),-('Gastos das Atividades'!BA$3&gt;='Gastos Gerais'!$D$4:$D$615),-('Gastos das Atividades'!BA$3&lt;='Gastos Gerais'!$E$4:$E$615),-('Gastos Gerais'!$C$4:$C$615)))</f>
        <v>0</v>
      </c>
      <c r="BB26" s="73">
        <f>IF($B26="",0,SUMPRODUCT(-('Gastos Gerais'!$F$4:$F$615='Gastos das Atividades'!$B26),-('Gastos das Atividades'!BB$3&gt;='Gastos Gerais'!$D$4:$D$615),-('Gastos das Atividades'!BB$3&lt;='Gastos Gerais'!$E$4:$E$615),-('Gastos Gerais'!$C$4:$C$615)))</f>
        <v>0</v>
      </c>
      <c r="BC26" s="73">
        <f>IF($B26="",0,SUMPRODUCT(-('Gastos Gerais'!$F$4:$F$615='Gastos das Atividades'!$B26),-('Gastos das Atividades'!BC$3&gt;='Gastos Gerais'!$D$4:$D$615),-('Gastos das Atividades'!BC$3&lt;='Gastos Gerais'!$E$4:$E$615),-('Gastos Gerais'!$C$4:$C$615)))</f>
        <v>0</v>
      </c>
      <c r="BD26" s="73">
        <f>IF($B26="",0,SUMPRODUCT(-('Gastos Gerais'!$F$4:$F$615='Gastos das Atividades'!$B26),-('Gastos das Atividades'!BD$3&gt;='Gastos Gerais'!$D$4:$D$615),-('Gastos das Atividades'!BD$3&lt;='Gastos Gerais'!$E$4:$E$615),-('Gastos Gerais'!$C$4:$C$615)))</f>
        <v>0</v>
      </c>
      <c r="BE26" s="73">
        <f>IF($B26="",0,SUMPRODUCT(-('Gastos Gerais'!$F$4:$F$615='Gastos das Atividades'!$B26),-('Gastos das Atividades'!BE$3&gt;='Gastos Gerais'!$D$4:$D$615),-('Gastos das Atividades'!BE$3&lt;='Gastos Gerais'!$E$4:$E$615),-('Gastos Gerais'!$C$4:$C$615)))</f>
        <v>0</v>
      </c>
      <c r="BF26" s="73">
        <f>IF($B26="",0,SUMPRODUCT(-('Gastos Gerais'!$F$4:$F$615='Gastos das Atividades'!$B26),-('Gastos das Atividades'!BF$3&gt;='Gastos Gerais'!$D$4:$D$615),-('Gastos das Atividades'!BF$3&lt;='Gastos Gerais'!$E$4:$E$615),-('Gastos Gerais'!$C$4:$C$615)))</f>
        <v>0</v>
      </c>
      <c r="BG26" s="73">
        <f>IF($B26="",0,SUMPRODUCT(-('Gastos Gerais'!$F$4:$F$615='Gastos das Atividades'!$B26),-('Gastos das Atividades'!BG$3&gt;='Gastos Gerais'!$D$4:$D$615),-('Gastos das Atividades'!BG$3&lt;='Gastos Gerais'!$E$4:$E$615),-('Gastos Gerais'!$C$4:$C$615)))</f>
        <v>0</v>
      </c>
      <c r="BH26" s="73">
        <f>IF($B26="",0,SUMPRODUCT(-('Gastos Gerais'!$F$4:$F$615='Gastos das Atividades'!$B26),-('Gastos das Atividades'!BH$3&gt;='Gastos Gerais'!$D$4:$D$615),-('Gastos das Atividades'!BH$3&lt;='Gastos Gerais'!$E$4:$E$615),-('Gastos Gerais'!$C$4:$C$615)))</f>
        <v>0</v>
      </c>
      <c r="BI26" s="73">
        <f>IF($B26="",0,SUMPRODUCT(-('Gastos Gerais'!$F$4:$F$615='Gastos das Atividades'!$B26),-('Gastos das Atividades'!BI$3&gt;='Gastos Gerais'!$D$4:$D$615),-('Gastos das Atividades'!BI$3&lt;='Gastos Gerais'!$E$4:$E$615),-('Gastos Gerais'!$C$4:$C$615)))</f>
        <v>0</v>
      </c>
      <c r="BJ26" s="73">
        <f>IF($B26="",0,SUMPRODUCT(-('Gastos Gerais'!$F$4:$F$615='Gastos das Atividades'!$B26),-('Gastos das Atividades'!BJ$3&gt;='Gastos Gerais'!$D$4:$D$615),-('Gastos das Atividades'!BJ$3&lt;='Gastos Gerais'!$E$4:$E$615),-('Gastos Gerais'!$C$4:$C$615)))</f>
        <v>0</v>
      </c>
      <c r="BK26" s="73">
        <f>IF($B26="",0,SUMPRODUCT(-('Gastos Gerais'!$F$4:$F$615='Gastos das Atividades'!$B26),-('Gastos das Atividades'!BK$3&gt;='Gastos Gerais'!$D$4:$D$615),-('Gastos das Atividades'!BK$3&lt;='Gastos Gerais'!$E$4:$E$615),-('Gastos Gerais'!$C$4:$C$615)))</f>
        <v>0</v>
      </c>
      <c r="BL26" s="73">
        <f>IF($B26="",0,SUMPRODUCT(-('Gastos Gerais'!$F$4:$F$615='Gastos das Atividades'!$B26),-('Gastos das Atividades'!BL$3&gt;='Gastos Gerais'!$D$4:$D$615),-('Gastos das Atividades'!BL$3&lt;='Gastos Gerais'!$E$4:$E$615),-('Gastos Gerais'!$C$4:$C$615)))</f>
        <v>0</v>
      </c>
      <c r="BM26" s="73">
        <f>IF($B26="",0,SUMPRODUCT(-('Gastos Gerais'!$F$4:$F$615='Gastos das Atividades'!$B26),-('Gastos das Atividades'!BM$3&gt;='Gastos Gerais'!$D$4:$D$615),-('Gastos das Atividades'!BM$3&lt;='Gastos Gerais'!$E$4:$E$615),-('Gastos Gerais'!$C$4:$C$615)))</f>
        <v>0</v>
      </c>
      <c r="BN26" s="73">
        <f>IF($B26="",0,SUMPRODUCT(-('Gastos Gerais'!$F$4:$F$615='Gastos das Atividades'!$B26),-('Gastos das Atividades'!BN$3&gt;='Gastos Gerais'!$D$4:$D$615),-('Gastos das Atividades'!BN$3&lt;='Gastos Gerais'!$E$4:$E$615),-('Gastos Gerais'!$C$4:$C$615)))</f>
        <v>0</v>
      </c>
      <c r="BO26" s="73">
        <f>IF($B26="",0,SUMPRODUCT(-('Gastos Gerais'!$F$4:$F$615='Gastos das Atividades'!$B26),-('Gastos das Atividades'!BO$3&gt;='Gastos Gerais'!$D$4:$D$615),-('Gastos das Atividades'!BO$3&lt;='Gastos Gerais'!$E$4:$E$615),-('Gastos Gerais'!$C$4:$C$615)))</f>
        <v>0</v>
      </c>
      <c r="BP26" s="73">
        <f>IF($B26="",0,SUMPRODUCT(-('Gastos Gerais'!$F$4:$F$615='Gastos das Atividades'!$B26),-('Gastos das Atividades'!BP$3&gt;='Gastos Gerais'!$D$4:$D$615),-('Gastos das Atividades'!BP$3&lt;='Gastos Gerais'!$E$4:$E$615),-('Gastos Gerais'!$C$4:$C$615)))</f>
        <v>0</v>
      </c>
      <c r="BQ26" s="73">
        <f>IF($B26="",0,SUMPRODUCT(-('Gastos Gerais'!$F$4:$F$615='Gastos das Atividades'!$B26),-('Gastos das Atividades'!BQ$3&gt;='Gastos Gerais'!$D$4:$D$615),-('Gastos das Atividades'!BQ$3&lt;='Gastos Gerais'!$E$4:$E$615),-('Gastos Gerais'!$C$4:$C$615)))</f>
        <v>0</v>
      </c>
      <c r="BR26" s="73">
        <f>IF($B26="",0,SUMPRODUCT(-('Gastos Gerais'!$F$4:$F$615='Gastos das Atividades'!$B26),-('Gastos das Atividades'!BR$3&gt;='Gastos Gerais'!$D$4:$D$615),-('Gastos das Atividades'!BR$3&lt;='Gastos Gerais'!$E$4:$E$615),-('Gastos Gerais'!$C$4:$C$615)))</f>
        <v>0</v>
      </c>
      <c r="BS26" s="73">
        <f>IF($B26="",0,SUMPRODUCT(-('Gastos Gerais'!$F$4:$F$615='Gastos das Atividades'!$B26),-('Gastos das Atividades'!BS$3&gt;='Gastos Gerais'!$D$4:$D$615),-('Gastos das Atividades'!BS$3&lt;='Gastos Gerais'!$E$4:$E$615),-('Gastos Gerais'!$C$4:$C$615)))</f>
        <v>0</v>
      </c>
      <c r="BT26" s="73">
        <f>IF($B26="",0,SUMPRODUCT(-('Gastos Gerais'!$F$4:$F$615='Gastos das Atividades'!$B26),-('Gastos das Atividades'!BT$3&gt;='Gastos Gerais'!$D$4:$D$615),-('Gastos das Atividades'!BT$3&lt;='Gastos Gerais'!$E$4:$E$615),-('Gastos Gerais'!$C$4:$C$615)))</f>
        <v>0</v>
      </c>
      <c r="BU26" s="73">
        <f>IF($B26="",0,SUMPRODUCT(-('Gastos Gerais'!$F$4:$F$615='Gastos das Atividades'!$B26),-('Gastos das Atividades'!BU$3&gt;='Gastos Gerais'!$D$4:$D$615),-('Gastos das Atividades'!BU$3&lt;='Gastos Gerais'!$E$4:$E$615),-('Gastos Gerais'!$C$4:$C$615)))</f>
        <v>0</v>
      </c>
      <c r="BV26" s="73">
        <f>IF($B26="",0,SUMPRODUCT(-('Gastos Gerais'!$F$4:$F$615='Gastos das Atividades'!$B26),-('Gastos das Atividades'!BV$3&gt;='Gastos Gerais'!$D$4:$D$615),-('Gastos das Atividades'!BV$3&lt;='Gastos Gerais'!$E$4:$E$615),-('Gastos Gerais'!$C$4:$C$615)))</f>
        <v>0</v>
      </c>
      <c r="BW26" s="73">
        <f>IF($B26="",0,SUMPRODUCT(-('Gastos Gerais'!$F$4:$F$615='Gastos das Atividades'!$B26),-('Gastos das Atividades'!BW$3&gt;='Gastos Gerais'!$D$4:$D$615),-('Gastos das Atividades'!BW$3&lt;='Gastos Gerais'!$E$4:$E$615),-('Gastos Gerais'!$C$4:$C$615)))</f>
        <v>0</v>
      </c>
      <c r="BX26" s="73">
        <f>IF($B26="",0,SUMPRODUCT(-('Gastos Gerais'!$F$4:$F$615='Gastos das Atividades'!$B26),-('Gastos das Atividades'!BX$3&gt;='Gastos Gerais'!$D$4:$D$615),-('Gastos das Atividades'!BX$3&lt;='Gastos Gerais'!$E$4:$E$615),-('Gastos Gerais'!$C$4:$C$615)))</f>
        <v>0</v>
      </c>
    </row>
    <row r="27" spans="1:76" hidden="1" x14ac:dyDescent="0.2">
      <c r="A27" s="146">
        <v>24</v>
      </c>
      <c r="B27" s="164"/>
      <c r="C27" s="305">
        <v>0</v>
      </c>
      <c r="D27" s="357">
        <f t="shared" si="10"/>
        <v>0</v>
      </c>
      <c r="E27" s="144">
        <f t="shared" si="11"/>
        <v>0</v>
      </c>
      <c r="F27" s="73">
        <f t="shared" si="2"/>
        <v>0</v>
      </c>
      <c r="G27" s="73">
        <f t="shared" si="2"/>
        <v>0</v>
      </c>
      <c r="H27" s="73">
        <f t="shared" si="2"/>
        <v>0</v>
      </c>
      <c r="I27" s="73">
        <f t="shared" si="2"/>
        <v>0</v>
      </c>
      <c r="J27" s="145">
        <f t="shared" si="3"/>
        <v>0</v>
      </c>
      <c r="K27" s="76">
        <f t="shared" si="4"/>
        <v>0</v>
      </c>
      <c r="L27" s="76">
        <f t="shared" si="5"/>
        <v>0</v>
      </c>
      <c r="M27" s="76">
        <f t="shared" si="6"/>
        <v>0</v>
      </c>
      <c r="N27" s="76">
        <f t="shared" si="7"/>
        <v>0</v>
      </c>
      <c r="O27" s="76">
        <f t="shared" si="8"/>
        <v>0</v>
      </c>
      <c r="P27" s="209">
        <f t="shared" si="9"/>
        <v>0</v>
      </c>
      <c r="Q27" s="73">
        <f>IF($B27="",0,SUMPRODUCT(-('Gastos Gerais'!$F$4:$F$615='Gastos das Atividades'!$B27),-('Gastos das Atividades'!Q$3&gt;='Gastos Gerais'!$D$4:$D$615),-('Gastos das Atividades'!Q$3&lt;='Gastos Gerais'!$E$4:$E$615),-('Gastos Gerais'!$C$4:$C$615)))</f>
        <v>0</v>
      </c>
      <c r="R27" s="73">
        <f>IF($B27="",0,SUMPRODUCT(-('Gastos Gerais'!$F$4:$F$615='Gastos das Atividades'!$B27),-('Gastos das Atividades'!R$3&gt;='Gastos Gerais'!$D$4:$D$615),-('Gastos das Atividades'!R$3&lt;='Gastos Gerais'!$E$4:$E$615),-('Gastos Gerais'!$C$4:$C$615)))</f>
        <v>0</v>
      </c>
      <c r="S27" s="73">
        <f>IF($B27="",0,SUMPRODUCT(-('Gastos Gerais'!$F$4:$F$615='Gastos das Atividades'!$B27),-('Gastos das Atividades'!S$3&gt;='Gastos Gerais'!$D$4:$D$615),-('Gastos das Atividades'!S$3&lt;='Gastos Gerais'!$E$4:$E$615),-('Gastos Gerais'!$C$4:$C$615)))</f>
        <v>0</v>
      </c>
      <c r="T27" s="73">
        <f>IF($B27="",0,SUMPRODUCT(-('Gastos Gerais'!$F$4:$F$615='Gastos das Atividades'!$B27),-('Gastos das Atividades'!T$3&gt;='Gastos Gerais'!$D$4:$D$615),-('Gastos das Atividades'!T$3&lt;='Gastos Gerais'!$E$4:$E$615),-('Gastos Gerais'!$C$4:$C$615)))</f>
        <v>0</v>
      </c>
      <c r="U27" s="73">
        <f>IF($B27="",0,SUMPRODUCT(-('Gastos Gerais'!$F$4:$F$615='Gastos das Atividades'!$B27),-('Gastos das Atividades'!U$3&gt;='Gastos Gerais'!$D$4:$D$615),-('Gastos das Atividades'!U$3&lt;='Gastos Gerais'!$E$4:$E$615),-('Gastos Gerais'!$C$4:$C$615)))</f>
        <v>0</v>
      </c>
      <c r="V27" s="73">
        <f>IF($B27="",0,SUMPRODUCT(-('Gastos Gerais'!$F$4:$F$615='Gastos das Atividades'!$B27),-('Gastos das Atividades'!V$3&gt;='Gastos Gerais'!$D$4:$D$615),-('Gastos das Atividades'!V$3&lt;='Gastos Gerais'!$E$4:$E$615),-('Gastos Gerais'!$C$4:$C$615)))</f>
        <v>0</v>
      </c>
      <c r="W27" s="73">
        <f>IF($B27="",0,SUMPRODUCT(-('Gastos Gerais'!$F$4:$F$615='Gastos das Atividades'!$B27),-('Gastos das Atividades'!W$3&gt;='Gastos Gerais'!$D$4:$D$615),-('Gastos das Atividades'!W$3&lt;='Gastos Gerais'!$E$4:$E$615),-('Gastos Gerais'!$C$4:$C$615)))</f>
        <v>0</v>
      </c>
      <c r="X27" s="73">
        <f>IF($B27="",0,SUMPRODUCT(-('Gastos Gerais'!$F$4:$F$615='Gastos das Atividades'!$B27),-('Gastos das Atividades'!X$3&gt;='Gastos Gerais'!$D$4:$D$615),-('Gastos das Atividades'!X$3&lt;='Gastos Gerais'!$E$4:$E$615),-('Gastos Gerais'!$C$4:$C$615)))</f>
        <v>0</v>
      </c>
      <c r="Y27" s="73">
        <f>IF($B27="",0,SUMPRODUCT(-('Gastos Gerais'!$F$4:$F$615='Gastos das Atividades'!$B27),-('Gastos das Atividades'!Y$3&gt;='Gastos Gerais'!$D$4:$D$615),-('Gastos das Atividades'!Y$3&lt;='Gastos Gerais'!$E$4:$E$615),-('Gastos Gerais'!$C$4:$C$615)))</f>
        <v>0</v>
      </c>
      <c r="Z27" s="73">
        <f>IF($B27="",0,SUMPRODUCT(-('Gastos Gerais'!$F$4:$F$615='Gastos das Atividades'!$B27),-('Gastos das Atividades'!Z$3&gt;='Gastos Gerais'!$D$4:$D$615),-('Gastos das Atividades'!Z$3&lt;='Gastos Gerais'!$E$4:$E$615),-('Gastos Gerais'!$C$4:$C$615)))</f>
        <v>0</v>
      </c>
      <c r="AA27" s="73">
        <f>IF($B27="",0,SUMPRODUCT(-('Gastos Gerais'!$F$4:$F$615='Gastos das Atividades'!$B27),-('Gastos das Atividades'!AA$3&gt;='Gastos Gerais'!$D$4:$D$615),-('Gastos das Atividades'!AA$3&lt;='Gastos Gerais'!$E$4:$E$615),-('Gastos Gerais'!$C$4:$C$615)))</f>
        <v>0</v>
      </c>
      <c r="AB27" s="73">
        <f>IF($B27="",0,SUMPRODUCT(-('Gastos Gerais'!$F$4:$F$615='Gastos das Atividades'!$B27),-('Gastos das Atividades'!AB$3&gt;='Gastos Gerais'!$D$4:$D$615),-('Gastos das Atividades'!AB$3&lt;='Gastos Gerais'!$E$4:$E$615),-('Gastos Gerais'!$C$4:$C$615)))</f>
        <v>0</v>
      </c>
      <c r="AC27" s="73">
        <f>IF($B27="",0,SUMPRODUCT(-('Gastos Gerais'!$F$4:$F$615='Gastos das Atividades'!$B27),-('Gastos das Atividades'!AC$3&gt;='Gastos Gerais'!$D$4:$D$615),-('Gastos das Atividades'!AC$3&lt;='Gastos Gerais'!$E$4:$E$615),-('Gastos Gerais'!$C$4:$C$615)))</f>
        <v>0</v>
      </c>
      <c r="AD27" s="73">
        <f>IF($B27="",0,SUMPRODUCT(-('Gastos Gerais'!$F$4:$F$615='Gastos das Atividades'!$B27),-('Gastos das Atividades'!AD$3&gt;='Gastos Gerais'!$D$4:$D$615),-('Gastos das Atividades'!AD$3&lt;='Gastos Gerais'!$E$4:$E$615),-('Gastos Gerais'!$C$4:$C$615)))</f>
        <v>0</v>
      </c>
      <c r="AE27" s="73">
        <f>IF($B27="",0,SUMPRODUCT(-('Gastos Gerais'!$F$4:$F$615='Gastos das Atividades'!$B27),-('Gastos das Atividades'!AE$3&gt;='Gastos Gerais'!$D$4:$D$615),-('Gastos das Atividades'!AE$3&lt;='Gastos Gerais'!$E$4:$E$615),-('Gastos Gerais'!$C$4:$C$615)))</f>
        <v>0</v>
      </c>
      <c r="AF27" s="73">
        <f>IF($B27="",0,SUMPRODUCT(-('Gastos Gerais'!$F$4:$F$615='Gastos das Atividades'!$B27),-('Gastos das Atividades'!AF$3&gt;='Gastos Gerais'!$D$4:$D$615),-('Gastos das Atividades'!AF$3&lt;='Gastos Gerais'!$E$4:$E$615),-('Gastos Gerais'!$C$4:$C$615)))</f>
        <v>0</v>
      </c>
      <c r="AG27" s="73">
        <f>IF($B27="",0,SUMPRODUCT(-('Gastos Gerais'!$F$4:$F$615='Gastos das Atividades'!$B27),-('Gastos das Atividades'!AG$3&gt;='Gastos Gerais'!$D$4:$D$615),-('Gastos das Atividades'!AG$3&lt;='Gastos Gerais'!$E$4:$E$615),-('Gastos Gerais'!$C$4:$C$615)))</f>
        <v>0</v>
      </c>
      <c r="AH27" s="73">
        <f>IF($B27="",0,SUMPRODUCT(-('Gastos Gerais'!$F$4:$F$615='Gastos das Atividades'!$B27),-('Gastos das Atividades'!AH$3&gt;='Gastos Gerais'!$D$4:$D$615),-('Gastos das Atividades'!AH$3&lt;='Gastos Gerais'!$E$4:$E$615),-('Gastos Gerais'!$C$4:$C$615)))</f>
        <v>0</v>
      </c>
      <c r="AI27" s="73">
        <f>IF($B27="",0,SUMPRODUCT(-('Gastos Gerais'!$F$4:$F$615='Gastos das Atividades'!$B27),-('Gastos das Atividades'!AI$3&gt;='Gastos Gerais'!$D$4:$D$615),-('Gastos das Atividades'!AI$3&lt;='Gastos Gerais'!$E$4:$E$615),-('Gastos Gerais'!$C$4:$C$615)))</f>
        <v>0</v>
      </c>
      <c r="AJ27" s="73">
        <f>IF($B27="",0,SUMPRODUCT(-('Gastos Gerais'!$F$4:$F$615='Gastos das Atividades'!$B27),-('Gastos das Atividades'!AJ$3&gt;='Gastos Gerais'!$D$4:$D$615),-('Gastos das Atividades'!AJ$3&lt;='Gastos Gerais'!$E$4:$E$615),-('Gastos Gerais'!$C$4:$C$615)))</f>
        <v>0</v>
      </c>
      <c r="AK27" s="73">
        <f>IF($B27="",0,SUMPRODUCT(-('Gastos Gerais'!$F$4:$F$615='Gastos das Atividades'!$B27),-('Gastos das Atividades'!AK$3&gt;='Gastos Gerais'!$D$4:$D$615),-('Gastos das Atividades'!AK$3&lt;='Gastos Gerais'!$E$4:$E$615),-('Gastos Gerais'!$C$4:$C$615)))</f>
        <v>0</v>
      </c>
      <c r="AL27" s="73">
        <f>IF($B27="",0,SUMPRODUCT(-('Gastos Gerais'!$F$4:$F$615='Gastos das Atividades'!$B27),-('Gastos das Atividades'!AL$3&gt;='Gastos Gerais'!$D$4:$D$615),-('Gastos das Atividades'!AL$3&lt;='Gastos Gerais'!$E$4:$E$615),-('Gastos Gerais'!$C$4:$C$615)))</f>
        <v>0</v>
      </c>
      <c r="AM27" s="73">
        <f>IF($B27="",0,SUMPRODUCT(-('Gastos Gerais'!$F$4:$F$615='Gastos das Atividades'!$B27),-('Gastos das Atividades'!AM$3&gt;='Gastos Gerais'!$D$4:$D$615),-('Gastos das Atividades'!AM$3&lt;='Gastos Gerais'!$E$4:$E$615),-('Gastos Gerais'!$C$4:$C$615)))</f>
        <v>0</v>
      </c>
      <c r="AN27" s="73">
        <f>IF($B27="",0,SUMPRODUCT(-('Gastos Gerais'!$F$4:$F$615='Gastos das Atividades'!$B27),-('Gastos das Atividades'!AN$3&gt;='Gastos Gerais'!$D$4:$D$615),-('Gastos das Atividades'!AN$3&lt;='Gastos Gerais'!$E$4:$E$615),-('Gastos Gerais'!$C$4:$C$615)))</f>
        <v>0</v>
      </c>
      <c r="AO27" s="73">
        <f>IF($B27="",0,SUMPRODUCT(-('Gastos Gerais'!$F$4:$F$615='Gastos das Atividades'!$B27),-('Gastos das Atividades'!AO$3&gt;='Gastos Gerais'!$D$4:$D$615),-('Gastos das Atividades'!AO$3&lt;='Gastos Gerais'!$E$4:$E$615),-('Gastos Gerais'!$C$4:$C$615)))</f>
        <v>0</v>
      </c>
      <c r="AP27" s="73">
        <f>IF($B27="",0,SUMPRODUCT(-('Gastos Gerais'!$F$4:$F$615='Gastos das Atividades'!$B27),-('Gastos das Atividades'!AP$3&gt;='Gastos Gerais'!$D$4:$D$615),-('Gastos das Atividades'!AP$3&lt;='Gastos Gerais'!$E$4:$E$615),-('Gastos Gerais'!$C$4:$C$615)))</f>
        <v>0</v>
      </c>
      <c r="AQ27" s="73">
        <f>IF($B27="",0,SUMPRODUCT(-('Gastos Gerais'!$F$4:$F$615='Gastos das Atividades'!$B27),-('Gastos das Atividades'!AQ$3&gt;='Gastos Gerais'!$D$4:$D$615),-('Gastos das Atividades'!AQ$3&lt;='Gastos Gerais'!$E$4:$E$615),-('Gastos Gerais'!$C$4:$C$615)))</f>
        <v>0</v>
      </c>
      <c r="AR27" s="73">
        <f>IF($B27="",0,SUMPRODUCT(-('Gastos Gerais'!$F$4:$F$615='Gastos das Atividades'!$B27),-('Gastos das Atividades'!AR$3&gt;='Gastos Gerais'!$D$4:$D$615),-('Gastos das Atividades'!AR$3&lt;='Gastos Gerais'!$E$4:$E$615),-('Gastos Gerais'!$C$4:$C$615)))</f>
        <v>0</v>
      </c>
      <c r="AS27" s="73">
        <f>IF($B27="",0,SUMPRODUCT(-('Gastos Gerais'!$F$4:$F$615='Gastos das Atividades'!$B27),-('Gastos das Atividades'!AS$3&gt;='Gastos Gerais'!$D$4:$D$615),-('Gastos das Atividades'!AS$3&lt;='Gastos Gerais'!$E$4:$E$615),-('Gastos Gerais'!$C$4:$C$615)))</f>
        <v>0</v>
      </c>
      <c r="AT27" s="73">
        <f>IF($B27="",0,SUMPRODUCT(-('Gastos Gerais'!$F$4:$F$615='Gastos das Atividades'!$B27),-('Gastos das Atividades'!AT$3&gt;='Gastos Gerais'!$D$4:$D$615),-('Gastos das Atividades'!AT$3&lt;='Gastos Gerais'!$E$4:$E$615),-('Gastos Gerais'!$C$4:$C$615)))</f>
        <v>0</v>
      </c>
      <c r="AU27" s="73">
        <f>IF($B27="",0,SUMPRODUCT(-('Gastos Gerais'!$F$4:$F$615='Gastos das Atividades'!$B27),-('Gastos das Atividades'!AU$3&gt;='Gastos Gerais'!$D$4:$D$615),-('Gastos das Atividades'!AU$3&lt;='Gastos Gerais'!$E$4:$E$615),-('Gastos Gerais'!$C$4:$C$615)))</f>
        <v>0</v>
      </c>
      <c r="AV27" s="73">
        <f>IF($B27="",0,SUMPRODUCT(-('Gastos Gerais'!$F$4:$F$615='Gastos das Atividades'!$B27),-('Gastos das Atividades'!AV$3&gt;='Gastos Gerais'!$D$4:$D$615),-('Gastos das Atividades'!AV$3&lt;='Gastos Gerais'!$E$4:$E$615),-('Gastos Gerais'!$C$4:$C$615)))</f>
        <v>0</v>
      </c>
      <c r="AW27" s="73">
        <f>IF($B27="",0,SUMPRODUCT(-('Gastos Gerais'!$F$4:$F$615='Gastos das Atividades'!$B27),-('Gastos das Atividades'!AW$3&gt;='Gastos Gerais'!$D$4:$D$615),-('Gastos das Atividades'!AW$3&lt;='Gastos Gerais'!$E$4:$E$615),-('Gastos Gerais'!$C$4:$C$615)))</f>
        <v>0</v>
      </c>
      <c r="AX27" s="73">
        <f>IF($B27="",0,SUMPRODUCT(-('Gastos Gerais'!$F$4:$F$615='Gastos das Atividades'!$B27),-('Gastos das Atividades'!AX$3&gt;='Gastos Gerais'!$D$4:$D$615),-('Gastos das Atividades'!AX$3&lt;='Gastos Gerais'!$E$4:$E$615),-('Gastos Gerais'!$C$4:$C$615)))</f>
        <v>0</v>
      </c>
      <c r="AY27" s="73">
        <f>IF($B27="",0,SUMPRODUCT(-('Gastos Gerais'!$F$4:$F$615='Gastos das Atividades'!$B27),-('Gastos das Atividades'!AY$3&gt;='Gastos Gerais'!$D$4:$D$615),-('Gastos das Atividades'!AY$3&lt;='Gastos Gerais'!$E$4:$E$615),-('Gastos Gerais'!$C$4:$C$615)))</f>
        <v>0</v>
      </c>
      <c r="AZ27" s="73">
        <f>IF($B27="",0,SUMPRODUCT(-('Gastos Gerais'!$F$4:$F$615='Gastos das Atividades'!$B27),-('Gastos das Atividades'!AZ$3&gt;='Gastos Gerais'!$D$4:$D$615),-('Gastos das Atividades'!AZ$3&lt;='Gastos Gerais'!$E$4:$E$615),-('Gastos Gerais'!$C$4:$C$615)))</f>
        <v>0</v>
      </c>
      <c r="BA27" s="73">
        <f>IF($B27="",0,SUMPRODUCT(-('Gastos Gerais'!$F$4:$F$615='Gastos das Atividades'!$B27),-('Gastos das Atividades'!BA$3&gt;='Gastos Gerais'!$D$4:$D$615),-('Gastos das Atividades'!BA$3&lt;='Gastos Gerais'!$E$4:$E$615),-('Gastos Gerais'!$C$4:$C$615)))</f>
        <v>0</v>
      </c>
      <c r="BB27" s="73">
        <f>IF($B27="",0,SUMPRODUCT(-('Gastos Gerais'!$F$4:$F$615='Gastos das Atividades'!$B27),-('Gastos das Atividades'!BB$3&gt;='Gastos Gerais'!$D$4:$D$615),-('Gastos das Atividades'!BB$3&lt;='Gastos Gerais'!$E$4:$E$615),-('Gastos Gerais'!$C$4:$C$615)))</f>
        <v>0</v>
      </c>
      <c r="BC27" s="73">
        <f>IF($B27="",0,SUMPRODUCT(-('Gastos Gerais'!$F$4:$F$615='Gastos das Atividades'!$B27),-('Gastos das Atividades'!BC$3&gt;='Gastos Gerais'!$D$4:$D$615),-('Gastos das Atividades'!BC$3&lt;='Gastos Gerais'!$E$4:$E$615),-('Gastos Gerais'!$C$4:$C$615)))</f>
        <v>0</v>
      </c>
      <c r="BD27" s="73">
        <f>IF($B27="",0,SUMPRODUCT(-('Gastos Gerais'!$F$4:$F$615='Gastos das Atividades'!$B27),-('Gastos das Atividades'!BD$3&gt;='Gastos Gerais'!$D$4:$D$615),-('Gastos das Atividades'!BD$3&lt;='Gastos Gerais'!$E$4:$E$615),-('Gastos Gerais'!$C$4:$C$615)))</f>
        <v>0</v>
      </c>
      <c r="BE27" s="73">
        <f>IF($B27="",0,SUMPRODUCT(-('Gastos Gerais'!$F$4:$F$615='Gastos das Atividades'!$B27),-('Gastos das Atividades'!BE$3&gt;='Gastos Gerais'!$D$4:$D$615),-('Gastos das Atividades'!BE$3&lt;='Gastos Gerais'!$E$4:$E$615),-('Gastos Gerais'!$C$4:$C$615)))</f>
        <v>0</v>
      </c>
      <c r="BF27" s="73">
        <f>IF($B27="",0,SUMPRODUCT(-('Gastos Gerais'!$F$4:$F$615='Gastos das Atividades'!$B27),-('Gastos das Atividades'!BF$3&gt;='Gastos Gerais'!$D$4:$D$615),-('Gastos das Atividades'!BF$3&lt;='Gastos Gerais'!$E$4:$E$615),-('Gastos Gerais'!$C$4:$C$615)))</f>
        <v>0</v>
      </c>
      <c r="BG27" s="73">
        <f>IF($B27="",0,SUMPRODUCT(-('Gastos Gerais'!$F$4:$F$615='Gastos das Atividades'!$B27),-('Gastos das Atividades'!BG$3&gt;='Gastos Gerais'!$D$4:$D$615),-('Gastos das Atividades'!BG$3&lt;='Gastos Gerais'!$E$4:$E$615),-('Gastos Gerais'!$C$4:$C$615)))</f>
        <v>0</v>
      </c>
      <c r="BH27" s="73">
        <f>IF($B27="",0,SUMPRODUCT(-('Gastos Gerais'!$F$4:$F$615='Gastos das Atividades'!$B27),-('Gastos das Atividades'!BH$3&gt;='Gastos Gerais'!$D$4:$D$615),-('Gastos das Atividades'!BH$3&lt;='Gastos Gerais'!$E$4:$E$615),-('Gastos Gerais'!$C$4:$C$615)))</f>
        <v>0</v>
      </c>
      <c r="BI27" s="73">
        <f>IF($B27="",0,SUMPRODUCT(-('Gastos Gerais'!$F$4:$F$615='Gastos das Atividades'!$B27),-('Gastos das Atividades'!BI$3&gt;='Gastos Gerais'!$D$4:$D$615),-('Gastos das Atividades'!BI$3&lt;='Gastos Gerais'!$E$4:$E$615),-('Gastos Gerais'!$C$4:$C$615)))</f>
        <v>0</v>
      </c>
      <c r="BJ27" s="73">
        <f>IF($B27="",0,SUMPRODUCT(-('Gastos Gerais'!$F$4:$F$615='Gastos das Atividades'!$B27),-('Gastos das Atividades'!BJ$3&gt;='Gastos Gerais'!$D$4:$D$615),-('Gastos das Atividades'!BJ$3&lt;='Gastos Gerais'!$E$4:$E$615),-('Gastos Gerais'!$C$4:$C$615)))</f>
        <v>0</v>
      </c>
      <c r="BK27" s="73">
        <f>IF($B27="",0,SUMPRODUCT(-('Gastos Gerais'!$F$4:$F$615='Gastos das Atividades'!$B27),-('Gastos das Atividades'!BK$3&gt;='Gastos Gerais'!$D$4:$D$615),-('Gastos das Atividades'!BK$3&lt;='Gastos Gerais'!$E$4:$E$615),-('Gastos Gerais'!$C$4:$C$615)))</f>
        <v>0</v>
      </c>
      <c r="BL27" s="73">
        <f>IF($B27="",0,SUMPRODUCT(-('Gastos Gerais'!$F$4:$F$615='Gastos das Atividades'!$B27),-('Gastos das Atividades'!BL$3&gt;='Gastos Gerais'!$D$4:$D$615),-('Gastos das Atividades'!BL$3&lt;='Gastos Gerais'!$E$4:$E$615),-('Gastos Gerais'!$C$4:$C$615)))</f>
        <v>0</v>
      </c>
      <c r="BM27" s="73">
        <f>IF($B27="",0,SUMPRODUCT(-('Gastos Gerais'!$F$4:$F$615='Gastos das Atividades'!$B27),-('Gastos das Atividades'!BM$3&gt;='Gastos Gerais'!$D$4:$D$615),-('Gastos das Atividades'!BM$3&lt;='Gastos Gerais'!$E$4:$E$615),-('Gastos Gerais'!$C$4:$C$615)))</f>
        <v>0</v>
      </c>
      <c r="BN27" s="73">
        <f>IF($B27="",0,SUMPRODUCT(-('Gastos Gerais'!$F$4:$F$615='Gastos das Atividades'!$B27),-('Gastos das Atividades'!BN$3&gt;='Gastos Gerais'!$D$4:$D$615),-('Gastos das Atividades'!BN$3&lt;='Gastos Gerais'!$E$4:$E$615),-('Gastos Gerais'!$C$4:$C$615)))</f>
        <v>0</v>
      </c>
      <c r="BO27" s="73">
        <f>IF($B27="",0,SUMPRODUCT(-('Gastos Gerais'!$F$4:$F$615='Gastos das Atividades'!$B27),-('Gastos das Atividades'!BO$3&gt;='Gastos Gerais'!$D$4:$D$615),-('Gastos das Atividades'!BO$3&lt;='Gastos Gerais'!$E$4:$E$615),-('Gastos Gerais'!$C$4:$C$615)))</f>
        <v>0</v>
      </c>
      <c r="BP27" s="73">
        <f>IF($B27="",0,SUMPRODUCT(-('Gastos Gerais'!$F$4:$F$615='Gastos das Atividades'!$B27),-('Gastos das Atividades'!BP$3&gt;='Gastos Gerais'!$D$4:$D$615),-('Gastos das Atividades'!BP$3&lt;='Gastos Gerais'!$E$4:$E$615),-('Gastos Gerais'!$C$4:$C$615)))</f>
        <v>0</v>
      </c>
      <c r="BQ27" s="73">
        <f>IF($B27="",0,SUMPRODUCT(-('Gastos Gerais'!$F$4:$F$615='Gastos das Atividades'!$B27),-('Gastos das Atividades'!BQ$3&gt;='Gastos Gerais'!$D$4:$D$615),-('Gastos das Atividades'!BQ$3&lt;='Gastos Gerais'!$E$4:$E$615),-('Gastos Gerais'!$C$4:$C$615)))</f>
        <v>0</v>
      </c>
      <c r="BR27" s="73">
        <f>IF($B27="",0,SUMPRODUCT(-('Gastos Gerais'!$F$4:$F$615='Gastos das Atividades'!$B27),-('Gastos das Atividades'!BR$3&gt;='Gastos Gerais'!$D$4:$D$615),-('Gastos das Atividades'!BR$3&lt;='Gastos Gerais'!$E$4:$E$615),-('Gastos Gerais'!$C$4:$C$615)))</f>
        <v>0</v>
      </c>
      <c r="BS27" s="73">
        <f>IF($B27="",0,SUMPRODUCT(-('Gastos Gerais'!$F$4:$F$615='Gastos das Atividades'!$B27),-('Gastos das Atividades'!BS$3&gt;='Gastos Gerais'!$D$4:$D$615),-('Gastos das Atividades'!BS$3&lt;='Gastos Gerais'!$E$4:$E$615),-('Gastos Gerais'!$C$4:$C$615)))</f>
        <v>0</v>
      </c>
      <c r="BT27" s="73">
        <f>IF($B27="",0,SUMPRODUCT(-('Gastos Gerais'!$F$4:$F$615='Gastos das Atividades'!$B27),-('Gastos das Atividades'!BT$3&gt;='Gastos Gerais'!$D$4:$D$615),-('Gastos das Atividades'!BT$3&lt;='Gastos Gerais'!$E$4:$E$615),-('Gastos Gerais'!$C$4:$C$615)))</f>
        <v>0</v>
      </c>
      <c r="BU27" s="73">
        <f>IF($B27="",0,SUMPRODUCT(-('Gastos Gerais'!$F$4:$F$615='Gastos das Atividades'!$B27),-('Gastos das Atividades'!BU$3&gt;='Gastos Gerais'!$D$4:$D$615),-('Gastos das Atividades'!BU$3&lt;='Gastos Gerais'!$E$4:$E$615),-('Gastos Gerais'!$C$4:$C$615)))</f>
        <v>0</v>
      </c>
      <c r="BV27" s="73">
        <f>IF($B27="",0,SUMPRODUCT(-('Gastos Gerais'!$F$4:$F$615='Gastos das Atividades'!$B27),-('Gastos das Atividades'!BV$3&gt;='Gastos Gerais'!$D$4:$D$615),-('Gastos das Atividades'!BV$3&lt;='Gastos Gerais'!$E$4:$E$615),-('Gastos Gerais'!$C$4:$C$615)))</f>
        <v>0</v>
      </c>
      <c r="BW27" s="73">
        <f>IF($B27="",0,SUMPRODUCT(-('Gastos Gerais'!$F$4:$F$615='Gastos das Atividades'!$B27),-('Gastos das Atividades'!BW$3&gt;='Gastos Gerais'!$D$4:$D$615),-('Gastos das Atividades'!BW$3&lt;='Gastos Gerais'!$E$4:$E$615),-('Gastos Gerais'!$C$4:$C$615)))</f>
        <v>0</v>
      </c>
      <c r="BX27" s="73">
        <f>IF($B27="",0,SUMPRODUCT(-('Gastos Gerais'!$F$4:$F$615='Gastos das Atividades'!$B27),-('Gastos das Atividades'!BX$3&gt;='Gastos Gerais'!$D$4:$D$615),-('Gastos das Atividades'!BX$3&lt;='Gastos Gerais'!$E$4:$E$615),-('Gastos Gerais'!$C$4:$C$615)))</f>
        <v>0</v>
      </c>
    </row>
    <row r="28" spans="1:76" hidden="1" x14ac:dyDescent="0.2">
      <c r="A28" s="146">
        <v>25</v>
      </c>
      <c r="B28" s="164"/>
      <c r="C28" s="305">
        <v>0</v>
      </c>
      <c r="D28" s="357">
        <f t="shared" si="10"/>
        <v>0</v>
      </c>
      <c r="E28" s="144">
        <f t="shared" si="11"/>
        <v>0</v>
      </c>
      <c r="F28" s="73">
        <f t="shared" si="2"/>
        <v>0</v>
      </c>
      <c r="G28" s="73">
        <f t="shared" si="2"/>
        <v>0</v>
      </c>
      <c r="H28" s="73">
        <f t="shared" si="2"/>
        <v>0</v>
      </c>
      <c r="I28" s="73">
        <f t="shared" si="2"/>
        <v>0</v>
      </c>
      <c r="J28" s="145">
        <f t="shared" si="3"/>
        <v>0</v>
      </c>
      <c r="K28" s="76">
        <f t="shared" si="4"/>
        <v>0</v>
      </c>
      <c r="L28" s="76">
        <f t="shared" si="5"/>
        <v>0</v>
      </c>
      <c r="M28" s="76">
        <f t="shared" si="6"/>
        <v>0</v>
      </c>
      <c r="N28" s="76">
        <f t="shared" si="7"/>
        <v>0</v>
      </c>
      <c r="O28" s="76">
        <f t="shared" si="8"/>
        <v>0</v>
      </c>
      <c r="P28" s="209">
        <f t="shared" si="9"/>
        <v>0</v>
      </c>
      <c r="Q28" s="73">
        <f>IF($B28="",0,SUMPRODUCT(-('Gastos Gerais'!$F$4:$F$615='Gastos das Atividades'!$B28),-('Gastos das Atividades'!Q$3&gt;='Gastos Gerais'!$D$4:$D$615),-('Gastos das Atividades'!Q$3&lt;='Gastos Gerais'!$E$4:$E$615),-('Gastos Gerais'!$C$4:$C$615)))</f>
        <v>0</v>
      </c>
      <c r="R28" s="73">
        <f>IF($B28="",0,SUMPRODUCT(-('Gastos Gerais'!$F$4:$F$615='Gastos das Atividades'!$B28),-('Gastos das Atividades'!R$3&gt;='Gastos Gerais'!$D$4:$D$615),-('Gastos das Atividades'!R$3&lt;='Gastos Gerais'!$E$4:$E$615),-('Gastos Gerais'!$C$4:$C$615)))</f>
        <v>0</v>
      </c>
      <c r="S28" s="73">
        <f>IF($B28="",0,SUMPRODUCT(-('Gastos Gerais'!$F$4:$F$615='Gastos das Atividades'!$B28),-('Gastos das Atividades'!S$3&gt;='Gastos Gerais'!$D$4:$D$615),-('Gastos das Atividades'!S$3&lt;='Gastos Gerais'!$E$4:$E$615),-('Gastos Gerais'!$C$4:$C$615)))</f>
        <v>0</v>
      </c>
      <c r="T28" s="73">
        <f>IF($B28="",0,SUMPRODUCT(-('Gastos Gerais'!$F$4:$F$615='Gastos das Atividades'!$B28),-('Gastos das Atividades'!T$3&gt;='Gastos Gerais'!$D$4:$D$615),-('Gastos das Atividades'!T$3&lt;='Gastos Gerais'!$E$4:$E$615),-('Gastos Gerais'!$C$4:$C$615)))</f>
        <v>0</v>
      </c>
      <c r="U28" s="73">
        <f>IF($B28="",0,SUMPRODUCT(-('Gastos Gerais'!$F$4:$F$615='Gastos das Atividades'!$B28),-('Gastos das Atividades'!U$3&gt;='Gastos Gerais'!$D$4:$D$615),-('Gastos das Atividades'!U$3&lt;='Gastos Gerais'!$E$4:$E$615),-('Gastos Gerais'!$C$4:$C$615)))</f>
        <v>0</v>
      </c>
      <c r="V28" s="73">
        <f>IF($B28="",0,SUMPRODUCT(-('Gastos Gerais'!$F$4:$F$615='Gastos das Atividades'!$B28),-('Gastos das Atividades'!V$3&gt;='Gastos Gerais'!$D$4:$D$615),-('Gastos das Atividades'!V$3&lt;='Gastos Gerais'!$E$4:$E$615),-('Gastos Gerais'!$C$4:$C$615)))</f>
        <v>0</v>
      </c>
      <c r="W28" s="73">
        <f>IF($B28="",0,SUMPRODUCT(-('Gastos Gerais'!$F$4:$F$615='Gastos das Atividades'!$B28),-('Gastos das Atividades'!W$3&gt;='Gastos Gerais'!$D$4:$D$615),-('Gastos das Atividades'!W$3&lt;='Gastos Gerais'!$E$4:$E$615),-('Gastos Gerais'!$C$4:$C$615)))</f>
        <v>0</v>
      </c>
      <c r="X28" s="73">
        <f>IF($B28="",0,SUMPRODUCT(-('Gastos Gerais'!$F$4:$F$615='Gastos das Atividades'!$B28),-('Gastos das Atividades'!X$3&gt;='Gastos Gerais'!$D$4:$D$615),-('Gastos das Atividades'!X$3&lt;='Gastos Gerais'!$E$4:$E$615),-('Gastos Gerais'!$C$4:$C$615)))</f>
        <v>0</v>
      </c>
      <c r="Y28" s="73">
        <f>IF($B28="",0,SUMPRODUCT(-('Gastos Gerais'!$F$4:$F$615='Gastos das Atividades'!$B28),-('Gastos das Atividades'!Y$3&gt;='Gastos Gerais'!$D$4:$D$615),-('Gastos das Atividades'!Y$3&lt;='Gastos Gerais'!$E$4:$E$615),-('Gastos Gerais'!$C$4:$C$615)))</f>
        <v>0</v>
      </c>
      <c r="Z28" s="73">
        <f>IF($B28="",0,SUMPRODUCT(-('Gastos Gerais'!$F$4:$F$615='Gastos das Atividades'!$B28),-('Gastos das Atividades'!Z$3&gt;='Gastos Gerais'!$D$4:$D$615),-('Gastos das Atividades'!Z$3&lt;='Gastos Gerais'!$E$4:$E$615),-('Gastos Gerais'!$C$4:$C$615)))</f>
        <v>0</v>
      </c>
      <c r="AA28" s="73">
        <f>IF($B28="",0,SUMPRODUCT(-('Gastos Gerais'!$F$4:$F$615='Gastos das Atividades'!$B28),-('Gastos das Atividades'!AA$3&gt;='Gastos Gerais'!$D$4:$D$615),-('Gastos das Atividades'!AA$3&lt;='Gastos Gerais'!$E$4:$E$615),-('Gastos Gerais'!$C$4:$C$615)))</f>
        <v>0</v>
      </c>
      <c r="AB28" s="73">
        <f>IF($B28="",0,SUMPRODUCT(-('Gastos Gerais'!$F$4:$F$615='Gastos das Atividades'!$B28),-('Gastos das Atividades'!AB$3&gt;='Gastos Gerais'!$D$4:$D$615),-('Gastos das Atividades'!AB$3&lt;='Gastos Gerais'!$E$4:$E$615),-('Gastos Gerais'!$C$4:$C$615)))</f>
        <v>0</v>
      </c>
      <c r="AC28" s="73">
        <f>IF($B28="",0,SUMPRODUCT(-('Gastos Gerais'!$F$4:$F$615='Gastos das Atividades'!$B28),-('Gastos das Atividades'!AC$3&gt;='Gastos Gerais'!$D$4:$D$615),-('Gastos das Atividades'!AC$3&lt;='Gastos Gerais'!$E$4:$E$615),-('Gastos Gerais'!$C$4:$C$615)))</f>
        <v>0</v>
      </c>
      <c r="AD28" s="73">
        <f>IF($B28="",0,SUMPRODUCT(-('Gastos Gerais'!$F$4:$F$615='Gastos das Atividades'!$B28),-('Gastos das Atividades'!AD$3&gt;='Gastos Gerais'!$D$4:$D$615),-('Gastos das Atividades'!AD$3&lt;='Gastos Gerais'!$E$4:$E$615),-('Gastos Gerais'!$C$4:$C$615)))</f>
        <v>0</v>
      </c>
      <c r="AE28" s="73">
        <f>IF($B28="",0,SUMPRODUCT(-('Gastos Gerais'!$F$4:$F$615='Gastos das Atividades'!$B28),-('Gastos das Atividades'!AE$3&gt;='Gastos Gerais'!$D$4:$D$615),-('Gastos das Atividades'!AE$3&lt;='Gastos Gerais'!$E$4:$E$615),-('Gastos Gerais'!$C$4:$C$615)))</f>
        <v>0</v>
      </c>
      <c r="AF28" s="73">
        <f>IF($B28="",0,SUMPRODUCT(-('Gastos Gerais'!$F$4:$F$615='Gastos das Atividades'!$B28),-('Gastos das Atividades'!AF$3&gt;='Gastos Gerais'!$D$4:$D$615),-('Gastos das Atividades'!AF$3&lt;='Gastos Gerais'!$E$4:$E$615),-('Gastos Gerais'!$C$4:$C$615)))</f>
        <v>0</v>
      </c>
      <c r="AG28" s="73">
        <f>IF($B28="",0,SUMPRODUCT(-('Gastos Gerais'!$F$4:$F$615='Gastos das Atividades'!$B28),-('Gastos das Atividades'!AG$3&gt;='Gastos Gerais'!$D$4:$D$615),-('Gastos das Atividades'!AG$3&lt;='Gastos Gerais'!$E$4:$E$615),-('Gastos Gerais'!$C$4:$C$615)))</f>
        <v>0</v>
      </c>
      <c r="AH28" s="73">
        <f>IF($B28="",0,SUMPRODUCT(-('Gastos Gerais'!$F$4:$F$615='Gastos das Atividades'!$B28),-('Gastos das Atividades'!AH$3&gt;='Gastos Gerais'!$D$4:$D$615),-('Gastos das Atividades'!AH$3&lt;='Gastos Gerais'!$E$4:$E$615),-('Gastos Gerais'!$C$4:$C$615)))</f>
        <v>0</v>
      </c>
      <c r="AI28" s="73">
        <f>IF($B28="",0,SUMPRODUCT(-('Gastos Gerais'!$F$4:$F$615='Gastos das Atividades'!$B28),-('Gastos das Atividades'!AI$3&gt;='Gastos Gerais'!$D$4:$D$615),-('Gastos das Atividades'!AI$3&lt;='Gastos Gerais'!$E$4:$E$615),-('Gastos Gerais'!$C$4:$C$615)))</f>
        <v>0</v>
      </c>
      <c r="AJ28" s="73">
        <f>IF($B28="",0,SUMPRODUCT(-('Gastos Gerais'!$F$4:$F$615='Gastos das Atividades'!$B28),-('Gastos das Atividades'!AJ$3&gt;='Gastos Gerais'!$D$4:$D$615),-('Gastos das Atividades'!AJ$3&lt;='Gastos Gerais'!$E$4:$E$615),-('Gastos Gerais'!$C$4:$C$615)))</f>
        <v>0</v>
      </c>
      <c r="AK28" s="73">
        <f>IF($B28="",0,SUMPRODUCT(-('Gastos Gerais'!$F$4:$F$615='Gastos das Atividades'!$B28),-('Gastos das Atividades'!AK$3&gt;='Gastos Gerais'!$D$4:$D$615),-('Gastos das Atividades'!AK$3&lt;='Gastos Gerais'!$E$4:$E$615),-('Gastos Gerais'!$C$4:$C$615)))</f>
        <v>0</v>
      </c>
      <c r="AL28" s="73">
        <f>IF($B28="",0,SUMPRODUCT(-('Gastos Gerais'!$F$4:$F$615='Gastos das Atividades'!$B28),-('Gastos das Atividades'!AL$3&gt;='Gastos Gerais'!$D$4:$D$615),-('Gastos das Atividades'!AL$3&lt;='Gastos Gerais'!$E$4:$E$615),-('Gastos Gerais'!$C$4:$C$615)))</f>
        <v>0</v>
      </c>
      <c r="AM28" s="73">
        <f>IF($B28="",0,SUMPRODUCT(-('Gastos Gerais'!$F$4:$F$615='Gastos das Atividades'!$B28),-('Gastos das Atividades'!AM$3&gt;='Gastos Gerais'!$D$4:$D$615),-('Gastos das Atividades'!AM$3&lt;='Gastos Gerais'!$E$4:$E$615),-('Gastos Gerais'!$C$4:$C$615)))</f>
        <v>0</v>
      </c>
      <c r="AN28" s="73">
        <f>IF($B28="",0,SUMPRODUCT(-('Gastos Gerais'!$F$4:$F$615='Gastos das Atividades'!$B28),-('Gastos das Atividades'!AN$3&gt;='Gastos Gerais'!$D$4:$D$615),-('Gastos das Atividades'!AN$3&lt;='Gastos Gerais'!$E$4:$E$615),-('Gastos Gerais'!$C$4:$C$615)))</f>
        <v>0</v>
      </c>
      <c r="AO28" s="73">
        <f>IF($B28="",0,SUMPRODUCT(-('Gastos Gerais'!$F$4:$F$615='Gastos das Atividades'!$B28),-('Gastos das Atividades'!AO$3&gt;='Gastos Gerais'!$D$4:$D$615),-('Gastos das Atividades'!AO$3&lt;='Gastos Gerais'!$E$4:$E$615),-('Gastos Gerais'!$C$4:$C$615)))</f>
        <v>0</v>
      </c>
      <c r="AP28" s="73">
        <f>IF($B28="",0,SUMPRODUCT(-('Gastos Gerais'!$F$4:$F$615='Gastos das Atividades'!$B28),-('Gastos das Atividades'!AP$3&gt;='Gastos Gerais'!$D$4:$D$615),-('Gastos das Atividades'!AP$3&lt;='Gastos Gerais'!$E$4:$E$615),-('Gastos Gerais'!$C$4:$C$615)))</f>
        <v>0</v>
      </c>
      <c r="AQ28" s="73">
        <f>IF($B28="",0,SUMPRODUCT(-('Gastos Gerais'!$F$4:$F$615='Gastos das Atividades'!$B28),-('Gastos das Atividades'!AQ$3&gt;='Gastos Gerais'!$D$4:$D$615),-('Gastos das Atividades'!AQ$3&lt;='Gastos Gerais'!$E$4:$E$615),-('Gastos Gerais'!$C$4:$C$615)))</f>
        <v>0</v>
      </c>
      <c r="AR28" s="73">
        <f>IF($B28="",0,SUMPRODUCT(-('Gastos Gerais'!$F$4:$F$615='Gastos das Atividades'!$B28),-('Gastos das Atividades'!AR$3&gt;='Gastos Gerais'!$D$4:$D$615),-('Gastos das Atividades'!AR$3&lt;='Gastos Gerais'!$E$4:$E$615),-('Gastos Gerais'!$C$4:$C$615)))</f>
        <v>0</v>
      </c>
      <c r="AS28" s="73">
        <f>IF($B28="",0,SUMPRODUCT(-('Gastos Gerais'!$F$4:$F$615='Gastos das Atividades'!$B28),-('Gastos das Atividades'!AS$3&gt;='Gastos Gerais'!$D$4:$D$615),-('Gastos das Atividades'!AS$3&lt;='Gastos Gerais'!$E$4:$E$615),-('Gastos Gerais'!$C$4:$C$615)))</f>
        <v>0</v>
      </c>
      <c r="AT28" s="73">
        <f>IF($B28="",0,SUMPRODUCT(-('Gastos Gerais'!$F$4:$F$615='Gastos das Atividades'!$B28),-('Gastos das Atividades'!AT$3&gt;='Gastos Gerais'!$D$4:$D$615),-('Gastos das Atividades'!AT$3&lt;='Gastos Gerais'!$E$4:$E$615),-('Gastos Gerais'!$C$4:$C$615)))</f>
        <v>0</v>
      </c>
      <c r="AU28" s="73">
        <f>IF($B28="",0,SUMPRODUCT(-('Gastos Gerais'!$F$4:$F$615='Gastos das Atividades'!$B28),-('Gastos das Atividades'!AU$3&gt;='Gastos Gerais'!$D$4:$D$615),-('Gastos das Atividades'!AU$3&lt;='Gastos Gerais'!$E$4:$E$615),-('Gastos Gerais'!$C$4:$C$615)))</f>
        <v>0</v>
      </c>
      <c r="AV28" s="73">
        <f>IF($B28="",0,SUMPRODUCT(-('Gastos Gerais'!$F$4:$F$615='Gastos das Atividades'!$B28),-('Gastos das Atividades'!AV$3&gt;='Gastos Gerais'!$D$4:$D$615),-('Gastos das Atividades'!AV$3&lt;='Gastos Gerais'!$E$4:$E$615),-('Gastos Gerais'!$C$4:$C$615)))</f>
        <v>0</v>
      </c>
      <c r="AW28" s="73">
        <f>IF($B28="",0,SUMPRODUCT(-('Gastos Gerais'!$F$4:$F$615='Gastos das Atividades'!$B28),-('Gastos das Atividades'!AW$3&gt;='Gastos Gerais'!$D$4:$D$615),-('Gastos das Atividades'!AW$3&lt;='Gastos Gerais'!$E$4:$E$615),-('Gastos Gerais'!$C$4:$C$615)))</f>
        <v>0</v>
      </c>
      <c r="AX28" s="73">
        <f>IF($B28="",0,SUMPRODUCT(-('Gastos Gerais'!$F$4:$F$615='Gastos das Atividades'!$B28),-('Gastos das Atividades'!AX$3&gt;='Gastos Gerais'!$D$4:$D$615),-('Gastos das Atividades'!AX$3&lt;='Gastos Gerais'!$E$4:$E$615),-('Gastos Gerais'!$C$4:$C$615)))</f>
        <v>0</v>
      </c>
      <c r="AY28" s="73">
        <f>IF($B28="",0,SUMPRODUCT(-('Gastos Gerais'!$F$4:$F$615='Gastos das Atividades'!$B28),-('Gastos das Atividades'!AY$3&gt;='Gastos Gerais'!$D$4:$D$615),-('Gastos das Atividades'!AY$3&lt;='Gastos Gerais'!$E$4:$E$615),-('Gastos Gerais'!$C$4:$C$615)))</f>
        <v>0</v>
      </c>
      <c r="AZ28" s="73">
        <f>IF($B28="",0,SUMPRODUCT(-('Gastos Gerais'!$F$4:$F$615='Gastos das Atividades'!$B28),-('Gastos das Atividades'!AZ$3&gt;='Gastos Gerais'!$D$4:$D$615),-('Gastos das Atividades'!AZ$3&lt;='Gastos Gerais'!$E$4:$E$615),-('Gastos Gerais'!$C$4:$C$615)))</f>
        <v>0</v>
      </c>
      <c r="BA28" s="73">
        <f>IF($B28="",0,SUMPRODUCT(-('Gastos Gerais'!$F$4:$F$615='Gastos das Atividades'!$B28),-('Gastos das Atividades'!BA$3&gt;='Gastos Gerais'!$D$4:$D$615),-('Gastos das Atividades'!BA$3&lt;='Gastos Gerais'!$E$4:$E$615),-('Gastos Gerais'!$C$4:$C$615)))</f>
        <v>0</v>
      </c>
      <c r="BB28" s="73">
        <f>IF($B28="",0,SUMPRODUCT(-('Gastos Gerais'!$F$4:$F$615='Gastos das Atividades'!$B28),-('Gastos das Atividades'!BB$3&gt;='Gastos Gerais'!$D$4:$D$615),-('Gastos das Atividades'!BB$3&lt;='Gastos Gerais'!$E$4:$E$615),-('Gastos Gerais'!$C$4:$C$615)))</f>
        <v>0</v>
      </c>
      <c r="BC28" s="73">
        <f>IF($B28="",0,SUMPRODUCT(-('Gastos Gerais'!$F$4:$F$615='Gastos das Atividades'!$B28),-('Gastos das Atividades'!BC$3&gt;='Gastos Gerais'!$D$4:$D$615),-('Gastos das Atividades'!BC$3&lt;='Gastos Gerais'!$E$4:$E$615),-('Gastos Gerais'!$C$4:$C$615)))</f>
        <v>0</v>
      </c>
      <c r="BD28" s="73">
        <f>IF($B28="",0,SUMPRODUCT(-('Gastos Gerais'!$F$4:$F$615='Gastos das Atividades'!$B28),-('Gastos das Atividades'!BD$3&gt;='Gastos Gerais'!$D$4:$D$615),-('Gastos das Atividades'!BD$3&lt;='Gastos Gerais'!$E$4:$E$615),-('Gastos Gerais'!$C$4:$C$615)))</f>
        <v>0</v>
      </c>
      <c r="BE28" s="73">
        <f>IF($B28="",0,SUMPRODUCT(-('Gastos Gerais'!$F$4:$F$615='Gastos das Atividades'!$B28),-('Gastos das Atividades'!BE$3&gt;='Gastos Gerais'!$D$4:$D$615),-('Gastos das Atividades'!BE$3&lt;='Gastos Gerais'!$E$4:$E$615),-('Gastos Gerais'!$C$4:$C$615)))</f>
        <v>0</v>
      </c>
      <c r="BF28" s="73">
        <f>IF($B28="",0,SUMPRODUCT(-('Gastos Gerais'!$F$4:$F$615='Gastos das Atividades'!$B28),-('Gastos das Atividades'!BF$3&gt;='Gastos Gerais'!$D$4:$D$615),-('Gastos das Atividades'!BF$3&lt;='Gastos Gerais'!$E$4:$E$615),-('Gastos Gerais'!$C$4:$C$615)))</f>
        <v>0</v>
      </c>
      <c r="BG28" s="73">
        <f>IF($B28="",0,SUMPRODUCT(-('Gastos Gerais'!$F$4:$F$615='Gastos das Atividades'!$B28),-('Gastos das Atividades'!BG$3&gt;='Gastos Gerais'!$D$4:$D$615),-('Gastos das Atividades'!BG$3&lt;='Gastos Gerais'!$E$4:$E$615),-('Gastos Gerais'!$C$4:$C$615)))</f>
        <v>0</v>
      </c>
      <c r="BH28" s="73">
        <f>IF($B28="",0,SUMPRODUCT(-('Gastos Gerais'!$F$4:$F$615='Gastos das Atividades'!$B28),-('Gastos das Atividades'!BH$3&gt;='Gastos Gerais'!$D$4:$D$615),-('Gastos das Atividades'!BH$3&lt;='Gastos Gerais'!$E$4:$E$615),-('Gastos Gerais'!$C$4:$C$615)))</f>
        <v>0</v>
      </c>
      <c r="BI28" s="73">
        <f>IF($B28="",0,SUMPRODUCT(-('Gastos Gerais'!$F$4:$F$615='Gastos das Atividades'!$B28),-('Gastos das Atividades'!BI$3&gt;='Gastos Gerais'!$D$4:$D$615),-('Gastos das Atividades'!BI$3&lt;='Gastos Gerais'!$E$4:$E$615),-('Gastos Gerais'!$C$4:$C$615)))</f>
        <v>0</v>
      </c>
      <c r="BJ28" s="73">
        <f>IF($B28="",0,SUMPRODUCT(-('Gastos Gerais'!$F$4:$F$615='Gastos das Atividades'!$B28),-('Gastos das Atividades'!BJ$3&gt;='Gastos Gerais'!$D$4:$D$615),-('Gastos das Atividades'!BJ$3&lt;='Gastos Gerais'!$E$4:$E$615),-('Gastos Gerais'!$C$4:$C$615)))</f>
        <v>0</v>
      </c>
      <c r="BK28" s="73">
        <f>IF($B28="",0,SUMPRODUCT(-('Gastos Gerais'!$F$4:$F$615='Gastos das Atividades'!$B28),-('Gastos das Atividades'!BK$3&gt;='Gastos Gerais'!$D$4:$D$615),-('Gastos das Atividades'!BK$3&lt;='Gastos Gerais'!$E$4:$E$615),-('Gastos Gerais'!$C$4:$C$615)))</f>
        <v>0</v>
      </c>
      <c r="BL28" s="73">
        <f>IF($B28="",0,SUMPRODUCT(-('Gastos Gerais'!$F$4:$F$615='Gastos das Atividades'!$B28),-('Gastos das Atividades'!BL$3&gt;='Gastos Gerais'!$D$4:$D$615),-('Gastos das Atividades'!BL$3&lt;='Gastos Gerais'!$E$4:$E$615),-('Gastos Gerais'!$C$4:$C$615)))</f>
        <v>0</v>
      </c>
      <c r="BM28" s="73">
        <f>IF($B28="",0,SUMPRODUCT(-('Gastos Gerais'!$F$4:$F$615='Gastos das Atividades'!$B28),-('Gastos das Atividades'!BM$3&gt;='Gastos Gerais'!$D$4:$D$615),-('Gastos das Atividades'!BM$3&lt;='Gastos Gerais'!$E$4:$E$615),-('Gastos Gerais'!$C$4:$C$615)))</f>
        <v>0</v>
      </c>
      <c r="BN28" s="73">
        <f>IF($B28="",0,SUMPRODUCT(-('Gastos Gerais'!$F$4:$F$615='Gastos das Atividades'!$B28),-('Gastos das Atividades'!BN$3&gt;='Gastos Gerais'!$D$4:$D$615),-('Gastos das Atividades'!BN$3&lt;='Gastos Gerais'!$E$4:$E$615),-('Gastos Gerais'!$C$4:$C$615)))</f>
        <v>0</v>
      </c>
      <c r="BO28" s="73">
        <f>IF($B28="",0,SUMPRODUCT(-('Gastos Gerais'!$F$4:$F$615='Gastos das Atividades'!$B28),-('Gastos das Atividades'!BO$3&gt;='Gastos Gerais'!$D$4:$D$615),-('Gastos das Atividades'!BO$3&lt;='Gastos Gerais'!$E$4:$E$615),-('Gastos Gerais'!$C$4:$C$615)))</f>
        <v>0</v>
      </c>
      <c r="BP28" s="73">
        <f>IF($B28="",0,SUMPRODUCT(-('Gastos Gerais'!$F$4:$F$615='Gastos das Atividades'!$B28),-('Gastos das Atividades'!BP$3&gt;='Gastos Gerais'!$D$4:$D$615),-('Gastos das Atividades'!BP$3&lt;='Gastos Gerais'!$E$4:$E$615),-('Gastos Gerais'!$C$4:$C$615)))</f>
        <v>0</v>
      </c>
      <c r="BQ28" s="73">
        <f>IF($B28="",0,SUMPRODUCT(-('Gastos Gerais'!$F$4:$F$615='Gastos das Atividades'!$B28),-('Gastos das Atividades'!BQ$3&gt;='Gastos Gerais'!$D$4:$D$615),-('Gastos das Atividades'!BQ$3&lt;='Gastos Gerais'!$E$4:$E$615),-('Gastos Gerais'!$C$4:$C$615)))</f>
        <v>0</v>
      </c>
      <c r="BR28" s="73">
        <f>IF($B28="",0,SUMPRODUCT(-('Gastos Gerais'!$F$4:$F$615='Gastos das Atividades'!$B28),-('Gastos das Atividades'!BR$3&gt;='Gastos Gerais'!$D$4:$D$615),-('Gastos das Atividades'!BR$3&lt;='Gastos Gerais'!$E$4:$E$615),-('Gastos Gerais'!$C$4:$C$615)))</f>
        <v>0</v>
      </c>
      <c r="BS28" s="73">
        <f>IF($B28="",0,SUMPRODUCT(-('Gastos Gerais'!$F$4:$F$615='Gastos das Atividades'!$B28),-('Gastos das Atividades'!BS$3&gt;='Gastos Gerais'!$D$4:$D$615),-('Gastos das Atividades'!BS$3&lt;='Gastos Gerais'!$E$4:$E$615),-('Gastos Gerais'!$C$4:$C$615)))</f>
        <v>0</v>
      </c>
      <c r="BT28" s="73">
        <f>IF($B28="",0,SUMPRODUCT(-('Gastos Gerais'!$F$4:$F$615='Gastos das Atividades'!$B28),-('Gastos das Atividades'!BT$3&gt;='Gastos Gerais'!$D$4:$D$615),-('Gastos das Atividades'!BT$3&lt;='Gastos Gerais'!$E$4:$E$615),-('Gastos Gerais'!$C$4:$C$615)))</f>
        <v>0</v>
      </c>
      <c r="BU28" s="73">
        <f>IF($B28="",0,SUMPRODUCT(-('Gastos Gerais'!$F$4:$F$615='Gastos das Atividades'!$B28),-('Gastos das Atividades'!BU$3&gt;='Gastos Gerais'!$D$4:$D$615),-('Gastos das Atividades'!BU$3&lt;='Gastos Gerais'!$E$4:$E$615),-('Gastos Gerais'!$C$4:$C$615)))</f>
        <v>0</v>
      </c>
      <c r="BV28" s="73">
        <f>IF($B28="",0,SUMPRODUCT(-('Gastos Gerais'!$F$4:$F$615='Gastos das Atividades'!$B28),-('Gastos das Atividades'!BV$3&gt;='Gastos Gerais'!$D$4:$D$615),-('Gastos das Atividades'!BV$3&lt;='Gastos Gerais'!$E$4:$E$615),-('Gastos Gerais'!$C$4:$C$615)))</f>
        <v>0</v>
      </c>
      <c r="BW28" s="73">
        <f>IF($B28="",0,SUMPRODUCT(-('Gastos Gerais'!$F$4:$F$615='Gastos das Atividades'!$B28),-('Gastos das Atividades'!BW$3&gt;='Gastos Gerais'!$D$4:$D$615),-('Gastos das Atividades'!BW$3&lt;='Gastos Gerais'!$E$4:$E$615),-('Gastos Gerais'!$C$4:$C$615)))</f>
        <v>0</v>
      </c>
      <c r="BX28" s="73">
        <f>IF($B28="",0,SUMPRODUCT(-('Gastos Gerais'!$F$4:$F$615='Gastos das Atividades'!$B28),-('Gastos das Atividades'!BX$3&gt;='Gastos Gerais'!$D$4:$D$615),-('Gastos das Atividades'!BX$3&lt;='Gastos Gerais'!$E$4:$E$615),-('Gastos Gerais'!$C$4:$C$615)))</f>
        <v>0</v>
      </c>
    </row>
    <row r="29" spans="1:76" hidden="1" x14ac:dyDescent="0.2">
      <c r="A29" s="146">
        <v>26</v>
      </c>
      <c r="B29" s="164"/>
      <c r="C29" s="305">
        <v>0</v>
      </c>
      <c r="D29" s="357">
        <f t="shared" si="10"/>
        <v>0</v>
      </c>
      <c r="E29" s="144">
        <f t="shared" si="11"/>
        <v>0</v>
      </c>
      <c r="F29" s="73">
        <f t="shared" si="2"/>
        <v>0</v>
      </c>
      <c r="G29" s="73">
        <f t="shared" si="2"/>
        <v>0</v>
      </c>
      <c r="H29" s="73">
        <f t="shared" si="2"/>
        <v>0</v>
      </c>
      <c r="I29" s="73">
        <f t="shared" si="2"/>
        <v>0</v>
      </c>
      <c r="J29" s="145">
        <f t="shared" si="3"/>
        <v>0</v>
      </c>
      <c r="K29" s="76">
        <f t="shared" si="4"/>
        <v>0</v>
      </c>
      <c r="L29" s="76">
        <f t="shared" si="5"/>
        <v>0</v>
      </c>
      <c r="M29" s="76">
        <f t="shared" si="6"/>
        <v>0</v>
      </c>
      <c r="N29" s="76">
        <f t="shared" si="7"/>
        <v>0</v>
      </c>
      <c r="O29" s="76">
        <f t="shared" si="8"/>
        <v>0</v>
      </c>
      <c r="P29" s="209">
        <f t="shared" si="9"/>
        <v>0</v>
      </c>
      <c r="Q29" s="73">
        <f>IF($B29="",0,SUMPRODUCT(-('Gastos Gerais'!$F$4:$F$615='Gastos das Atividades'!$B29),-('Gastos das Atividades'!Q$3&gt;='Gastos Gerais'!$D$4:$D$615),-('Gastos das Atividades'!Q$3&lt;='Gastos Gerais'!$E$4:$E$615),-('Gastos Gerais'!$C$4:$C$615)))</f>
        <v>0</v>
      </c>
      <c r="R29" s="73">
        <f>IF($B29="",0,SUMPRODUCT(-('Gastos Gerais'!$F$4:$F$615='Gastos das Atividades'!$B29),-('Gastos das Atividades'!R$3&gt;='Gastos Gerais'!$D$4:$D$615),-('Gastos das Atividades'!R$3&lt;='Gastos Gerais'!$E$4:$E$615),-('Gastos Gerais'!$C$4:$C$615)))</f>
        <v>0</v>
      </c>
      <c r="S29" s="73">
        <f>IF($B29="",0,SUMPRODUCT(-('Gastos Gerais'!$F$4:$F$615='Gastos das Atividades'!$B29),-('Gastos das Atividades'!S$3&gt;='Gastos Gerais'!$D$4:$D$615),-('Gastos das Atividades'!S$3&lt;='Gastos Gerais'!$E$4:$E$615),-('Gastos Gerais'!$C$4:$C$615)))</f>
        <v>0</v>
      </c>
      <c r="T29" s="73">
        <f>IF($B29="",0,SUMPRODUCT(-('Gastos Gerais'!$F$4:$F$615='Gastos das Atividades'!$B29),-('Gastos das Atividades'!T$3&gt;='Gastos Gerais'!$D$4:$D$615),-('Gastos das Atividades'!T$3&lt;='Gastos Gerais'!$E$4:$E$615),-('Gastos Gerais'!$C$4:$C$615)))</f>
        <v>0</v>
      </c>
      <c r="U29" s="73">
        <f>IF($B29="",0,SUMPRODUCT(-('Gastos Gerais'!$F$4:$F$615='Gastos das Atividades'!$B29),-('Gastos das Atividades'!U$3&gt;='Gastos Gerais'!$D$4:$D$615),-('Gastos das Atividades'!U$3&lt;='Gastos Gerais'!$E$4:$E$615),-('Gastos Gerais'!$C$4:$C$615)))</f>
        <v>0</v>
      </c>
      <c r="V29" s="73">
        <f>IF($B29="",0,SUMPRODUCT(-('Gastos Gerais'!$F$4:$F$615='Gastos das Atividades'!$B29),-('Gastos das Atividades'!V$3&gt;='Gastos Gerais'!$D$4:$D$615),-('Gastos das Atividades'!V$3&lt;='Gastos Gerais'!$E$4:$E$615),-('Gastos Gerais'!$C$4:$C$615)))</f>
        <v>0</v>
      </c>
      <c r="W29" s="73">
        <f>IF($B29="",0,SUMPRODUCT(-('Gastos Gerais'!$F$4:$F$615='Gastos das Atividades'!$B29),-('Gastos das Atividades'!W$3&gt;='Gastos Gerais'!$D$4:$D$615),-('Gastos das Atividades'!W$3&lt;='Gastos Gerais'!$E$4:$E$615),-('Gastos Gerais'!$C$4:$C$615)))</f>
        <v>0</v>
      </c>
      <c r="X29" s="73">
        <f>IF($B29="",0,SUMPRODUCT(-('Gastos Gerais'!$F$4:$F$615='Gastos das Atividades'!$B29),-('Gastos das Atividades'!X$3&gt;='Gastos Gerais'!$D$4:$D$615),-('Gastos das Atividades'!X$3&lt;='Gastos Gerais'!$E$4:$E$615),-('Gastos Gerais'!$C$4:$C$615)))</f>
        <v>0</v>
      </c>
      <c r="Y29" s="73">
        <f>IF($B29="",0,SUMPRODUCT(-('Gastos Gerais'!$F$4:$F$615='Gastos das Atividades'!$B29),-('Gastos das Atividades'!Y$3&gt;='Gastos Gerais'!$D$4:$D$615),-('Gastos das Atividades'!Y$3&lt;='Gastos Gerais'!$E$4:$E$615),-('Gastos Gerais'!$C$4:$C$615)))</f>
        <v>0</v>
      </c>
      <c r="Z29" s="73">
        <f>IF($B29="",0,SUMPRODUCT(-('Gastos Gerais'!$F$4:$F$615='Gastos das Atividades'!$B29),-('Gastos das Atividades'!Z$3&gt;='Gastos Gerais'!$D$4:$D$615),-('Gastos das Atividades'!Z$3&lt;='Gastos Gerais'!$E$4:$E$615),-('Gastos Gerais'!$C$4:$C$615)))</f>
        <v>0</v>
      </c>
      <c r="AA29" s="73">
        <f>IF($B29="",0,SUMPRODUCT(-('Gastos Gerais'!$F$4:$F$615='Gastos das Atividades'!$B29),-('Gastos das Atividades'!AA$3&gt;='Gastos Gerais'!$D$4:$D$615),-('Gastos das Atividades'!AA$3&lt;='Gastos Gerais'!$E$4:$E$615),-('Gastos Gerais'!$C$4:$C$615)))</f>
        <v>0</v>
      </c>
      <c r="AB29" s="73">
        <f>IF($B29="",0,SUMPRODUCT(-('Gastos Gerais'!$F$4:$F$615='Gastos das Atividades'!$B29),-('Gastos das Atividades'!AB$3&gt;='Gastos Gerais'!$D$4:$D$615),-('Gastos das Atividades'!AB$3&lt;='Gastos Gerais'!$E$4:$E$615),-('Gastos Gerais'!$C$4:$C$615)))</f>
        <v>0</v>
      </c>
      <c r="AC29" s="73">
        <f>IF($B29="",0,SUMPRODUCT(-('Gastos Gerais'!$F$4:$F$615='Gastos das Atividades'!$B29),-('Gastos das Atividades'!AC$3&gt;='Gastos Gerais'!$D$4:$D$615),-('Gastos das Atividades'!AC$3&lt;='Gastos Gerais'!$E$4:$E$615),-('Gastos Gerais'!$C$4:$C$615)))</f>
        <v>0</v>
      </c>
      <c r="AD29" s="73">
        <f>IF($B29="",0,SUMPRODUCT(-('Gastos Gerais'!$F$4:$F$615='Gastos das Atividades'!$B29),-('Gastos das Atividades'!AD$3&gt;='Gastos Gerais'!$D$4:$D$615),-('Gastos das Atividades'!AD$3&lt;='Gastos Gerais'!$E$4:$E$615),-('Gastos Gerais'!$C$4:$C$615)))</f>
        <v>0</v>
      </c>
      <c r="AE29" s="73">
        <f>IF($B29="",0,SUMPRODUCT(-('Gastos Gerais'!$F$4:$F$615='Gastos das Atividades'!$B29),-('Gastos das Atividades'!AE$3&gt;='Gastos Gerais'!$D$4:$D$615),-('Gastos das Atividades'!AE$3&lt;='Gastos Gerais'!$E$4:$E$615),-('Gastos Gerais'!$C$4:$C$615)))</f>
        <v>0</v>
      </c>
      <c r="AF29" s="73">
        <f>IF($B29="",0,SUMPRODUCT(-('Gastos Gerais'!$F$4:$F$615='Gastos das Atividades'!$B29),-('Gastos das Atividades'!AF$3&gt;='Gastos Gerais'!$D$4:$D$615),-('Gastos das Atividades'!AF$3&lt;='Gastos Gerais'!$E$4:$E$615),-('Gastos Gerais'!$C$4:$C$615)))</f>
        <v>0</v>
      </c>
      <c r="AG29" s="73">
        <f>IF($B29="",0,SUMPRODUCT(-('Gastos Gerais'!$F$4:$F$615='Gastos das Atividades'!$B29),-('Gastos das Atividades'!AG$3&gt;='Gastos Gerais'!$D$4:$D$615),-('Gastos das Atividades'!AG$3&lt;='Gastos Gerais'!$E$4:$E$615),-('Gastos Gerais'!$C$4:$C$615)))</f>
        <v>0</v>
      </c>
      <c r="AH29" s="73">
        <f>IF($B29="",0,SUMPRODUCT(-('Gastos Gerais'!$F$4:$F$615='Gastos das Atividades'!$B29),-('Gastos das Atividades'!AH$3&gt;='Gastos Gerais'!$D$4:$D$615),-('Gastos das Atividades'!AH$3&lt;='Gastos Gerais'!$E$4:$E$615),-('Gastos Gerais'!$C$4:$C$615)))</f>
        <v>0</v>
      </c>
      <c r="AI29" s="73">
        <f>IF($B29="",0,SUMPRODUCT(-('Gastos Gerais'!$F$4:$F$615='Gastos das Atividades'!$B29),-('Gastos das Atividades'!AI$3&gt;='Gastos Gerais'!$D$4:$D$615),-('Gastos das Atividades'!AI$3&lt;='Gastos Gerais'!$E$4:$E$615),-('Gastos Gerais'!$C$4:$C$615)))</f>
        <v>0</v>
      </c>
      <c r="AJ29" s="73">
        <f>IF($B29="",0,SUMPRODUCT(-('Gastos Gerais'!$F$4:$F$615='Gastos das Atividades'!$B29),-('Gastos das Atividades'!AJ$3&gt;='Gastos Gerais'!$D$4:$D$615),-('Gastos das Atividades'!AJ$3&lt;='Gastos Gerais'!$E$4:$E$615),-('Gastos Gerais'!$C$4:$C$615)))</f>
        <v>0</v>
      </c>
      <c r="AK29" s="73">
        <f>IF($B29="",0,SUMPRODUCT(-('Gastos Gerais'!$F$4:$F$615='Gastos das Atividades'!$B29),-('Gastos das Atividades'!AK$3&gt;='Gastos Gerais'!$D$4:$D$615),-('Gastos das Atividades'!AK$3&lt;='Gastos Gerais'!$E$4:$E$615),-('Gastos Gerais'!$C$4:$C$615)))</f>
        <v>0</v>
      </c>
      <c r="AL29" s="73">
        <f>IF($B29="",0,SUMPRODUCT(-('Gastos Gerais'!$F$4:$F$615='Gastos das Atividades'!$B29),-('Gastos das Atividades'!AL$3&gt;='Gastos Gerais'!$D$4:$D$615),-('Gastos das Atividades'!AL$3&lt;='Gastos Gerais'!$E$4:$E$615),-('Gastos Gerais'!$C$4:$C$615)))</f>
        <v>0</v>
      </c>
      <c r="AM29" s="73">
        <f>IF($B29="",0,SUMPRODUCT(-('Gastos Gerais'!$F$4:$F$615='Gastos das Atividades'!$B29),-('Gastos das Atividades'!AM$3&gt;='Gastos Gerais'!$D$4:$D$615),-('Gastos das Atividades'!AM$3&lt;='Gastos Gerais'!$E$4:$E$615),-('Gastos Gerais'!$C$4:$C$615)))</f>
        <v>0</v>
      </c>
      <c r="AN29" s="73">
        <f>IF($B29="",0,SUMPRODUCT(-('Gastos Gerais'!$F$4:$F$615='Gastos das Atividades'!$B29),-('Gastos das Atividades'!AN$3&gt;='Gastos Gerais'!$D$4:$D$615),-('Gastos das Atividades'!AN$3&lt;='Gastos Gerais'!$E$4:$E$615),-('Gastos Gerais'!$C$4:$C$615)))</f>
        <v>0</v>
      </c>
      <c r="AO29" s="73">
        <f>IF($B29="",0,SUMPRODUCT(-('Gastos Gerais'!$F$4:$F$615='Gastos das Atividades'!$B29),-('Gastos das Atividades'!AO$3&gt;='Gastos Gerais'!$D$4:$D$615),-('Gastos das Atividades'!AO$3&lt;='Gastos Gerais'!$E$4:$E$615),-('Gastos Gerais'!$C$4:$C$615)))</f>
        <v>0</v>
      </c>
      <c r="AP29" s="73">
        <f>IF($B29="",0,SUMPRODUCT(-('Gastos Gerais'!$F$4:$F$615='Gastos das Atividades'!$B29),-('Gastos das Atividades'!AP$3&gt;='Gastos Gerais'!$D$4:$D$615),-('Gastos das Atividades'!AP$3&lt;='Gastos Gerais'!$E$4:$E$615),-('Gastos Gerais'!$C$4:$C$615)))</f>
        <v>0</v>
      </c>
      <c r="AQ29" s="73">
        <f>IF($B29="",0,SUMPRODUCT(-('Gastos Gerais'!$F$4:$F$615='Gastos das Atividades'!$B29),-('Gastos das Atividades'!AQ$3&gt;='Gastos Gerais'!$D$4:$D$615),-('Gastos das Atividades'!AQ$3&lt;='Gastos Gerais'!$E$4:$E$615),-('Gastos Gerais'!$C$4:$C$615)))</f>
        <v>0</v>
      </c>
      <c r="AR29" s="73">
        <f>IF($B29="",0,SUMPRODUCT(-('Gastos Gerais'!$F$4:$F$615='Gastos das Atividades'!$B29),-('Gastos das Atividades'!AR$3&gt;='Gastos Gerais'!$D$4:$D$615),-('Gastos das Atividades'!AR$3&lt;='Gastos Gerais'!$E$4:$E$615),-('Gastos Gerais'!$C$4:$C$615)))</f>
        <v>0</v>
      </c>
      <c r="AS29" s="73">
        <f>IF($B29="",0,SUMPRODUCT(-('Gastos Gerais'!$F$4:$F$615='Gastos das Atividades'!$B29),-('Gastos das Atividades'!AS$3&gt;='Gastos Gerais'!$D$4:$D$615),-('Gastos das Atividades'!AS$3&lt;='Gastos Gerais'!$E$4:$E$615),-('Gastos Gerais'!$C$4:$C$615)))</f>
        <v>0</v>
      </c>
      <c r="AT29" s="73">
        <f>IF($B29="",0,SUMPRODUCT(-('Gastos Gerais'!$F$4:$F$615='Gastos das Atividades'!$B29),-('Gastos das Atividades'!AT$3&gt;='Gastos Gerais'!$D$4:$D$615),-('Gastos das Atividades'!AT$3&lt;='Gastos Gerais'!$E$4:$E$615),-('Gastos Gerais'!$C$4:$C$615)))</f>
        <v>0</v>
      </c>
      <c r="AU29" s="73">
        <f>IF($B29="",0,SUMPRODUCT(-('Gastos Gerais'!$F$4:$F$615='Gastos das Atividades'!$B29),-('Gastos das Atividades'!AU$3&gt;='Gastos Gerais'!$D$4:$D$615),-('Gastos das Atividades'!AU$3&lt;='Gastos Gerais'!$E$4:$E$615),-('Gastos Gerais'!$C$4:$C$615)))</f>
        <v>0</v>
      </c>
      <c r="AV29" s="73">
        <f>IF($B29="",0,SUMPRODUCT(-('Gastos Gerais'!$F$4:$F$615='Gastos das Atividades'!$B29),-('Gastos das Atividades'!AV$3&gt;='Gastos Gerais'!$D$4:$D$615),-('Gastos das Atividades'!AV$3&lt;='Gastos Gerais'!$E$4:$E$615),-('Gastos Gerais'!$C$4:$C$615)))</f>
        <v>0</v>
      </c>
      <c r="AW29" s="73">
        <f>IF($B29="",0,SUMPRODUCT(-('Gastos Gerais'!$F$4:$F$615='Gastos das Atividades'!$B29),-('Gastos das Atividades'!AW$3&gt;='Gastos Gerais'!$D$4:$D$615),-('Gastos das Atividades'!AW$3&lt;='Gastos Gerais'!$E$4:$E$615),-('Gastos Gerais'!$C$4:$C$615)))</f>
        <v>0</v>
      </c>
      <c r="AX29" s="73">
        <f>IF($B29="",0,SUMPRODUCT(-('Gastos Gerais'!$F$4:$F$615='Gastos das Atividades'!$B29),-('Gastos das Atividades'!AX$3&gt;='Gastos Gerais'!$D$4:$D$615),-('Gastos das Atividades'!AX$3&lt;='Gastos Gerais'!$E$4:$E$615),-('Gastos Gerais'!$C$4:$C$615)))</f>
        <v>0</v>
      </c>
      <c r="AY29" s="73">
        <f>IF($B29="",0,SUMPRODUCT(-('Gastos Gerais'!$F$4:$F$615='Gastos das Atividades'!$B29),-('Gastos das Atividades'!AY$3&gt;='Gastos Gerais'!$D$4:$D$615),-('Gastos das Atividades'!AY$3&lt;='Gastos Gerais'!$E$4:$E$615),-('Gastos Gerais'!$C$4:$C$615)))</f>
        <v>0</v>
      </c>
      <c r="AZ29" s="73">
        <f>IF($B29="",0,SUMPRODUCT(-('Gastos Gerais'!$F$4:$F$615='Gastos das Atividades'!$B29),-('Gastos das Atividades'!AZ$3&gt;='Gastos Gerais'!$D$4:$D$615),-('Gastos das Atividades'!AZ$3&lt;='Gastos Gerais'!$E$4:$E$615),-('Gastos Gerais'!$C$4:$C$615)))</f>
        <v>0</v>
      </c>
      <c r="BA29" s="73">
        <f>IF($B29="",0,SUMPRODUCT(-('Gastos Gerais'!$F$4:$F$615='Gastos das Atividades'!$B29),-('Gastos das Atividades'!BA$3&gt;='Gastos Gerais'!$D$4:$D$615),-('Gastos das Atividades'!BA$3&lt;='Gastos Gerais'!$E$4:$E$615),-('Gastos Gerais'!$C$4:$C$615)))</f>
        <v>0</v>
      </c>
      <c r="BB29" s="73">
        <f>IF($B29="",0,SUMPRODUCT(-('Gastos Gerais'!$F$4:$F$615='Gastos das Atividades'!$B29),-('Gastos das Atividades'!BB$3&gt;='Gastos Gerais'!$D$4:$D$615),-('Gastos das Atividades'!BB$3&lt;='Gastos Gerais'!$E$4:$E$615),-('Gastos Gerais'!$C$4:$C$615)))</f>
        <v>0</v>
      </c>
      <c r="BC29" s="73">
        <f>IF($B29="",0,SUMPRODUCT(-('Gastos Gerais'!$F$4:$F$615='Gastos das Atividades'!$B29),-('Gastos das Atividades'!BC$3&gt;='Gastos Gerais'!$D$4:$D$615),-('Gastos das Atividades'!BC$3&lt;='Gastos Gerais'!$E$4:$E$615),-('Gastos Gerais'!$C$4:$C$615)))</f>
        <v>0</v>
      </c>
      <c r="BD29" s="73">
        <f>IF($B29="",0,SUMPRODUCT(-('Gastos Gerais'!$F$4:$F$615='Gastos das Atividades'!$B29),-('Gastos das Atividades'!BD$3&gt;='Gastos Gerais'!$D$4:$D$615),-('Gastos das Atividades'!BD$3&lt;='Gastos Gerais'!$E$4:$E$615),-('Gastos Gerais'!$C$4:$C$615)))</f>
        <v>0</v>
      </c>
      <c r="BE29" s="73">
        <f>IF($B29="",0,SUMPRODUCT(-('Gastos Gerais'!$F$4:$F$615='Gastos das Atividades'!$B29),-('Gastos das Atividades'!BE$3&gt;='Gastos Gerais'!$D$4:$D$615),-('Gastos das Atividades'!BE$3&lt;='Gastos Gerais'!$E$4:$E$615),-('Gastos Gerais'!$C$4:$C$615)))</f>
        <v>0</v>
      </c>
      <c r="BF29" s="73">
        <f>IF($B29="",0,SUMPRODUCT(-('Gastos Gerais'!$F$4:$F$615='Gastos das Atividades'!$B29),-('Gastos das Atividades'!BF$3&gt;='Gastos Gerais'!$D$4:$D$615),-('Gastos das Atividades'!BF$3&lt;='Gastos Gerais'!$E$4:$E$615),-('Gastos Gerais'!$C$4:$C$615)))</f>
        <v>0</v>
      </c>
      <c r="BG29" s="73">
        <f>IF($B29="",0,SUMPRODUCT(-('Gastos Gerais'!$F$4:$F$615='Gastos das Atividades'!$B29),-('Gastos das Atividades'!BG$3&gt;='Gastos Gerais'!$D$4:$D$615),-('Gastos das Atividades'!BG$3&lt;='Gastos Gerais'!$E$4:$E$615),-('Gastos Gerais'!$C$4:$C$615)))</f>
        <v>0</v>
      </c>
      <c r="BH29" s="73">
        <f>IF($B29="",0,SUMPRODUCT(-('Gastos Gerais'!$F$4:$F$615='Gastos das Atividades'!$B29),-('Gastos das Atividades'!BH$3&gt;='Gastos Gerais'!$D$4:$D$615),-('Gastos das Atividades'!BH$3&lt;='Gastos Gerais'!$E$4:$E$615),-('Gastos Gerais'!$C$4:$C$615)))</f>
        <v>0</v>
      </c>
      <c r="BI29" s="73">
        <f>IF($B29="",0,SUMPRODUCT(-('Gastos Gerais'!$F$4:$F$615='Gastos das Atividades'!$B29),-('Gastos das Atividades'!BI$3&gt;='Gastos Gerais'!$D$4:$D$615),-('Gastos das Atividades'!BI$3&lt;='Gastos Gerais'!$E$4:$E$615),-('Gastos Gerais'!$C$4:$C$615)))</f>
        <v>0</v>
      </c>
      <c r="BJ29" s="73">
        <f>IF($B29="",0,SUMPRODUCT(-('Gastos Gerais'!$F$4:$F$615='Gastos das Atividades'!$B29),-('Gastos das Atividades'!BJ$3&gt;='Gastos Gerais'!$D$4:$D$615),-('Gastos das Atividades'!BJ$3&lt;='Gastos Gerais'!$E$4:$E$615),-('Gastos Gerais'!$C$4:$C$615)))</f>
        <v>0</v>
      </c>
      <c r="BK29" s="73">
        <f>IF($B29="",0,SUMPRODUCT(-('Gastos Gerais'!$F$4:$F$615='Gastos das Atividades'!$B29),-('Gastos das Atividades'!BK$3&gt;='Gastos Gerais'!$D$4:$D$615),-('Gastos das Atividades'!BK$3&lt;='Gastos Gerais'!$E$4:$E$615),-('Gastos Gerais'!$C$4:$C$615)))</f>
        <v>0</v>
      </c>
      <c r="BL29" s="73">
        <f>IF($B29="",0,SUMPRODUCT(-('Gastos Gerais'!$F$4:$F$615='Gastos das Atividades'!$B29),-('Gastos das Atividades'!BL$3&gt;='Gastos Gerais'!$D$4:$D$615),-('Gastos das Atividades'!BL$3&lt;='Gastos Gerais'!$E$4:$E$615),-('Gastos Gerais'!$C$4:$C$615)))</f>
        <v>0</v>
      </c>
      <c r="BM29" s="73">
        <f>IF($B29="",0,SUMPRODUCT(-('Gastos Gerais'!$F$4:$F$615='Gastos das Atividades'!$B29),-('Gastos das Atividades'!BM$3&gt;='Gastos Gerais'!$D$4:$D$615),-('Gastos das Atividades'!BM$3&lt;='Gastos Gerais'!$E$4:$E$615),-('Gastos Gerais'!$C$4:$C$615)))</f>
        <v>0</v>
      </c>
      <c r="BN29" s="73">
        <f>IF($B29="",0,SUMPRODUCT(-('Gastos Gerais'!$F$4:$F$615='Gastos das Atividades'!$B29),-('Gastos das Atividades'!BN$3&gt;='Gastos Gerais'!$D$4:$D$615),-('Gastos das Atividades'!BN$3&lt;='Gastos Gerais'!$E$4:$E$615),-('Gastos Gerais'!$C$4:$C$615)))</f>
        <v>0</v>
      </c>
      <c r="BO29" s="73">
        <f>IF($B29="",0,SUMPRODUCT(-('Gastos Gerais'!$F$4:$F$615='Gastos das Atividades'!$B29),-('Gastos das Atividades'!BO$3&gt;='Gastos Gerais'!$D$4:$D$615),-('Gastos das Atividades'!BO$3&lt;='Gastos Gerais'!$E$4:$E$615),-('Gastos Gerais'!$C$4:$C$615)))</f>
        <v>0</v>
      </c>
      <c r="BP29" s="73">
        <f>IF($B29="",0,SUMPRODUCT(-('Gastos Gerais'!$F$4:$F$615='Gastos das Atividades'!$B29),-('Gastos das Atividades'!BP$3&gt;='Gastos Gerais'!$D$4:$D$615),-('Gastos das Atividades'!BP$3&lt;='Gastos Gerais'!$E$4:$E$615),-('Gastos Gerais'!$C$4:$C$615)))</f>
        <v>0</v>
      </c>
      <c r="BQ29" s="73">
        <f>IF($B29="",0,SUMPRODUCT(-('Gastos Gerais'!$F$4:$F$615='Gastos das Atividades'!$B29),-('Gastos das Atividades'!BQ$3&gt;='Gastos Gerais'!$D$4:$D$615),-('Gastos das Atividades'!BQ$3&lt;='Gastos Gerais'!$E$4:$E$615),-('Gastos Gerais'!$C$4:$C$615)))</f>
        <v>0</v>
      </c>
      <c r="BR29" s="73">
        <f>IF($B29="",0,SUMPRODUCT(-('Gastos Gerais'!$F$4:$F$615='Gastos das Atividades'!$B29),-('Gastos das Atividades'!BR$3&gt;='Gastos Gerais'!$D$4:$D$615),-('Gastos das Atividades'!BR$3&lt;='Gastos Gerais'!$E$4:$E$615),-('Gastos Gerais'!$C$4:$C$615)))</f>
        <v>0</v>
      </c>
      <c r="BS29" s="73">
        <f>IF($B29="",0,SUMPRODUCT(-('Gastos Gerais'!$F$4:$F$615='Gastos das Atividades'!$B29),-('Gastos das Atividades'!BS$3&gt;='Gastos Gerais'!$D$4:$D$615),-('Gastos das Atividades'!BS$3&lt;='Gastos Gerais'!$E$4:$E$615),-('Gastos Gerais'!$C$4:$C$615)))</f>
        <v>0</v>
      </c>
      <c r="BT29" s="73">
        <f>IF($B29="",0,SUMPRODUCT(-('Gastos Gerais'!$F$4:$F$615='Gastos das Atividades'!$B29),-('Gastos das Atividades'!BT$3&gt;='Gastos Gerais'!$D$4:$D$615),-('Gastos das Atividades'!BT$3&lt;='Gastos Gerais'!$E$4:$E$615),-('Gastos Gerais'!$C$4:$C$615)))</f>
        <v>0</v>
      </c>
      <c r="BU29" s="73">
        <f>IF($B29="",0,SUMPRODUCT(-('Gastos Gerais'!$F$4:$F$615='Gastos das Atividades'!$B29),-('Gastos das Atividades'!BU$3&gt;='Gastos Gerais'!$D$4:$D$615),-('Gastos das Atividades'!BU$3&lt;='Gastos Gerais'!$E$4:$E$615),-('Gastos Gerais'!$C$4:$C$615)))</f>
        <v>0</v>
      </c>
      <c r="BV29" s="73">
        <f>IF($B29="",0,SUMPRODUCT(-('Gastos Gerais'!$F$4:$F$615='Gastos das Atividades'!$B29),-('Gastos das Atividades'!BV$3&gt;='Gastos Gerais'!$D$4:$D$615),-('Gastos das Atividades'!BV$3&lt;='Gastos Gerais'!$E$4:$E$615),-('Gastos Gerais'!$C$4:$C$615)))</f>
        <v>0</v>
      </c>
      <c r="BW29" s="73">
        <f>IF($B29="",0,SUMPRODUCT(-('Gastos Gerais'!$F$4:$F$615='Gastos das Atividades'!$B29),-('Gastos das Atividades'!BW$3&gt;='Gastos Gerais'!$D$4:$D$615),-('Gastos das Atividades'!BW$3&lt;='Gastos Gerais'!$E$4:$E$615),-('Gastos Gerais'!$C$4:$C$615)))</f>
        <v>0</v>
      </c>
      <c r="BX29" s="73">
        <f>IF($B29="",0,SUMPRODUCT(-('Gastos Gerais'!$F$4:$F$615='Gastos das Atividades'!$B29),-('Gastos das Atividades'!BX$3&gt;='Gastos Gerais'!$D$4:$D$615),-('Gastos das Atividades'!BX$3&lt;='Gastos Gerais'!$E$4:$E$615),-('Gastos Gerais'!$C$4:$C$615)))</f>
        <v>0</v>
      </c>
    </row>
    <row r="30" spans="1:76" hidden="1" x14ac:dyDescent="0.2">
      <c r="A30" s="146">
        <v>27</v>
      </c>
      <c r="B30" s="164"/>
      <c r="C30" s="305">
        <v>0</v>
      </c>
      <c r="D30" s="357">
        <f t="shared" si="10"/>
        <v>0</v>
      </c>
      <c r="E30" s="144">
        <f t="shared" si="11"/>
        <v>0</v>
      </c>
      <c r="F30" s="73">
        <f t="shared" si="2"/>
        <v>0</v>
      </c>
      <c r="G30" s="73">
        <f t="shared" si="2"/>
        <v>0</v>
      </c>
      <c r="H30" s="73">
        <f t="shared" si="2"/>
        <v>0</v>
      </c>
      <c r="I30" s="73">
        <f t="shared" si="2"/>
        <v>0</v>
      </c>
      <c r="J30" s="145">
        <f t="shared" si="3"/>
        <v>0</v>
      </c>
      <c r="K30" s="76">
        <f t="shared" si="4"/>
        <v>0</v>
      </c>
      <c r="L30" s="76">
        <f t="shared" si="5"/>
        <v>0</v>
      </c>
      <c r="M30" s="76">
        <f t="shared" si="6"/>
        <v>0</v>
      </c>
      <c r="N30" s="76">
        <f t="shared" si="7"/>
        <v>0</v>
      </c>
      <c r="O30" s="76">
        <f t="shared" si="8"/>
        <v>0</v>
      </c>
      <c r="P30" s="209">
        <f t="shared" si="9"/>
        <v>0</v>
      </c>
      <c r="Q30" s="73">
        <f>IF($B30="",0,SUMPRODUCT(-('Gastos Gerais'!$F$4:$F$615='Gastos das Atividades'!$B30),-('Gastos das Atividades'!Q$3&gt;='Gastos Gerais'!$D$4:$D$615),-('Gastos das Atividades'!Q$3&lt;='Gastos Gerais'!$E$4:$E$615),-('Gastos Gerais'!$C$4:$C$615)))</f>
        <v>0</v>
      </c>
      <c r="R30" s="73">
        <f>IF($B30="",0,SUMPRODUCT(-('Gastos Gerais'!$F$4:$F$615='Gastos das Atividades'!$B30),-('Gastos das Atividades'!R$3&gt;='Gastos Gerais'!$D$4:$D$615),-('Gastos das Atividades'!R$3&lt;='Gastos Gerais'!$E$4:$E$615),-('Gastos Gerais'!$C$4:$C$615)))</f>
        <v>0</v>
      </c>
      <c r="S30" s="73">
        <f>IF($B30="",0,SUMPRODUCT(-('Gastos Gerais'!$F$4:$F$615='Gastos das Atividades'!$B30),-('Gastos das Atividades'!S$3&gt;='Gastos Gerais'!$D$4:$D$615),-('Gastos das Atividades'!S$3&lt;='Gastos Gerais'!$E$4:$E$615),-('Gastos Gerais'!$C$4:$C$615)))</f>
        <v>0</v>
      </c>
      <c r="T30" s="73">
        <f>IF($B30="",0,SUMPRODUCT(-('Gastos Gerais'!$F$4:$F$615='Gastos das Atividades'!$B30),-('Gastos das Atividades'!T$3&gt;='Gastos Gerais'!$D$4:$D$615),-('Gastos das Atividades'!T$3&lt;='Gastos Gerais'!$E$4:$E$615),-('Gastos Gerais'!$C$4:$C$615)))</f>
        <v>0</v>
      </c>
      <c r="U30" s="73">
        <f>IF($B30="",0,SUMPRODUCT(-('Gastos Gerais'!$F$4:$F$615='Gastos das Atividades'!$B30),-('Gastos das Atividades'!U$3&gt;='Gastos Gerais'!$D$4:$D$615),-('Gastos das Atividades'!U$3&lt;='Gastos Gerais'!$E$4:$E$615),-('Gastos Gerais'!$C$4:$C$615)))</f>
        <v>0</v>
      </c>
      <c r="V30" s="73">
        <f>IF($B30="",0,SUMPRODUCT(-('Gastos Gerais'!$F$4:$F$615='Gastos das Atividades'!$B30),-('Gastos das Atividades'!V$3&gt;='Gastos Gerais'!$D$4:$D$615),-('Gastos das Atividades'!V$3&lt;='Gastos Gerais'!$E$4:$E$615),-('Gastos Gerais'!$C$4:$C$615)))</f>
        <v>0</v>
      </c>
      <c r="W30" s="73">
        <f>IF($B30="",0,SUMPRODUCT(-('Gastos Gerais'!$F$4:$F$615='Gastos das Atividades'!$B30),-('Gastos das Atividades'!W$3&gt;='Gastos Gerais'!$D$4:$D$615),-('Gastos das Atividades'!W$3&lt;='Gastos Gerais'!$E$4:$E$615),-('Gastos Gerais'!$C$4:$C$615)))</f>
        <v>0</v>
      </c>
      <c r="X30" s="73">
        <f>IF($B30="",0,SUMPRODUCT(-('Gastos Gerais'!$F$4:$F$615='Gastos das Atividades'!$B30),-('Gastos das Atividades'!X$3&gt;='Gastos Gerais'!$D$4:$D$615),-('Gastos das Atividades'!X$3&lt;='Gastos Gerais'!$E$4:$E$615),-('Gastos Gerais'!$C$4:$C$615)))</f>
        <v>0</v>
      </c>
      <c r="Y30" s="73">
        <f>IF($B30="",0,SUMPRODUCT(-('Gastos Gerais'!$F$4:$F$615='Gastos das Atividades'!$B30),-('Gastos das Atividades'!Y$3&gt;='Gastos Gerais'!$D$4:$D$615),-('Gastos das Atividades'!Y$3&lt;='Gastos Gerais'!$E$4:$E$615),-('Gastos Gerais'!$C$4:$C$615)))</f>
        <v>0</v>
      </c>
      <c r="Z30" s="73">
        <f>IF($B30="",0,SUMPRODUCT(-('Gastos Gerais'!$F$4:$F$615='Gastos das Atividades'!$B30),-('Gastos das Atividades'!Z$3&gt;='Gastos Gerais'!$D$4:$D$615),-('Gastos das Atividades'!Z$3&lt;='Gastos Gerais'!$E$4:$E$615),-('Gastos Gerais'!$C$4:$C$615)))</f>
        <v>0</v>
      </c>
      <c r="AA30" s="73">
        <f>IF($B30="",0,SUMPRODUCT(-('Gastos Gerais'!$F$4:$F$615='Gastos das Atividades'!$B30),-('Gastos das Atividades'!AA$3&gt;='Gastos Gerais'!$D$4:$D$615),-('Gastos das Atividades'!AA$3&lt;='Gastos Gerais'!$E$4:$E$615),-('Gastos Gerais'!$C$4:$C$615)))</f>
        <v>0</v>
      </c>
      <c r="AB30" s="73">
        <f>IF($B30="",0,SUMPRODUCT(-('Gastos Gerais'!$F$4:$F$615='Gastos das Atividades'!$B30),-('Gastos das Atividades'!AB$3&gt;='Gastos Gerais'!$D$4:$D$615),-('Gastos das Atividades'!AB$3&lt;='Gastos Gerais'!$E$4:$E$615),-('Gastos Gerais'!$C$4:$C$615)))</f>
        <v>0</v>
      </c>
      <c r="AC30" s="73">
        <f>IF($B30="",0,SUMPRODUCT(-('Gastos Gerais'!$F$4:$F$615='Gastos das Atividades'!$B30),-('Gastos das Atividades'!AC$3&gt;='Gastos Gerais'!$D$4:$D$615),-('Gastos das Atividades'!AC$3&lt;='Gastos Gerais'!$E$4:$E$615),-('Gastos Gerais'!$C$4:$C$615)))</f>
        <v>0</v>
      </c>
      <c r="AD30" s="73">
        <f>IF($B30="",0,SUMPRODUCT(-('Gastos Gerais'!$F$4:$F$615='Gastos das Atividades'!$B30),-('Gastos das Atividades'!AD$3&gt;='Gastos Gerais'!$D$4:$D$615),-('Gastos das Atividades'!AD$3&lt;='Gastos Gerais'!$E$4:$E$615),-('Gastos Gerais'!$C$4:$C$615)))</f>
        <v>0</v>
      </c>
      <c r="AE30" s="73">
        <f>IF($B30="",0,SUMPRODUCT(-('Gastos Gerais'!$F$4:$F$615='Gastos das Atividades'!$B30),-('Gastos das Atividades'!AE$3&gt;='Gastos Gerais'!$D$4:$D$615),-('Gastos das Atividades'!AE$3&lt;='Gastos Gerais'!$E$4:$E$615),-('Gastos Gerais'!$C$4:$C$615)))</f>
        <v>0</v>
      </c>
      <c r="AF30" s="73">
        <f>IF($B30="",0,SUMPRODUCT(-('Gastos Gerais'!$F$4:$F$615='Gastos das Atividades'!$B30),-('Gastos das Atividades'!AF$3&gt;='Gastos Gerais'!$D$4:$D$615),-('Gastos das Atividades'!AF$3&lt;='Gastos Gerais'!$E$4:$E$615),-('Gastos Gerais'!$C$4:$C$615)))</f>
        <v>0</v>
      </c>
      <c r="AG30" s="73">
        <f>IF($B30="",0,SUMPRODUCT(-('Gastos Gerais'!$F$4:$F$615='Gastos das Atividades'!$B30),-('Gastos das Atividades'!AG$3&gt;='Gastos Gerais'!$D$4:$D$615),-('Gastos das Atividades'!AG$3&lt;='Gastos Gerais'!$E$4:$E$615),-('Gastos Gerais'!$C$4:$C$615)))</f>
        <v>0</v>
      </c>
      <c r="AH30" s="73">
        <f>IF($B30="",0,SUMPRODUCT(-('Gastos Gerais'!$F$4:$F$615='Gastos das Atividades'!$B30),-('Gastos das Atividades'!AH$3&gt;='Gastos Gerais'!$D$4:$D$615),-('Gastos das Atividades'!AH$3&lt;='Gastos Gerais'!$E$4:$E$615),-('Gastos Gerais'!$C$4:$C$615)))</f>
        <v>0</v>
      </c>
      <c r="AI30" s="73">
        <f>IF($B30="",0,SUMPRODUCT(-('Gastos Gerais'!$F$4:$F$615='Gastos das Atividades'!$B30),-('Gastos das Atividades'!AI$3&gt;='Gastos Gerais'!$D$4:$D$615),-('Gastos das Atividades'!AI$3&lt;='Gastos Gerais'!$E$4:$E$615),-('Gastos Gerais'!$C$4:$C$615)))</f>
        <v>0</v>
      </c>
      <c r="AJ30" s="73">
        <f>IF($B30="",0,SUMPRODUCT(-('Gastos Gerais'!$F$4:$F$615='Gastos das Atividades'!$B30),-('Gastos das Atividades'!AJ$3&gt;='Gastos Gerais'!$D$4:$D$615),-('Gastos das Atividades'!AJ$3&lt;='Gastos Gerais'!$E$4:$E$615),-('Gastos Gerais'!$C$4:$C$615)))</f>
        <v>0</v>
      </c>
      <c r="AK30" s="73">
        <f>IF($B30="",0,SUMPRODUCT(-('Gastos Gerais'!$F$4:$F$615='Gastos das Atividades'!$B30),-('Gastos das Atividades'!AK$3&gt;='Gastos Gerais'!$D$4:$D$615),-('Gastos das Atividades'!AK$3&lt;='Gastos Gerais'!$E$4:$E$615),-('Gastos Gerais'!$C$4:$C$615)))</f>
        <v>0</v>
      </c>
      <c r="AL30" s="73">
        <f>IF($B30="",0,SUMPRODUCT(-('Gastos Gerais'!$F$4:$F$615='Gastos das Atividades'!$B30),-('Gastos das Atividades'!AL$3&gt;='Gastos Gerais'!$D$4:$D$615),-('Gastos das Atividades'!AL$3&lt;='Gastos Gerais'!$E$4:$E$615),-('Gastos Gerais'!$C$4:$C$615)))</f>
        <v>0</v>
      </c>
      <c r="AM30" s="73">
        <f>IF($B30="",0,SUMPRODUCT(-('Gastos Gerais'!$F$4:$F$615='Gastos das Atividades'!$B30),-('Gastos das Atividades'!AM$3&gt;='Gastos Gerais'!$D$4:$D$615),-('Gastos das Atividades'!AM$3&lt;='Gastos Gerais'!$E$4:$E$615),-('Gastos Gerais'!$C$4:$C$615)))</f>
        <v>0</v>
      </c>
      <c r="AN30" s="73">
        <f>IF($B30="",0,SUMPRODUCT(-('Gastos Gerais'!$F$4:$F$615='Gastos das Atividades'!$B30),-('Gastos das Atividades'!AN$3&gt;='Gastos Gerais'!$D$4:$D$615),-('Gastos das Atividades'!AN$3&lt;='Gastos Gerais'!$E$4:$E$615),-('Gastos Gerais'!$C$4:$C$615)))</f>
        <v>0</v>
      </c>
      <c r="AO30" s="73">
        <f>IF($B30="",0,SUMPRODUCT(-('Gastos Gerais'!$F$4:$F$615='Gastos das Atividades'!$B30),-('Gastos das Atividades'!AO$3&gt;='Gastos Gerais'!$D$4:$D$615),-('Gastos das Atividades'!AO$3&lt;='Gastos Gerais'!$E$4:$E$615),-('Gastos Gerais'!$C$4:$C$615)))</f>
        <v>0</v>
      </c>
      <c r="AP30" s="73">
        <f>IF($B30="",0,SUMPRODUCT(-('Gastos Gerais'!$F$4:$F$615='Gastos das Atividades'!$B30),-('Gastos das Atividades'!AP$3&gt;='Gastos Gerais'!$D$4:$D$615),-('Gastos das Atividades'!AP$3&lt;='Gastos Gerais'!$E$4:$E$615),-('Gastos Gerais'!$C$4:$C$615)))</f>
        <v>0</v>
      </c>
      <c r="AQ30" s="73">
        <f>IF($B30="",0,SUMPRODUCT(-('Gastos Gerais'!$F$4:$F$615='Gastos das Atividades'!$B30),-('Gastos das Atividades'!AQ$3&gt;='Gastos Gerais'!$D$4:$D$615),-('Gastos das Atividades'!AQ$3&lt;='Gastos Gerais'!$E$4:$E$615),-('Gastos Gerais'!$C$4:$C$615)))</f>
        <v>0</v>
      </c>
      <c r="AR30" s="73">
        <f>IF($B30="",0,SUMPRODUCT(-('Gastos Gerais'!$F$4:$F$615='Gastos das Atividades'!$B30),-('Gastos das Atividades'!AR$3&gt;='Gastos Gerais'!$D$4:$D$615),-('Gastos das Atividades'!AR$3&lt;='Gastos Gerais'!$E$4:$E$615),-('Gastos Gerais'!$C$4:$C$615)))</f>
        <v>0</v>
      </c>
      <c r="AS30" s="73">
        <f>IF($B30="",0,SUMPRODUCT(-('Gastos Gerais'!$F$4:$F$615='Gastos das Atividades'!$B30),-('Gastos das Atividades'!AS$3&gt;='Gastos Gerais'!$D$4:$D$615),-('Gastos das Atividades'!AS$3&lt;='Gastos Gerais'!$E$4:$E$615),-('Gastos Gerais'!$C$4:$C$615)))</f>
        <v>0</v>
      </c>
      <c r="AT30" s="73">
        <f>IF($B30="",0,SUMPRODUCT(-('Gastos Gerais'!$F$4:$F$615='Gastos das Atividades'!$B30),-('Gastos das Atividades'!AT$3&gt;='Gastos Gerais'!$D$4:$D$615),-('Gastos das Atividades'!AT$3&lt;='Gastos Gerais'!$E$4:$E$615),-('Gastos Gerais'!$C$4:$C$615)))</f>
        <v>0</v>
      </c>
      <c r="AU30" s="73">
        <f>IF($B30="",0,SUMPRODUCT(-('Gastos Gerais'!$F$4:$F$615='Gastos das Atividades'!$B30),-('Gastos das Atividades'!AU$3&gt;='Gastos Gerais'!$D$4:$D$615),-('Gastos das Atividades'!AU$3&lt;='Gastos Gerais'!$E$4:$E$615),-('Gastos Gerais'!$C$4:$C$615)))</f>
        <v>0</v>
      </c>
      <c r="AV30" s="73">
        <f>IF($B30="",0,SUMPRODUCT(-('Gastos Gerais'!$F$4:$F$615='Gastos das Atividades'!$B30),-('Gastos das Atividades'!AV$3&gt;='Gastos Gerais'!$D$4:$D$615),-('Gastos das Atividades'!AV$3&lt;='Gastos Gerais'!$E$4:$E$615),-('Gastos Gerais'!$C$4:$C$615)))</f>
        <v>0</v>
      </c>
      <c r="AW30" s="73">
        <f>IF($B30="",0,SUMPRODUCT(-('Gastos Gerais'!$F$4:$F$615='Gastos das Atividades'!$B30),-('Gastos das Atividades'!AW$3&gt;='Gastos Gerais'!$D$4:$D$615),-('Gastos das Atividades'!AW$3&lt;='Gastos Gerais'!$E$4:$E$615),-('Gastos Gerais'!$C$4:$C$615)))</f>
        <v>0</v>
      </c>
      <c r="AX30" s="73">
        <f>IF($B30="",0,SUMPRODUCT(-('Gastos Gerais'!$F$4:$F$615='Gastos das Atividades'!$B30),-('Gastos das Atividades'!AX$3&gt;='Gastos Gerais'!$D$4:$D$615),-('Gastos das Atividades'!AX$3&lt;='Gastos Gerais'!$E$4:$E$615),-('Gastos Gerais'!$C$4:$C$615)))</f>
        <v>0</v>
      </c>
      <c r="AY30" s="73">
        <f>IF($B30="",0,SUMPRODUCT(-('Gastos Gerais'!$F$4:$F$615='Gastos das Atividades'!$B30),-('Gastos das Atividades'!AY$3&gt;='Gastos Gerais'!$D$4:$D$615),-('Gastos das Atividades'!AY$3&lt;='Gastos Gerais'!$E$4:$E$615),-('Gastos Gerais'!$C$4:$C$615)))</f>
        <v>0</v>
      </c>
      <c r="AZ30" s="73">
        <f>IF($B30="",0,SUMPRODUCT(-('Gastos Gerais'!$F$4:$F$615='Gastos das Atividades'!$B30),-('Gastos das Atividades'!AZ$3&gt;='Gastos Gerais'!$D$4:$D$615),-('Gastos das Atividades'!AZ$3&lt;='Gastos Gerais'!$E$4:$E$615),-('Gastos Gerais'!$C$4:$C$615)))</f>
        <v>0</v>
      </c>
      <c r="BA30" s="73">
        <f>IF($B30="",0,SUMPRODUCT(-('Gastos Gerais'!$F$4:$F$615='Gastos das Atividades'!$B30),-('Gastos das Atividades'!BA$3&gt;='Gastos Gerais'!$D$4:$D$615),-('Gastos das Atividades'!BA$3&lt;='Gastos Gerais'!$E$4:$E$615),-('Gastos Gerais'!$C$4:$C$615)))</f>
        <v>0</v>
      </c>
      <c r="BB30" s="73">
        <f>IF($B30="",0,SUMPRODUCT(-('Gastos Gerais'!$F$4:$F$615='Gastos das Atividades'!$B30),-('Gastos das Atividades'!BB$3&gt;='Gastos Gerais'!$D$4:$D$615),-('Gastos das Atividades'!BB$3&lt;='Gastos Gerais'!$E$4:$E$615),-('Gastos Gerais'!$C$4:$C$615)))</f>
        <v>0</v>
      </c>
      <c r="BC30" s="73">
        <f>IF($B30="",0,SUMPRODUCT(-('Gastos Gerais'!$F$4:$F$615='Gastos das Atividades'!$B30),-('Gastos das Atividades'!BC$3&gt;='Gastos Gerais'!$D$4:$D$615),-('Gastos das Atividades'!BC$3&lt;='Gastos Gerais'!$E$4:$E$615),-('Gastos Gerais'!$C$4:$C$615)))</f>
        <v>0</v>
      </c>
      <c r="BD30" s="73">
        <f>IF($B30="",0,SUMPRODUCT(-('Gastos Gerais'!$F$4:$F$615='Gastos das Atividades'!$B30),-('Gastos das Atividades'!BD$3&gt;='Gastos Gerais'!$D$4:$D$615),-('Gastos das Atividades'!BD$3&lt;='Gastos Gerais'!$E$4:$E$615),-('Gastos Gerais'!$C$4:$C$615)))</f>
        <v>0</v>
      </c>
      <c r="BE30" s="73">
        <f>IF($B30="",0,SUMPRODUCT(-('Gastos Gerais'!$F$4:$F$615='Gastos das Atividades'!$B30),-('Gastos das Atividades'!BE$3&gt;='Gastos Gerais'!$D$4:$D$615),-('Gastos das Atividades'!BE$3&lt;='Gastos Gerais'!$E$4:$E$615),-('Gastos Gerais'!$C$4:$C$615)))</f>
        <v>0</v>
      </c>
      <c r="BF30" s="73">
        <f>IF($B30="",0,SUMPRODUCT(-('Gastos Gerais'!$F$4:$F$615='Gastos das Atividades'!$B30),-('Gastos das Atividades'!BF$3&gt;='Gastos Gerais'!$D$4:$D$615),-('Gastos das Atividades'!BF$3&lt;='Gastos Gerais'!$E$4:$E$615),-('Gastos Gerais'!$C$4:$C$615)))</f>
        <v>0</v>
      </c>
      <c r="BG30" s="73">
        <f>IF($B30="",0,SUMPRODUCT(-('Gastos Gerais'!$F$4:$F$615='Gastos das Atividades'!$B30),-('Gastos das Atividades'!BG$3&gt;='Gastos Gerais'!$D$4:$D$615),-('Gastos das Atividades'!BG$3&lt;='Gastos Gerais'!$E$4:$E$615),-('Gastos Gerais'!$C$4:$C$615)))</f>
        <v>0</v>
      </c>
      <c r="BH30" s="73">
        <f>IF($B30="",0,SUMPRODUCT(-('Gastos Gerais'!$F$4:$F$615='Gastos das Atividades'!$B30),-('Gastos das Atividades'!BH$3&gt;='Gastos Gerais'!$D$4:$D$615),-('Gastos das Atividades'!BH$3&lt;='Gastos Gerais'!$E$4:$E$615),-('Gastos Gerais'!$C$4:$C$615)))</f>
        <v>0</v>
      </c>
      <c r="BI30" s="73">
        <f>IF($B30="",0,SUMPRODUCT(-('Gastos Gerais'!$F$4:$F$615='Gastos das Atividades'!$B30),-('Gastos das Atividades'!BI$3&gt;='Gastos Gerais'!$D$4:$D$615),-('Gastos das Atividades'!BI$3&lt;='Gastos Gerais'!$E$4:$E$615),-('Gastos Gerais'!$C$4:$C$615)))</f>
        <v>0</v>
      </c>
      <c r="BJ30" s="73">
        <f>IF($B30="",0,SUMPRODUCT(-('Gastos Gerais'!$F$4:$F$615='Gastos das Atividades'!$B30),-('Gastos das Atividades'!BJ$3&gt;='Gastos Gerais'!$D$4:$D$615),-('Gastos das Atividades'!BJ$3&lt;='Gastos Gerais'!$E$4:$E$615),-('Gastos Gerais'!$C$4:$C$615)))</f>
        <v>0</v>
      </c>
      <c r="BK30" s="73">
        <f>IF($B30="",0,SUMPRODUCT(-('Gastos Gerais'!$F$4:$F$615='Gastos das Atividades'!$B30),-('Gastos das Atividades'!BK$3&gt;='Gastos Gerais'!$D$4:$D$615),-('Gastos das Atividades'!BK$3&lt;='Gastos Gerais'!$E$4:$E$615),-('Gastos Gerais'!$C$4:$C$615)))</f>
        <v>0</v>
      </c>
      <c r="BL30" s="73">
        <f>IF($B30="",0,SUMPRODUCT(-('Gastos Gerais'!$F$4:$F$615='Gastos das Atividades'!$B30),-('Gastos das Atividades'!BL$3&gt;='Gastos Gerais'!$D$4:$D$615),-('Gastos das Atividades'!BL$3&lt;='Gastos Gerais'!$E$4:$E$615),-('Gastos Gerais'!$C$4:$C$615)))</f>
        <v>0</v>
      </c>
      <c r="BM30" s="73">
        <f>IF($B30="",0,SUMPRODUCT(-('Gastos Gerais'!$F$4:$F$615='Gastos das Atividades'!$B30),-('Gastos das Atividades'!BM$3&gt;='Gastos Gerais'!$D$4:$D$615),-('Gastos das Atividades'!BM$3&lt;='Gastos Gerais'!$E$4:$E$615),-('Gastos Gerais'!$C$4:$C$615)))</f>
        <v>0</v>
      </c>
      <c r="BN30" s="73">
        <f>IF($B30="",0,SUMPRODUCT(-('Gastos Gerais'!$F$4:$F$615='Gastos das Atividades'!$B30),-('Gastos das Atividades'!BN$3&gt;='Gastos Gerais'!$D$4:$D$615),-('Gastos das Atividades'!BN$3&lt;='Gastos Gerais'!$E$4:$E$615),-('Gastos Gerais'!$C$4:$C$615)))</f>
        <v>0</v>
      </c>
      <c r="BO30" s="73">
        <f>IF($B30="",0,SUMPRODUCT(-('Gastos Gerais'!$F$4:$F$615='Gastos das Atividades'!$B30),-('Gastos das Atividades'!BO$3&gt;='Gastos Gerais'!$D$4:$D$615),-('Gastos das Atividades'!BO$3&lt;='Gastos Gerais'!$E$4:$E$615),-('Gastos Gerais'!$C$4:$C$615)))</f>
        <v>0</v>
      </c>
      <c r="BP30" s="73">
        <f>IF($B30="",0,SUMPRODUCT(-('Gastos Gerais'!$F$4:$F$615='Gastos das Atividades'!$B30),-('Gastos das Atividades'!BP$3&gt;='Gastos Gerais'!$D$4:$D$615),-('Gastos das Atividades'!BP$3&lt;='Gastos Gerais'!$E$4:$E$615),-('Gastos Gerais'!$C$4:$C$615)))</f>
        <v>0</v>
      </c>
      <c r="BQ30" s="73">
        <f>IF($B30="",0,SUMPRODUCT(-('Gastos Gerais'!$F$4:$F$615='Gastos das Atividades'!$B30),-('Gastos das Atividades'!BQ$3&gt;='Gastos Gerais'!$D$4:$D$615),-('Gastos das Atividades'!BQ$3&lt;='Gastos Gerais'!$E$4:$E$615),-('Gastos Gerais'!$C$4:$C$615)))</f>
        <v>0</v>
      </c>
      <c r="BR30" s="73">
        <f>IF($B30="",0,SUMPRODUCT(-('Gastos Gerais'!$F$4:$F$615='Gastos das Atividades'!$B30),-('Gastos das Atividades'!BR$3&gt;='Gastos Gerais'!$D$4:$D$615),-('Gastos das Atividades'!BR$3&lt;='Gastos Gerais'!$E$4:$E$615),-('Gastos Gerais'!$C$4:$C$615)))</f>
        <v>0</v>
      </c>
      <c r="BS30" s="73">
        <f>IF($B30="",0,SUMPRODUCT(-('Gastos Gerais'!$F$4:$F$615='Gastos das Atividades'!$B30),-('Gastos das Atividades'!BS$3&gt;='Gastos Gerais'!$D$4:$D$615),-('Gastos das Atividades'!BS$3&lt;='Gastos Gerais'!$E$4:$E$615),-('Gastos Gerais'!$C$4:$C$615)))</f>
        <v>0</v>
      </c>
      <c r="BT30" s="73">
        <f>IF($B30="",0,SUMPRODUCT(-('Gastos Gerais'!$F$4:$F$615='Gastos das Atividades'!$B30),-('Gastos das Atividades'!BT$3&gt;='Gastos Gerais'!$D$4:$D$615),-('Gastos das Atividades'!BT$3&lt;='Gastos Gerais'!$E$4:$E$615),-('Gastos Gerais'!$C$4:$C$615)))</f>
        <v>0</v>
      </c>
      <c r="BU30" s="73">
        <f>IF($B30="",0,SUMPRODUCT(-('Gastos Gerais'!$F$4:$F$615='Gastos das Atividades'!$B30),-('Gastos das Atividades'!BU$3&gt;='Gastos Gerais'!$D$4:$D$615),-('Gastos das Atividades'!BU$3&lt;='Gastos Gerais'!$E$4:$E$615),-('Gastos Gerais'!$C$4:$C$615)))</f>
        <v>0</v>
      </c>
      <c r="BV30" s="73">
        <f>IF($B30="",0,SUMPRODUCT(-('Gastos Gerais'!$F$4:$F$615='Gastos das Atividades'!$B30),-('Gastos das Atividades'!BV$3&gt;='Gastos Gerais'!$D$4:$D$615),-('Gastos das Atividades'!BV$3&lt;='Gastos Gerais'!$E$4:$E$615),-('Gastos Gerais'!$C$4:$C$615)))</f>
        <v>0</v>
      </c>
      <c r="BW30" s="73">
        <f>IF($B30="",0,SUMPRODUCT(-('Gastos Gerais'!$F$4:$F$615='Gastos das Atividades'!$B30),-('Gastos das Atividades'!BW$3&gt;='Gastos Gerais'!$D$4:$D$615),-('Gastos das Atividades'!BW$3&lt;='Gastos Gerais'!$E$4:$E$615),-('Gastos Gerais'!$C$4:$C$615)))</f>
        <v>0</v>
      </c>
      <c r="BX30" s="73">
        <f>IF($B30="",0,SUMPRODUCT(-('Gastos Gerais'!$F$4:$F$615='Gastos das Atividades'!$B30),-('Gastos das Atividades'!BX$3&gt;='Gastos Gerais'!$D$4:$D$615),-('Gastos das Atividades'!BX$3&lt;='Gastos Gerais'!$E$4:$E$615),-('Gastos Gerais'!$C$4:$C$615)))</f>
        <v>0</v>
      </c>
    </row>
    <row r="31" spans="1:76" hidden="1" x14ac:dyDescent="0.2">
      <c r="A31" s="146">
        <v>28</v>
      </c>
      <c r="B31" s="164"/>
      <c r="C31" s="305">
        <v>0</v>
      </c>
      <c r="D31" s="357">
        <f t="shared" si="10"/>
        <v>0</v>
      </c>
      <c r="E31" s="144">
        <f t="shared" si="11"/>
        <v>0</v>
      </c>
      <c r="F31" s="73">
        <f t="shared" si="2"/>
        <v>0</v>
      </c>
      <c r="G31" s="73">
        <f t="shared" si="2"/>
        <v>0</v>
      </c>
      <c r="H31" s="73">
        <f t="shared" si="2"/>
        <v>0</v>
      </c>
      <c r="I31" s="73">
        <f t="shared" si="2"/>
        <v>0</v>
      </c>
      <c r="J31" s="145">
        <f t="shared" si="3"/>
        <v>0</v>
      </c>
      <c r="K31" s="76">
        <f t="shared" si="4"/>
        <v>0</v>
      </c>
      <c r="L31" s="76">
        <f t="shared" si="5"/>
        <v>0</v>
      </c>
      <c r="M31" s="76">
        <f t="shared" si="6"/>
        <v>0</v>
      </c>
      <c r="N31" s="76">
        <f t="shared" si="7"/>
        <v>0</v>
      </c>
      <c r="O31" s="76">
        <f t="shared" si="8"/>
        <v>0</v>
      </c>
      <c r="P31" s="209">
        <f t="shared" si="9"/>
        <v>0</v>
      </c>
      <c r="Q31" s="73">
        <f>IF($B31="",0,SUMPRODUCT(-('Gastos Gerais'!$F$4:$F$615='Gastos das Atividades'!$B31),-('Gastos das Atividades'!Q$3&gt;='Gastos Gerais'!$D$4:$D$615),-('Gastos das Atividades'!Q$3&lt;='Gastos Gerais'!$E$4:$E$615),-('Gastos Gerais'!$C$4:$C$615)))</f>
        <v>0</v>
      </c>
      <c r="R31" s="73">
        <f>IF($B31="",0,SUMPRODUCT(-('Gastos Gerais'!$F$4:$F$615='Gastos das Atividades'!$B31),-('Gastos das Atividades'!R$3&gt;='Gastos Gerais'!$D$4:$D$615),-('Gastos das Atividades'!R$3&lt;='Gastos Gerais'!$E$4:$E$615),-('Gastos Gerais'!$C$4:$C$615)))</f>
        <v>0</v>
      </c>
      <c r="S31" s="73">
        <f>IF($B31="",0,SUMPRODUCT(-('Gastos Gerais'!$F$4:$F$615='Gastos das Atividades'!$B31),-('Gastos das Atividades'!S$3&gt;='Gastos Gerais'!$D$4:$D$615),-('Gastos das Atividades'!S$3&lt;='Gastos Gerais'!$E$4:$E$615),-('Gastos Gerais'!$C$4:$C$615)))</f>
        <v>0</v>
      </c>
      <c r="T31" s="73">
        <f>IF($B31="",0,SUMPRODUCT(-('Gastos Gerais'!$F$4:$F$615='Gastos das Atividades'!$B31),-('Gastos das Atividades'!T$3&gt;='Gastos Gerais'!$D$4:$D$615),-('Gastos das Atividades'!T$3&lt;='Gastos Gerais'!$E$4:$E$615),-('Gastos Gerais'!$C$4:$C$615)))</f>
        <v>0</v>
      </c>
      <c r="U31" s="73">
        <f>IF($B31="",0,SUMPRODUCT(-('Gastos Gerais'!$F$4:$F$615='Gastos das Atividades'!$B31),-('Gastos das Atividades'!U$3&gt;='Gastos Gerais'!$D$4:$D$615),-('Gastos das Atividades'!U$3&lt;='Gastos Gerais'!$E$4:$E$615),-('Gastos Gerais'!$C$4:$C$615)))</f>
        <v>0</v>
      </c>
      <c r="V31" s="73">
        <f>IF($B31="",0,SUMPRODUCT(-('Gastos Gerais'!$F$4:$F$615='Gastos das Atividades'!$B31),-('Gastos das Atividades'!V$3&gt;='Gastos Gerais'!$D$4:$D$615),-('Gastos das Atividades'!V$3&lt;='Gastos Gerais'!$E$4:$E$615),-('Gastos Gerais'!$C$4:$C$615)))</f>
        <v>0</v>
      </c>
      <c r="W31" s="73">
        <f>IF($B31="",0,SUMPRODUCT(-('Gastos Gerais'!$F$4:$F$615='Gastos das Atividades'!$B31),-('Gastos das Atividades'!W$3&gt;='Gastos Gerais'!$D$4:$D$615),-('Gastos das Atividades'!W$3&lt;='Gastos Gerais'!$E$4:$E$615),-('Gastos Gerais'!$C$4:$C$615)))</f>
        <v>0</v>
      </c>
      <c r="X31" s="73">
        <f>IF($B31="",0,SUMPRODUCT(-('Gastos Gerais'!$F$4:$F$615='Gastos das Atividades'!$B31),-('Gastos das Atividades'!X$3&gt;='Gastos Gerais'!$D$4:$D$615),-('Gastos das Atividades'!X$3&lt;='Gastos Gerais'!$E$4:$E$615),-('Gastos Gerais'!$C$4:$C$615)))</f>
        <v>0</v>
      </c>
      <c r="Y31" s="73">
        <f>IF($B31="",0,SUMPRODUCT(-('Gastos Gerais'!$F$4:$F$615='Gastos das Atividades'!$B31),-('Gastos das Atividades'!Y$3&gt;='Gastos Gerais'!$D$4:$D$615),-('Gastos das Atividades'!Y$3&lt;='Gastos Gerais'!$E$4:$E$615),-('Gastos Gerais'!$C$4:$C$615)))</f>
        <v>0</v>
      </c>
      <c r="Z31" s="73">
        <f>IF($B31="",0,SUMPRODUCT(-('Gastos Gerais'!$F$4:$F$615='Gastos das Atividades'!$B31),-('Gastos das Atividades'!Z$3&gt;='Gastos Gerais'!$D$4:$D$615),-('Gastos das Atividades'!Z$3&lt;='Gastos Gerais'!$E$4:$E$615),-('Gastos Gerais'!$C$4:$C$615)))</f>
        <v>0</v>
      </c>
      <c r="AA31" s="73">
        <f>IF($B31="",0,SUMPRODUCT(-('Gastos Gerais'!$F$4:$F$615='Gastos das Atividades'!$B31),-('Gastos das Atividades'!AA$3&gt;='Gastos Gerais'!$D$4:$D$615),-('Gastos das Atividades'!AA$3&lt;='Gastos Gerais'!$E$4:$E$615),-('Gastos Gerais'!$C$4:$C$615)))</f>
        <v>0</v>
      </c>
      <c r="AB31" s="73">
        <f>IF($B31="",0,SUMPRODUCT(-('Gastos Gerais'!$F$4:$F$615='Gastos das Atividades'!$B31),-('Gastos das Atividades'!AB$3&gt;='Gastos Gerais'!$D$4:$D$615),-('Gastos das Atividades'!AB$3&lt;='Gastos Gerais'!$E$4:$E$615),-('Gastos Gerais'!$C$4:$C$615)))</f>
        <v>0</v>
      </c>
      <c r="AC31" s="73">
        <f>IF($B31="",0,SUMPRODUCT(-('Gastos Gerais'!$F$4:$F$615='Gastos das Atividades'!$B31),-('Gastos das Atividades'!AC$3&gt;='Gastos Gerais'!$D$4:$D$615),-('Gastos das Atividades'!AC$3&lt;='Gastos Gerais'!$E$4:$E$615),-('Gastos Gerais'!$C$4:$C$615)))</f>
        <v>0</v>
      </c>
      <c r="AD31" s="73">
        <f>IF($B31="",0,SUMPRODUCT(-('Gastos Gerais'!$F$4:$F$615='Gastos das Atividades'!$B31),-('Gastos das Atividades'!AD$3&gt;='Gastos Gerais'!$D$4:$D$615),-('Gastos das Atividades'!AD$3&lt;='Gastos Gerais'!$E$4:$E$615),-('Gastos Gerais'!$C$4:$C$615)))</f>
        <v>0</v>
      </c>
      <c r="AE31" s="73">
        <f>IF($B31="",0,SUMPRODUCT(-('Gastos Gerais'!$F$4:$F$615='Gastos das Atividades'!$B31),-('Gastos das Atividades'!AE$3&gt;='Gastos Gerais'!$D$4:$D$615),-('Gastos das Atividades'!AE$3&lt;='Gastos Gerais'!$E$4:$E$615),-('Gastos Gerais'!$C$4:$C$615)))</f>
        <v>0</v>
      </c>
      <c r="AF31" s="73">
        <f>IF($B31="",0,SUMPRODUCT(-('Gastos Gerais'!$F$4:$F$615='Gastos das Atividades'!$B31),-('Gastos das Atividades'!AF$3&gt;='Gastos Gerais'!$D$4:$D$615),-('Gastos das Atividades'!AF$3&lt;='Gastos Gerais'!$E$4:$E$615),-('Gastos Gerais'!$C$4:$C$615)))</f>
        <v>0</v>
      </c>
      <c r="AG31" s="73">
        <f>IF($B31="",0,SUMPRODUCT(-('Gastos Gerais'!$F$4:$F$615='Gastos das Atividades'!$B31),-('Gastos das Atividades'!AG$3&gt;='Gastos Gerais'!$D$4:$D$615),-('Gastos das Atividades'!AG$3&lt;='Gastos Gerais'!$E$4:$E$615),-('Gastos Gerais'!$C$4:$C$615)))</f>
        <v>0</v>
      </c>
      <c r="AH31" s="73">
        <f>IF($B31="",0,SUMPRODUCT(-('Gastos Gerais'!$F$4:$F$615='Gastos das Atividades'!$B31),-('Gastos das Atividades'!AH$3&gt;='Gastos Gerais'!$D$4:$D$615),-('Gastos das Atividades'!AH$3&lt;='Gastos Gerais'!$E$4:$E$615),-('Gastos Gerais'!$C$4:$C$615)))</f>
        <v>0</v>
      </c>
      <c r="AI31" s="73">
        <f>IF($B31="",0,SUMPRODUCT(-('Gastos Gerais'!$F$4:$F$615='Gastos das Atividades'!$B31),-('Gastos das Atividades'!AI$3&gt;='Gastos Gerais'!$D$4:$D$615),-('Gastos das Atividades'!AI$3&lt;='Gastos Gerais'!$E$4:$E$615),-('Gastos Gerais'!$C$4:$C$615)))</f>
        <v>0</v>
      </c>
      <c r="AJ31" s="73">
        <f>IF($B31="",0,SUMPRODUCT(-('Gastos Gerais'!$F$4:$F$615='Gastos das Atividades'!$B31),-('Gastos das Atividades'!AJ$3&gt;='Gastos Gerais'!$D$4:$D$615),-('Gastos das Atividades'!AJ$3&lt;='Gastos Gerais'!$E$4:$E$615),-('Gastos Gerais'!$C$4:$C$615)))</f>
        <v>0</v>
      </c>
      <c r="AK31" s="73">
        <f>IF($B31="",0,SUMPRODUCT(-('Gastos Gerais'!$F$4:$F$615='Gastos das Atividades'!$B31),-('Gastos das Atividades'!AK$3&gt;='Gastos Gerais'!$D$4:$D$615),-('Gastos das Atividades'!AK$3&lt;='Gastos Gerais'!$E$4:$E$615),-('Gastos Gerais'!$C$4:$C$615)))</f>
        <v>0</v>
      </c>
      <c r="AL31" s="73">
        <f>IF($B31="",0,SUMPRODUCT(-('Gastos Gerais'!$F$4:$F$615='Gastos das Atividades'!$B31),-('Gastos das Atividades'!AL$3&gt;='Gastos Gerais'!$D$4:$D$615),-('Gastos das Atividades'!AL$3&lt;='Gastos Gerais'!$E$4:$E$615),-('Gastos Gerais'!$C$4:$C$615)))</f>
        <v>0</v>
      </c>
      <c r="AM31" s="73">
        <f>IF($B31="",0,SUMPRODUCT(-('Gastos Gerais'!$F$4:$F$615='Gastos das Atividades'!$B31),-('Gastos das Atividades'!AM$3&gt;='Gastos Gerais'!$D$4:$D$615),-('Gastos das Atividades'!AM$3&lt;='Gastos Gerais'!$E$4:$E$615),-('Gastos Gerais'!$C$4:$C$615)))</f>
        <v>0</v>
      </c>
      <c r="AN31" s="73">
        <f>IF($B31="",0,SUMPRODUCT(-('Gastos Gerais'!$F$4:$F$615='Gastos das Atividades'!$B31),-('Gastos das Atividades'!AN$3&gt;='Gastos Gerais'!$D$4:$D$615),-('Gastos das Atividades'!AN$3&lt;='Gastos Gerais'!$E$4:$E$615),-('Gastos Gerais'!$C$4:$C$615)))</f>
        <v>0</v>
      </c>
      <c r="AO31" s="73">
        <f>IF($B31="",0,SUMPRODUCT(-('Gastos Gerais'!$F$4:$F$615='Gastos das Atividades'!$B31),-('Gastos das Atividades'!AO$3&gt;='Gastos Gerais'!$D$4:$D$615),-('Gastos das Atividades'!AO$3&lt;='Gastos Gerais'!$E$4:$E$615),-('Gastos Gerais'!$C$4:$C$615)))</f>
        <v>0</v>
      </c>
      <c r="AP31" s="73">
        <f>IF($B31="",0,SUMPRODUCT(-('Gastos Gerais'!$F$4:$F$615='Gastos das Atividades'!$B31),-('Gastos das Atividades'!AP$3&gt;='Gastos Gerais'!$D$4:$D$615),-('Gastos das Atividades'!AP$3&lt;='Gastos Gerais'!$E$4:$E$615),-('Gastos Gerais'!$C$4:$C$615)))</f>
        <v>0</v>
      </c>
      <c r="AQ31" s="73">
        <f>IF($B31="",0,SUMPRODUCT(-('Gastos Gerais'!$F$4:$F$615='Gastos das Atividades'!$B31),-('Gastos das Atividades'!AQ$3&gt;='Gastos Gerais'!$D$4:$D$615),-('Gastos das Atividades'!AQ$3&lt;='Gastos Gerais'!$E$4:$E$615),-('Gastos Gerais'!$C$4:$C$615)))</f>
        <v>0</v>
      </c>
      <c r="AR31" s="73">
        <f>IF($B31="",0,SUMPRODUCT(-('Gastos Gerais'!$F$4:$F$615='Gastos das Atividades'!$B31),-('Gastos das Atividades'!AR$3&gt;='Gastos Gerais'!$D$4:$D$615),-('Gastos das Atividades'!AR$3&lt;='Gastos Gerais'!$E$4:$E$615),-('Gastos Gerais'!$C$4:$C$615)))</f>
        <v>0</v>
      </c>
      <c r="AS31" s="73">
        <f>IF($B31="",0,SUMPRODUCT(-('Gastos Gerais'!$F$4:$F$615='Gastos das Atividades'!$B31),-('Gastos das Atividades'!AS$3&gt;='Gastos Gerais'!$D$4:$D$615),-('Gastos das Atividades'!AS$3&lt;='Gastos Gerais'!$E$4:$E$615),-('Gastos Gerais'!$C$4:$C$615)))</f>
        <v>0</v>
      </c>
      <c r="AT31" s="73">
        <f>IF($B31="",0,SUMPRODUCT(-('Gastos Gerais'!$F$4:$F$615='Gastos das Atividades'!$B31),-('Gastos das Atividades'!AT$3&gt;='Gastos Gerais'!$D$4:$D$615),-('Gastos das Atividades'!AT$3&lt;='Gastos Gerais'!$E$4:$E$615),-('Gastos Gerais'!$C$4:$C$615)))</f>
        <v>0</v>
      </c>
      <c r="AU31" s="73">
        <f>IF($B31="",0,SUMPRODUCT(-('Gastos Gerais'!$F$4:$F$615='Gastos das Atividades'!$B31),-('Gastos das Atividades'!AU$3&gt;='Gastos Gerais'!$D$4:$D$615),-('Gastos das Atividades'!AU$3&lt;='Gastos Gerais'!$E$4:$E$615),-('Gastos Gerais'!$C$4:$C$615)))</f>
        <v>0</v>
      </c>
      <c r="AV31" s="73">
        <f>IF($B31="",0,SUMPRODUCT(-('Gastos Gerais'!$F$4:$F$615='Gastos das Atividades'!$B31),-('Gastos das Atividades'!AV$3&gt;='Gastos Gerais'!$D$4:$D$615),-('Gastos das Atividades'!AV$3&lt;='Gastos Gerais'!$E$4:$E$615),-('Gastos Gerais'!$C$4:$C$615)))</f>
        <v>0</v>
      </c>
      <c r="AW31" s="73">
        <f>IF($B31="",0,SUMPRODUCT(-('Gastos Gerais'!$F$4:$F$615='Gastos das Atividades'!$B31),-('Gastos das Atividades'!AW$3&gt;='Gastos Gerais'!$D$4:$D$615),-('Gastos das Atividades'!AW$3&lt;='Gastos Gerais'!$E$4:$E$615),-('Gastos Gerais'!$C$4:$C$615)))</f>
        <v>0</v>
      </c>
      <c r="AX31" s="73">
        <f>IF($B31="",0,SUMPRODUCT(-('Gastos Gerais'!$F$4:$F$615='Gastos das Atividades'!$B31),-('Gastos das Atividades'!AX$3&gt;='Gastos Gerais'!$D$4:$D$615),-('Gastos das Atividades'!AX$3&lt;='Gastos Gerais'!$E$4:$E$615),-('Gastos Gerais'!$C$4:$C$615)))</f>
        <v>0</v>
      </c>
      <c r="AY31" s="73">
        <f>IF($B31="",0,SUMPRODUCT(-('Gastos Gerais'!$F$4:$F$615='Gastos das Atividades'!$B31),-('Gastos das Atividades'!AY$3&gt;='Gastos Gerais'!$D$4:$D$615),-('Gastos das Atividades'!AY$3&lt;='Gastos Gerais'!$E$4:$E$615),-('Gastos Gerais'!$C$4:$C$615)))</f>
        <v>0</v>
      </c>
      <c r="AZ31" s="73">
        <f>IF($B31="",0,SUMPRODUCT(-('Gastos Gerais'!$F$4:$F$615='Gastos das Atividades'!$B31),-('Gastos das Atividades'!AZ$3&gt;='Gastos Gerais'!$D$4:$D$615),-('Gastos das Atividades'!AZ$3&lt;='Gastos Gerais'!$E$4:$E$615),-('Gastos Gerais'!$C$4:$C$615)))</f>
        <v>0</v>
      </c>
      <c r="BA31" s="73">
        <f>IF($B31="",0,SUMPRODUCT(-('Gastos Gerais'!$F$4:$F$615='Gastos das Atividades'!$B31),-('Gastos das Atividades'!BA$3&gt;='Gastos Gerais'!$D$4:$D$615),-('Gastos das Atividades'!BA$3&lt;='Gastos Gerais'!$E$4:$E$615),-('Gastos Gerais'!$C$4:$C$615)))</f>
        <v>0</v>
      </c>
      <c r="BB31" s="73">
        <f>IF($B31="",0,SUMPRODUCT(-('Gastos Gerais'!$F$4:$F$615='Gastos das Atividades'!$B31),-('Gastos das Atividades'!BB$3&gt;='Gastos Gerais'!$D$4:$D$615),-('Gastos das Atividades'!BB$3&lt;='Gastos Gerais'!$E$4:$E$615),-('Gastos Gerais'!$C$4:$C$615)))</f>
        <v>0</v>
      </c>
      <c r="BC31" s="73">
        <f>IF($B31="",0,SUMPRODUCT(-('Gastos Gerais'!$F$4:$F$615='Gastos das Atividades'!$B31),-('Gastos das Atividades'!BC$3&gt;='Gastos Gerais'!$D$4:$D$615),-('Gastos das Atividades'!BC$3&lt;='Gastos Gerais'!$E$4:$E$615),-('Gastos Gerais'!$C$4:$C$615)))</f>
        <v>0</v>
      </c>
      <c r="BD31" s="73">
        <f>IF($B31="",0,SUMPRODUCT(-('Gastos Gerais'!$F$4:$F$615='Gastos das Atividades'!$B31),-('Gastos das Atividades'!BD$3&gt;='Gastos Gerais'!$D$4:$D$615),-('Gastos das Atividades'!BD$3&lt;='Gastos Gerais'!$E$4:$E$615),-('Gastos Gerais'!$C$4:$C$615)))</f>
        <v>0</v>
      </c>
      <c r="BE31" s="73">
        <f>IF($B31="",0,SUMPRODUCT(-('Gastos Gerais'!$F$4:$F$615='Gastos das Atividades'!$B31),-('Gastos das Atividades'!BE$3&gt;='Gastos Gerais'!$D$4:$D$615),-('Gastos das Atividades'!BE$3&lt;='Gastos Gerais'!$E$4:$E$615),-('Gastos Gerais'!$C$4:$C$615)))</f>
        <v>0</v>
      </c>
      <c r="BF31" s="73">
        <f>IF($B31="",0,SUMPRODUCT(-('Gastos Gerais'!$F$4:$F$615='Gastos das Atividades'!$B31),-('Gastos das Atividades'!BF$3&gt;='Gastos Gerais'!$D$4:$D$615),-('Gastos das Atividades'!BF$3&lt;='Gastos Gerais'!$E$4:$E$615),-('Gastos Gerais'!$C$4:$C$615)))</f>
        <v>0</v>
      </c>
      <c r="BG31" s="73">
        <f>IF($B31="",0,SUMPRODUCT(-('Gastos Gerais'!$F$4:$F$615='Gastos das Atividades'!$B31),-('Gastos das Atividades'!BG$3&gt;='Gastos Gerais'!$D$4:$D$615),-('Gastos das Atividades'!BG$3&lt;='Gastos Gerais'!$E$4:$E$615),-('Gastos Gerais'!$C$4:$C$615)))</f>
        <v>0</v>
      </c>
      <c r="BH31" s="73">
        <f>IF($B31="",0,SUMPRODUCT(-('Gastos Gerais'!$F$4:$F$615='Gastos das Atividades'!$B31),-('Gastos das Atividades'!BH$3&gt;='Gastos Gerais'!$D$4:$D$615),-('Gastos das Atividades'!BH$3&lt;='Gastos Gerais'!$E$4:$E$615),-('Gastos Gerais'!$C$4:$C$615)))</f>
        <v>0</v>
      </c>
      <c r="BI31" s="73">
        <f>IF($B31="",0,SUMPRODUCT(-('Gastos Gerais'!$F$4:$F$615='Gastos das Atividades'!$B31),-('Gastos das Atividades'!BI$3&gt;='Gastos Gerais'!$D$4:$D$615),-('Gastos das Atividades'!BI$3&lt;='Gastos Gerais'!$E$4:$E$615),-('Gastos Gerais'!$C$4:$C$615)))</f>
        <v>0</v>
      </c>
      <c r="BJ31" s="73">
        <f>IF($B31="",0,SUMPRODUCT(-('Gastos Gerais'!$F$4:$F$615='Gastos das Atividades'!$B31),-('Gastos das Atividades'!BJ$3&gt;='Gastos Gerais'!$D$4:$D$615),-('Gastos das Atividades'!BJ$3&lt;='Gastos Gerais'!$E$4:$E$615),-('Gastos Gerais'!$C$4:$C$615)))</f>
        <v>0</v>
      </c>
      <c r="BK31" s="73">
        <f>IF($B31="",0,SUMPRODUCT(-('Gastos Gerais'!$F$4:$F$615='Gastos das Atividades'!$B31),-('Gastos das Atividades'!BK$3&gt;='Gastos Gerais'!$D$4:$D$615),-('Gastos das Atividades'!BK$3&lt;='Gastos Gerais'!$E$4:$E$615),-('Gastos Gerais'!$C$4:$C$615)))</f>
        <v>0</v>
      </c>
      <c r="BL31" s="73">
        <f>IF($B31="",0,SUMPRODUCT(-('Gastos Gerais'!$F$4:$F$615='Gastos das Atividades'!$B31),-('Gastos das Atividades'!BL$3&gt;='Gastos Gerais'!$D$4:$D$615),-('Gastos das Atividades'!BL$3&lt;='Gastos Gerais'!$E$4:$E$615),-('Gastos Gerais'!$C$4:$C$615)))</f>
        <v>0</v>
      </c>
      <c r="BM31" s="73">
        <f>IF($B31="",0,SUMPRODUCT(-('Gastos Gerais'!$F$4:$F$615='Gastos das Atividades'!$B31),-('Gastos das Atividades'!BM$3&gt;='Gastos Gerais'!$D$4:$D$615),-('Gastos das Atividades'!BM$3&lt;='Gastos Gerais'!$E$4:$E$615),-('Gastos Gerais'!$C$4:$C$615)))</f>
        <v>0</v>
      </c>
      <c r="BN31" s="73">
        <f>IF($B31="",0,SUMPRODUCT(-('Gastos Gerais'!$F$4:$F$615='Gastos das Atividades'!$B31),-('Gastos das Atividades'!BN$3&gt;='Gastos Gerais'!$D$4:$D$615),-('Gastos das Atividades'!BN$3&lt;='Gastos Gerais'!$E$4:$E$615),-('Gastos Gerais'!$C$4:$C$615)))</f>
        <v>0</v>
      </c>
      <c r="BO31" s="73">
        <f>IF($B31="",0,SUMPRODUCT(-('Gastos Gerais'!$F$4:$F$615='Gastos das Atividades'!$B31),-('Gastos das Atividades'!BO$3&gt;='Gastos Gerais'!$D$4:$D$615),-('Gastos das Atividades'!BO$3&lt;='Gastos Gerais'!$E$4:$E$615),-('Gastos Gerais'!$C$4:$C$615)))</f>
        <v>0</v>
      </c>
      <c r="BP31" s="73">
        <f>IF($B31="",0,SUMPRODUCT(-('Gastos Gerais'!$F$4:$F$615='Gastos das Atividades'!$B31),-('Gastos das Atividades'!BP$3&gt;='Gastos Gerais'!$D$4:$D$615),-('Gastos das Atividades'!BP$3&lt;='Gastos Gerais'!$E$4:$E$615),-('Gastos Gerais'!$C$4:$C$615)))</f>
        <v>0</v>
      </c>
      <c r="BQ31" s="73">
        <f>IF($B31="",0,SUMPRODUCT(-('Gastos Gerais'!$F$4:$F$615='Gastos das Atividades'!$B31),-('Gastos das Atividades'!BQ$3&gt;='Gastos Gerais'!$D$4:$D$615),-('Gastos das Atividades'!BQ$3&lt;='Gastos Gerais'!$E$4:$E$615),-('Gastos Gerais'!$C$4:$C$615)))</f>
        <v>0</v>
      </c>
      <c r="BR31" s="73">
        <f>IF($B31="",0,SUMPRODUCT(-('Gastos Gerais'!$F$4:$F$615='Gastos das Atividades'!$B31),-('Gastos das Atividades'!BR$3&gt;='Gastos Gerais'!$D$4:$D$615),-('Gastos das Atividades'!BR$3&lt;='Gastos Gerais'!$E$4:$E$615),-('Gastos Gerais'!$C$4:$C$615)))</f>
        <v>0</v>
      </c>
      <c r="BS31" s="73">
        <f>IF($B31="",0,SUMPRODUCT(-('Gastos Gerais'!$F$4:$F$615='Gastos das Atividades'!$B31),-('Gastos das Atividades'!BS$3&gt;='Gastos Gerais'!$D$4:$D$615),-('Gastos das Atividades'!BS$3&lt;='Gastos Gerais'!$E$4:$E$615),-('Gastos Gerais'!$C$4:$C$615)))</f>
        <v>0</v>
      </c>
      <c r="BT31" s="73">
        <f>IF($B31="",0,SUMPRODUCT(-('Gastos Gerais'!$F$4:$F$615='Gastos das Atividades'!$B31),-('Gastos das Atividades'!BT$3&gt;='Gastos Gerais'!$D$4:$D$615),-('Gastos das Atividades'!BT$3&lt;='Gastos Gerais'!$E$4:$E$615),-('Gastos Gerais'!$C$4:$C$615)))</f>
        <v>0</v>
      </c>
      <c r="BU31" s="73">
        <f>IF($B31="",0,SUMPRODUCT(-('Gastos Gerais'!$F$4:$F$615='Gastos das Atividades'!$B31),-('Gastos das Atividades'!BU$3&gt;='Gastos Gerais'!$D$4:$D$615),-('Gastos das Atividades'!BU$3&lt;='Gastos Gerais'!$E$4:$E$615),-('Gastos Gerais'!$C$4:$C$615)))</f>
        <v>0</v>
      </c>
      <c r="BV31" s="73">
        <f>IF($B31="",0,SUMPRODUCT(-('Gastos Gerais'!$F$4:$F$615='Gastos das Atividades'!$B31),-('Gastos das Atividades'!BV$3&gt;='Gastos Gerais'!$D$4:$D$615),-('Gastos das Atividades'!BV$3&lt;='Gastos Gerais'!$E$4:$E$615),-('Gastos Gerais'!$C$4:$C$615)))</f>
        <v>0</v>
      </c>
      <c r="BW31" s="73">
        <f>IF($B31="",0,SUMPRODUCT(-('Gastos Gerais'!$F$4:$F$615='Gastos das Atividades'!$B31),-('Gastos das Atividades'!BW$3&gt;='Gastos Gerais'!$D$4:$D$615),-('Gastos das Atividades'!BW$3&lt;='Gastos Gerais'!$E$4:$E$615),-('Gastos Gerais'!$C$4:$C$615)))</f>
        <v>0</v>
      </c>
      <c r="BX31" s="73">
        <f>IF($B31="",0,SUMPRODUCT(-('Gastos Gerais'!$F$4:$F$615='Gastos das Atividades'!$B31),-('Gastos das Atividades'!BX$3&gt;='Gastos Gerais'!$D$4:$D$615),-('Gastos das Atividades'!BX$3&lt;='Gastos Gerais'!$E$4:$E$615),-('Gastos Gerais'!$C$4:$C$615)))</f>
        <v>0</v>
      </c>
    </row>
    <row r="32" spans="1:76" hidden="1" x14ac:dyDescent="0.2">
      <c r="A32" s="146">
        <v>29</v>
      </c>
      <c r="B32" s="164"/>
      <c r="C32" s="305">
        <v>0</v>
      </c>
      <c r="D32" s="357">
        <f t="shared" si="10"/>
        <v>0</v>
      </c>
      <c r="E32" s="144">
        <f t="shared" si="11"/>
        <v>0</v>
      </c>
      <c r="F32" s="73">
        <f t="shared" si="2"/>
        <v>0</v>
      </c>
      <c r="G32" s="73">
        <f t="shared" si="2"/>
        <v>0</v>
      </c>
      <c r="H32" s="73">
        <f t="shared" si="2"/>
        <v>0</v>
      </c>
      <c r="I32" s="73">
        <f t="shared" si="2"/>
        <v>0</v>
      </c>
      <c r="J32" s="145">
        <f t="shared" si="3"/>
        <v>0</v>
      </c>
      <c r="K32" s="76">
        <f t="shared" si="4"/>
        <v>0</v>
      </c>
      <c r="L32" s="76">
        <f t="shared" si="5"/>
        <v>0</v>
      </c>
      <c r="M32" s="76">
        <f t="shared" si="6"/>
        <v>0</v>
      </c>
      <c r="N32" s="76">
        <f t="shared" si="7"/>
        <v>0</v>
      </c>
      <c r="O32" s="76">
        <f t="shared" si="8"/>
        <v>0</v>
      </c>
      <c r="P32" s="209">
        <f t="shared" si="9"/>
        <v>0</v>
      </c>
      <c r="Q32" s="73">
        <f>IF($B32="",0,SUMPRODUCT(-('Gastos Gerais'!$F$4:$F$615='Gastos das Atividades'!$B32),-('Gastos das Atividades'!Q$3&gt;='Gastos Gerais'!$D$4:$D$615),-('Gastos das Atividades'!Q$3&lt;='Gastos Gerais'!$E$4:$E$615),-('Gastos Gerais'!$C$4:$C$615)))</f>
        <v>0</v>
      </c>
      <c r="R32" s="73">
        <f>IF($B32="",0,SUMPRODUCT(-('Gastos Gerais'!$F$4:$F$615='Gastos das Atividades'!$B32),-('Gastos das Atividades'!R$3&gt;='Gastos Gerais'!$D$4:$D$615),-('Gastos das Atividades'!R$3&lt;='Gastos Gerais'!$E$4:$E$615),-('Gastos Gerais'!$C$4:$C$615)))</f>
        <v>0</v>
      </c>
      <c r="S32" s="73">
        <f>IF($B32="",0,SUMPRODUCT(-('Gastos Gerais'!$F$4:$F$615='Gastos das Atividades'!$B32),-('Gastos das Atividades'!S$3&gt;='Gastos Gerais'!$D$4:$D$615),-('Gastos das Atividades'!S$3&lt;='Gastos Gerais'!$E$4:$E$615),-('Gastos Gerais'!$C$4:$C$615)))</f>
        <v>0</v>
      </c>
      <c r="T32" s="73">
        <f>IF($B32="",0,SUMPRODUCT(-('Gastos Gerais'!$F$4:$F$615='Gastos das Atividades'!$B32),-('Gastos das Atividades'!T$3&gt;='Gastos Gerais'!$D$4:$D$615),-('Gastos das Atividades'!T$3&lt;='Gastos Gerais'!$E$4:$E$615),-('Gastos Gerais'!$C$4:$C$615)))</f>
        <v>0</v>
      </c>
      <c r="U32" s="73">
        <f>IF($B32="",0,SUMPRODUCT(-('Gastos Gerais'!$F$4:$F$615='Gastos das Atividades'!$B32),-('Gastos das Atividades'!U$3&gt;='Gastos Gerais'!$D$4:$D$615),-('Gastos das Atividades'!U$3&lt;='Gastos Gerais'!$E$4:$E$615),-('Gastos Gerais'!$C$4:$C$615)))</f>
        <v>0</v>
      </c>
      <c r="V32" s="73">
        <f>IF($B32="",0,SUMPRODUCT(-('Gastos Gerais'!$F$4:$F$615='Gastos das Atividades'!$B32),-('Gastos das Atividades'!V$3&gt;='Gastos Gerais'!$D$4:$D$615),-('Gastos das Atividades'!V$3&lt;='Gastos Gerais'!$E$4:$E$615),-('Gastos Gerais'!$C$4:$C$615)))</f>
        <v>0</v>
      </c>
      <c r="W32" s="73">
        <f>IF($B32="",0,SUMPRODUCT(-('Gastos Gerais'!$F$4:$F$615='Gastos das Atividades'!$B32),-('Gastos das Atividades'!W$3&gt;='Gastos Gerais'!$D$4:$D$615),-('Gastos das Atividades'!W$3&lt;='Gastos Gerais'!$E$4:$E$615),-('Gastos Gerais'!$C$4:$C$615)))</f>
        <v>0</v>
      </c>
      <c r="X32" s="73">
        <f>IF($B32="",0,SUMPRODUCT(-('Gastos Gerais'!$F$4:$F$615='Gastos das Atividades'!$B32),-('Gastos das Atividades'!X$3&gt;='Gastos Gerais'!$D$4:$D$615),-('Gastos das Atividades'!X$3&lt;='Gastos Gerais'!$E$4:$E$615),-('Gastos Gerais'!$C$4:$C$615)))</f>
        <v>0</v>
      </c>
      <c r="Y32" s="73">
        <f>IF($B32="",0,SUMPRODUCT(-('Gastos Gerais'!$F$4:$F$615='Gastos das Atividades'!$B32),-('Gastos das Atividades'!Y$3&gt;='Gastos Gerais'!$D$4:$D$615),-('Gastos das Atividades'!Y$3&lt;='Gastos Gerais'!$E$4:$E$615),-('Gastos Gerais'!$C$4:$C$615)))</f>
        <v>0</v>
      </c>
      <c r="Z32" s="73">
        <f>IF($B32="",0,SUMPRODUCT(-('Gastos Gerais'!$F$4:$F$615='Gastos das Atividades'!$B32),-('Gastos das Atividades'!Z$3&gt;='Gastos Gerais'!$D$4:$D$615),-('Gastos das Atividades'!Z$3&lt;='Gastos Gerais'!$E$4:$E$615),-('Gastos Gerais'!$C$4:$C$615)))</f>
        <v>0</v>
      </c>
      <c r="AA32" s="73">
        <f>IF($B32="",0,SUMPRODUCT(-('Gastos Gerais'!$F$4:$F$615='Gastos das Atividades'!$B32),-('Gastos das Atividades'!AA$3&gt;='Gastos Gerais'!$D$4:$D$615),-('Gastos das Atividades'!AA$3&lt;='Gastos Gerais'!$E$4:$E$615),-('Gastos Gerais'!$C$4:$C$615)))</f>
        <v>0</v>
      </c>
      <c r="AB32" s="73">
        <f>IF($B32="",0,SUMPRODUCT(-('Gastos Gerais'!$F$4:$F$615='Gastos das Atividades'!$B32),-('Gastos das Atividades'!AB$3&gt;='Gastos Gerais'!$D$4:$D$615),-('Gastos das Atividades'!AB$3&lt;='Gastos Gerais'!$E$4:$E$615),-('Gastos Gerais'!$C$4:$C$615)))</f>
        <v>0</v>
      </c>
      <c r="AC32" s="73">
        <f>IF($B32="",0,SUMPRODUCT(-('Gastos Gerais'!$F$4:$F$615='Gastos das Atividades'!$B32),-('Gastos das Atividades'!AC$3&gt;='Gastos Gerais'!$D$4:$D$615),-('Gastos das Atividades'!AC$3&lt;='Gastos Gerais'!$E$4:$E$615),-('Gastos Gerais'!$C$4:$C$615)))</f>
        <v>0</v>
      </c>
      <c r="AD32" s="73">
        <f>IF($B32="",0,SUMPRODUCT(-('Gastos Gerais'!$F$4:$F$615='Gastos das Atividades'!$B32),-('Gastos das Atividades'!AD$3&gt;='Gastos Gerais'!$D$4:$D$615),-('Gastos das Atividades'!AD$3&lt;='Gastos Gerais'!$E$4:$E$615),-('Gastos Gerais'!$C$4:$C$615)))</f>
        <v>0</v>
      </c>
      <c r="AE32" s="73">
        <f>IF($B32="",0,SUMPRODUCT(-('Gastos Gerais'!$F$4:$F$615='Gastos das Atividades'!$B32),-('Gastos das Atividades'!AE$3&gt;='Gastos Gerais'!$D$4:$D$615),-('Gastos das Atividades'!AE$3&lt;='Gastos Gerais'!$E$4:$E$615),-('Gastos Gerais'!$C$4:$C$615)))</f>
        <v>0</v>
      </c>
      <c r="AF32" s="73">
        <f>IF($B32="",0,SUMPRODUCT(-('Gastos Gerais'!$F$4:$F$615='Gastos das Atividades'!$B32),-('Gastos das Atividades'!AF$3&gt;='Gastos Gerais'!$D$4:$D$615),-('Gastos das Atividades'!AF$3&lt;='Gastos Gerais'!$E$4:$E$615),-('Gastos Gerais'!$C$4:$C$615)))</f>
        <v>0</v>
      </c>
      <c r="AG32" s="73">
        <f>IF($B32="",0,SUMPRODUCT(-('Gastos Gerais'!$F$4:$F$615='Gastos das Atividades'!$B32),-('Gastos das Atividades'!AG$3&gt;='Gastos Gerais'!$D$4:$D$615),-('Gastos das Atividades'!AG$3&lt;='Gastos Gerais'!$E$4:$E$615),-('Gastos Gerais'!$C$4:$C$615)))</f>
        <v>0</v>
      </c>
      <c r="AH32" s="73">
        <f>IF($B32="",0,SUMPRODUCT(-('Gastos Gerais'!$F$4:$F$615='Gastos das Atividades'!$B32),-('Gastos das Atividades'!AH$3&gt;='Gastos Gerais'!$D$4:$D$615),-('Gastos das Atividades'!AH$3&lt;='Gastos Gerais'!$E$4:$E$615),-('Gastos Gerais'!$C$4:$C$615)))</f>
        <v>0</v>
      </c>
      <c r="AI32" s="73">
        <f>IF($B32="",0,SUMPRODUCT(-('Gastos Gerais'!$F$4:$F$615='Gastos das Atividades'!$B32),-('Gastos das Atividades'!AI$3&gt;='Gastos Gerais'!$D$4:$D$615),-('Gastos das Atividades'!AI$3&lt;='Gastos Gerais'!$E$4:$E$615),-('Gastos Gerais'!$C$4:$C$615)))</f>
        <v>0</v>
      </c>
      <c r="AJ32" s="73">
        <f>IF($B32="",0,SUMPRODUCT(-('Gastos Gerais'!$F$4:$F$615='Gastos das Atividades'!$B32),-('Gastos das Atividades'!AJ$3&gt;='Gastos Gerais'!$D$4:$D$615),-('Gastos das Atividades'!AJ$3&lt;='Gastos Gerais'!$E$4:$E$615),-('Gastos Gerais'!$C$4:$C$615)))</f>
        <v>0</v>
      </c>
      <c r="AK32" s="73">
        <f>IF($B32="",0,SUMPRODUCT(-('Gastos Gerais'!$F$4:$F$615='Gastos das Atividades'!$B32),-('Gastos das Atividades'!AK$3&gt;='Gastos Gerais'!$D$4:$D$615),-('Gastos das Atividades'!AK$3&lt;='Gastos Gerais'!$E$4:$E$615),-('Gastos Gerais'!$C$4:$C$615)))</f>
        <v>0</v>
      </c>
      <c r="AL32" s="73">
        <f>IF($B32="",0,SUMPRODUCT(-('Gastos Gerais'!$F$4:$F$615='Gastos das Atividades'!$B32),-('Gastos das Atividades'!AL$3&gt;='Gastos Gerais'!$D$4:$D$615),-('Gastos das Atividades'!AL$3&lt;='Gastos Gerais'!$E$4:$E$615),-('Gastos Gerais'!$C$4:$C$615)))</f>
        <v>0</v>
      </c>
      <c r="AM32" s="73">
        <f>IF($B32="",0,SUMPRODUCT(-('Gastos Gerais'!$F$4:$F$615='Gastos das Atividades'!$B32),-('Gastos das Atividades'!AM$3&gt;='Gastos Gerais'!$D$4:$D$615),-('Gastos das Atividades'!AM$3&lt;='Gastos Gerais'!$E$4:$E$615),-('Gastos Gerais'!$C$4:$C$615)))</f>
        <v>0</v>
      </c>
      <c r="AN32" s="73">
        <f>IF($B32="",0,SUMPRODUCT(-('Gastos Gerais'!$F$4:$F$615='Gastos das Atividades'!$B32),-('Gastos das Atividades'!AN$3&gt;='Gastos Gerais'!$D$4:$D$615),-('Gastos das Atividades'!AN$3&lt;='Gastos Gerais'!$E$4:$E$615),-('Gastos Gerais'!$C$4:$C$615)))</f>
        <v>0</v>
      </c>
      <c r="AO32" s="73">
        <f>IF($B32="",0,SUMPRODUCT(-('Gastos Gerais'!$F$4:$F$615='Gastos das Atividades'!$B32),-('Gastos das Atividades'!AO$3&gt;='Gastos Gerais'!$D$4:$D$615),-('Gastos das Atividades'!AO$3&lt;='Gastos Gerais'!$E$4:$E$615),-('Gastos Gerais'!$C$4:$C$615)))</f>
        <v>0</v>
      </c>
      <c r="AP32" s="73">
        <f>IF($B32="",0,SUMPRODUCT(-('Gastos Gerais'!$F$4:$F$615='Gastos das Atividades'!$B32),-('Gastos das Atividades'!AP$3&gt;='Gastos Gerais'!$D$4:$D$615),-('Gastos das Atividades'!AP$3&lt;='Gastos Gerais'!$E$4:$E$615),-('Gastos Gerais'!$C$4:$C$615)))</f>
        <v>0</v>
      </c>
      <c r="AQ32" s="73">
        <f>IF($B32="",0,SUMPRODUCT(-('Gastos Gerais'!$F$4:$F$615='Gastos das Atividades'!$B32),-('Gastos das Atividades'!AQ$3&gt;='Gastos Gerais'!$D$4:$D$615),-('Gastos das Atividades'!AQ$3&lt;='Gastos Gerais'!$E$4:$E$615),-('Gastos Gerais'!$C$4:$C$615)))</f>
        <v>0</v>
      </c>
      <c r="AR32" s="73">
        <f>IF($B32="",0,SUMPRODUCT(-('Gastos Gerais'!$F$4:$F$615='Gastos das Atividades'!$B32),-('Gastos das Atividades'!AR$3&gt;='Gastos Gerais'!$D$4:$D$615),-('Gastos das Atividades'!AR$3&lt;='Gastos Gerais'!$E$4:$E$615),-('Gastos Gerais'!$C$4:$C$615)))</f>
        <v>0</v>
      </c>
      <c r="AS32" s="73">
        <f>IF($B32="",0,SUMPRODUCT(-('Gastos Gerais'!$F$4:$F$615='Gastos das Atividades'!$B32),-('Gastos das Atividades'!AS$3&gt;='Gastos Gerais'!$D$4:$D$615),-('Gastos das Atividades'!AS$3&lt;='Gastos Gerais'!$E$4:$E$615),-('Gastos Gerais'!$C$4:$C$615)))</f>
        <v>0</v>
      </c>
      <c r="AT32" s="73">
        <f>IF($B32="",0,SUMPRODUCT(-('Gastos Gerais'!$F$4:$F$615='Gastos das Atividades'!$B32),-('Gastos das Atividades'!AT$3&gt;='Gastos Gerais'!$D$4:$D$615),-('Gastos das Atividades'!AT$3&lt;='Gastos Gerais'!$E$4:$E$615),-('Gastos Gerais'!$C$4:$C$615)))</f>
        <v>0</v>
      </c>
      <c r="AU32" s="73">
        <f>IF($B32="",0,SUMPRODUCT(-('Gastos Gerais'!$F$4:$F$615='Gastos das Atividades'!$B32),-('Gastos das Atividades'!AU$3&gt;='Gastos Gerais'!$D$4:$D$615),-('Gastos das Atividades'!AU$3&lt;='Gastos Gerais'!$E$4:$E$615),-('Gastos Gerais'!$C$4:$C$615)))</f>
        <v>0</v>
      </c>
      <c r="AV32" s="73">
        <f>IF($B32="",0,SUMPRODUCT(-('Gastos Gerais'!$F$4:$F$615='Gastos das Atividades'!$B32),-('Gastos das Atividades'!AV$3&gt;='Gastos Gerais'!$D$4:$D$615),-('Gastos das Atividades'!AV$3&lt;='Gastos Gerais'!$E$4:$E$615),-('Gastos Gerais'!$C$4:$C$615)))</f>
        <v>0</v>
      </c>
      <c r="AW32" s="73">
        <f>IF($B32="",0,SUMPRODUCT(-('Gastos Gerais'!$F$4:$F$615='Gastos das Atividades'!$B32),-('Gastos das Atividades'!AW$3&gt;='Gastos Gerais'!$D$4:$D$615),-('Gastos das Atividades'!AW$3&lt;='Gastos Gerais'!$E$4:$E$615),-('Gastos Gerais'!$C$4:$C$615)))</f>
        <v>0</v>
      </c>
      <c r="AX32" s="73">
        <f>IF($B32="",0,SUMPRODUCT(-('Gastos Gerais'!$F$4:$F$615='Gastos das Atividades'!$B32),-('Gastos das Atividades'!AX$3&gt;='Gastos Gerais'!$D$4:$D$615),-('Gastos das Atividades'!AX$3&lt;='Gastos Gerais'!$E$4:$E$615),-('Gastos Gerais'!$C$4:$C$615)))</f>
        <v>0</v>
      </c>
      <c r="AY32" s="73">
        <f>IF($B32="",0,SUMPRODUCT(-('Gastos Gerais'!$F$4:$F$615='Gastos das Atividades'!$B32),-('Gastos das Atividades'!AY$3&gt;='Gastos Gerais'!$D$4:$D$615),-('Gastos das Atividades'!AY$3&lt;='Gastos Gerais'!$E$4:$E$615),-('Gastos Gerais'!$C$4:$C$615)))</f>
        <v>0</v>
      </c>
      <c r="AZ32" s="73">
        <f>IF($B32="",0,SUMPRODUCT(-('Gastos Gerais'!$F$4:$F$615='Gastos das Atividades'!$B32),-('Gastos das Atividades'!AZ$3&gt;='Gastos Gerais'!$D$4:$D$615),-('Gastos das Atividades'!AZ$3&lt;='Gastos Gerais'!$E$4:$E$615),-('Gastos Gerais'!$C$4:$C$615)))</f>
        <v>0</v>
      </c>
      <c r="BA32" s="73">
        <f>IF($B32="",0,SUMPRODUCT(-('Gastos Gerais'!$F$4:$F$615='Gastos das Atividades'!$B32),-('Gastos das Atividades'!BA$3&gt;='Gastos Gerais'!$D$4:$D$615),-('Gastos das Atividades'!BA$3&lt;='Gastos Gerais'!$E$4:$E$615),-('Gastos Gerais'!$C$4:$C$615)))</f>
        <v>0</v>
      </c>
      <c r="BB32" s="73">
        <f>IF($B32="",0,SUMPRODUCT(-('Gastos Gerais'!$F$4:$F$615='Gastos das Atividades'!$B32),-('Gastos das Atividades'!BB$3&gt;='Gastos Gerais'!$D$4:$D$615),-('Gastos das Atividades'!BB$3&lt;='Gastos Gerais'!$E$4:$E$615),-('Gastos Gerais'!$C$4:$C$615)))</f>
        <v>0</v>
      </c>
      <c r="BC32" s="73">
        <f>IF($B32="",0,SUMPRODUCT(-('Gastos Gerais'!$F$4:$F$615='Gastos das Atividades'!$B32),-('Gastos das Atividades'!BC$3&gt;='Gastos Gerais'!$D$4:$D$615),-('Gastos das Atividades'!BC$3&lt;='Gastos Gerais'!$E$4:$E$615),-('Gastos Gerais'!$C$4:$C$615)))</f>
        <v>0</v>
      </c>
      <c r="BD32" s="73">
        <f>IF($B32="",0,SUMPRODUCT(-('Gastos Gerais'!$F$4:$F$615='Gastos das Atividades'!$B32),-('Gastos das Atividades'!BD$3&gt;='Gastos Gerais'!$D$4:$D$615),-('Gastos das Atividades'!BD$3&lt;='Gastos Gerais'!$E$4:$E$615),-('Gastos Gerais'!$C$4:$C$615)))</f>
        <v>0</v>
      </c>
      <c r="BE32" s="73">
        <f>IF($B32="",0,SUMPRODUCT(-('Gastos Gerais'!$F$4:$F$615='Gastos das Atividades'!$B32),-('Gastos das Atividades'!BE$3&gt;='Gastos Gerais'!$D$4:$D$615),-('Gastos das Atividades'!BE$3&lt;='Gastos Gerais'!$E$4:$E$615),-('Gastos Gerais'!$C$4:$C$615)))</f>
        <v>0</v>
      </c>
      <c r="BF32" s="73">
        <f>IF($B32="",0,SUMPRODUCT(-('Gastos Gerais'!$F$4:$F$615='Gastos das Atividades'!$B32),-('Gastos das Atividades'!BF$3&gt;='Gastos Gerais'!$D$4:$D$615),-('Gastos das Atividades'!BF$3&lt;='Gastos Gerais'!$E$4:$E$615),-('Gastos Gerais'!$C$4:$C$615)))</f>
        <v>0</v>
      </c>
      <c r="BG32" s="73">
        <f>IF($B32="",0,SUMPRODUCT(-('Gastos Gerais'!$F$4:$F$615='Gastos das Atividades'!$B32),-('Gastos das Atividades'!BG$3&gt;='Gastos Gerais'!$D$4:$D$615),-('Gastos das Atividades'!BG$3&lt;='Gastos Gerais'!$E$4:$E$615),-('Gastos Gerais'!$C$4:$C$615)))</f>
        <v>0</v>
      </c>
      <c r="BH32" s="73">
        <f>IF($B32="",0,SUMPRODUCT(-('Gastos Gerais'!$F$4:$F$615='Gastos das Atividades'!$B32),-('Gastos das Atividades'!BH$3&gt;='Gastos Gerais'!$D$4:$D$615),-('Gastos das Atividades'!BH$3&lt;='Gastos Gerais'!$E$4:$E$615),-('Gastos Gerais'!$C$4:$C$615)))</f>
        <v>0</v>
      </c>
      <c r="BI32" s="73">
        <f>IF($B32="",0,SUMPRODUCT(-('Gastos Gerais'!$F$4:$F$615='Gastos das Atividades'!$B32),-('Gastos das Atividades'!BI$3&gt;='Gastos Gerais'!$D$4:$D$615),-('Gastos das Atividades'!BI$3&lt;='Gastos Gerais'!$E$4:$E$615),-('Gastos Gerais'!$C$4:$C$615)))</f>
        <v>0</v>
      </c>
      <c r="BJ32" s="73">
        <f>IF($B32="",0,SUMPRODUCT(-('Gastos Gerais'!$F$4:$F$615='Gastos das Atividades'!$B32),-('Gastos das Atividades'!BJ$3&gt;='Gastos Gerais'!$D$4:$D$615),-('Gastos das Atividades'!BJ$3&lt;='Gastos Gerais'!$E$4:$E$615),-('Gastos Gerais'!$C$4:$C$615)))</f>
        <v>0</v>
      </c>
      <c r="BK32" s="73">
        <f>IF($B32="",0,SUMPRODUCT(-('Gastos Gerais'!$F$4:$F$615='Gastos das Atividades'!$B32),-('Gastos das Atividades'!BK$3&gt;='Gastos Gerais'!$D$4:$D$615),-('Gastos das Atividades'!BK$3&lt;='Gastos Gerais'!$E$4:$E$615),-('Gastos Gerais'!$C$4:$C$615)))</f>
        <v>0</v>
      </c>
      <c r="BL32" s="73">
        <f>IF($B32="",0,SUMPRODUCT(-('Gastos Gerais'!$F$4:$F$615='Gastos das Atividades'!$B32),-('Gastos das Atividades'!BL$3&gt;='Gastos Gerais'!$D$4:$D$615),-('Gastos das Atividades'!BL$3&lt;='Gastos Gerais'!$E$4:$E$615),-('Gastos Gerais'!$C$4:$C$615)))</f>
        <v>0</v>
      </c>
      <c r="BM32" s="73">
        <f>IF($B32="",0,SUMPRODUCT(-('Gastos Gerais'!$F$4:$F$615='Gastos das Atividades'!$B32),-('Gastos das Atividades'!BM$3&gt;='Gastos Gerais'!$D$4:$D$615),-('Gastos das Atividades'!BM$3&lt;='Gastos Gerais'!$E$4:$E$615),-('Gastos Gerais'!$C$4:$C$615)))</f>
        <v>0</v>
      </c>
      <c r="BN32" s="73">
        <f>IF($B32="",0,SUMPRODUCT(-('Gastos Gerais'!$F$4:$F$615='Gastos das Atividades'!$B32),-('Gastos das Atividades'!BN$3&gt;='Gastos Gerais'!$D$4:$D$615),-('Gastos das Atividades'!BN$3&lt;='Gastos Gerais'!$E$4:$E$615),-('Gastos Gerais'!$C$4:$C$615)))</f>
        <v>0</v>
      </c>
      <c r="BO32" s="73">
        <f>IF($B32="",0,SUMPRODUCT(-('Gastos Gerais'!$F$4:$F$615='Gastos das Atividades'!$B32),-('Gastos das Atividades'!BO$3&gt;='Gastos Gerais'!$D$4:$D$615),-('Gastos das Atividades'!BO$3&lt;='Gastos Gerais'!$E$4:$E$615),-('Gastos Gerais'!$C$4:$C$615)))</f>
        <v>0</v>
      </c>
      <c r="BP32" s="73">
        <f>IF($B32="",0,SUMPRODUCT(-('Gastos Gerais'!$F$4:$F$615='Gastos das Atividades'!$B32),-('Gastos das Atividades'!BP$3&gt;='Gastos Gerais'!$D$4:$D$615),-('Gastos das Atividades'!BP$3&lt;='Gastos Gerais'!$E$4:$E$615),-('Gastos Gerais'!$C$4:$C$615)))</f>
        <v>0</v>
      </c>
      <c r="BQ32" s="73">
        <f>IF($B32="",0,SUMPRODUCT(-('Gastos Gerais'!$F$4:$F$615='Gastos das Atividades'!$B32),-('Gastos das Atividades'!BQ$3&gt;='Gastos Gerais'!$D$4:$D$615),-('Gastos das Atividades'!BQ$3&lt;='Gastos Gerais'!$E$4:$E$615),-('Gastos Gerais'!$C$4:$C$615)))</f>
        <v>0</v>
      </c>
      <c r="BR32" s="73">
        <f>IF($B32="",0,SUMPRODUCT(-('Gastos Gerais'!$F$4:$F$615='Gastos das Atividades'!$B32),-('Gastos das Atividades'!BR$3&gt;='Gastos Gerais'!$D$4:$D$615),-('Gastos das Atividades'!BR$3&lt;='Gastos Gerais'!$E$4:$E$615),-('Gastos Gerais'!$C$4:$C$615)))</f>
        <v>0</v>
      </c>
      <c r="BS32" s="73">
        <f>IF($B32="",0,SUMPRODUCT(-('Gastos Gerais'!$F$4:$F$615='Gastos das Atividades'!$B32),-('Gastos das Atividades'!BS$3&gt;='Gastos Gerais'!$D$4:$D$615),-('Gastos das Atividades'!BS$3&lt;='Gastos Gerais'!$E$4:$E$615),-('Gastos Gerais'!$C$4:$C$615)))</f>
        <v>0</v>
      </c>
      <c r="BT32" s="73">
        <f>IF($B32="",0,SUMPRODUCT(-('Gastos Gerais'!$F$4:$F$615='Gastos das Atividades'!$B32),-('Gastos das Atividades'!BT$3&gt;='Gastos Gerais'!$D$4:$D$615),-('Gastos das Atividades'!BT$3&lt;='Gastos Gerais'!$E$4:$E$615),-('Gastos Gerais'!$C$4:$C$615)))</f>
        <v>0</v>
      </c>
      <c r="BU32" s="73">
        <f>IF($B32="",0,SUMPRODUCT(-('Gastos Gerais'!$F$4:$F$615='Gastos das Atividades'!$B32),-('Gastos das Atividades'!BU$3&gt;='Gastos Gerais'!$D$4:$D$615),-('Gastos das Atividades'!BU$3&lt;='Gastos Gerais'!$E$4:$E$615),-('Gastos Gerais'!$C$4:$C$615)))</f>
        <v>0</v>
      </c>
      <c r="BV32" s="73">
        <f>IF($B32="",0,SUMPRODUCT(-('Gastos Gerais'!$F$4:$F$615='Gastos das Atividades'!$B32),-('Gastos das Atividades'!BV$3&gt;='Gastos Gerais'!$D$4:$D$615),-('Gastos das Atividades'!BV$3&lt;='Gastos Gerais'!$E$4:$E$615),-('Gastos Gerais'!$C$4:$C$615)))</f>
        <v>0</v>
      </c>
      <c r="BW32" s="73">
        <f>IF($B32="",0,SUMPRODUCT(-('Gastos Gerais'!$F$4:$F$615='Gastos das Atividades'!$B32),-('Gastos das Atividades'!BW$3&gt;='Gastos Gerais'!$D$4:$D$615),-('Gastos das Atividades'!BW$3&lt;='Gastos Gerais'!$E$4:$E$615),-('Gastos Gerais'!$C$4:$C$615)))</f>
        <v>0</v>
      </c>
      <c r="BX32" s="73">
        <f>IF($B32="",0,SUMPRODUCT(-('Gastos Gerais'!$F$4:$F$615='Gastos das Atividades'!$B32),-('Gastos das Atividades'!BX$3&gt;='Gastos Gerais'!$D$4:$D$615),-('Gastos das Atividades'!BX$3&lt;='Gastos Gerais'!$E$4:$E$615),-('Gastos Gerais'!$C$4:$C$615)))</f>
        <v>0</v>
      </c>
    </row>
    <row r="33" spans="1:76" ht="13.5" hidden="1" thickBot="1" x14ac:dyDescent="0.25">
      <c r="A33" s="146">
        <v>30</v>
      </c>
      <c r="B33" s="164"/>
      <c r="C33" s="305">
        <v>0</v>
      </c>
      <c r="D33" s="357">
        <f>SUMIFS($Q33:$BX33,$Q$3:$BX$3,"&gt;="&amp;E$3,$Q$3:$BX$3,"&lt;"&amp;(DATE(YEAR(E$3)+1,1,1)-1))</f>
        <v>0</v>
      </c>
      <c r="E33" s="144">
        <f t="shared" si="11"/>
        <v>0</v>
      </c>
      <c r="F33" s="73">
        <f t="shared" si="2"/>
        <v>0</v>
      </c>
      <c r="G33" s="73">
        <f t="shared" si="2"/>
        <v>0</v>
      </c>
      <c r="H33" s="73">
        <f t="shared" si="2"/>
        <v>0</v>
      </c>
      <c r="I33" s="73">
        <f t="shared" si="2"/>
        <v>0</v>
      </c>
      <c r="J33" s="145">
        <f t="shared" si="3"/>
        <v>0</v>
      </c>
      <c r="K33" s="76">
        <f t="shared" si="4"/>
        <v>0</v>
      </c>
      <c r="L33" s="76">
        <f t="shared" si="5"/>
        <v>0</v>
      </c>
      <c r="M33" s="76">
        <f t="shared" si="6"/>
        <v>0</v>
      </c>
      <c r="N33" s="76">
        <f t="shared" si="7"/>
        <v>0</v>
      </c>
      <c r="O33" s="76">
        <f t="shared" si="8"/>
        <v>0</v>
      </c>
      <c r="P33" s="209">
        <f t="shared" si="9"/>
        <v>0</v>
      </c>
      <c r="Q33" s="73">
        <f>IF($B33="",0,SUMPRODUCT(-('Gastos Gerais'!$F$4:$F$615='Gastos das Atividades'!$B33),-('Gastos das Atividades'!Q$3&gt;='Gastos Gerais'!$D$4:$D$615),-('Gastos das Atividades'!Q$3&lt;='Gastos Gerais'!$E$4:$E$615),-('Gastos Gerais'!$C$4:$C$615)))</f>
        <v>0</v>
      </c>
      <c r="R33" s="73">
        <f>IF($B33="",0,SUMPRODUCT(-('Gastos Gerais'!$F$4:$F$615='Gastos das Atividades'!$B33),-('Gastos das Atividades'!R$3&gt;='Gastos Gerais'!$D$4:$D$615),-('Gastos das Atividades'!R$3&lt;='Gastos Gerais'!$E$4:$E$615),-('Gastos Gerais'!$C$4:$C$615)))</f>
        <v>0</v>
      </c>
      <c r="S33" s="73">
        <f>IF($B33="",0,SUMPRODUCT(-('Gastos Gerais'!$F$4:$F$615='Gastos das Atividades'!$B33),-('Gastos das Atividades'!S$3&gt;='Gastos Gerais'!$D$4:$D$615),-('Gastos das Atividades'!S$3&lt;='Gastos Gerais'!$E$4:$E$615),-('Gastos Gerais'!$C$4:$C$615)))</f>
        <v>0</v>
      </c>
      <c r="T33" s="73">
        <f>IF($B33="",0,SUMPRODUCT(-('Gastos Gerais'!$F$4:$F$615='Gastos das Atividades'!$B33),-('Gastos das Atividades'!T$3&gt;='Gastos Gerais'!$D$4:$D$615),-('Gastos das Atividades'!T$3&lt;='Gastos Gerais'!$E$4:$E$615),-('Gastos Gerais'!$C$4:$C$615)))</f>
        <v>0</v>
      </c>
      <c r="U33" s="73">
        <f>IF($B33="",0,SUMPRODUCT(-('Gastos Gerais'!$F$4:$F$615='Gastos das Atividades'!$B33),-('Gastos das Atividades'!U$3&gt;='Gastos Gerais'!$D$4:$D$615),-('Gastos das Atividades'!U$3&lt;='Gastos Gerais'!$E$4:$E$615),-('Gastos Gerais'!$C$4:$C$615)))</f>
        <v>0</v>
      </c>
      <c r="V33" s="73">
        <f>IF($B33="",0,SUMPRODUCT(-('Gastos Gerais'!$F$4:$F$615='Gastos das Atividades'!$B33),-('Gastos das Atividades'!V$3&gt;='Gastos Gerais'!$D$4:$D$615),-('Gastos das Atividades'!V$3&lt;='Gastos Gerais'!$E$4:$E$615),-('Gastos Gerais'!$C$4:$C$615)))</f>
        <v>0</v>
      </c>
      <c r="W33" s="73">
        <f>IF($B33="",0,SUMPRODUCT(-('Gastos Gerais'!$F$4:$F$615='Gastos das Atividades'!$B33),-('Gastos das Atividades'!W$3&gt;='Gastos Gerais'!$D$4:$D$615),-('Gastos das Atividades'!W$3&lt;='Gastos Gerais'!$E$4:$E$615),-('Gastos Gerais'!$C$4:$C$615)))</f>
        <v>0</v>
      </c>
      <c r="X33" s="73">
        <f>IF($B33="",0,SUMPRODUCT(-('Gastos Gerais'!$F$4:$F$615='Gastos das Atividades'!$B33),-('Gastos das Atividades'!X$3&gt;='Gastos Gerais'!$D$4:$D$615),-('Gastos das Atividades'!X$3&lt;='Gastos Gerais'!$E$4:$E$615),-('Gastos Gerais'!$C$4:$C$615)))</f>
        <v>0</v>
      </c>
      <c r="Y33" s="73">
        <f>IF($B33="",0,SUMPRODUCT(-('Gastos Gerais'!$F$4:$F$615='Gastos das Atividades'!$B33),-('Gastos das Atividades'!Y$3&gt;='Gastos Gerais'!$D$4:$D$615),-('Gastos das Atividades'!Y$3&lt;='Gastos Gerais'!$E$4:$E$615),-('Gastos Gerais'!$C$4:$C$615)))</f>
        <v>0</v>
      </c>
      <c r="Z33" s="73">
        <f>IF($B33="",0,SUMPRODUCT(-('Gastos Gerais'!$F$4:$F$615='Gastos das Atividades'!$B33),-('Gastos das Atividades'!Z$3&gt;='Gastos Gerais'!$D$4:$D$615),-('Gastos das Atividades'!Z$3&lt;='Gastos Gerais'!$E$4:$E$615),-('Gastos Gerais'!$C$4:$C$615)))</f>
        <v>0</v>
      </c>
      <c r="AA33" s="73">
        <f>IF($B33="",0,SUMPRODUCT(-('Gastos Gerais'!$F$4:$F$615='Gastos das Atividades'!$B33),-('Gastos das Atividades'!AA$3&gt;='Gastos Gerais'!$D$4:$D$615),-('Gastos das Atividades'!AA$3&lt;='Gastos Gerais'!$E$4:$E$615),-('Gastos Gerais'!$C$4:$C$615)))</f>
        <v>0</v>
      </c>
      <c r="AB33" s="73">
        <f>IF($B33="",0,SUMPRODUCT(-('Gastos Gerais'!$F$4:$F$615='Gastos das Atividades'!$B33),-('Gastos das Atividades'!AB$3&gt;='Gastos Gerais'!$D$4:$D$615),-('Gastos das Atividades'!AB$3&lt;='Gastos Gerais'!$E$4:$E$615),-('Gastos Gerais'!$C$4:$C$615)))</f>
        <v>0</v>
      </c>
      <c r="AC33" s="73">
        <f>IF($B33="",0,SUMPRODUCT(-('Gastos Gerais'!$F$4:$F$615='Gastos das Atividades'!$B33),-('Gastos das Atividades'!AC$3&gt;='Gastos Gerais'!$D$4:$D$615),-('Gastos das Atividades'!AC$3&lt;='Gastos Gerais'!$E$4:$E$615),-('Gastos Gerais'!$C$4:$C$615)))</f>
        <v>0</v>
      </c>
      <c r="AD33" s="73">
        <f>IF($B33="",0,SUMPRODUCT(-('Gastos Gerais'!$F$4:$F$615='Gastos das Atividades'!$B33),-('Gastos das Atividades'!AD$3&gt;='Gastos Gerais'!$D$4:$D$615),-('Gastos das Atividades'!AD$3&lt;='Gastos Gerais'!$E$4:$E$615),-('Gastos Gerais'!$C$4:$C$615)))</f>
        <v>0</v>
      </c>
      <c r="AE33" s="73">
        <f>IF($B33="",0,SUMPRODUCT(-('Gastos Gerais'!$F$4:$F$615='Gastos das Atividades'!$B33),-('Gastos das Atividades'!AE$3&gt;='Gastos Gerais'!$D$4:$D$615),-('Gastos das Atividades'!AE$3&lt;='Gastos Gerais'!$E$4:$E$615),-('Gastos Gerais'!$C$4:$C$615)))</f>
        <v>0</v>
      </c>
      <c r="AF33" s="73">
        <f>IF($B33="",0,SUMPRODUCT(-('Gastos Gerais'!$F$4:$F$615='Gastos das Atividades'!$B33),-('Gastos das Atividades'!AF$3&gt;='Gastos Gerais'!$D$4:$D$615),-('Gastos das Atividades'!AF$3&lt;='Gastos Gerais'!$E$4:$E$615),-('Gastos Gerais'!$C$4:$C$615)))</f>
        <v>0</v>
      </c>
      <c r="AG33" s="73">
        <f>IF($B33="",0,SUMPRODUCT(-('Gastos Gerais'!$F$4:$F$615='Gastos das Atividades'!$B33),-('Gastos das Atividades'!AG$3&gt;='Gastos Gerais'!$D$4:$D$615),-('Gastos das Atividades'!AG$3&lt;='Gastos Gerais'!$E$4:$E$615),-('Gastos Gerais'!$C$4:$C$615)))</f>
        <v>0</v>
      </c>
      <c r="AH33" s="73">
        <f>IF($B33="",0,SUMPRODUCT(-('Gastos Gerais'!$F$4:$F$615='Gastos das Atividades'!$B33),-('Gastos das Atividades'!AH$3&gt;='Gastos Gerais'!$D$4:$D$615),-('Gastos das Atividades'!AH$3&lt;='Gastos Gerais'!$E$4:$E$615),-('Gastos Gerais'!$C$4:$C$615)))</f>
        <v>0</v>
      </c>
      <c r="AI33" s="73">
        <f>IF($B33="",0,SUMPRODUCT(-('Gastos Gerais'!$F$4:$F$615='Gastos das Atividades'!$B33),-('Gastos das Atividades'!AI$3&gt;='Gastos Gerais'!$D$4:$D$615),-('Gastos das Atividades'!AI$3&lt;='Gastos Gerais'!$E$4:$E$615),-('Gastos Gerais'!$C$4:$C$615)))</f>
        <v>0</v>
      </c>
      <c r="AJ33" s="73">
        <f>IF($B33="",0,SUMPRODUCT(-('Gastos Gerais'!$F$4:$F$615='Gastos das Atividades'!$B33),-('Gastos das Atividades'!AJ$3&gt;='Gastos Gerais'!$D$4:$D$615),-('Gastos das Atividades'!AJ$3&lt;='Gastos Gerais'!$E$4:$E$615),-('Gastos Gerais'!$C$4:$C$615)))</f>
        <v>0</v>
      </c>
      <c r="AK33" s="73">
        <f>IF($B33="",0,SUMPRODUCT(-('Gastos Gerais'!$F$4:$F$615='Gastos das Atividades'!$B33),-('Gastos das Atividades'!AK$3&gt;='Gastos Gerais'!$D$4:$D$615),-('Gastos das Atividades'!AK$3&lt;='Gastos Gerais'!$E$4:$E$615),-('Gastos Gerais'!$C$4:$C$615)))</f>
        <v>0</v>
      </c>
      <c r="AL33" s="73">
        <f>IF($B33="",0,SUMPRODUCT(-('Gastos Gerais'!$F$4:$F$615='Gastos das Atividades'!$B33),-('Gastos das Atividades'!AL$3&gt;='Gastos Gerais'!$D$4:$D$615),-('Gastos das Atividades'!AL$3&lt;='Gastos Gerais'!$E$4:$E$615),-('Gastos Gerais'!$C$4:$C$615)))</f>
        <v>0</v>
      </c>
      <c r="AM33" s="73">
        <f>IF($B33="",0,SUMPRODUCT(-('Gastos Gerais'!$F$4:$F$615='Gastos das Atividades'!$B33),-('Gastos das Atividades'!AM$3&gt;='Gastos Gerais'!$D$4:$D$615),-('Gastos das Atividades'!AM$3&lt;='Gastos Gerais'!$E$4:$E$615),-('Gastos Gerais'!$C$4:$C$615)))</f>
        <v>0</v>
      </c>
      <c r="AN33" s="73">
        <f>IF($B33="",0,SUMPRODUCT(-('Gastos Gerais'!$F$4:$F$615='Gastos das Atividades'!$B33),-('Gastos das Atividades'!AN$3&gt;='Gastos Gerais'!$D$4:$D$615),-('Gastos das Atividades'!AN$3&lt;='Gastos Gerais'!$E$4:$E$615),-('Gastos Gerais'!$C$4:$C$615)))</f>
        <v>0</v>
      </c>
      <c r="AO33" s="73">
        <f>IF($B33="",0,SUMPRODUCT(-('Gastos Gerais'!$F$4:$F$615='Gastos das Atividades'!$B33),-('Gastos das Atividades'!AO$3&gt;='Gastos Gerais'!$D$4:$D$615),-('Gastos das Atividades'!AO$3&lt;='Gastos Gerais'!$E$4:$E$615),-('Gastos Gerais'!$C$4:$C$615)))</f>
        <v>0</v>
      </c>
      <c r="AP33" s="73">
        <f>IF($B33="",0,SUMPRODUCT(-('Gastos Gerais'!$F$4:$F$615='Gastos das Atividades'!$B33),-('Gastos das Atividades'!AP$3&gt;='Gastos Gerais'!$D$4:$D$615),-('Gastos das Atividades'!AP$3&lt;='Gastos Gerais'!$E$4:$E$615),-('Gastos Gerais'!$C$4:$C$615)))</f>
        <v>0</v>
      </c>
      <c r="AQ33" s="73">
        <f>IF($B33="",0,SUMPRODUCT(-('Gastos Gerais'!$F$4:$F$615='Gastos das Atividades'!$B33),-('Gastos das Atividades'!AQ$3&gt;='Gastos Gerais'!$D$4:$D$615),-('Gastos das Atividades'!AQ$3&lt;='Gastos Gerais'!$E$4:$E$615),-('Gastos Gerais'!$C$4:$C$615)))</f>
        <v>0</v>
      </c>
      <c r="AR33" s="73">
        <f>IF($B33="",0,SUMPRODUCT(-('Gastos Gerais'!$F$4:$F$615='Gastos das Atividades'!$B33),-('Gastos das Atividades'!AR$3&gt;='Gastos Gerais'!$D$4:$D$615),-('Gastos das Atividades'!AR$3&lt;='Gastos Gerais'!$E$4:$E$615),-('Gastos Gerais'!$C$4:$C$615)))</f>
        <v>0</v>
      </c>
      <c r="AS33" s="73">
        <f>IF($B33="",0,SUMPRODUCT(-('Gastos Gerais'!$F$4:$F$615='Gastos das Atividades'!$B33),-('Gastos das Atividades'!AS$3&gt;='Gastos Gerais'!$D$4:$D$615),-('Gastos das Atividades'!AS$3&lt;='Gastos Gerais'!$E$4:$E$615),-('Gastos Gerais'!$C$4:$C$615)))</f>
        <v>0</v>
      </c>
      <c r="AT33" s="73">
        <f>IF($B33="",0,SUMPRODUCT(-('Gastos Gerais'!$F$4:$F$615='Gastos das Atividades'!$B33),-('Gastos das Atividades'!AT$3&gt;='Gastos Gerais'!$D$4:$D$615),-('Gastos das Atividades'!AT$3&lt;='Gastos Gerais'!$E$4:$E$615),-('Gastos Gerais'!$C$4:$C$615)))</f>
        <v>0</v>
      </c>
      <c r="AU33" s="73">
        <f>IF($B33="",0,SUMPRODUCT(-('Gastos Gerais'!$F$4:$F$615='Gastos das Atividades'!$B33),-('Gastos das Atividades'!AU$3&gt;='Gastos Gerais'!$D$4:$D$615),-('Gastos das Atividades'!AU$3&lt;='Gastos Gerais'!$E$4:$E$615),-('Gastos Gerais'!$C$4:$C$615)))</f>
        <v>0</v>
      </c>
      <c r="AV33" s="73">
        <f>IF($B33="",0,SUMPRODUCT(-('Gastos Gerais'!$F$4:$F$615='Gastos das Atividades'!$B33),-('Gastos das Atividades'!AV$3&gt;='Gastos Gerais'!$D$4:$D$615),-('Gastos das Atividades'!AV$3&lt;='Gastos Gerais'!$E$4:$E$615),-('Gastos Gerais'!$C$4:$C$615)))</f>
        <v>0</v>
      </c>
      <c r="AW33" s="73">
        <f>IF($B33="",0,SUMPRODUCT(-('Gastos Gerais'!$F$4:$F$615='Gastos das Atividades'!$B33),-('Gastos das Atividades'!AW$3&gt;='Gastos Gerais'!$D$4:$D$615),-('Gastos das Atividades'!AW$3&lt;='Gastos Gerais'!$E$4:$E$615),-('Gastos Gerais'!$C$4:$C$615)))</f>
        <v>0</v>
      </c>
      <c r="AX33" s="73">
        <f>IF($B33="",0,SUMPRODUCT(-('Gastos Gerais'!$F$4:$F$615='Gastos das Atividades'!$B33),-('Gastos das Atividades'!AX$3&gt;='Gastos Gerais'!$D$4:$D$615),-('Gastos das Atividades'!AX$3&lt;='Gastos Gerais'!$E$4:$E$615),-('Gastos Gerais'!$C$4:$C$615)))</f>
        <v>0</v>
      </c>
      <c r="AY33" s="73">
        <f>IF($B33="",0,SUMPRODUCT(-('Gastos Gerais'!$F$4:$F$615='Gastos das Atividades'!$B33),-('Gastos das Atividades'!AY$3&gt;='Gastos Gerais'!$D$4:$D$615),-('Gastos das Atividades'!AY$3&lt;='Gastos Gerais'!$E$4:$E$615),-('Gastos Gerais'!$C$4:$C$615)))</f>
        <v>0</v>
      </c>
      <c r="AZ33" s="73">
        <f>IF($B33="",0,SUMPRODUCT(-('Gastos Gerais'!$F$4:$F$615='Gastos das Atividades'!$B33),-('Gastos das Atividades'!AZ$3&gt;='Gastos Gerais'!$D$4:$D$615),-('Gastos das Atividades'!AZ$3&lt;='Gastos Gerais'!$E$4:$E$615),-('Gastos Gerais'!$C$4:$C$615)))</f>
        <v>0</v>
      </c>
      <c r="BA33" s="73">
        <f>IF($B33="",0,SUMPRODUCT(-('Gastos Gerais'!$F$4:$F$615='Gastos das Atividades'!$B33),-('Gastos das Atividades'!BA$3&gt;='Gastos Gerais'!$D$4:$D$615),-('Gastos das Atividades'!BA$3&lt;='Gastos Gerais'!$E$4:$E$615),-('Gastos Gerais'!$C$4:$C$615)))</f>
        <v>0</v>
      </c>
      <c r="BB33" s="73">
        <f>IF($B33="",0,SUMPRODUCT(-('Gastos Gerais'!$F$4:$F$615='Gastos das Atividades'!$B33),-('Gastos das Atividades'!BB$3&gt;='Gastos Gerais'!$D$4:$D$615),-('Gastos das Atividades'!BB$3&lt;='Gastos Gerais'!$E$4:$E$615),-('Gastos Gerais'!$C$4:$C$615)))</f>
        <v>0</v>
      </c>
      <c r="BC33" s="73">
        <f>IF($B33="",0,SUMPRODUCT(-('Gastos Gerais'!$F$4:$F$615='Gastos das Atividades'!$B33),-('Gastos das Atividades'!BC$3&gt;='Gastos Gerais'!$D$4:$D$615),-('Gastos das Atividades'!BC$3&lt;='Gastos Gerais'!$E$4:$E$615),-('Gastos Gerais'!$C$4:$C$615)))</f>
        <v>0</v>
      </c>
      <c r="BD33" s="73">
        <f>IF($B33="",0,SUMPRODUCT(-('Gastos Gerais'!$F$4:$F$615='Gastos das Atividades'!$B33),-('Gastos das Atividades'!BD$3&gt;='Gastos Gerais'!$D$4:$D$615),-('Gastos das Atividades'!BD$3&lt;='Gastos Gerais'!$E$4:$E$615),-('Gastos Gerais'!$C$4:$C$615)))</f>
        <v>0</v>
      </c>
      <c r="BE33" s="73">
        <f>IF($B33="",0,SUMPRODUCT(-('Gastos Gerais'!$F$4:$F$615='Gastos das Atividades'!$B33),-('Gastos das Atividades'!BE$3&gt;='Gastos Gerais'!$D$4:$D$615),-('Gastos das Atividades'!BE$3&lt;='Gastos Gerais'!$E$4:$E$615),-('Gastos Gerais'!$C$4:$C$615)))</f>
        <v>0</v>
      </c>
      <c r="BF33" s="73">
        <f>IF($B33="",0,SUMPRODUCT(-('Gastos Gerais'!$F$4:$F$615='Gastos das Atividades'!$B33),-('Gastos das Atividades'!BF$3&gt;='Gastos Gerais'!$D$4:$D$615),-('Gastos das Atividades'!BF$3&lt;='Gastos Gerais'!$E$4:$E$615),-('Gastos Gerais'!$C$4:$C$615)))</f>
        <v>0</v>
      </c>
      <c r="BG33" s="73">
        <f>IF($B33="",0,SUMPRODUCT(-('Gastos Gerais'!$F$4:$F$615='Gastos das Atividades'!$B33),-('Gastos das Atividades'!BG$3&gt;='Gastos Gerais'!$D$4:$D$615),-('Gastos das Atividades'!BG$3&lt;='Gastos Gerais'!$E$4:$E$615),-('Gastos Gerais'!$C$4:$C$615)))</f>
        <v>0</v>
      </c>
      <c r="BH33" s="73">
        <f>IF($B33="",0,SUMPRODUCT(-('Gastos Gerais'!$F$4:$F$615='Gastos das Atividades'!$B33),-('Gastos das Atividades'!BH$3&gt;='Gastos Gerais'!$D$4:$D$615),-('Gastos das Atividades'!BH$3&lt;='Gastos Gerais'!$E$4:$E$615),-('Gastos Gerais'!$C$4:$C$615)))</f>
        <v>0</v>
      </c>
      <c r="BI33" s="73">
        <f>IF($B33="",0,SUMPRODUCT(-('Gastos Gerais'!$F$4:$F$615='Gastos das Atividades'!$B33),-('Gastos das Atividades'!BI$3&gt;='Gastos Gerais'!$D$4:$D$615),-('Gastos das Atividades'!BI$3&lt;='Gastos Gerais'!$E$4:$E$615),-('Gastos Gerais'!$C$4:$C$615)))</f>
        <v>0</v>
      </c>
      <c r="BJ33" s="73">
        <f>IF($B33="",0,SUMPRODUCT(-('Gastos Gerais'!$F$4:$F$615='Gastos das Atividades'!$B33),-('Gastos das Atividades'!BJ$3&gt;='Gastos Gerais'!$D$4:$D$615),-('Gastos das Atividades'!BJ$3&lt;='Gastos Gerais'!$E$4:$E$615),-('Gastos Gerais'!$C$4:$C$615)))</f>
        <v>0</v>
      </c>
      <c r="BK33" s="73">
        <f>IF($B33="",0,SUMPRODUCT(-('Gastos Gerais'!$F$4:$F$615='Gastos das Atividades'!$B33),-('Gastos das Atividades'!BK$3&gt;='Gastos Gerais'!$D$4:$D$615),-('Gastos das Atividades'!BK$3&lt;='Gastos Gerais'!$E$4:$E$615),-('Gastos Gerais'!$C$4:$C$615)))</f>
        <v>0</v>
      </c>
      <c r="BL33" s="73">
        <f>IF($B33="",0,SUMPRODUCT(-('Gastos Gerais'!$F$4:$F$615='Gastos das Atividades'!$B33),-('Gastos das Atividades'!BL$3&gt;='Gastos Gerais'!$D$4:$D$615),-('Gastos das Atividades'!BL$3&lt;='Gastos Gerais'!$E$4:$E$615),-('Gastos Gerais'!$C$4:$C$615)))</f>
        <v>0</v>
      </c>
      <c r="BM33" s="73">
        <f>IF($B33="",0,SUMPRODUCT(-('Gastos Gerais'!$F$4:$F$615='Gastos das Atividades'!$B33),-('Gastos das Atividades'!BM$3&gt;='Gastos Gerais'!$D$4:$D$615),-('Gastos das Atividades'!BM$3&lt;='Gastos Gerais'!$E$4:$E$615),-('Gastos Gerais'!$C$4:$C$615)))</f>
        <v>0</v>
      </c>
      <c r="BN33" s="73">
        <f>IF($B33="",0,SUMPRODUCT(-('Gastos Gerais'!$F$4:$F$615='Gastos das Atividades'!$B33),-('Gastos das Atividades'!BN$3&gt;='Gastos Gerais'!$D$4:$D$615),-('Gastos das Atividades'!BN$3&lt;='Gastos Gerais'!$E$4:$E$615),-('Gastos Gerais'!$C$4:$C$615)))</f>
        <v>0</v>
      </c>
      <c r="BO33" s="73">
        <f>IF($B33="",0,SUMPRODUCT(-('Gastos Gerais'!$F$4:$F$615='Gastos das Atividades'!$B33),-('Gastos das Atividades'!BO$3&gt;='Gastos Gerais'!$D$4:$D$615),-('Gastos das Atividades'!BO$3&lt;='Gastos Gerais'!$E$4:$E$615),-('Gastos Gerais'!$C$4:$C$615)))</f>
        <v>0</v>
      </c>
      <c r="BP33" s="73">
        <f>IF($B33="",0,SUMPRODUCT(-('Gastos Gerais'!$F$4:$F$615='Gastos das Atividades'!$B33),-('Gastos das Atividades'!BP$3&gt;='Gastos Gerais'!$D$4:$D$615),-('Gastos das Atividades'!BP$3&lt;='Gastos Gerais'!$E$4:$E$615),-('Gastos Gerais'!$C$4:$C$615)))</f>
        <v>0</v>
      </c>
      <c r="BQ33" s="73">
        <f>IF($B33="",0,SUMPRODUCT(-('Gastos Gerais'!$F$4:$F$615='Gastos das Atividades'!$B33),-('Gastos das Atividades'!BQ$3&gt;='Gastos Gerais'!$D$4:$D$615),-('Gastos das Atividades'!BQ$3&lt;='Gastos Gerais'!$E$4:$E$615),-('Gastos Gerais'!$C$4:$C$615)))</f>
        <v>0</v>
      </c>
      <c r="BR33" s="73">
        <f>IF($B33="",0,SUMPRODUCT(-('Gastos Gerais'!$F$4:$F$615='Gastos das Atividades'!$B33),-('Gastos das Atividades'!BR$3&gt;='Gastos Gerais'!$D$4:$D$615),-('Gastos das Atividades'!BR$3&lt;='Gastos Gerais'!$E$4:$E$615),-('Gastos Gerais'!$C$4:$C$615)))</f>
        <v>0</v>
      </c>
      <c r="BS33" s="73">
        <f>IF($B33="",0,SUMPRODUCT(-('Gastos Gerais'!$F$4:$F$615='Gastos das Atividades'!$B33),-('Gastos das Atividades'!BS$3&gt;='Gastos Gerais'!$D$4:$D$615),-('Gastos das Atividades'!BS$3&lt;='Gastos Gerais'!$E$4:$E$615),-('Gastos Gerais'!$C$4:$C$615)))</f>
        <v>0</v>
      </c>
      <c r="BT33" s="73">
        <f>IF($B33="",0,SUMPRODUCT(-('Gastos Gerais'!$F$4:$F$615='Gastos das Atividades'!$B33),-('Gastos das Atividades'!BT$3&gt;='Gastos Gerais'!$D$4:$D$615),-('Gastos das Atividades'!BT$3&lt;='Gastos Gerais'!$E$4:$E$615),-('Gastos Gerais'!$C$4:$C$615)))</f>
        <v>0</v>
      </c>
      <c r="BU33" s="73">
        <f>IF($B33="",0,SUMPRODUCT(-('Gastos Gerais'!$F$4:$F$615='Gastos das Atividades'!$B33),-('Gastos das Atividades'!BU$3&gt;='Gastos Gerais'!$D$4:$D$615),-('Gastos das Atividades'!BU$3&lt;='Gastos Gerais'!$E$4:$E$615),-('Gastos Gerais'!$C$4:$C$615)))</f>
        <v>0</v>
      </c>
      <c r="BV33" s="73">
        <f>IF($B33="",0,SUMPRODUCT(-('Gastos Gerais'!$F$4:$F$615='Gastos das Atividades'!$B33),-('Gastos das Atividades'!BV$3&gt;='Gastos Gerais'!$D$4:$D$615),-('Gastos das Atividades'!BV$3&lt;='Gastos Gerais'!$E$4:$E$615),-('Gastos Gerais'!$C$4:$C$615)))</f>
        <v>0</v>
      </c>
      <c r="BW33" s="73">
        <f>IF($B33="",0,SUMPRODUCT(-('Gastos Gerais'!$F$4:$F$615='Gastos das Atividades'!$B33),-('Gastos das Atividades'!BW$3&gt;='Gastos Gerais'!$D$4:$D$615),-('Gastos das Atividades'!BW$3&lt;='Gastos Gerais'!$E$4:$E$615),-('Gastos Gerais'!$C$4:$C$615)))</f>
        <v>0</v>
      </c>
      <c r="BX33" s="73">
        <f>IF($B33="",0,SUMPRODUCT(-('Gastos Gerais'!$F$4:$F$615='Gastos das Atividades'!$B33),-('Gastos das Atividades'!BX$3&gt;='Gastos Gerais'!$D$4:$D$615),-('Gastos das Atividades'!BX$3&lt;='Gastos Gerais'!$E$4:$E$615),-('Gastos Gerais'!$C$4:$C$615)))</f>
        <v>0</v>
      </c>
    </row>
    <row r="34" spans="1:76" ht="23.25" hidden="1" customHeight="1" thickBot="1" x14ac:dyDescent="0.25">
      <c r="A34" s="348"/>
      <c r="B34" s="349" t="s">
        <v>60</v>
      </c>
      <c r="C34" s="350">
        <f t="shared" ref="C34:O34" si="12">SUM(C4:C33)</f>
        <v>0</v>
      </c>
      <c r="D34" s="350">
        <f t="shared" si="12"/>
        <v>33426860</v>
      </c>
      <c r="E34" s="350">
        <f t="shared" si="12"/>
        <v>33426860</v>
      </c>
      <c r="F34" s="351">
        <f t="shared" si="12"/>
        <v>38017860</v>
      </c>
      <c r="G34" s="351">
        <f t="shared" si="12"/>
        <v>35119860</v>
      </c>
      <c r="H34" s="351">
        <f t="shared" si="12"/>
        <v>0</v>
      </c>
      <c r="I34" s="351">
        <f t="shared" si="12"/>
        <v>0</v>
      </c>
      <c r="J34" s="352">
        <f t="shared" si="12"/>
        <v>106564580</v>
      </c>
      <c r="K34" s="353">
        <f t="shared" si="12"/>
        <v>0.3136770210139242</v>
      </c>
      <c r="L34" s="353">
        <f t="shared" si="12"/>
        <v>0.3567588780437177</v>
      </c>
      <c r="M34" s="353">
        <f t="shared" si="12"/>
        <v>0.32956410094235811</v>
      </c>
      <c r="N34" s="353">
        <f t="shared" si="12"/>
        <v>0</v>
      </c>
      <c r="O34" s="353">
        <f t="shared" si="12"/>
        <v>0</v>
      </c>
      <c r="P34" s="354">
        <f>IF($J$34=0,0,J34/$J$34)</f>
        <v>1</v>
      </c>
      <c r="Q34" s="44">
        <f t="shared" ref="Q34:AV34" si="13">SUBTOTAL(109,Q4:Q33)</f>
        <v>3873905</v>
      </c>
      <c r="R34" s="44">
        <f t="shared" si="13"/>
        <v>2468905</v>
      </c>
      <c r="S34" s="44">
        <f t="shared" si="13"/>
        <v>2668905</v>
      </c>
      <c r="T34" s="44">
        <f t="shared" si="13"/>
        <v>2878905</v>
      </c>
      <c r="U34" s="44">
        <f t="shared" si="13"/>
        <v>3468905</v>
      </c>
      <c r="V34" s="44">
        <f t="shared" si="13"/>
        <v>3188905</v>
      </c>
      <c r="W34" s="44">
        <f t="shared" si="13"/>
        <v>2468905</v>
      </c>
      <c r="X34" s="44">
        <f t="shared" si="13"/>
        <v>2468905</v>
      </c>
      <c r="Y34" s="44">
        <f t="shared" si="13"/>
        <v>2468905</v>
      </c>
      <c r="Z34" s="44">
        <f t="shared" si="13"/>
        <v>2468905</v>
      </c>
      <c r="AA34" s="44">
        <f t="shared" si="13"/>
        <v>2468905</v>
      </c>
      <c r="AB34" s="44">
        <f t="shared" si="13"/>
        <v>2533905</v>
      </c>
      <c r="AC34" s="44">
        <f t="shared" si="13"/>
        <v>4427405</v>
      </c>
      <c r="AD34" s="44">
        <f t="shared" si="13"/>
        <v>3296405</v>
      </c>
      <c r="AE34" s="44">
        <f t="shared" si="13"/>
        <v>5796405</v>
      </c>
      <c r="AF34" s="44">
        <f t="shared" si="13"/>
        <v>3346405</v>
      </c>
      <c r="AG34" s="44">
        <f t="shared" si="13"/>
        <v>2596405</v>
      </c>
      <c r="AH34" s="44">
        <f t="shared" si="13"/>
        <v>2896405</v>
      </c>
      <c r="AI34" s="44">
        <f t="shared" si="13"/>
        <v>2596405</v>
      </c>
      <c r="AJ34" s="44">
        <f t="shared" si="13"/>
        <v>2596405</v>
      </c>
      <c r="AK34" s="44">
        <f t="shared" si="13"/>
        <v>2596405</v>
      </c>
      <c r="AL34" s="44">
        <f t="shared" si="13"/>
        <v>2596405</v>
      </c>
      <c r="AM34" s="44">
        <f t="shared" si="13"/>
        <v>2596405</v>
      </c>
      <c r="AN34" s="44">
        <f t="shared" si="13"/>
        <v>2676405</v>
      </c>
      <c r="AO34" s="44">
        <f t="shared" si="13"/>
        <v>4794905</v>
      </c>
      <c r="AP34" s="44">
        <f t="shared" si="13"/>
        <v>2680905</v>
      </c>
      <c r="AQ34" s="44">
        <f t="shared" si="13"/>
        <v>2680905</v>
      </c>
      <c r="AR34" s="44">
        <f t="shared" si="13"/>
        <v>3080905</v>
      </c>
      <c r="AS34" s="44">
        <f t="shared" si="13"/>
        <v>2680905</v>
      </c>
      <c r="AT34" s="44">
        <f t="shared" si="13"/>
        <v>3030905</v>
      </c>
      <c r="AU34" s="44">
        <f t="shared" si="13"/>
        <v>2680905</v>
      </c>
      <c r="AV34" s="44">
        <f t="shared" si="13"/>
        <v>2680905</v>
      </c>
      <c r="AW34" s="44">
        <f t="shared" ref="AW34:BX34" si="14">SUBTOTAL(109,AW4:AW33)</f>
        <v>2680905</v>
      </c>
      <c r="AX34" s="44">
        <f t="shared" si="14"/>
        <v>2680905</v>
      </c>
      <c r="AY34" s="44">
        <f t="shared" si="14"/>
        <v>2680905</v>
      </c>
      <c r="AZ34" s="44">
        <f t="shared" si="14"/>
        <v>2765905</v>
      </c>
      <c r="BA34" s="44">
        <f t="shared" si="14"/>
        <v>0</v>
      </c>
      <c r="BB34" s="44">
        <f t="shared" si="14"/>
        <v>0</v>
      </c>
      <c r="BC34" s="44">
        <f t="shared" si="14"/>
        <v>0</v>
      </c>
      <c r="BD34" s="44">
        <f t="shared" si="14"/>
        <v>0</v>
      </c>
      <c r="BE34" s="44">
        <f t="shared" si="14"/>
        <v>0</v>
      </c>
      <c r="BF34" s="44">
        <f t="shared" si="14"/>
        <v>0</v>
      </c>
      <c r="BG34" s="44">
        <f t="shared" si="14"/>
        <v>0</v>
      </c>
      <c r="BH34" s="44">
        <f t="shared" si="14"/>
        <v>0</v>
      </c>
      <c r="BI34" s="44">
        <f t="shared" si="14"/>
        <v>0</v>
      </c>
      <c r="BJ34" s="44">
        <f t="shared" si="14"/>
        <v>0</v>
      </c>
      <c r="BK34" s="44">
        <f t="shared" si="14"/>
        <v>0</v>
      </c>
      <c r="BL34" s="44">
        <f t="shared" si="14"/>
        <v>0</v>
      </c>
      <c r="BM34" s="44">
        <f t="shared" si="14"/>
        <v>0</v>
      </c>
      <c r="BN34" s="44">
        <f t="shared" si="14"/>
        <v>0</v>
      </c>
      <c r="BO34" s="44">
        <f t="shared" si="14"/>
        <v>0</v>
      </c>
      <c r="BP34" s="44">
        <f t="shared" si="14"/>
        <v>0</v>
      </c>
      <c r="BQ34" s="44">
        <f t="shared" si="14"/>
        <v>0</v>
      </c>
      <c r="BR34" s="44">
        <f t="shared" si="14"/>
        <v>0</v>
      </c>
      <c r="BS34" s="44">
        <f t="shared" si="14"/>
        <v>0</v>
      </c>
      <c r="BT34" s="44">
        <f t="shared" si="14"/>
        <v>0</v>
      </c>
      <c r="BU34" s="44">
        <f t="shared" si="14"/>
        <v>0</v>
      </c>
      <c r="BV34" s="44">
        <f t="shared" si="14"/>
        <v>0</v>
      </c>
      <c r="BW34" s="44">
        <f t="shared" si="14"/>
        <v>0</v>
      </c>
      <c r="BX34" s="44">
        <f t="shared" si="14"/>
        <v>0</v>
      </c>
    </row>
    <row r="35" spans="1:76" x14ac:dyDescent="0.2">
      <c r="A35" s="83"/>
      <c r="B35" s="115"/>
      <c r="Q35" s="114"/>
      <c r="R35" s="114"/>
      <c r="S35" s="114"/>
    </row>
    <row r="37" spans="1:76" ht="15" x14ac:dyDescent="0.25">
      <c r="B37" s="390" t="s">
        <v>112</v>
      </c>
      <c r="C37" s="390"/>
      <c r="D37" s="390"/>
      <c r="E37" s="390"/>
      <c r="F37" s="390"/>
    </row>
    <row r="38" spans="1:76" ht="14.25" customHeight="1" x14ac:dyDescent="0.2">
      <c r="B38" s="386" t="s">
        <v>113</v>
      </c>
      <c r="C38" s="386"/>
      <c r="D38" s="387"/>
      <c r="E38" s="355" t="s">
        <v>114</v>
      </c>
      <c r="F38" s="355" t="s">
        <v>115</v>
      </c>
    </row>
    <row r="39" spans="1:76" x14ac:dyDescent="0.2">
      <c r="B39" s="388" t="s">
        <v>101</v>
      </c>
      <c r="C39" s="388"/>
      <c r="D39" s="389"/>
      <c r="E39" s="212">
        <f>IFERROR(SUMIF('Gastos com Pessoal'!$AR$7:$AR$506,'Gastos das Atividades'!$B$4,'Gastos com Pessoal'!$AN$7:$AN$506)/'Gastos com Pessoal'!$AN$507,0)</f>
        <v>0.10700673324790122</v>
      </c>
      <c r="F39" s="211">
        <f ca="1">Sintético!$BK$23*E39</f>
        <v>27401353.67550258</v>
      </c>
    </row>
    <row r="40" spans="1:76" ht="21.75" customHeight="1" x14ac:dyDescent="0.2">
      <c r="B40" s="388" t="s">
        <v>116</v>
      </c>
      <c r="C40" s="388"/>
      <c r="D40" s="389"/>
      <c r="E40" s="212">
        <f>IF(E39=0,0,1-E39)</f>
        <v>0.89299326675209878</v>
      </c>
      <c r="F40" s="211">
        <f ca="1">Sintético!$BK$23*E40</f>
        <v>228669949.91267624</v>
      </c>
    </row>
    <row r="41" spans="1:76" x14ac:dyDescent="0.2">
      <c r="B41" s="114"/>
      <c r="E41" s="114"/>
      <c r="F41" s="114"/>
    </row>
    <row r="42" spans="1:76" ht="15" x14ac:dyDescent="0.25">
      <c r="B42" s="390" t="s">
        <v>117</v>
      </c>
      <c r="C42" s="390"/>
      <c r="D42" s="390"/>
      <c r="E42" s="390"/>
      <c r="F42" s="114"/>
    </row>
    <row r="43" spans="1:76" ht="14.25" customHeight="1" x14ac:dyDescent="0.2">
      <c r="B43" s="386" t="s">
        <v>113</v>
      </c>
      <c r="C43" s="386"/>
      <c r="D43" s="387"/>
      <c r="E43" s="355" t="s">
        <v>115</v>
      </c>
      <c r="F43" s="114"/>
    </row>
    <row r="44" spans="1:76" x14ac:dyDescent="0.2">
      <c r="B44" s="388" t="s">
        <v>101</v>
      </c>
      <c r="C44" s="388"/>
      <c r="D44" s="389"/>
      <c r="E44" s="211">
        <f ca="1">F39+J34</f>
        <v>133965933.67550258</v>
      </c>
      <c r="F44" s="114"/>
    </row>
    <row r="45" spans="1:76" x14ac:dyDescent="0.2">
      <c r="B45" s="388" t="s">
        <v>116</v>
      </c>
      <c r="C45" s="388"/>
      <c r="D45" s="389"/>
      <c r="E45" s="211">
        <f ca="1">F40+SUM(J5:J33)</f>
        <v>327038629.91267622</v>
      </c>
      <c r="F45" s="114"/>
    </row>
    <row r="48" spans="1:76" hidden="1" x14ac:dyDescent="0.2">
      <c r="B48" s="213" t="str">
        <f>B4</f>
        <v>Área Meio</v>
      </c>
    </row>
    <row r="49" spans="2:2" hidden="1" x14ac:dyDescent="0.2">
      <c r="B49" s="142" t="s">
        <v>116</v>
      </c>
    </row>
    <row r="50" spans="2:2" hidden="1" x14ac:dyDescent="0.2">
      <c r="B50" s="213" t="str">
        <f t="shared" ref="B50:B58" si="15">B5</f>
        <v>CEIP Araxá</v>
      </c>
    </row>
    <row r="51" spans="2:2" hidden="1" x14ac:dyDescent="0.2">
      <c r="B51" s="213" t="str">
        <f t="shared" si="15"/>
        <v>CSE Ipatinga</v>
      </c>
    </row>
    <row r="52" spans="2:2" hidden="1" x14ac:dyDescent="0.2">
      <c r="B52" s="213" t="str">
        <f t="shared" si="15"/>
        <v>CSE Lindeia</v>
      </c>
    </row>
    <row r="53" spans="2:2" hidden="1" x14ac:dyDescent="0.2">
      <c r="B53" s="213" t="str">
        <f t="shared" si="15"/>
        <v>CSE Santa Clara</v>
      </c>
    </row>
    <row r="54" spans="2:2" hidden="1" x14ac:dyDescent="0.2">
      <c r="B54" s="213" t="str">
        <f t="shared" si="15"/>
        <v>CSE São Jerônimo</v>
      </c>
    </row>
    <row r="55" spans="2:2" hidden="1" x14ac:dyDescent="0.2">
      <c r="B55" s="213" t="str">
        <f t="shared" si="15"/>
        <v>CSE Santa Helena</v>
      </c>
    </row>
    <row r="56" spans="2:2" hidden="1" x14ac:dyDescent="0.2">
      <c r="B56" s="213" t="str">
        <f t="shared" si="15"/>
        <v>CSE Uberaba</v>
      </c>
    </row>
    <row r="57" spans="2:2" hidden="1" x14ac:dyDescent="0.2">
      <c r="B57" s="213" t="str">
        <f t="shared" si="15"/>
        <v>CEIP Sete Lagoas</v>
      </c>
    </row>
    <row r="58" spans="2:2" hidden="1" x14ac:dyDescent="0.2">
      <c r="B58" s="213" t="str">
        <f t="shared" si="15"/>
        <v>CSE Unaí</v>
      </c>
    </row>
    <row r="59" spans="2:2" hidden="1" x14ac:dyDescent="0.2">
      <c r="B59" s="213" t="str">
        <f t="shared" ref="B59:B78" si="16">B14</f>
        <v>CSE Tupaciguara</v>
      </c>
    </row>
    <row r="60" spans="2:2" hidden="1" x14ac:dyDescent="0.2">
      <c r="B60" s="213">
        <f t="shared" si="16"/>
        <v>0</v>
      </c>
    </row>
    <row r="61" spans="2:2" hidden="1" x14ac:dyDescent="0.2">
      <c r="B61" s="213">
        <f t="shared" si="16"/>
        <v>0</v>
      </c>
    </row>
    <row r="62" spans="2:2" hidden="1" x14ac:dyDescent="0.2">
      <c r="B62" s="213">
        <f t="shared" si="16"/>
        <v>0</v>
      </c>
    </row>
    <row r="63" spans="2:2" hidden="1" x14ac:dyDescent="0.2">
      <c r="B63" s="213">
        <f t="shared" si="16"/>
        <v>0</v>
      </c>
    </row>
    <row r="64" spans="2:2" hidden="1" x14ac:dyDescent="0.2">
      <c r="B64" s="213">
        <f t="shared" si="16"/>
        <v>0</v>
      </c>
    </row>
    <row r="65" spans="2:2" hidden="1" x14ac:dyDescent="0.2">
      <c r="B65" s="213">
        <f t="shared" si="16"/>
        <v>0</v>
      </c>
    </row>
    <row r="66" spans="2:2" hidden="1" x14ac:dyDescent="0.2">
      <c r="B66" s="213">
        <f t="shared" si="16"/>
        <v>0</v>
      </c>
    </row>
    <row r="67" spans="2:2" hidden="1" x14ac:dyDescent="0.2">
      <c r="B67" s="213">
        <f t="shared" si="16"/>
        <v>0</v>
      </c>
    </row>
    <row r="68" spans="2:2" hidden="1" x14ac:dyDescent="0.2">
      <c r="B68" s="213">
        <f t="shared" si="16"/>
        <v>0</v>
      </c>
    </row>
    <row r="69" spans="2:2" hidden="1" x14ac:dyDescent="0.2">
      <c r="B69" s="213">
        <f t="shared" si="16"/>
        <v>0</v>
      </c>
    </row>
    <row r="70" spans="2:2" hidden="1" x14ac:dyDescent="0.2">
      <c r="B70" s="213">
        <f t="shared" si="16"/>
        <v>0</v>
      </c>
    </row>
    <row r="71" spans="2:2" hidden="1" x14ac:dyDescent="0.2">
      <c r="B71" s="213">
        <f t="shared" si="16"/>
        <v>0</v>
      </c>
    </row>
    <row r="72" spans="2:2" hidden="1" x14ac:dyDescent="0.2">
      <c r="B72" s="213">
        <f t="shared" si="16"/>
        <v>0</v>
      </c>
    </row>
    <row r="73" spans="2:2" hidden="1" x14ac:dyDescent="0.2">
      <c r="B73" s="213">
        <f t="shared" si="16"/>
        <v>0</v>
      </c>
    </row>
    <row r="74" spans="2:2" hidden="1" x14ac:dyDescent="0.2">
      <c r="B74" s="213">
        <f t="shared" si="16"/>
        <v>0</v>
      </c>
    </row>
    <row r="75" spans="2:2" hidden="1" x14ac:dyDescent="0.2">
      <c r="B75" s="213">
        <f t="shared" si="16"/>
        <v>0</v>
      </c>
    </row>
    <row r="76" spans="2:2" hidden="1" x14ac:dyDescent="0.2">
      <c r="B76" s="213">
        <f t="shared" si="16"/>
        <v>0</v>
      </c>
    </row>
    <row r="77" spans="2:2" hidden="1" x14ac:dyDescent="0.2">
      <c r="B77" s="213">
        <f t="shared" si="16"/>
        <v>0</v>
      </c>
    </row>
    <row r="78" spans="2:2" hidden="1" x14ac:dyDescent="0.2">
      <c r="B78" s="213">
        <f t="shared" si="16"/>
        <v>0</v>
      </c>
    </row>
    <row r="79" spans="2:2" x14ac:dyDescent="0.2">
      <c r="B79" s="213"/>
    </row>
    <row r="80" spans="2:2" x14ac:dyDescent="0.2">
      <c r="B80" s="213"/>
    </row>
    <row r="81" spans="2:2" x14ac:dyDescent="0.2">
      <c r="B81" s="213"/>
    </row>
    <row r="82" spans="2:2" x14ac:dyDescent="0.2">
      <c r="B82" s="213"/>
    </row>
    <row r="83" spans="2:2" x14ac:dyDescent="0.2">
      <c r="B83" s="213"/>
    </row>
    <row r="84" spans="2:2" x14ac:dyDescent="0.2">
      <c r="B84" s="213"/>
    </row>
    <row r="85" spans="2:2" x14ac:dyDescent="0.2">
      <c r="B85" s="213"/>
    </row>
    <row r="86" spans="2:2" x14ac:dyDescent="0.2">
      <c r="B86" s="213"/>
    </row>
    <row r="87" spans="2:2" x14ac:dyDescent="0.2">
      <c r="B87" s="213"/>
    </row>
    <row r="88" spans="2:2" x14ac:dyDescent="0.2">
      <c r="B88" s="213"/>
    </row>
    <row r="89" spans="2:2" x14ac:dyDescent="0.2">
      <c r="B89" s="213"/>
    </row>
    <row r="90" spans="2:2" x14ac:dyDescent="0.2">
      <c r="B90" s="213"/>
    </row>
    <row r="91" spans="2:2" x14ac:dyDescent="0.2">
      <c r="B91" s="213"/>
    </row>
    <row r="92" spans="2:2" x14ac:dyDescent="0.2">
      <c r="B92" s="213"/>
    </row>
    <row r="93" spans="2:2" x14ac:dyDescent="0.2">
      <c r="B93" s="213"/>
    </row>
    <row r="94" spans="2:2" x14ac:dyDescent="0.2">
      <c r="B94" s="213"/>
    </row>
    <row r="95" spans="2:2" x14ac:dyDescent="0.2">
      <c r="B95" s="213"/>
    </row>
    <row r="96" spans="2:2" x14ac:dyDescent="0.2">
      <c r="B96" s="213"/>
    </row>
    <row r="97" spans="2:2" x14ac:dyDescent="0.2">
      <c r="B97" s="213"/>
    </row>
    <row r="98" spans="2:2" x14ac:dyDescent="0.2">
      <c r="B98" s="213"/>
    </row>
    <row r="99" spans="2:2" x14ac:dyDescent="0.2">
      <c r="B99" s="213"/>
    </row>
    <row r="100" spans="2:2" x14ac:dyDescent="0.2">
      <c r="B100" s="213"/>
    </row>
    <row r="101" spans="2:2" x14ac:dyDescent="0.2">
      <c r="B101" s="213"/>
    </row>
    <row r="102" spans="2:2" x14ac:dyDescent="0.2">
      <c r="B102" s="213"/>
    </row>
    <row r="103" spans="2:2" x14ac:dyDescent="0.2">
      <c r="B103" s="213"/>
    </row>
    <row r="104" spans="2:2" x14ac:dyDescent="0.2">
      <c r="B104" s="213"/>
    </row>
    <row r="105" spans="2:2" x14ac:dyDescent="0.2">
      <c r="B105" s="213"/>
    </row>
    <row r="106" spans="2:2" x14ac:dyDescent="0.2">
      <c r="B106" s="213"/>
    </row>
    <row r="107" spans="2:2" x14ac:dyDescent="0.2">
      <c r="B107" s="213"/>
    </row>
    <row r="108" spans="2:2" x14ac:dyDescent="0.2">
      <c r="B108" s="213"/>
    </row>
    <row r="109" spans="2:2" x14ac:dyDescent="0.2">
      <c r="B109" s="213"/>
    </row>
    <row r="110" spans="2:2" x14ac:dyDescent="0.2">
      <c r="B110" s="213"/>
    </row>
    <row r="111" spans="2:2" x14ac:dyDescent="0.2">
      <c r="B111" s="213"/>
    </row>
    <row r="112" spans="2:2" x14ac:dyDescent="0.2">
      <c r="B112" s="213"/>
    </row>
    <row r="113" spans="2:2" x14ac:dyDescent="0.2">
      <c r="B113" s="213"/>
    </row>
    <row r="114" spans="2:2" x14ac:dyDescent="0.2">
      <c r="B114" s="213"/>
    </row>
    <row r="115" spans="2:2" x14ac:dyDescent="0.2">
      <c r="B115" s="213"/>
    </row>
    <row r="116" spans="2:2" x14ac:dyDescent="0.2">
      <c r="B116" s="213"/>
    </row>
    <row r="117" spans="2:2" x14ac:dyDescent="0.2">
      <c r="B117" s="213"/>
    </row>
    <row r="118" spans="2:2" x14ac:dyDescent="0.2">
      <c r="B118" s="213"/>
    </row>
    <row r="119" spans="2:2" x14ac:dyDescent="0.2">
      <c r="B119" s="213"/>
    </row>
    <row r="120" spans="2:2" x14ac:dyDescent="0.2">
      <c r="B120" s="213"/>
    </row>
    <row r="121" spans="2:2" x14ac:dyDescent="0.2">
      <c r="B121" s="213"/>
    </row>
    <row r="122" spans="2:2" x14ac:dyDescent="0.2">
      <c r="B122" s="213"/>
    </row>
    <row r="123" spans="2:2" x14ac:dyDescent="0.2">
      <c r="B123" s="213"/>
    </row>
    <row r="124" spans="2:2" x14ac:dyDescent="0.2">
      <c r="B124" s="213"/>
    </row>
    <row r="125" spans="2:2" x14ac:dyDescent="0.2">
      <c r="B125" s="213"/>
    </row>
    <row r="126" spans="2:2" x14ac:dyDescent="0.2">
      <c r="B126" s="213"/>
    </row>
  </sheetData>
  <sheetProtection algorithmName="SHA-512" hashValue="Xgs1JzhM2QLmgU5ubi1NjWVy4oaO0rqxQRXQaESC9PdKFKLIge5UiD5COXb72Z7d9v//+UNH6d6S6mPJ4g8Ayg==" saltValue="7tcw9G+LcBK3UPW/37ejdw==" spinCount="100000" sheet="1" objects="1" scenarios="1" formatColumns="0" formatRows="0" insertRows="0" deleteColumns="0" deleteRows="0"/>
  <mergeCells count="10">
    <mergeCell ref="B42:E42"/>
    <mergeCell ref="B40:D40"/>
    <mergeCell ref="B44:D44"/>
    <mergeCell ref="B43:D43"/>
    <mergeCell ref="B45:D45"/>
    <mergeCell ref="A1:P1"/>
    <mergeCell ref="A2:P2"/>
    <mergeCell ref="B38:D38"/>
    <mergeCell ref="B39:D39"/>
    <mergeCell ref="B37:F37"/>
  </mergeCells>
  <pageMargins left="0.19685039370078741" right="0.19685039370078741" top="0.59055118110236227" bottom="0.59055118110236227" header="0" footer="0"/>
  <pageSetup paperSize="9" scale="71" fitToHeight="0" orientation="landscape" r:id="rId1"/>
  <headerFooter>
    <oddFooter>Página &amp;P de &amp;N</oddFooter>
  </headerFooter>
  <ignoredErrors>
    <ignoredError sqref="B48:B7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
    <tabColor theme="6" tint="0.39997558519241921"/>
  </sheetPr>
  <dimension ref="A1:BP162"/>
  <sheetViews>
    <sheetView showGridLines="0" zoomScaleNormal="100" zoomScaleSheetLayoutView="100" workbookViewId="0">
      <pane xSplit="2" ySplit="3" topLeftCell="AF40" activePane="bottomRight" state="frozen"/>
      <selection pane="topRight" activeCell="C14" sqref="C14"/>
      <selection pane="bottomLeft" activeCell="C14" sqref="C14"/>
      <selection pane="bottomRight" activeCell="AL41" sqref="AL41"/>
    </sheetView>
  </sheetViews>
  <sheetFormatPr defaultRowHeight="12.75" x14ac:dyDescent="0.2"/>
  <cols>
    <col min="1" max="1" width="6" style="3" customWidth="1"/>
    <col min="2" max="2" width="26.28515625" style="3" customWidth="1"/>
    <col min="3" max="3" width="14.42578125" style="3" customWidth="1"/>
    <col min="4" max="4" width="14.42578125" style="3" bestFit="1" customWidth="1"/>
    <col min="5" max="5" width="12.5703125" style="3" bestFit="1" customWidth="1"/>
    <col min="6" max="7" width="13.85546875" style="3" bestFit="1" customWidth="1"/>
    <col min="8" max="8" width="13.85546875" style="3" customWidth="1"/>
    <col min="9" max="10" width="13.85546875" style="3" bestFit="1" customWidth="1"/>
    <col min="11" max="38" width="13.85546875" style="3" customWidth="1"/>
    <col min="39" max="62" width="13.85546875" style="3" hidden="1" customWidth="1"/>
    <col min="63" max="63" width="15.5703125" style="3" bestFit="1" customWidth="1"/>
    <col min="64" max="64" width="10.42578125" style="126" customWidth="1"/>
    <col min="65" max="16384" width="9.140625" style="3"/>
  </cols>
  <sheetData>
    <row r="1" spans="1:68" s="49" customFormat="1" ht="42" customHeight="1" x14ac:dyDescent="0.2">
      <c r="B1" s="128"/>
      <c r="C1" s="385" t="str">
        <f>Capa!A1</f>
        <v>Memória de Cálculo
Contrato de Gestão nº 008/2021 celebrado entre a SEJUSP e o Instituto Elo</v>
      </c>
      <c r="D1" s="385"/>
      <c r="E1" s="385"/>
      <c r="F1" s="385"/>
      <c r="G1" s="385"/>
      <c r="H1" s="385"/>
      <c r="I1" s="385"/>
      <c r="J1" s="385"/>
      <c r="K1" s="385"/>
      <c r="L1" s="385"/>
      <c r="M1" s="385"/>
      <c r="N1" s="385"/>
      <c r="O1" s="385"/>
      <c r="P1" s="385"/>
      <c r="Q1" s="385"/>
      <c r="R1" s="385"/>
      <c r="S1" s="385"/>
      <c r="T1" s="385"/>
      <c r="U1" s="385"/>
      <c r="V1" s="385"/>
      <c r="W1" s="385"/>
      <c r="X1" s="385"/>
      <c r="Y1" s="385"/>
      <c r="Z1" s="385"/>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96"/>
      <c r="BN1" s="96"/>
      <c r="BO1" s="96"/>
      <c r="BP1" s="96"/>
    </row>
    <row r="2" spans="1:68" s="49" customFormat="1" ht="21" customHeight="1" thickBot="1" x14ac:dyDescent="0.25">
      <c r="A2" s="139"/>
      <c r="B2" s="138"/>
      <c r="C2" s="380" t="s">
        <v>118</v>
      </c>
      <c r="D2" s="380"/>
      <c r="E2" s="380"/>
      <c r="F2" s="380"/>
      <c r="G2" s="380"/>
      <c r="H2" s="380"/>
      <c r="I2" s="380"/>
      <c r="J2" s="380"/>
      <c r="K2" s="380"/>
      <c r="L2" s="380"/>
      <c r="M2" s="380"/>
      <c r="N2" s="380"/>
      <c r="O2" s="380" t="s">
        <v>118</v>
      </c>
      <c r="P2" s="380"/>
      <c r="Q2" s="380"/>
      <c r="R2" s="380"/>
      <c r="S2" s="380"/>
      <c r="T2" s="380"/>
      <c r="U2" s="380"/>
      <c r="V2" s="380"/>
      <c r="W2" s="380"/>
      <c r="X2" s="380"/>
      <c r="Y2" s="380"/>
      <c r="Z2" s="380"/>
      <c r="AA2" s="380" t="s">
        <v>118</v>
      </c>
      <c r="AB2" s="380"/>
      <c r="AC2" s="380"/>
      <c r="AD2" s="380"/>
      <c r="AE2" s="380"/>
      <c r="AF2" s="380"/>
      <c r="AG2" s="380"/>
      <c r="AH2" s="380"/>
      <c r="AI2" s="380"/>
      <c r="AJ2" s="380"/>
      <c r="AK2" s="380"/>
      <c r="AL2" s="380"/>
      <c r="AM2" s="380"/>
      <c r="AN2" s="380"/>
      <c r="AO2" s="380"/>
      <c r="AP2" s="380"/>
      <c r="AQ2" s="380"/>
      <c r="AR2" s="380"/>
      <c r="AS2" s="380"/>
      <c r="AT2" s="380"/>
      <c r="AU2" s="380"/>
      <c r="AV2" s="380"/>
      <c r="AW2" s="380"/>
      <c r="AX2" s="380"/>
      <c r="AY2" s="380"/>
      <c r="AZ2" s="380"/>
      <c r="BA2" s="380"/>
      <c r="BB2" s="380"/>
      <c r="BC2" s="380"/>
      <c r="BD2" s="380"/>
      <c r="BE2" s="380"/>
      <c r="BF2" s="380"/>
      <c r="BG2" s="380"/>
      <c r="BH2" s="380"/>
      <c r="BI2" s="380"/>
      <c r="BJ2" s="380"/>
      <c r="BK2" s="138"/>
      <c r="BL2" s="138"/>
      <c r="BM2" s="96"/>
      <c r="BN2" s="96"/>
      <c r="BO2" s="96"/>
      <c r="BP2" s="96"/>
    </row>
    <row r="3" spans="1:68" s="49" customFormat="1" ht="24" customHeight="1" thickBot="1" x14ac:dyDescent="0.25">
      <c r="A3" s="282"/>
      <c r="B3" s="282"/>
      <c r="C3" s="283">
        <f>Capa!A36</f>
        <v>46023</v>
      </c>
      <c r="D3" s="283">
        <f>EDATE(C3,1)</f>
        <v>46054</v>
      </c>
      <c r="E3" s="283">
        <f t="shared" ref="E3:BJ3" si="0">EDATE(D3,1)</f>
        <v>46082</v>
      </c>
      <c r="F3" s="283">
        <f t="shared" si="0"/>
        <v>46113</v>
      </c>
      <c r="G3" s="283">
        <f t="shared" si="0"/>
        <v>46143</v>
      </c>
      <c r="H3" s="283">
        <f t="shared" si="0"/>
        <v>46174</v>
      </c>
      <c r="I3" s="283">
        <f t="shared" si="0"/>
        <v>46204</v>
      </c>
      <c r="J3" s="283">
        <f t="shared" si="0"/>
        <v>46235</v>
      </c>
      <c r="K3" s="283">
        <f t="shared" si="0"/>
        <v>46266</v>
      </c>
      <c r="L3" s="283">
        <f t="shared" si="0"/>
        <v>46296</v>
      </c>
      <c r="M3" s="283">
        <f t="shared" si="0"/>
        <v>46327</v>
      </c>
      <c r="N3" s="283">
        <f t="shared" si="0"/>
        <v>46357</v>
      </c>
      <c r="O3" s="283">
        <f t="shared" si="0"/>
        <v>46388</v>
      </c>
      <c r="P3" s="283">
        <f t="shared" si="0"/>
        <v>46419</v>
      </c>
      <c r="Q3" s="283">
        <f t="shared" si="0"/>
        <v>46447</v>
      </c>
      <c r="R3" s="283">
        <f t="shared" si="0"/>
        <v>46478</v>
      </c>
      <c r="S3" s="283">
        <f t="shared" si="0"/>
        <v>46508</v>
      </c>
      <c r="T3" s="283">
        <f t="shared" si="0"/>
        <v>46539</v>
      </c>
      <c r="U3" s="283">
        <f t="shared" si="0"/>
        <v>46569</v>
      </c>
      <c r="V3" s="283">
        <f t="shared" si="0"/>
        <v>46600</v>
      </c>
      <c r="W3" s="283">
        <f t="shared" si="0"/>
        <v>46631</v>
      </c>
      <c r="X3" s="283">
        <f t="shared" si="0"/>
        <v>46661</v>
      </c>
      <c r="Y3" s="283">
        <f t="shared" si="0"/>
        <v>46692</v>
      </c>
      <c r="Z3" s="283">
        <f t="shared" si="0"/>
        <v>46722</v>
      </c>
      <c r="AA3" s="283">
        <f t="shared" si="0"/>
        <v>46753</v>
      </c>
      <c r="AB3" s="283">
        <f t="shared" si="0"/>
        <v>46784</v>
      </c>
      <c r="AC3" s="283">
        <f t="shared" si="0"/>
        <v>46813</v>
      </c>
      <c r="AD3" s="283">
        <f t="shared" si="0"/>
        <v>46844</v>
      </c>
      <c r="AE3" s="283">
        <f t="shared" si="0"/>
        <v>46874</v>
      </c>
      <c r="AF3" s="283">
        <f t="shared" si="0"/>
        <v>46905</v>
      </c>
      <c r="AG3" s="283">
        <f t="shared" si="0"/>
        <v>46935</v>
      </c>
      <c r="AH3" s="283">
        <f t="shared" si="0"/>
        <v>46966</v>
      </c>
      <c r="AI3" s="283">
        <f t="shared" si="0"/>
        <v>46997</v>
      </c>
      <c r="AJ3" s="283">
        <f t="shared" si="0"/>
        <v>47027</v>
      </c>
      <c r="AK3" s="283">
        <f t="shared" si="0"/>
        <v>47058</v>
      </c>
      <c r="AL3" s="283">
        <f t="shared" si="0"/>
        <v>47088</v>
      </c>
      <c r="AM3" s="283">
        <f t="shared" si="0"/>
        <v>47119</v>
      </c>
      <c r="AN3" s="283">
        <f t="shared" si="0"/>
        <v>47150</v>
      </c>
      <c r="AO3" s="283">
        <f t="shared" si="0"/>
        <v>47178</v>
      </c>
      <c r="AP3" s="283">
        <f t="shared" si="0"/>
        <v>47209</v>
      </c>
      <c r="AQ3" s="283">
        <f t="shared" si="0"/>
        <v>47239</v>
      </c>
      <c r="AR3" s="283">
        <f t="shared" si="0"/>
        <v>47270</v>
      </c>
      <c r="AS3" s="283">
        <f t="shared" si="0"/>
        <v>47300</v>
      </c>
      <c r="AT3" s="283">
        <f t="shared" si="0"/>
        <v>47331</v>
      </c>
      <c r="AU3" s="283">
        <f t="shared" si="0"/>
        <v>47362</v>
      </c>
      <c r="AV3" s="283">
        <f t="shared" si="0"/>
        <v>47392</v>
      </c>
      <c r="AW3" s="283">
        <f t="shared" si="0"/>
        <v>47423</v>
      </c>
      <c r="AX3" s="283">
        <f t="shared" si="0"/>
        <v>47453</v>
      </c>
      <c r="AY3" s="283">
        <f t="shared" si="0"/>
        <v>47484</v>
      </c>
      <c r="AZ3" s="283">
        <f t="shared" si="0"/>
        <v>47515</v>
      </c>
      <c r="BA3" s="283">
        <f t="shared" si="0"/>
        <v>47543</v>
      </c>
      <c r="BB3" s="283">
        <f t="shared" si="0"/>
        <v>47574</v>
      </c>
      <c r="BC3" s="283">
        <f t="shared" si="0"/>
        <v>47604</v>
      </c>
      <c r="BD3" s="283">
        <f t="shared" si="0"/>
        <v>47635</v>
      </c>
      <c r="BE3" s="283">
        <f t="shared" si="0"/>
        <v>47665</v>
      </c>
      <c r="BF3" s="283">
        <f t="shared" si="0"/>
        <v>47696</v>
      </c>
      <c r="BG3" s="283">
        <f t="shared" si="0"/>
        <v>47727</v>
      </c>
      <c r="BH3" s="283">
        <f t="shared" si="0"/>
        <v>47757</v>
      </c>
      <c r="BI3" s="283">
        <f t="shared" si="0"/>
        <v>47788</v>
      </c>
      <c r="BJ3" s="283">
        <f t="shared" si="0"/>
        <v>47818</v>
      </c>
      <c r="BK3" s="240" t="s">
        <v>60</v>
      </c>
      <c r="BL3" s="284" t="s">
        <v>61</v>
      </c>
      <c r="BM3" s="96"/>
      <c r="BN3" s="96"/>
      <c r="BO3" s="96"/>
      <c r="BP3" s="96"/>
    </row>
    <row r="4" spans="1:68" s="49" customFormat="1" ht="23.25" customHeight="1" thickBot="1" x14ac:dyDescent="0.25">
      <c r="A4" s="72" t="s">
        <v>62</v>
      </c>
      <c r="B4" s="72" t="s">
        <v>63</v>
      </c>
      <c r="C4" s="75">
        <v>19028000</v>
      </c>
      <c r="D4" s="75">
        <v>0</v>
      </c>
      <c r="E4" s="75">
        <v>0</v>
      </c>
      <c r="F4" s="75">
        <v>0</v>
      </c>
      <c r="G4" s="75">
        <v>0</v>
      </c>
      <c r="H4" s="75">
        <v>0</v>
      </c>
      <c r="I4" s="75">
        <v>0</v>
      </c>
      <c r="J4" s="75">
        <v>0</v>
      </c>
      <c r="K4" s="75">
        <v>0</v>
      </c>
      <c r="L4" s="75">
        <v>0</v>
      </c>
      <c r="M4" s="75">
        <v>0</v>
      </c>
      <c r="N4" s="75">
        <v>0</v>
      </c>
      <c r="O4" s="75">
        <v>0</v>
      </c>
      <c r="P4" s="75">
        <v>0</v>
      </c>
      <c r="Q4" s="75">
        <v>0</v>
      </c>
      <c r="R4" s="75">
        <v>0</v>
      </c>
      <c r="S4" s="75">
        <v>0</v>
      </c>
      <c r="T4" s="75">
        <v>0</v>
      </c>
      <c r="U4" s="75">
        <v>0</v>
      </c>
      <c r="V4" s="75">
        <v>0</v>
      </c>
      <c r="W4" s="75">
        <v>0</v>
      </c>
      <c r="X4" s="75">
        <v>0</v>
      </c>
      <c r="Y4" s="75">
        <v>0</v>
      </c>
      <c r="Z4" s="75">
        <v>0</v>
      </c>
      <c r="AA4" s="75">
        <v>0</v>
      </c>
      <c r="AB4" s="75">
        <v>0</v>
      </c>
      <c r="AC4" s="75">
        <v>0</v>
      </c>
      <c r="AD4" s="75">
        <v>0</v>
      </c>
      <c r="AE4" s="75">
        <v>0</v>
      </c>
      <c r="AF4" s="75">
        <v>0</v>
      </c>
      <c r="AG4" s="75">
        <v>0</v>
      </c>
      <c r="AH4" s="75">
        <v>0</v>
      </c>
      <c r="AI4" s="75">
        <v>0</v>
      </c>
      <c r="AJ4" s="75">
        <v>0</v>
      </c>
      <c r="AK4" s="75">
        <v>0</v>
      </c>
      <c r="AL4" s="75">
        <v>0</v>
      </c>
      <c r="AM4" s="75">
        <v>0</v>
      </c>
      <c r="AN4" s="75">
        <v>0</v>
      </c>
      <c r="AO4" s="75">
        <v>0</v>
      </c>
      <c r="AP4" s="75">
        <v>0</v>
      </c>
      <c r="AQ4" s="75">
        <v>0</v>
      </c>
      <c r="AR4" s="75">
        <v>0</v>
      </c>
      <c r="AS4" s="75">
        <v>0</v>
      </c>
      <c r="AT4" s="75">
        <v>0</v>
      </c>
      <c r="AU4" s="75">
        <v>0</v>
      </c>
      <c r="AV4" s="75">
        <v>0</v>
      </c>
      <c r="AW4" s="75">
        <v>0</v>
      </c>
      <c r="AX4" s="75">
        <v>0</v>
      </c>
      <c r="AY4" s="75">
        <v>0</v>
      </c>
      <c r="AZ4" s="75">
        <v>0</v>
      </c>
      <c r="BA4" s="75">
        <v>0</v>
      </c>
      <c r="BB4" s="75">
        <v>0</v>
      </c>
      <c r="BC4" s="75">
        <v>0</v>
      </c>
      <c r="BD4" s="75">
        <v>0</v>
      </c>
      <c r="BE4" s="75">
        <v>0</v>
      </c>
      <c r="BF4" s="75">
        <v>0</v>
      </c>
      <c r="BG4" s="75">
        <v>0</v>
      </c>
      <c r="BH4" s="75">
        <v>0</v>
      </c>
      <c r="BI4" s="75">
        <v>0</v>
      </c>
      <c r="BJ4" s="75">
        <v>0</v>
      </c>
      <c r="BK4" s="44">
        <f>SUM(C4:BJ4)</f>
        <v>19028000</v>
      </c>
      <c r="BL4" s="59">
        <f ca="1">IF($BK$15=0,0,BK4/$BK$15)</f>
        <v>5.1900742838992604E-2</v>
      </c>
    </row>
    <row r="5" spans="1:68" s="49" customFormat="1" ht="23.25" customHeight="1" thickBot="1" x14ac:dyDescent="0.25">
      <c r="A5" s="219"/>
      <c r="B5" s="45"/>
      <c r="C5" s="220"/>
      <c r="D5" s="220"/>
      <c r="E5" s="220"/>
      <c r="F5" s="220"/>
      <c r="G5" s="220"/>
      <c r="H5" s="220"/>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20"/>
      <c r="AJ5" s="220"/>
      <c r="AK5" s="220"/>
      <c r="AL5" s="220"/>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c r="BL5" s="221"/>
    </row>
    <row r="6" spans="1:68" s="49" customFormat="1" ht="23.25" customHeight="1" thickBot="1" x14ac:dyDescent="0.25">
      <c r="A6" s="245">
        <v>1</v>
      </c>
      <c r="B6" s="245" t="s">
        <v>64</v>
      </c>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46"/>
      <c r="AL6" s="246"/>
      <c r="AM6" s="246"/>
      <c r="AN6" s="246"/>
      <c r="AO6" s="246"/>
      <c r="AP6" s="246"/>
      <c r="AQ6" s="246"/>
      <c r="AR6" s="246"/>
      <c r="AS6" s="246"/>
      <c r="AT6" s="246"/>
      <c r="AU6" s="246"/>
      <c r="AV6" s="246"/>
      <c r="AW6" s="246"/>
      <c r="AX6" s="246"/>
      <c r="AY6" s="246"/>
      <c r="AZ6" s="246"/>
      <c r="BA6" s="246"/>
      <c r="BB6" s="246"/>
      <c r="BC6" s="246"/>
      <c r="BD6" s="246"/>
      <c r="BE6" s="246"/>
      <c r="BF6" s="246"/>
      <c r="BG6" s="246"/>
      <c r="BH6" s="246"/>
      <c r="BI6" s="246"/>
      <c r="BJ6" s="246"/>
      <c r="BK6" s="246"/>
      <c r="BL6" s="247"/>
    </row>
    <row r="7" spans="1:68" s="49" customFormat="1" ht="23.25" customHeight="1" thickBot="1" x14ac:dyDescent="0.25">
      <c r="A7" s="243" t="s">
        <v>65</v>
      </c>
      <c r="B7" s="243" t="s">
        <v>36</v>
      </c>
      <c r="C7" s="255">
        <f ca="1">IFERROR(OFFSET(Cronogramas!$AB$6,MATCH(Analítico!C3,Cronogramas!$B$7:$B$66,0),),0)</f>
        <v>21312810.207261503</v>
      </c>
      <c r="D7" s="255">
        <f ca="1">IFERROR(OFFSET(Cronogramas!$AB$6,MATCH(Analítico!D3,Cronogramas!$B$7:$B$66,0),),0)</f>
        <v>0</v>
      </c>
      <c r="E7" s="255">
        <f ca="1">IFERROR(OFFSET(Cronogramas!$AB$6,MATCH(Analítico!E3,Cronogramas!$B$7:$B$66,0),),0)</f>
        <v>0</v>
      </c>
      <c r="F7" s="255">
        <f ca="1">IFERROR(OFFSET(Cronogramas!$AB$6,MATCH(Analítico!F3,Cronogramas!$B$7:$B$66,0),),0)</f>
        <v>30464357.655446127</v>
      </c>
      <c r="G7" s="255">
        <f ca="1">IFERROR(OFFSET(Cronogramas!$AB$6,MATCH(Analítico!G3,Cronogramas!$B$7:$B$66,0),),0)</f>
        <v>0</v>
      </c>
      <c r="H7" s="255">
        <f ca="1">IFERROR(OFFSET(Cronogramas!$AB$6,MATCH(Analítico!H3,Cronogramas!$B$7:$B$66,0),),0)</f>
        <v>0</v>
      </c>
      <c r="I7" s="255">
        <f ca="1">IFERROR(OFFSET(Cronogramas!$AB$6,MATCH(Analítico!I3,Cronogramas!$B$7:$B$66,0),),0)</f>
        <v>28744357.655446127</v>
      </c>
      <c r="J7" s="255">
        <f ca="1">IFERROR(OFFSET(Cronogramas!$AB$6,MATCH(Analítico!J3,Cronogramas!$B$7:$B$66,0),),0)</f>
        <v>0</v>
      </c>
      <c r="K7" s="255">
        <f ca="1">IFERROR(OFFSET(Cronogramas!$AB$6,MATCH(Analítico!K3,Cronogramas!$B$7:$B$66,0),),0)</f>
        <v>0</v>
      </c>
      <c r="L7" s="255">
        <f ca="1">IFERROR(OFFSET(Cronogramas!$AB$6,MATCH(Analítico!L3,Cronogramas!$B$7:$B$66,0),),0)</f>
        <v>32144957.462043069</v>
      </c>
      <c r="M7" s="255">
        <f ca="1">IFERROR(OFFSET(Cronogramas!$AB$6,MATCH(Analítico!M3,Cronogramas!$B$7:$B$66,0),),0)</f>
        <v>0</v>
      </c>
      <c r="N7" s="255">
        <f ca="1">IFERROR(OFFSET(Cronogramas!$AB$6,MATCH(Analítico!N3,Cronogramas!$B$7:$B$66,0),),0)</f>
        <v>0</v>
      </c>
      <c r="O7" s="255">
        <f ca="1">IFERROR(OFFSET(Cronogramas!$AB$6,MATCH(Analítico!O3,Cronogramas!$B$7:$B$66,0),),0)</f>
        <v>35088157.075236946</v>
      </c>
      <c r="P7" s="255">
        <f ca="1">IFERROR(OFFSET(Cronogramas!$AB$6,MATCH(Analítico!P3,Cronogramas!$B$7:$B$66,0),),0)</f>
        <v>0</v>
      </c>
      <c r="Q7" s="255">
        <f ca="1">IFERROR(OFFSET(Cronogramas!$AB$6,MATCH(Analítico!Q3,Cronogramas!$B$7:$B$66,0),),0)</f>
        <v>0</v>
      </c>
      <c r="R7" s="255">
        <f ca="1">IFERROR(OFFSET(Cronogramas!$AB$6,MATCH(Analítico!R3,Cronogramas!$B$7:$B$66,0),),0)</f>
        <v>29058157.075236946</v>
      </c>
      <c r="S7" s="255">
        <f ca="1">IFERROR(OFFSET(Cronogramas!$AB$6,MATCH(Analítico!S3,Cronogramas!$B$7:$B$66,0),),0)</f>
        <v>0</v>
      </c>
      <c r="T7" s="255">
        <f ca="1">IFERROR(OFFSET(Cronogramas!$AB$6,MATCH(Analítico!T3,Cronogramas!$B$7:$B$66,0),),0)</f>
        <v>0</v>
      </c>
      <c r="U7" s="255">
        <f ca="1">IFERROR(OFFSET(Cronogramas!$AB$6,MATCH(Analítico!U3,Cronogramas!$B$7:$B$66,0),),0)</f>
        <v>28758157.075236946</v>
      </c>
      <c r="V7" s="255">
        <f ca="1">IFERROR(OFFSET(Cronogramas!$AB$6,MATCH(Analítico!V3,Cronogramas!$B$7:$B$66,0),),0)</f>
        <v>0</v>
      </c>
      <c r="W7" s="255">
        <f ca="1">IFERROR(OFFSET(Cronogramas!$AB$6,MATCH(Analítico!W3,Cronogramas!$B$7:$B$66,0),),0)</f>
        <v>0</v>
      </c>
      <c r="X7" s="255">
        <f ca="1">IFERROR(OFFSET(Cronogramas!$AB$6,MATCH(Analítico!X3,Cronogramas!$B$7:$B$66,0),),0)</f>
        <v>31284090.105611857</v>
      </c>
      <c r="Y7" s="255">
        <f ca="1">IFERROR(OFFSET(Cronogramas!$AB$6,MATCH(Analítico!Y3,Cronogramas!$B$7:$B$66,0),),0)</f>
        <v>0</v>
      </c>
      <c r="Z7" s="255">
        <f ca="1">IFERROR(OFFSET(Cronogramas!$AB$6,MATCH(Analítico!Z3,Cronogramas!$B$7:$B$66,0),),0)</f>
        <v>0</v>
      </c>
      <c r="AA7" s="255">
        <f ca="1">IFERROR(OFFSET(Cronogramas!$AB$6,MATCH(Analítico!AA3,Cronogramas!$B$7:$B$66,0),),0)</f>
        <v>30153956.166361675</v>
      </c>
      <c r="AB7" s="255">
        <f ca="1">IFERROR(OFFSET(Cronogramas!$AB$6,MATCH(Analítico!AB3,Cronogramas!$B$7:$B$66,0),),0)</f>
        <v>0</v>
      </c>
      <c r="AC7" s="255">
        <f ca="1">IFERROR(OFFSET(Cronogramas!$AB$6,MATCH(Analítico!AC3,Cronogramas!$B$7:$B$66,0),),0)</f>
        <v>0</v>
      </c>
      <c r="AD7" s="255">
        <f ca="1">IFERROR(OFFSET(Cronogramas!$AB$6,MATCH(Analítico!AD3,Cronogramas!$B$7:$B$66,0),),0)</f>
        <v>30103956.166361675</v>
      </c>
      <c r="AE7" s="255">
        <f ca="1">IFERROR(OFFSET(Cronogramas!$AB$6,MATCH(Analítico!AE3,Cronogramas!$B$7:$B$66,0),),0)</f>
        <v>0</v>
      </c>
      <c r="AF7" s="255">
        <f ca="1">IFERROR(OFFSET(Cronogramas!$AB$6,MATCH(Analítico!AF3,Cronogramas!$B$7:$B$66,0),),0)</f>
        <v>0</v>
      </c>
      <c r="AG7" s="255">
        <f ca="1">IFERROR(OFFSET(Cronogramas!$AB$6,MATCH(Analítico!AG3,Cronogramas!$B$7:$B$66,0),),0)</f>
        <v>29753956.166361675</v>
      </c>
      <c r="AH7" s="255">
        <f ca="1">IFERROR(OFFSET(Cronogramas!$AB$6,MATCH(Analítico!AH3,Cronogramas!$B$7:$B$66,0),),0)</f>
        <v>0</v>
      </c>
      <c r="AI7" s="255">
        <f ca="1">IFERROR(OFFSET(Cronogramas!$AB$6,MATCH(Analítico!AI3,Cronogramas!$B$7:$B$66,0),),0)</f>
        <v>0</v>
      </c>
      <c r="AJ7" s="255">
        <f ca="1">IFERROR(OFFSET(Cronogramas!$AB$6,MATCH(Analítico!AJ3,Cronogramas!$B$7:$B$66,0),),0)</f>
        <v>20727970.77757445</v>
      </c>
      <c r="AK7" s="255">
        <f ca="1">IFERROR(OFFSET(Cronogramas!$AB$6,MATCH(Analítico!AK3,Cronogramas!$B$7:$B$66,0),),0)</f>
        <v>0</v>
      </c>
      <c r="AL7" s="255">
        <f ca="1">IFERROR(OFFSET(Cronogramas!$AB$6,MATCH(Analítico!AL3,Cronogramas!$B$7:$B$66,0),),0)</f>
        <v>0</v>
      </c>
      <c r="AM7" s="255">
        <f ca="1">IFERROR(OFFSET(Cronogramas!$AB$6,MATCH(Analítico!AM3,Cronogramas!$B$7:$B$66,0),),0)</f>
        <v>0</v>
      </c>
      <c r="AN7" s="255">
        <f ca="1">IFERROR(OFFSET(Cronogramas!$AB$6,MATCH(Analítico!AN3,Cronogramas!$B$7:$B$66,0),),0)</f>
        <v>0</v>
      </c>
      <c r="AO7" s="255">
        <f ca="1">IFERROR(OFFSET(Cronogramas!$AB$6,MATCH(Analítico!AO3,Cronogramas!$B$7:$B$66,0),),0)</f>
        <v>0</v>
      </c>
      <c r="AP7" s="255">
        <f ca="1">IFERROR(OFFSET(Cronogramas!$AB$6,MATCH(Analítico!AP3,Cronogramas!$B$7:$B$66,0),),0)</f>
        <v>0</v>
      </c>
      <c r="AQ7" s="255">
        <f ca="1">IFERROR(OFFSET(Cronogramas!$AB$6,MATCH(Analítico!AQ3,Cronogramas!$B$7:$B$66,0),),0)</f>
        <v>0</v>
      </c>
      <c r="AR7" s="255">
        <f ca="1">IFERROR(OFFSET(Cronogramas!$AB$6,MATCH(Analítico!AR3,Cronogramas!$B$7:$B$66,0),),0)</f>
        <v>0</v>
      </c>
      <c r="AS7" s="255">
        <f ca="1">IFERROR(OFFSET(Cronogramas!$AB$6,MATCH(Analítico!AS3,Cronogramas!$B$7:$B$66,0),),0)</f>
        <v>0</v>
      </c>
      <c r="AT7" s="255">
        <f ca="1">IFERROR(OFFSET(Cronogramas!$AB$6,MATCH(Analítico!AT3,Cronogramas!$B$7:$B$66,0),),0)</f>
        <v>0</v>
      </c>
      <c r="AU7" s="255">
        <f ca="1">IFERROR(OFFSET(Cronogramas!$AB$6,MATCH(Analítico!AU3,Cronogramas!$B$7:$B$66,0),),0)</f>
        <v>0</v>
      </c>
      <c r="AV7" s="255">
        <f ca="1">IFERROR(OFFSET(Cronogramas!$AB$6,MATCH(Analítico!AV3,Cronogramas!$B$7:$B$66,0),),0)</f>
        <v>0</v>
      </c>
      <c r="AW7" s="255">
        <f ca="1">IFERROR(OFFSET(Cronogramas!$AB$6,MATCH(Analítico!AW3,Cronogramas!$B$7:$B$66,0),),0)</f>
        <v>0</v>
      </c>
      <c r="AX7" s="255">
        <f ca="1">IFERROR(OFFSET(Cronogramas!$AB$6,MATCH(Analítico!AX3,Cronogramas!$B$7:$B$66,0),),0)</f>
        <v>0</v>
      </c>
      <c r="AY7" s="255">
        <f ca="1">IFERROR(OFFSET(Cronogramas!$AB$6,MATCH(Analítico!AY3,Cronogramas!$B$7:$B$66,0),),0)</f>
        <v>0</v>
      </c>
      <c r="AZ7" s="255">
        <f ca="1">IFERROR(OFFSET(Cronogramas!$AB$6,MATCH(Analítico!AZ3,Cronogramas!$B$7:$B$66,0),),0)</f>
        <v>0</v>
      </c>
      <c r="BA7" s="255">
        <f ca="1">IFERROR(OFFSET(Cronogramas!$AB$6,MATCH(Analítico!BA3,Cronogramas!$B$7:$B$66,0),),0)</f>
        <v>0</v>
      </c>
      <c r="BB7" s="255">
        <f ca="1">IFERROR(OFFSET(Cronogramas!$AB$6,MATCH(Analítico!BB3,Cronogramas!$B$7:$B$66,0),),0)</f>
        <v>0</v>
      </c>
      <c r="BC7" s="255">
        <f ca="1">IFERROR(OFFSET(Cronogramas!$AB$6,MATCH(Analítico!BC3,Cronogramas!$B$7:$B$66,0),),0)</f>
        <v>0</v>
      </c>
      <c r="BD7" s="255">
        <f ca="1">IFERROR(OFFSET(Cronogramas!$AB$6,MATCH(Analítico!BD3,Cronogramas!$B$7:$B$66,0),),0)</f>
        <v>0</v>
      </c>
      <c r="BE7" s="255">
        <f ca="1">IFERROR(OFFSET(Cronogramas!$AB$6,MATCH(Analítico!BE3,Cronogramas!$B$7:$B$66,0),),0)</f>
        <v>0</v>
      </c>
      <c r="BF7" s="255">
        <f ca="1">IFERROR(OFFSET(Cronogramas!$AB$6,MATCH(Analítico!BF3,Cronogramas!$B$7:$B$66,0),),0)</f>
        <v>0</v>
      </c>
      <c r="BG7" s="255">
        <f ca="1">IFERROR(OFFSET(Cronogramas!$AB$6,MATCH(Analítico!BG3,Cronogramas!$B$7:$B$66,0),),0)</f>
        <v>0</v>
      </c>
      <c r="BH7" s="255">
        <f ca="1">IFERROR(OFFSET(Cronogramas!$AB$6,MATCH(Analítico!BH3,Cronogramas!$B$7:$B$66,0),),0)</f>
        <v>0</v>
      </c>
      <c r="BI7" s="255">
        <f ca="1">IFERROR(OFFSET(Cronogramas!$AB$6,MATCH(Analítico!BI3,Cronogramas!$B$7:$B$66,0),),0)</f>
        <v>0</v>
      </c>
      <c r="BJ7" s="255">
        <f ca="1">IFERROR(OFFSET(Cronogramas!$AB$6,MATCH(Analítico!BJ3,Cronogramas!$B$7:$B$66,0),),0)</f>
        <v>0</v>
      </c>
      <c r="BK7" s="252">
        <f ca="1">SUM(C7:BJ7)</f>
        <v>347594883.58817899</v>
      </c>
      <c r="BL7" s="253">
        <f ca="1">IF($BK$15=0,0,BK7/$BK$15)</f>
        <v>0.9480992571610074</v>
      </c>
    </row>
    <row r="8" spans="1:68" s="49" customFormat="1" ht="23.25" customHeight="1" thickBot="1" x14ac:dyDescent="0.25">
      <c r="A8" s="254" t="s">
        <v>66</v>
      </c>
      <c r="B8" s="243" t="s">
        <v>67</v>
      </c>
      <c r="C8" s="255">
        <v>0</v>
      </c>
      <c r="D8" s="255">
        <v>0</v>
      </c>
      <c r="E8" s="255">
        <v>0</v>
      </c>
      <c r="F8" s="255">
        <v>0</v>
      </c>
      <c r="G8" s="255">
        <v>0</v>
      </c>
      <c r="H8" s="255">
        <v>0</v>
      </c>
      <c r="I8" s="255">
        <v>0</v>
      </c>
      <c r="J8" s="255">
        <v>0</v>
      </c>
      <c r="K8" s="255">
        <v>0</v>
      </c>
      <c r="L8" s="255">
        <v>0</v>
      </c>
      <c r="M8" s="255">
        <v>0</v>
      </c>
      <c r="N8" s="255">
        <v>0</v>
      </c>
      <c r="O8" s="255">
        <v>0</v>
      </c>
      <c r="P8" s="255">
        <v>0</v>
      </c>
      <c r="Q8" s="255">
        <v>0</v>
      </c>
      <c r="R8" s="255">
        <v>0</v>
      </c>
      <c r="S8" s="255">
        <v>0</v>
      </c>
      <c r="T8" s="255">
        <v>0</v>
      </c>
      <c r="U8" s="255">
        <v>0</v>
      </c>
      <c r="V8" s="255">
        <v>0</v>
      </c>
      <c r="W8" s="255">
        <v>0</v>
      </c>
      <c r="X8" s="255">
        <v>0</v>
      </c>
      <c r="Y8" s="255">
        <v>0</v>
      </c>
      <c r="Z8" s="255">
        <v>0</v>
      </c>
      <c r="AA8" s="255">
        <v>0</v>
      </c>
      <c r="AB8" s="255">
        <v>0</v>
      </c>
      <c r="AC8" s="255">
        <v>0</v>
      </c>
      <c r="AD8" s="255">
        <v>0</v>
      </c>
      <c r="AE8" s="255">
        <v>0</v>
      </c>
      <c r="AF8" s="255">
        <v>0</v>
      </c>
      <c r="AG8" s="255">
        <v>0</v>
      </c>
      <c r="AH8" s="255">
        <v>0</v>
      </c>
      <c r="AI8" s="255">
        <v>0</v>
      </c>
      <c r="AJ8" s="255">
        <v>0</v>
      </c>
      <c r="AK8" s="255">
        <v>0</v>
      </c>
      <c r="AL8" s="255">
        <v>0</v>
      </c>
      <c r="AM8" s="255">
        <v>0</v>
      </c>
      <c r="AN8" s="255">
        <v>0</v>
      </c>
      <c r="AO8" s="255">
        <v>0</v>
      </c>
      <c r="AP8" s="255">
        <v>0</v>
      </c>
      <c r="AQ8" s="255">
        <v>0</v>
      </c>
      <c r="AR8" s="255">
        <v>0</v>
      </c>
      <c r="AS8" s="255">
        <v>0</v>
      </c>
      <c r="AT8" s="255">
        <v>0</v>
      </c>
      <c r="AU8" s="255">
        <v>0</v>
      </c>
      <c r="AV8" s="255">
        <v>0</v>
      </c>
      <c r="AW8" s="255">
        <v>0</v>
      </c>
      <c r="AX8" s="255">
        <v>0</v>
      </c>
      <c r="AY8" s="255">
        <v>0</v>
      </c>
      <c r="AZ8" s="255">
        <v>0</v>
      </c>
      <c r="BA8" s="255">
        <v>0</v>
      </c>
      <c r="BB8" s="255">
        <v>0</v>
      </c>
      <c r="BC8" s="255">
        <v>0</v>
      </c>
      <c r="BD8" s="255">
        <v>0</v>
      </c>
      <c r="BE8" s="255">
        <v>0</v>
      </c>
      <c r="BF8" s="255">
        <v>0</v>
      </c>
      <c r="BG8" s="255">
        <v>0</v>
      </c>
      <c r="BH8" s="255">
        <v>0</v>
      </c>
      <c r="BI8" s="255">
        <v>0</v>
      </c>
      <c r="BJ8" s="255">
        <v>0</v>
      </c>
      <c r="BK8" s="252">
        <f>SUM(C8:BJ8)</f>
        <v>0</v>
      </c>
      <c r="BL8" s="253">
        <f ca="1">IF($BK$15=0,0,BK8/$BK$15)</f>
        <v>0</v>
      </c>
    </row>
    <row r="9" spans="1:68" s="49" customFormat="1" ht="23.25" customHeight="1" x14ac:dyDescent="0.2">
      <c r="A9" s="248" t="s">
        <v>68</v>
      </c>
      <c r="B9" s="248" t="s">
        <v>37</v>
      </c>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272"/>
      <c r="AL9" s="272"/>
      <c r="AM9" s="272"/>
      <c r="AN9" s="272"/>
      <c r="AO9" s="272"/>
      <c r="AP9" s="272"/>
      <c r="AQ9" s="272"/>
      <c r="AR9" s="272"/>
      <c r="AS9" s="272"/>
      <c r="AT9" s="272"/>
      <c r="AU9" s="272"/>
      <c r="AV9" s="272"/>
      <c r="AW9" s="272"/>
      <c r="AX9" s="272"/>
      <c r="AY9" s="272"/>
      <c r="AZ9" s="272"/>
      <c r="BA9" s="272"/>
      <c r="BB9" s="272"/>
      <c r="BC9" s="272"/>
      <c r="BD9" s="272"/>
      <c r="BE9" s="272"/>
      <c r="BF9" s="272"/>
      <c r="BG9" s="272"/>
      <c r="BH9" s="272"/>
      <c r="BI9" s="272"/>
      <c r="BJ9" s="272"/>
      <c r="BK9" s="273"/>
      <c r="BL9" s="274"/>
    </row>
    <row r="10" spans="1:68" s="49" customFormat="1" ht="23.25" customHeight="1" x14ac:dyDescent="0.2">
      <c r="A10" s="18" t="s">
        <v>69</v>
      </c>
      <c r="B10" s="12" t="s">
        <v>70</v>
      </c>
      <c r="C10" s="32">
        <v>0</v>
      </c>
      <c r="D10" s="32">
        <v>0</v>
      </c>
      <c r="E10" s="32">
        <v>0</v>
      </c>
      <c r="F10" s="32">
        <v>0</v>
      </c>
      <c r="G10" s="32">
        <v>0</v>
      </c>
      <c r="H10" s="32">
        <v>0</v>
      </c>
      <c r="I10" s="32">
        <v>0</v>
      </c>
      <c r="J10" s="32">
        <v>0</v>
      </c>
      <c r="K10" s="32">
        <v>0</v>
      </c>
      <c r="L10" s="32">
        <v>0</v>
      </c>
      <c r="M10" s="32">
        <v>0</v>
      </c>
      <c r="N10" s="32">
        <v>0</v>
      </c>
      <c r="O10" s="32">
        <v>0</v>
      </c>
      <c r="P10" s="32">
        <v>0</v>
      </c>
      <c r="Q10" s="32">
        <v>0</v>
      </c>
      <c r="R10" s="32">
        <v>0</v>
      </c>
      <c r="S10" s="32">
        <v>0</v>
      </c>
      <c r="T10" s="32">
        <v>0</v>
      </c>
      <c r="U10" s="32">
        <v>0</v>
      </c>
      <c r="V10" s="32">
        <v>0</v>
      </c>
      <c r="W10" s="32">
        <v>0</v>
      </c>
      <c r="X10" s="32">
        <v>0</v>
      </c>
      <c r="Y10" s="32">
        <v>0</v>
      </c>
      <c r="Z10" s="32">
        <v>0</v>
      </c>
      <c r="AA10" s="32">
        <v>0</v>
      </c>
      <c r="AB10" s="32">
        <v>0</v>
      </c>
      <c r="AC10" s="32">
        <v>0</v>
      </c>
      <c r="AD10" s="32">
        <v>0</v>
      </c>
      <c r="AE10" s="32">
        <v>0</v>
      </c>
      <c r="AF10" s="32">
        <v>0</v>
      </c>
      <c r="AG10" s="32">
        <v>0</v>
      </c>
      <c r="AH10" s="32">
        <v>0</v>
      </c>
      <c r="AI10" s="32">
        <v>0</v>
      </c>
      <c r="AJ10" s="32">
        <v>0</v>
      </c>
      <c r="AK10" s="32">
        <v>0</v>
      </c>
      <c r="AL10" s="32">
        <v>0</v>
      </c>
      <c r="AM10" s="32">
        <v>0</v>
      </c>
      <c r="AN10" s="32">
        <v>0</v>
      </c>
      <c r="AO10" s="32">
        <v>0</v>
      </c>
      <c r="AP10" s="32">
        <v>0</v>
      </c>
      <c r="AQ10" s="32">
        <v>0</v>
      </c>
      <c r="AR10" s="32">
        <v>0</v>
      </c>
      <c r="AS10" s="32">
        <v>0</v>
      </c>
      <c r="AT10" s="32">
        <v>0</v>
      </c>
      <c r="AU10" s="32">
        <v>0</v>
      </c>
      <c r="AV10" s="32">
        <v>0</v>
      </c>
      <c r="AW10" s="32">
        <v>0</v>
      </c>
      <c r="AX10" s="32">
        <v>0</v>
      </c>
      <c r="AY10" s="32">
        <v>0</v>
      </c>
      <c r="AZ10" s="32">
        <v>0</v>
      </c>
      <c r="BA10" s="32">
        <v>0</v>
      </c>
      <c r="BB10" s="32">
        <v>0</v>
      </c>
      <c r="BC10" s="32">
        <v>0</v>
      </c>
      <c r="BD10" s="32">
        <v>0</v>
      </c>
      <c r="BE10" s="32">
        <v>0</v>
      </c>
      <c r="BF10" s="32">
        <v>0</v>
      </c>
      <c r="BG10" s="32">
        <v>0</v>
      </c>
      <c r="BH10" s="32">
        <v>0</v>
      </c>
      <c r="BI10" s="32">
        <v>0</v>
      </c>
      <c r="BJ10" s="32">
        <v>0</v>
      </c>
      <c r="BK10" s="71">
        <f t="shared" ref="BK10:BK15" si="1">SUM(C10:BJ10)</f>
        <v>0</v>
      </c>
      <c r="BL10" s="76">
        <f ca="1">IF($BK$15=0,0,BK10/$BK$15)</f>
        <v>0</v>
      </c>
    </row>
    <row r="11" spans="1:68" s="49" customFormat="1" ht="23.25" customHeight="1" x14ac:dyDescent="0.2">
      <c r="A11" s="18" t="s">
        <v>71</v>
      </c>
      <c r="B11" s="12" t="s">
        <v>72</v>
      </c>
      <c r="C11" s="32">
        <v>0</v>
      </c>
      <c r="D11" s="32">
        <v>0</v>
      </c>
      <c r="E11" s="32">
        <v>0</v>
      </c>
      <c r="F11" s="32">
        <v>0</v>
      </c>
      <c r="G11" s="32">
        <v>0</v>
      </c>
      <c r="H11" s="32">
        <v>0</v>
      </c>
      <c r="I11" s="32">
        <v>0</v>
      </c>
      <c r="J11" s="32">
        <v>0</v>
      </c>
      <c r="K11" s="32">
        <v>0</v>
      </c>
      <c r="L11" s="32">
        <v>0</v>
      </c>
      <c r="M11" s="32">
        <v>0</v>
      </c>
      <c r="N11" s="32">
        <v>0</v>
      </c>
      <c r="O11" s="32">
        <v>0</v>
      </c>
      <c r="P11" s="32">
        <v>0</v>
      </c>
      <c r="Q11" s="32">
        <v>0</v>
      </c>
      <c r="R11" s="32">
        <v>0</v>
      </c>
      <c r="S11" s="32">
        <v>0</v>
      </c>
      <c r="T11" s="32">
        <v>0</v>
      </c>
      <c r="U11" s="32">
        <v>0</v>
      </c>
      <c r="V11" s="32">
        <v>0</v>
      </c>
      <c r="W11" s="32">
        <v>0</v>
      </c>
      <c r="X11" s="32">
        <v>0</v>
      </c>
      <c r="Y11" s="32">
        <v>0</v>
      </c>
      <c r="Z11" s="32">
        <v>0</v>
      </c>
      <c r="AA11" s="32">
        <v>0</v>
      </c>
      <c r="AB11" s="32">
        <v>0</v>
      </c>
      <c r="AC11" s="32">
        <v>0</v>
      </c>
      <c r="AD11" s="32">
        <v>0</v>
      </c>
      <c r="AE11" s="32">
        <v>0</v>
      </c>
      <c r="AF11" s="32">
        <v>0</v>
      </c>
      <c r="AG11" s="32">
        <v>0</v>
      </c>
      <c r="AH11" s="32">
        <v>0</v>
      </c>
      <c r="AI11" s="32">
        <v>0</v>
      </c>
      <c r="AJ11" s="32">
        <v>0</v>
      </c>
      <c r="AK11" s="32">
        <v>0</v>
      </c>
      <c r="AL11" s="32">
        <v>0</v>
      </c>
      <c r="AM11" s="32">
        <v>0</v>
      </c>
      <c r="AN11" s="32">
        <v>0</v>
      </c>
      <c r="AO11" s="32">
        <v>0</v>
      </c>
      <c r="AP11" s="32">
        <v>0</v>
      </c>
      <c r="AQ11" s="32">
        <v>0</v>
      </c>
      <c r="AR11" s="32">
        <v>0</v>
      </c>
      <c r="AS11" s="32">
        <v>0</v>
      </c>
      <c r="AT11" s="32">
        <v>0</v>
      </c>
      <c r="AU11" s="32">
        <v>0</v>
      </c>
      <c r="AV11" s="32">
        <v>0</v>
      </c>
      <c r="AW11" s="32">
        <v>0</v>
      </c>
      <c r="AX11" s="32">
        <v>0</v>
      </c>
      <c r="AY11" s="32">
        <v>0</v>
      </c>
      <c r="AZ11" s="32">
        <v>0</v>
      </c>
      <c r="BA11" s="32">
        <v>0</v>
      </c>
      <c r="BB11" s="32">
        <v>0</v>
      </c>
      <c r="BC11" s="32">
        <v>0</v>
      </c>
      <c r="BD11" s="32">
        <v>0</v>
      </c>
      <c r="BE11" s="32">
        <v>0</v>
      </c>
      <c r="BF11" s="32">
        <v>0</v>
      </c>
      <c r="BG11" s="32">
        <v>0</v>
      </c>
      <c r="BH11" s="32">
        <v>0</v>
      </c>
      <c r="BI11" s="32">
        <v>0</v>
      </c>
      <c r="BJ11" s="32">
        <v>0</v>
      </c>
      <c r="BK11" s="71">
        <f t="shared" ref="BK11" si="2">SUM(C11:BJ11)</f>
        <v>0</v>
      </c>
      <c r="BL11" s="76">
        <f ca="1">IF($BK$15=0,0,BK11/$BK$15)</f>
        <v>0</v>
      </c>
    </row>
    <row r="12" spans="1:68" s="49" customFormat="1" ht="23.25" customHeight="1" x14ac:dyDescent="0.2">
      <c r="A12" s="18" t="s">
        <v>73</v>
      </c>
      <c r="B12" s="12" t="s">
        <v>74</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71">
        <f t="shared" si="1"/>
        <v>0</v>
      </c>
      <c r="BL12" s="76">
        <f ca="1">IF($BK$15=0,0,BK12/$BK$15)</f>
        <v>0</v>
      </c>
    </row>
    <row r="13" spans="1:68" s="49" customFormat="1" ht="23.25" customHeight="1" thickBot="1" x14ac:dyDescent="0.25">
      <c r="A13" s="41"/>
      <c r="B13" s="42" t="s">
        <v>119</v>
      </c>
      <c r="C13" s="43">
        <f>SUBTOTAL(109,C10:C12)</f>
        <v>0</v>
      </c>
      <c r="D13" s="43">
        <f t="shared" ref="D13:BJ13" si="3">SUBTOTAL(109,D10:D12)</f>
        <v>0</v>
      </c>
      <c r="E13" s="43">
        <f t="shared" si="3"/>
        <v>0</v>
      </c>
      <c r="F13" s="43">
        <f t="shared" si="3"/>
        <v>0</v>
      </c>
      <c r="G13" s="43">
        <f t="shared" si="3"/>
        <v>0</v>
      </c>
      <c r="H13" s="43">
        <f t="shared" si="3"/>
        <v>0</v>
      </c>
      <c r="I13" s="43">
        <f t="shared" si="3"/>
        <v>0</v>
      </c>
      <c r="J13" s="43">
        <f t="shared" si="3"/>
        <v>0</v>
      </c>
      <c r="K13" s="43">
        <f t="shared" si="3"/>
        <v>0</v>
      </c>
      <c r="L13" s="43">
        <f t="shared" si="3"/>
        <v>0</v>
      </c>
      <c r="M13" s="43">
        <f t="shared" si="3"/>
        <v>0</v>
      </c>
      <c r="N13" s="43">
        <f t="shared" si="3"/>
        <v>0</v>
      </c>
      <c r="O13" s="43">
        <f t="shared" si="3"/>
        <v>0</v>
      </c>
      <c r="P13" s="43">
        <f t="shared" si="3"/>
        <v>0</v>
      </c>
      <c r="Q13" s="43">
        <f t="shared" si="3"/>
        <v>0</v>
      </c>
      <c r="R13" s="43">
        <f t="shared" si="3"/>
        <v>0</v>
      </c>
      <c r="S13" s="43">
        <f t="shared" si="3"/>
        <v>0</v>
      </c>
      <c r="T13" s="43">
        <f t="shared" si="3"/>
        <v>0</v>
      </c>
      <c r="U13" s="43">
        <f t="shared" si="3"/>
        <v>0</v>
      </c>
      <c r="V13" s="43">
        <f t="shared" si="3"/>
        <v>0</v>
      </c>
      <c r="W13" s="43">
        <f t="shared" si="3"/>
        <v>0</v>
      </c>
      <c r="X13" s="43">
        <f t="shared" si="3"/>
        <v>0</v>
      </c>
      <c r="Y13" s="43">
        <f t="shared" si="3"/>
        <v>0</v>
      </c>
      <c r="Z13" s="43">
        <f t="shared" si="3"/>
        <v>0</v>
      </c>
      <c r="AA13" s="43">
        <f t="shared" si="3"/>
        <v>0</v>
      </c>
      <c r="AB13" s="43">
        <f t="shared" si="3"/>
        <v>0</v>
      </c>
      <c r="AC13" s="43">
        <f t="shared" si="3"/>
        <v>0</v>
      </c>
      <c r="AD13" s="43">
        <f t="shared" si="3"/>
        <v>0</v>
      </c>
      <c r="AE13" s="43">
        <f t="shared" si="3"/>
        <v>0</v>
      </c>
      <c r="AF13" s="43">
        <f t="shared" si="3"/>
        <v>0</v>
      </c>
      <c r="AG13" s="43">
        <f t="shared" si="3"/>
        <v>0</v>
      </c>
      <c r="AH13" s="43">
        <f t="shared" si="3"/>
        <v>0</v>
      </c>
      <c r="AI13" s="43">
        <f t="shared" si="3"/>
        <v>0</v>
      </c>
      <c r="AJ13" s="43">
        <f t="shared" si="3"/>
        <v>0</v>
      </c>
      <c r="AK13" s="43">
        <f t="shared" si="3"/>
        <v>0</v>
      </c>
      <c r="AL13" s="43">
        <f t="shared" si="3"/>
        <v>0</v>
      </c>
      <c r="AM13" s="43">
        <f t="shared" si="3"/>
        <v>0</v>
      </c>
      <c r="AN13" s="43">
        <f t="shared" si="3"/>
        <v>0</v>
      </c>
      <c r="AO13" s="43">
        <f t="shared" si="3"/>
        <v>0</v>
      </c>
      <c r="AP13" s="43">
        <f t="shared" si="3"/>
        <v>0</v>
      </c>
      <c r="AQ13" s="43">
        <f t="shared" si="3"/>
        <v>0</v>
      </c>
      <c r="AR13" s="43">
        <f t="shared" si="3"/>
        <v>0</v>
      </c>
      <c r="AS13" s="43">
        <f t="shared" si="3"/>
        <v>0</v>
      </c>
      <c r="AT13" s="43">
        <f t="shared" si="3"/>
        <v>0</v>
      </c>
      <c r="AU13" s="43">
        <f t="shared" si="3"/>
        <v>0</v>
      </c>
      <c r="AV13" s="43">
        <f t="shared" si="3"/>
        <v>0</v>
      </c>
      <c r="AW13" s="43">
        <f t="shared" si="3"/>
        <v>0</v>
      </c>
      <c r="AX13" s="43">
        <f t="shared" si="3"/>
        <v>0</v>
      </c>
      <c r="AY13" s="43">
        <f t="shared" si="3"/>
        <v>0</v>
      </c>
      <c r="AZ13" s="43">
        <f t="shared" si="3"/>
        <v>0</v>
      </c>
      <c r="BA13" s="43">
        <f t="shared" si="3"/>
        <v>0</v>
      </c>
      <c r="BB13" s="43">
        <f t="shared" si="3"/>
        <v>0</v>
      </c>
      <c r="BC13" s="43">
        <f t="shared" si="3"/>
        <v>0</v>
      </c>
      <c r="BD13" s="43">
        <f t="shared" si="3"/>
        <v>0</v>
      </c>
      <c r="BE13" s="43">
        <f t="shared" si="3"/>
        <v>0</v>
      </c>
      <c r="BF13" s="43">
        <f t="shared" si="3"/>
        <v>0</v>
      </c>
      <c r="BG13" s="43">
        <f t="shared" si="3"/>
        <v>0</v>
      </c>
      <c r="BH13" s="43">
        <f t="shared" si="3"/>
        <v>0</v>
      </c>
      <c r="BI13" s="43">
        <f t="shared" si="3"/>
        <v>0</v>
      </c>
      <c r="BJ13" s="43">
        <f t="shared" si="3"/>
        <v>0</v>
      </c>
      <c r="BK13" s="43">
        <f t="shared" ref="BK13" si="4">SUBTOTAL(109,BK10:BK10)</f>
        <v>0</v>
      </c>
      <c r="BL13" s="60">
        <f ca="1">IF($BK$155=0,0,BK13/$BK$155)</f>
        <v>0</v>
      </c>
    </row>
    <row r="14" spans="1:68" s="49" customFormat="1" ht="23.25" customHeight="1" thickBot="1" x14ac:dyDescent="0.25">
      <c r="A14" s="239" t="s">
        <v>120</v>
      </c>
      <c r="B14" s="275"/>
      <c r="C14" s="276">
        <f t="shared" ref="C14:AH14" ca="1" si="5">SUBTOTAL(109,C7:C13)</f>
        <v>21312810.207261503</v>
      </c>
      <c r="D14" s="276">
        <f t="shared" ca="1" si="5"/>
        <v>0</v>
      </c>
      <c r="E14" s="276">
        <f t="shared" ca="1" si="5"/>
        <v>0</v>
      </c>
      <c r="F14" s="276">
        <f t="shared" ca="1" si="5"/>
        <v>30464357.655446127</v>
      </c>
      <c r="G14" s="276">
        <f t="shared" ca="1" si="5"/>
        <v>0</v>
      </c>
      <c r="H14" s="276">
        <f t="shared" ca="1" si="5"/>
        <v>0</v>
      </c>
      <c r="I14" s="276">
        <f t="shared" ca="1" si="5"/>
        <v>28744357.655446127</v>
      </c>
      <c r="J14" s="276">
        <f t="shared" ca="1" si="5"/>
        <v>0</v>
      </c>
      <c r="K14" s="276">
        <f t="shared" ca="1" si="5"/>
        <v>0</v>
      </c>
      <c r="L14" s="276">
        <f t="shared" ca="1" si="5"/>
        <v>32144957.462043069</v>
      </c>
      <c r="M14" s="276">
        <f t="shared" ca="1" si="5"/>
        <v>0</v>
      </c>
      <c r="N14" s="276">
        <f t="shared" ca="1" si="5"/>
        <v>0</v>
      </c>
      <c r="O14" s="276">
        <f t="shared" ca="1" si="5"/>
        <v>35088157.075236946</v>
      </c>
      <c r="P14" s="276">
        <f t="shared" ca="1" si="5"/>
        <v>0</v>
      </c>
      <c r="Q14" s="276">
        <f t="shared" ca="1" si="5"/>
        <v>0</v>
      </c>
      <c r="R14" s="276">
        <f t="shared" ca="1" si="5"/>
        <v>29058157.075236946</v>
      </c>
      <c r="S14" s="276">
        <f t="shared" ca="1" si="5"/>
        <v>0</v>
      </c>
      <c r="T14" s="276">
        <f t="shared" ca="1" si="5"/>
        <v>0</v>
      </c>
      <c r="U14" s="276">
        <f t="shared" ca="1" si="5"/>
        <v>28758157.075236946</v>
      </c>
      <c r="V14" s="276">
        <f t="shared" ca="1" si="5"/>
        <v>0</v>
      </c>
      <c r="W14" s="276">
        <f t="shared" ca="1" si="5"/>
        <v>0</v>
      </c>
      <c r="X14" s="276">
        <f t="shared" ca="1" si="5"/>
        <v>31284090.105611857</v>
      </c>
      <c r="Y14" s="276">
        <f t="shared" ca="1" si="5"/>
        <v>0</v>
      </c>
      <c r="Z14" s="276">
        <f t="shared" ca="1" si="5"/>
        <v>0</v>
      </c>
      <c r="AA14" s="276">
        <f t="shared" ca="1" si="5"/>
        <v>30153956.166361675</v>
      </c>
      <c r="AB14" s="276">
        <f t="shared" ca="1" si="5"/>
        <v>0</v>
      </c>
      <c r="AC14" s="276">
        <f t="shared" ca="1" si="5"/>
        <v>0</v>
      </c>
      <c r="AD14" s="276">
        <f t="shared" ca="1" si="5"/>
        <v>30103956.166361675</v>
      </c>
      <c r="AE14" s="276">
        <f t="shared" ca="1" si="5"/>
        <v>0</v>
      </c>
      <c r="AF14" s="276">
        <f t="shared" ca="1" si="5"/>
        <v>0</v>
      </c>
      <c r="AG14" s="276">
        <f t="shared" ca="1" si="5"/>
        <v>29753956.166361675</v>
      </c>
      <c r="AH14" s="276">
        <f t="shared" ca="1" si="5"/>
        <v>0</v>
      </c>
      <c r="AI14" s="276">
        <f t="shared" ref="AI14:BJ14" ca="1" si="6">SUBTOTAL(109,AI7:AI13)</f>
        <v>0</v>
      </c>
      <c r="AJ14" s="276">
        <f t="shared" ca="1" si="6"/>
        <v>20727970.77757445</v>
      </c>
      <c r="AK14" s="276">
        <f t="shared" ca="1" si="6"/>
        <v>0</v>
      </c>
      <c r="AL14" s="276">
        <f t="shared" ca="1" si="6"/>
        <v>0</v>
      </c>
      <c r="AM14" s="276">
        <f t="shared" ca="1" si="6"/>
        <v>0</v>
      </c>
      <c r="AN14" s="276">
        <f t="shared" ca="1" si="6"/>
        <v>0</v>
      </c>
      <c r="AO14" s="276">
        <f t="shared" ca="1" si="6"/>
        <v>0</v>
      </c>
      <c r="AP14" s="276">
        <f t="shared" ca="1" si="6"/>
        <v>0</v>
      </c>
      <c r="AQ14" s="276">
        <f t="shared" ca="1" si="6"/>
        <v>0</v>
      </c>
      <c r="AR14" s="276">
        <f t="shared" ca="1" si="6"/>
        <v>0</v>
      </c>
      <c r="AS14" s="276">
        <f t="shared" ca="1" si="6"/>
        <v>0</v>
      </c>
      <c r="AT14" s="276">
        <f t="shared" ca="1" si="6"/>
        <v>0</v>
      </c>
      <c r="AU14" s="276">
        <f t="shared" ca="1" si="6"/>
        <v>0</v>
      </c>
      <c r="AV14" s="276">
        <f t="shared" ca="1" si="6"/>
        <v>0</v>
      </c>
      <c r="AW14" s="276">
        <f t="shared" ca="1" si="6"/>
        <v>0</v>
      </c>
      <c r="AX14" s="276">
        <f t="shared" ca="1" si="6"/>
        <v>0</v>
      </c>
      <c r="AY14" s="276">
        <f t="shared" ca="1" si="6"/>
        <v>0</v>
      </c>
      <c r="AZ14" s="276">
        <f t="shared" ca="1" si="6"/>
        <v>0</v>
      </c>
      <c r="BA14" s="276">
        <f t="shared" ca="1" si="6"/>
        <v>0</v>
      </c>
      <c r="BB14" s="276">
        <f t="shared" ca="1" si="6"/>
        <v>0</v>
      </c>
      <c r="BC14" s="276">
        <f t="shared" ca="1" si="6"/>
        <v>0</v>
      </c>
      <c r="BD14" s="276">
        <f t="shared" ca="1" si="6"/>
        <v>0</v>
      </c>
      <c r="BE14" s="276">
        <f t="shared" ca="1" si="6"/>
        <v>0</v>
      </c>
      <c r="BF14" s="276">
        <f t="shared" ca="1" si="6"/>
        <v>0</v>
      </c>
      <c r="BG14" s="276">
        <f t="shared" ca="1" si="6"/>
        <v>0</v>
      </c>
      <c r="BH14" s="276">
        <f t="shared" ca="1" si="6"/>
        <v>0</v>
      </c>
      <c r="BI14" s="276">
        <f t="shared" ca="1" si="6"/>
        <v>0</v>
      </c>
      <c r="BJ14" s="276">
        <f t="shared" ca="1" si="6"/>
        <v>0</v>
      </c>
      <c r="BK14" s="276">
        <f t="shared" ca="1" si="1"/>
        <v>347594883.58817899</v>
      </c>
      <c r="BL14" s="241">
        <f ca="1">IF($BK$15=0,0,BK14/$BK$15)</f>
        <v>0.9480992571610074</v>
      </c>
    </row>
    <row r="15" spans="1:68" s="49" customFormat="1" ht="23.25" customHeight="1" thickBot="1" x14ac:dyDescent="0.25">
      <c r="A15" s="237" t="s">
        <v>121</v>
      </c>
      <c r="B15" s="277"/>
      <c r="C15" s="276">
        <f t="shared" ref="C15:AH15" ca="1" si="7">SUBTOTAL(109,C4:C14)</f>
        <v>40340810.207261503</v>
      </c>
      <c r="D15" s="276">
        <f t="shared" ca="1" si="7"/>
        <v>0</v>
      </c>
      <c r="E15" s="276">
        <f t="shared" ca="1" si="7"/>
        <v>0</v>
      </c>
      <c r="F15" s="276">
        <f t="shared" ca="1" si="7"/>
        <v>30464357.655446127</v>
      </c>
      <c r="G15" s="276">
        <f t="shared" ca="1" si="7"/>
        <v>0</v>
      </c>
      <c r="H15" s="276">
        <f t="shared" ca="1" si="7"/>
        <v>0</v>
      </c>
      <c r="I15" s="276">
        <f t="shared" ca="1" si="7"/>
        <v>28744357.655446127</v>
      </c>
      <c r="J15" s="276">
        <f t="shared" ca="1" si="7"/>
        <v>0</v>
      </c>
      <c r="K15" s="276">
        <f t="shared" ca="1" si="7"/>
        <v>0</v>
      </c>
      <c r="L15" s="276">
        <f t="shared" ca="1" si="7"/>
        <v>32144957.462043069</v>
      </c>
      <c r="M15" s="276">
        <f t="shared" ca="1" si="7"/>
        <v>0</v>
      </c>
      <c r="N15" s="276">
        <f t="shared" ca="1" si="7"/>
        <v>0</v>
      </c>
      <c r="O15" s="276">
        <f t="shared" ca="1" si="7"/>
        <v>35088157.075236946</v>
      </c>
      <c r="P15" s="276">
        <f t="shared" ca="1" si="7"/>
        <v>0</v>
      </c>
      <c r="Q15" s="276">
        <f t="shared" ca="1" si="7"/>
        <v>0</v>
      </c>
      <c r="R15" s="276">
        <f t="shared" ca="1" si="7"/>
        <v>29058157.075236946</v>
      </c>
      <c r="S15" s="276">
        <f t="shared" ca="1" si="7"/>
        <v>0</v>
      </c>
      <c r="T15" s="276">
        <f t="shared" ca="1" si="7"/>
        <v>0</v>
      </c>
      <c r="U15" s="276">
        <f t="shared" ca="1" si="7"/>
        <v>28758157.075236946</v>
      </c>
      <c r="V15" s="276">
        <f t="shared" ca="1" si="7"/>
        <v>0</v>
      </c>
      <c r="W15" s="276">
        <f t="shared" ca="1" si="7"/>
        <v>0</v>
      </c>
      <c r="X15" s="276">
        <f t="shared" ca="1" si="7"/>
        <v>31284090.105611857</v>
      </c>
      <c r="Y15" s="276">
        <f t="shared" ca="1" si="7"/>
        <v>0</v>
      </c>
      <c r="Z15" s="276">
        <f t="shared" ca="1" si="7"/>
        <v>0</v>
      </c>
      <c r="AA15" s="276">
        <f t="shared" ca="1" si="7"/>
        <v>30153956.166361675</v>
      </c>
      <c r="AB15" s="276">
        <f t="shared" ca="1" si="7"/>
        <v>0</v>
      </c>
      <c r="AC15" s="276">
        <f t="shared" ca="1" si="7"/>
        <v>0</v>
      </c>
      <c r="AD15" s="276">
        <f t="shared" ca="1" si="7"/>
        <v>30103956.166361675</v>
      </c>
      <c r="AE15" s="276">
        <f t="shared" ca="1" si="7"/>
        <v>0</v>
      </c>
      <c r="AF15" s="276">
        <f t="shared" ca="1" si="7"/>
        <v>0</v>
      </c>
      <c r="AG15" s="276">
        <f t="shared" ca="1" si="7"/>
        <v>29753956.166361675</v>
      </c>
      <c r="AH15" s="276">
        <f t="shared" ca="1" si="7"/>
        <v>0</v>
      </c>
      <c r="AI15" s="276">
        <f t="shared" ref="AI15:BJ15" ca="1" si="8">SUBTOTAL(109,AI4:AI14)</f>
        <v>0</v>
      </c>
      <c r="AJ15" s="276">
        <f t="shared" ca="1" si="8"/>
        <v>20727970.77757445</v>
      </c>
      <c r="AK15" s="276">
        <f t="shared" ca="1" si="8"/>
        <v>0</v>
      </c>
      <c r="AL15" s="276">
        <f t="shared" ca="1" si="8"/>
        <v>0</v>
      </c>
      <c r="AM15" s="276">
        <f t="shared" ca="1" si="8"/>
        <v>0</v>
      </c>
      <c r="AN15" s="276">
        <f t="shared" ca="1" si="8"/>
        <v>0</v>
      </c>
      <c r="AO15" s="276">
        <f t="shared" ca="1" si="8"/>
        <v>0</v>
      </c>
      <c r="AP15" s="276">
        <f t="shared" ca="1" si="8"/>
        <v>0</v>
      </c>
      <c r="AQ15" s="276">
        <f t="shared" ca="1" si="8"/>
        <v>0</v>
      </c>
      <c r="AR15" s="276">
        <f t="shared" ca="1" si="8"/>
        <v>0</v>
      </c>
      <c r="AS15" s="276">
        <f t="shared" ca="1" si="8"/>
        <v>0</v>
      </c>
      <c r="AT15" s="276">
        <f t="shared" ca="1" si="8"/>
        <v>0</v>
      </c>
      <c r="AU15" s="276">
        <f t="shared" ca="1" si="8"/>
        <v>0</v>
      </c>
      <c r="AV15" s="276">
        <f t="shared" ca="1" si="8"/>
        <v>0</v>
      </c>
      <c r="AW15" s="276">
        <f t="shared" ca="1" si="8"/>
        <v>0</v>
      </c>
      <c r="AX15" s="276">
        <f t="shared" ca="1" si="8"/>
        <v>0</v>
      </c>
      <c r="AY15" s="276">
        <f t="shared" ca="1" si="8"/>
        <v>0</v>
      </c>
      <c r="AZ15" s="276">
        <f t="shared" ca="1" si="8"/>
        <v>0</v>
      </c>
      <c r="BA15" s="276">
        <f t="shared" ca="1" si="8"/>
        <v>0</v>
      </c>
      <c r="BB15" s="276">
        <f t="shared" ca="1" si="8"/>
        <v>0</v>
      </c>
      <c r="BC15" s="276">
        <f t="shared" ca="1" si="8"/>
        <v>0</v>
      </c>
      <c r="BD15" s="276">
        <f t="shared" ca="1" si="8"/>
        <v>0</v>
      </c>
      <c r="BE15" s="276">
        <f t="shared" ca="1" si="8"/>
        <v>0</v>
      </c>
      <c r="BF15" s="276">
        <f t="shared" ca="1" si="8"/>
        <v>0</v>
      </c>
      <c r="BG15" s="276">
        <f t="shared" ca="1" si="8"/>
        <v>0</v>
      </c>
      <c r="BH15" s="276">
        <f t="shared" ca="1" si="8"/>
        <v>0</v>
      </c>
      <c r="BI15" s="276">
        <f t="shared" ca="1" si="8"/>
        <v>0</v>
      </c>
      <c r="BJ15" s="276">
        <f t="shared" ca="1" si="8"/>
        <v>0</v>
      </c>
      <c r="BK15" s="276">
        <f t="shared" ca="1" si="1"/>
        <v>366622883.58817899</v>
      </c>
      <c r="BL15" s="241">
        <f ca="1">IF($BK$15=0,0,BK15/$BK$15)</f>
        <v>1</v>
      </c>
    </row>
    <row r="16" spans="1:68" s="49" customFormat="1" ht="23.25" customHeight="1" thickBot="1" x14ac:dyDescent="0.25">
      <c r="A16" s="19"/>
      <c r="B16" s="40"/>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222"/>
      <c r="AJ16" s="222"/>
      <c r="AK16" s="222"/>
      <c r="AL16" s="222"/>
      <c r="AM16" s="222"/>
      <c r="AN16" s="222"/>
      <c r="AO16" s="222"/>
      <c r="AP16" s="222"/>
      <c r="AQ16" s="222"/>
      <c r="AR16" s="222"/>
      <c r="AS16" s="222"/>
      <c r="AT16" s="222"/>
      <c r="AU16" s="222"/>
      <c r="AV16" s="222"/>
      <c r="AW16" s="222"/>
      <c r="AX16" s="222"/>
      <c r="AY16" s="222"/>
      <c r="AZ16" s="222"/>
      <c r="BA16" s="222"/>
      <c r="BB16" s="222"/>
      <c r="BC16" s="222"/>
      <c r="BD16" s="222"/>
      <c r="BE16" s="222"/>
      <c r="BF16" s="222"/>
      <c r="BG16" s="222"/>
      <c r="BH16" s="222"/>
      <c r="BI16" s="222"/>
      <c r="BJ16" s="222"/>
      <c r="BK16" s="222"/>
      <c r="BL16" s="223"/>
    </row>
    <row r="17" spans="1:64" s="49" customFormat="1" ht="23.25" customHeight="1" thickBot="1" x14ac:dyDescent="0.25">
      <c r="A17" s="239">
        <v>2</v>
      </c>
      <c r="B17" s="236" t="s">
        <v>78</v>
      </c>
      <c r="C17" s="240"/>
      <c r="D17" s="240"/>
      <c r="E17" s="240"/>
      <c r="F17" s="240"/>
      <c r="G17" s="240"/>
      <c r="H17" s="240"/>
      <c r="I17" s="240"/>
      <c r="J17" s="240"/>
      <c r="K17" s="240"/>
      <c r="L17" s="240"/>
      <c r="M17" s="240"/>
      <c r="N17" s="240"/>
      <c r="O17" s="240"/>
      <c r="P17" s="240"/>
      <c r="Q17" s="240"/>
      <c r="R17" s="240"/>
      <c r="S17" s="240"/>
      <c r="T17" s="240"/>
      <c r="U17" s="240"/>
      <c r="V17" s="240"/>
      <c r="W17" s="240"/>
      <c r="X17" s="240"/>
      <c r="Y17" s="240"/>
      <c r="Z17" s="240"/>
      <c r="AA17" s="240"/>
      <c r="AB17" s="240"/>
      <c r="AC17" s="240"/>
      <c r="AD17" s="240"/>
      <c r="AE17" s="240"/>
      <c r="AF17" s="240"/>
      <c r="AG17" s="240"/>
      <c r="AH17" s="240"/>
      <c r="AI17" s="240"/>
      <c r="AJ17" s="240"/>
      <c r="AK17" s="240"/>
      <c r="AL17" s="240"/>
      <c r="AM17" s="240"/>
      <c r="AN17" s="240"/>
      <c r="AO17" s="240"/>
      <c r="AP17" s="240"/>
      <c r="AQ17" s="240"/>
      <c r="AR17" s="240"/>
      <c r="AS17" s="240"/>
      <c r="AT17" s="240"/>
      <c r="AU17" s="240"/>
      <c r="AV17" s="240"/>
      <c r="AW17" s="240"/>
      <c r="AX17" s="240"/>
      <c r="AY17" s="240"/>
      <c r="AZ17" s="240"/>
      <c r="BA17" s="240"/>
      <c r="BB17" s="240"/>
      <c r="BC17" s="240"/>
      <c r="BD17" s="240"/>
      <c r="BE17" s="240"/>
      <c r="BF17" s="240"/>
      <c r="BG17" s="240"/>
      <c r="BH17" s="240"/>
      <c r="BI17" s="240"/>
      <c r="BJ17" s="240"/>
      <c r="BK17" s="240"/>
      <c r="BL17" s="241"/>
    </row>
    <row r="18" spans="1:64" s="49" customFormat="1" ht="23.25" customHeight="1" x14ac:dyDescent="0.2">
      <c r="A18" s="248" t="s">
        <v>79</v>
      </c>
      <c r="B18" s="249" t="s">
        <v>80</v>
      </c>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1"/>
    </row>
    <row r="19" spans="1:64" s="49" customFormat="1" ht="23.25" customHeight="1" x14ac:dyDescent="0.2">
      <c r="A19" s="258" t="s">
        <v>81</v>
      </c>
      <c r="B19" s="259" t="s">
        <v>122</v>
      </c>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60"/>
      <c r="AX19" s="260"/>
      <c r="AY19" s="260"/>
      <c r="AZ19" s="260"/>
      <c r="BA19" s="260"/>
      <c r="BB19" s="260"/>
      <c r="BC19" s="260"/>
      <c r="BD19" s="260"/>
      <c r="BE19" s="260"/>
      <c r="BF19" s="260"/>
      <c r="BG19" s="260"/>
      <c r="BH19" s="260"/>
      <c r="BI19" s="260"/>
      <c r="BJ19" s="260"/>
      <c r="BK19" s="260"/>
      <c r="BL19" s="261"/>
    </row>
    <row r="20" spans="1:64" s="49" customFormat="1" ht="23.25" customHeight="1" x14ac:dyDescent="0.2">
      <c r="A20" s="19" t="s">
        <v>123</v>
      </c>
      <c r="B20" s="12" t="s">
        <v>82</v>
      </c>
      <c r="C20" s="32">
        <f t="array" aca="1" ref="C20" ca="1">_xlfn.IFNA(SUM((C$3&gt;='Gastos com Pessoal'!$E$7:$E$506)*(C$3&lt;='Gastos com Pessoal'!$F$7:$F$506)*OFFSET('Encargos e Benefícios'!$D$5,1,MATCH($B20,'Encargos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3569791.0938548702</v>
      </c>
      <c r="D20" s="32">
        <f t="array" aca="1" ref="D20" ca="1">_xlfn.IFNA(SUM((D$3&gt;='Gastos com Pessoal'!$E$7:$E$506)*(D$3&lt;='Gastos com Pessoal'!$F$7:$F$506)*OFFSET('Encargos e Benefícios'!$D$5,1,MATCH($B20,'Encargos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3569791.0938548702</v>
      </c>
      <c r="E20" s="32">
        <f t="array" aca="1" ref="E20" ca="1">_xlfn.IFNA(SUM((E$3&gt;='Gastos com Pessoal'!$E$7:$E$506)*(E$3&lt;='Gastos com Pessoal'!$F$7:$F$506)*OFFSET('Encargos e Benefícios'!$D$5,1,MATCH($B20,'Encargos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3569791.0938548702</v>
      </c>
      <c r="F20" s="32">
        <f t="array" aca="1" ref="F20" ca="1">_xlfn.IFNA(SUM((F$3&gt;='Gastos com Pessoal'!$E$7:$E$506)*(F$3&lt;='Gastos com Pessoal'!$F$7:$F$506)*OFFSET('Encargos e Benefícios'!$D$5,1,MATCH($B20,'Encargos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3569791.0938548702</v>
      </c>
      <c r="G20" s="32">
        <f t="array" aca="1" ref="G20" ca="1">_xlfn.IFNA(SUM((G$3&gt;='Gastos com Pessoal'!$E$7:$E$506)*(G$3&lt;='Gastos com Pessoal'!$F$7:$F$506)*OFFSET('Encargos e Benefícios'!$D$5,1,MATCH($B20,'Encargos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3569791.0938548702</v>
      </c>
      <c r="H20" s="32">
        <f t="array" aca="1" ref="H20" ca="1">_xlfn.IFNA(SUM((H$3&gt;='Gastos com Pessoal'!$E$7:$E$506)*(H$3&lt;='Gastos com Pessoal'!$F$7:$F$506)*OFFSET('Encargos e Benefícios'!$D$5,1,MATCH($B20,'Encargos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3569791.0938548702</v>
      </c>
      <c r="I20" s="32">
        <f t="array" aca="1" ref="I20" ca="1">_xlfn.IFNA(SUM((I$3&gt;='Gastos com Pessoal'!$E$7:$E$506)*(I$3&lt;='Gastos com Pessoal'!$F$7:$F$506)*OFFSET('Encargos e Benefícios'!$D$5,1,MATCH($B20,'Encargos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3569791.0938548702</v>
      </c>
      <c r="J20" s="32">
        <f t="array" aca="1" ref="J20" ca="1">_xlfn.IFNA(SUM((J$3&gt;='Gastos com Pessoal'!$E$7:$E$506)*(J$3&lt;='Gastos com Pessoal'!$F$7:$F$506)*OFFSET('Encargos e Benefícios'!$D$5,1,MATCH($B20,'Encargos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3569791.0938548702</v>
      </c>
      <c r="K20" s="32">
        <f t="array" aca="1" ref="K20" ca="1">_xlfn.IFNA(SUM((K$3&gt;='Gastos com Pessoal'!$E$7:$E$506)*(K$3&lt;='Gastos com Pessoal'!$F$7:$F$506)*OFFSET('Encargos e Benefícios'!$D$5,1,MATCH($B20,'Encargos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3569791.0938548702</v>
      </c>
      <c r="L20" s="32">
        <f t="array" aca="1" ref="L20" ca="1">_xlfn.IFNA(SUM((L$3&gt;='Gastos com Pessoal'!$E$7:$E$506)*(L$3&lt;='Gastos com Pessoal'!$F$7:$F$506)*OFFSET('Encargos e Benefícios'!$D$5,1,MATCH($B20,'Encargos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3569791.0938548702</v>
      </c>
      <c r="M20" s="32">
        <f t="array" aca="1" ref="M20" ca="1">_xlfn.IFNA(SUM((M$3&gt;='Gastos com Pessoal'!$E$7:$E$506)*(M$3&lt;='Gastos com Pessoal'!$F$7:$F$506)*OFFSET('Encargos e Benefícios'!$D$5,1,MATCH($B20,'Encargos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3569791.0938548702</v>
      </c>
      <c r="N20" s="32">
        <f t="array" aca="1" ref="N20" ca="1">_xlfn.IFNA(SUM((N$3&gt;='Gastos com Pessoal'!$E$7:$E$506)*(N$3&lt;='Gastos com Pessoal'!$F$7:$F$506)*OFFSET('Encargos e Benefícios'!$D$5,1,MATCH($B20,'Encargos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3569791.0938548702</v>
      </c>
      <c r="O20" s="32">
        <f t="array" aca="1" ref="O20" ca="1">_xlfn.IFNA(SUM((O$3&gt;='Gastos com Pessoal'!$E$7:$E$506)*(O$3&lt;='Gastos com Pessoal'!$F$7:$F$506)*OFFSET('Encargos e Benefícios'!$D$5,1,MATCH($B20,'Encargos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3650440.1756218523</v>
      </c>
      <c r="P20" s="32">
        <f t="array" aca="1" ref="P20" ca="1">_xlfn.IFNA(SUM((P$3&gt;='Gastos com Pessoal'!$E$7:$E$506)*(P$3&lt;='Gastos com Pessoal'!$F$7:$F$506)*OFFSET('Encargos e Benefícios'!$D$5,1,MATCH($B20,'Encargos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3650440.1756218523</v>
      </c>
      <c r="Q20" s="32">
        <f t="array" aca="1" ref="Q20" ca="1">_xlfn.IFNA(SUM((Q$3&gt;='Gastos com Pessoal'!$E$7:$E$506)*(Q$3&lt;='Gastos com Pessoal'!$F$7:$F$506)*OFFSET('Encargos e Benefícios'!$D$5,1,MATCH($B20,'Encargos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3650440.1756218523</v>
      </c>
      <c r="R20" s="32">
        <f t="array" aca="1" ref="R20" ca="1">_xlfn.IFNA(SUM((R$3&gt;='Gastos com Pessoal'!$E$7:$E$506)*(R$3&lt;='Gastos com Pessoal'!$F$7:$F$506)*OFFSET('Encargos e Benefícios'!$D$5,1,MATCH($B20,'Encargos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3650440.1756218523</v>
      </c>
      <c r="S20" s="32">
        <f t="array" aca="1" ref="S20" ca="1">_xlfn.IFNA(SUM((S$3&gt;='Gastos com Pessoal'!$E$7:$E$506)*(S$3&lt;='Gastos com Pessoal'!$F$7:$F$506)*OFFSET('Encargos e Benefícios'!$D$5,1,MATCH($B20,'Encargos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3650440.1756218523</v>
      </c>
      <c r="T20" s="32">
        <f t="array" aca="1" ref="T20" ca="1">_xlfn.IFNA(SUM((T$3&gt;='Gastos com Pessoal'!$E$7:$E$506)*(T$3&lt;='Gastos com Pessoal'!$F$7:$F$506)*OFFSET('Encargos e Benefícios'!$D$5,1,MATCH($B20,'Encargos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3650440.1756218523</v>
      </c>
      <c r="U20" s="32">
        <f t="array" aca="1" ref="U20" ca="1">_xlfn.IFNA(SUM((U$3&gt;='Gastos com Pessoal'!$E$7:$E$506)*(U$3&lt;='Gastos com Pessoal'!$F$7:$F$506)*OFFSET('Encargos e Benefícios'!$D$5,1,MATCH($B20,'Encargos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3650440.1756218523</v>
      </c>
      <c r="V20" s="32">
        <f t="array" aca="1" ref="V20" ca="1">_xlfn.IFNA(SUM((V$3&gt;='Gastos com Pessoal'!$E$7:$E$506)*(V$3&lt;='Gastos com Pessoal'!$F$7:$F$506)*OFFSET('Encargos e Benefícios'!$D$5,1,MATCH($B20,'Encargos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3650440.1756218523</v>
      </c>
      <c r="W20" s="32">
        <f t="array" aca="1" ref="W20" ca="1">_xlfn.IFNA(SUM((W$3&gt;='Gastos com Pessoal'!$E$7:$E$506)*(W$3&lt;='Gastos com Pessoal'!$F$7:$F$506)*OFFSET('Encargos e Benefícios'!$D$5,1,MATCH($B20,'Encargos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3650440.1756218523</v>
      </c>
      <c r="X20" s="32">
        <f t="array" aca="1" ref="X20" ca="1">_xlfn.IFNA(SUM((X$3&gt;='Gastos com Pessoal'!$E$7:$E$506)*(X$3&lt;='Gastos com Pessoal'!$F$7:$F$506)*OFFSET('Encargos e Benefícios'!$D$5,1,MATCH($B20,'Encargos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3650440.1756218523</v>
      </c>
      <c r="Y20" s="32">
        <f t="array" aca="1" ref="Y20" ca="1">_xlfn.IFNA(SUM((Y$3&gt;='Gastos com Pessoal'!$E$7:$E$506)*(Y$3&lt;='Gastos com Pessoal'!$F$7:$F$506)*OFFSET('Encargos e Benefícios'!$D$5,1,MATCH($B20,'Encargos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3650440.1756218523</v>
      </c>
      <c r="Z20" s="32">
        <f t="array" aca="1" ref="Z20" ca="1">_xlfn.IFNA(SUM((Z$3&gt;='Gastos com Pessoal'!$E$7:$E$506)*(Z$3&lt;='Gastos com Pessoal'!$F$7:$F$506)*OFFSET('Encargos e Benefícios'!$D$5,1,MATCH($B20,'Encargos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3650440.1756218523</v>
      </c>
      <c r="AA20" s="32">
        <f t="array" aca="1" ref="AA20" ca="1">_xlfn.IFNA(SUM((AA$3&gt;='Gastos com Pessoal'!$E$7:$E$506)*(AA$3&lt;='Gastos com Pessoal'!$F$7:$F$506)*OFFSET('Encargos e Benefícios'!$D$5,1,MATCH($B20,'Encargos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3796457.7826467264</v>
      </c>
      <c r="AB20" s="32">
        <f t="array" aca="1" ref="AB20" ca="1">_xlfn.IFNA(SUM((AB$3&gt;='Gastos com Pessoal'!$E$7:$E$506)*(AB$3&lt;='Gastos com Pessoal'!$F$7:$F$506)*OFFSET('Encargos e Benefícios'!$D$5,1,MATCH($B20,'Encargos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3796457.7826467264</v>
      </c>
      <c r="AC20" s="32">
        <f t="array" aca="1" ref="AC20" ca="1">_xlfn.IFNA(SUM((AC$3&gt;='Gastos com Pessoal'!$E$7:$E$506)*(AC$3&lt;='Gastos com Pessoal'!$F$7:$F$506)*OFFSET('Encargos e Benefícios'!$D$5,1,MATCH($B20,'Encargos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3796457.7826467264</v>
      </c>
      <c r="AD20" s="32">
        <f t="array" aca="1" ref="AD20" ca="1">_xlfn.IFNA(SUM((AD$3&gt;='Gastos com Pessoal'!$E$7:$E$506)*(AD$3&lt;='Gastos com Pessoal'!$F$7:$F$506)*OFFSET('Encargos e Benefícios'!$D$5,1,MATCH($B20,'Encargos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3796457.7826467264</v>
      </c>
      <c r="AE20" s="32">
        <f t="array" aca="1" ref="AE20" ca="1">_xlfn.IFNA(SUM((AE$3&gt;='Gastos com Pessoal'!$E$7:$E$506)*(AE$3&lt;='Gastos com Pessoal'!$F$7:$F$506)*OFFSET('Encargos e Benefícios'!$D$5,1,MATCH($B20,'Encargos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3796457.7826467264</v>
      </c>
      <c r="AF20" s="32">
        <f t="array" aca="1" ref="AF20" ca="1">_xlfn.IFNA(SUM((AF$3&gt;='Gastos com Pessoal'!$E$7:$E$506)*(AF$3&lt;='Gastos com Pessoal'!$F$7:$F$506)*OFFSET('Encargos e Benefícios'!$D$5,1,MATCH($B20,'Encargos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3796457.7826467264</v>
      </c>
      <c r="AG20" s="32">
        <f t="array" aca="1" ref="AG20" ca="1">_xlfn.IFNA(SUM((AG$3&gt;='Gastos com Pessoal'!$E$7:$E$506)*(AG$3&lt;='Gastos com Pessoal'!$F$7:$F$506)*OFFSET('Encargos e Benefícios'!$D$5,1,MATCH($B20,'Encargos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3796457.7826467264</v>
      </c>
      <c r="AH20" s="32">
        <f t="array" aca="1" ref="AH20" ca="1">_xlfn.IFNA(SUM((AH$3&gt;='Gastos com Pessoal'!$E$7:$E$506)*(AH$3&lt;='Gastos com Pessoal'!$F$7:$F$506)*OFFSET('Encargos e Benefícios'!$D$5,1,MATCH($B20,'Encargos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3796457.7826467264</v>
      </c>
      <c r="AI20" s="32">
        <f t="array" aca="1" ref="AI20" ca="1">_xlfn.IFNA(SUM((AI$3&gt;='Gastos com Pessoal'!$E$7:$E$506)*(AI$3&lt;='Gastos com Pessoal'!$F$7:$F$506)*OFFSET('Encargos e Benefícios'!$D$5,1,MATCH($B20,'Encargos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3796457.7826467264</v>
      </c>
      <c r="AJ20" s="32">
        <f t="array" aca="1" ref="AJ20" ca="1">_xlfn.IFNA(SUM((AJ$3&gt;='Gastos com Pessoal'!$E$7:$E$506)*(AJ$3&lt;='Gastos com Pessoal'!$F$7:$F$506)*OFFSET('Encargos e Benefícios'!$D$5,1,MATCH($B20,'Encargos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3796457.7826467264</v>
      </c>
      <c r="AK20" s="32">
        <f t="array" aca="1" ref="AK20" ca="1">_xlfn.IFNA(SUM((AK$3&gt;='Gastos com Pessoal'!$E$7:$E$506)*(AK$3&lt;='Gastos com Pessoal'!$F$7:$F$506)*OFFSET('Encargos e Benefícios'!$D$5,1,MATCH($B20,'Encargos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3796457.7826467264</v>
      </c>
      <c r="AL20" s="32">
        <f t="array" aca="1" ref="AL20" ca="1">_xlfn.IFNA(SUM((AL$3&gt;='Gastos com Pessoal'!$E$7:$E$506)*(AL$3&lt;='Gastos com Pessoal'!$F$7:$F$506)*OFFSET('Encargos e Benefícios'!$D$5,1,MATCH($B20,'Encargos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3796457.7826467264</v>
      </c>
      <c r="AM20" s="32">
        <f t="array" aca="1" ref="AM20" ca="1">_xlfn.IFNA(SUM((AM$3&gt;='Gastos com Pessoal'!$E$7:$E$506)*(AM$3&lt;='Gastos com Pessoal'!$F$7:$F$506)*OFFSET('Encargos e Benefícios'!$D$5,1,MATCH($B20,'Encargos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0" s="32">
        <f t="array" aca="1" ref="AN20" ca="1">_xlfn.IFNA(SUM((AN$3&gt;='Gastos com Pessoal'!$E$7:$E$506)*(AN$3&lt;='Gastos com Pessoal'!$F$7:$F$506)*OFFSET('Encargos e Benefícios'!$D$5,1,MATCH($B20,'Encargos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0" s="32">
        <f t="array" aca="1" ref="AO20" ca="1">_xlfn.IFNA(SUM((AO$3&gt;='Gastos com Pessoal'!$E$7:$E$506)*(AO$3&lt;='Gastos com Pessoal'!$F$7:$F$506)*OFFSET('Encargos e Benefícios'!$D$5,1,MATCH($B20,'Encargos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0" s="32">
        <f t="array" aca="1" ref="AP20" ca="1">_xlfn.IFNA(SUM((AP$3&gt;='Gastos com Pessoal'!$E$7:$E$506)*(AP$3&lt;='Gastos com Pessoal'!$F$7:$F$506)*OFFSET('Encargos e Benefícios'!$D$5,1,MATCH($B20,'Encargos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0" s="32">
        <f t="array" aca="1" ref="AQ20" ca="1">_xlfn.IFNA(SUM((AQ$3&gt;='Gastos com Pessoal'!$E$7:$E$506)*(AQ$3&lt;='Gastos com Pessoal'!$F$7:$F$506)*OFFSET('Encargos e Benefícios'!$D$5,1,MATCH($B20,'Encargos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0" s="32">
        <f t="array" aca="1" ref="AR20" ca="1">_xlfn.IFNA(SUM((AR$3&gt;='Gastos com Pessoal'!$E$7:$E$506)*(AR$3&lt;='Gastos com Pessoal'!$F$7:$F$506)*OFFSET('Encargos e Benefícios'!$D$5,1,MATCH($B20,'Encargos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0" s="32">
        <f t="array" aca="1" ref="AS20" ca="1">_xlfn.IFNA(SUM((AS$3&gt;='Gastos com Pessoal'!$E$7:$E$506)*(AS$3&lt;='Gastos com Pessoal'!$F$7:$F$506)*OFFSET('Encargos e Benefícios'!$D$5,1,MATCH($B20,'Encargos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0" s="32">
        <f t="array" aca="1" ref="AT20" ca="1">_xlfn.IFNA(SUM((AT$3&gt;='Gastos com Pessoal'!$E$7:$E$506)*(AT$3&lt;='Gastos com Pessoal'!$F$7:$F$506)*OFFSET('Encargos e Benefícios'!$D$5,1,MATCH($B20,'Encargos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0" s="32">
        <f t="array" aca="1" ref="AU20" ca="1">_xlfn.IFNA(SUM((AU$3&gt;='Gastos com Pessoal'!$E$7:$E$506)*(AU$3&lt;='Gastos com Pessoal'!$F$7:$F$506)*OFFSET('Encargos e Benefícios'!$D$5,1,MATCH($B20,'Encargos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0" s="32">
        <f t="array" aca="1" ref="AV20" ca="1">_xlfn.IFNA(SUM((AV$3&gt;='Gastos com Pessoal'!$E$7:$E$506)*(AV$3&lt;='Gastos com Pessoal'!$F$7:$F$506)*OFFSET('Encargos e Benefícios'!$D$5,1,MATCH($B20,'Encargos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0" s="32">
        <f t="array" aca="1" ref="AW20" ca="1">_xlfn.IFNA(SUM((AW$3&gt;='Gastos com Pessoal'!$E$7:$E$506)*(AW$3&lt;='Gastos com Pessoal'!$F$7:$F$506)*OFFSET('Encargos e Benefícios'!$D$5,1,MATCH($B20,'Encargos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0" s="32">
        <f t="array" aca="1" ref="AX20" ca="1">_xlfn.IFNA(SUM((AX$3&gt;='Gastos com Pessoal'!$E$7:$E$506)*(AX$3&lt;='Gastos com Pessoal'!$F$7:$F$506)*OFFSET('Encargos e Benefícios'!$D$5,1,MATCH($B20,'Encargos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0" s="32">
        <f t="array" aca="1" ref="AY20" ca="1">_xlfn.IFNA(SUM((AY$3&gt;='Gastos com Pessoal'!$E$7:$E$506)*(AY$3&lt;='Gastos com Pessoal'!$F$7:$F$506)*OFFSET('Encargos e Benefícios'!$D$5,1,MATCH($B20,'Encargos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0" s="32">
        <f t="array" aca="1" ref="AZ20" ca="1">_xlfn.IFNA(SUM((AZ$3&gt;='Gastos com Pessoal'!$E$7:$E$506)*(AZ$3&lt;='Gastos com Pessoal'!$F$7:$F$506)*OFFSET('Encargos e Benefícios'!$D$5,1,MATCH($B20,'Encargos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0" s="32">
        <f t="array" aca="1" ref="BA20" ca="1">_xlfn.IFNA(SUM((BA$3&gt;='Gastos com Pessoal'!$E$7:$E$506)*(BA$3&lt;='Gastos com Pessoal'!$F$7:$F$506)*OFFSET('Encargos e Benefícios'!$D$5,1,MATCH($B20,'Encargos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0" s="32">
        <f t="array" aca="1" ref="BB20" ca="1">_xlfn.IFNA(SUM((BB$3&gt;='Gastos com Pessoal'!$E$7:$E$506)*(BB$3&lt;='Gastos com Pessoal'!$F$7:$F$506)*OFFSET('Encargos e Benefícios'!$D$5,1,MATCH($B20,'Encargos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0" s="32">
        <f t="array" aca="1" ref="BC20" ca="1">_xlfn.IFNA(SUM((BC$3&gt;='Gastos com Pessoal'!$E$7:$E$506)*(BC$3&lt;='Gastos com Pessoal'!$F$7:$F$506)*OFFSET('Encargos e Benefícios'!$D$5,1,MATCH($B20,'Encargos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0" s="32">
        <f t="array" aca="1" ref="BD20" ca="1">_xlfn.IFNA(SUM((BD$3&gt;='Gastos com Pessoal'!$E$7:$E$506)*(BD$3&lt;='Gastos com Pessoal'!$F$7:$F$506)*OFFSET('Encargos e Benefícios'!$D$5,1,MATCH($B20,'Encargos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0" s="32">
        <f t="array" aca="1" ref="BE20" ca="1">_xlfn.IFNA(SUM((BE$3&gt;='Gastos com Pessoal'!$E$7:$E$506)*(BE$3&lt;='Gastos com Pessoal'!$F$7:$F$506)*OFFSET('Encargos e Benefícios'!$D$5,1,MATCH($B20,'Encargos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0" s="32">
        <f t="array" aca="1" ref="BF20" ca="1">_xlfn.IFNA(SUM((BF$3&gt;='Gastos com Pessoal'!$E$7:$E$506)*(BF$3&lt;='Gastos com Pessoal'!$F$7:$F$506)*OFFSET('Encargos e Benefícios'!$D$5,1,MATCH($B20,'Encargos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0" s="32">
        <f t="array" aca="1" ref="BG20" ca="1">_xlfn.IFNA(SUM((BG$3&gt;='Gastos com Pessoal'!$E$7:$E$506)*(BG$3&lt;='Gastos com Pessoal'!$F$7:$F$506)*OFFSET('Encargos e Benefícios'!$D$5,1,MATCH($B20,'Encargos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0" s="32">
        <f t="array" aca="1" ref="BH20" ca="1">_xlfn.IFNA(SUM((BH$3&gt;='Gastos com Pessoal'!$E$7:$E$506)*(BH$3&lt;='Gastos com Pessoal'!$F$7:$F$506)*OFFSET('Encargos e Benefícios'!$D$5,1,MATCH($B20,'Encargos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0" s="32">
        <f t="array" aca="1" ref="BI20" ca="1">_xlfn.IFNA(SUM((BI$3&gt;='Gastos com Pessoal'!$E$7:$E$506)*(BI$3&lt;='Gastos com Pessoal'!$F$7:$F$506)*OFFSET('Encargos e Benefícios'!$D$5,1,MATCH($B20,'Encargos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0" s="32">
        <f t="array" aca="1" ref="BJ20" ca="1">_xlfn.IFNA(SUM((BJ$3&gt;='Gastos com Pessoal'!$E$7:$E$506)*(BJ$3&lt;='Gastos com Pessoal'!$F$7:$F$506)*OFFSET('Encargos e Benefícios'!$D$5,1,MATCH($B20,'Encargos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0" s="71">
        <f ca="1">SUM(C20:BJ20)</f>
        <v>132200268.62548143</v>
      </c>
      <c r="BL20" s="76">
        <f t="shared" ref="BL20:BL28" ca="1" si="9">IF($BK$155=0,0,BK20/$BK$155)</f>
        <v>0.36058924454366476</v>
      </c>
    </row>
    <row r="21" spans="1:64" s="49" customFormat="1" ht="23.25" customHeight="1" x14ac:dyDescent="0.2">
      <c r="A21" s="19" t="s">
        <v>124</v>
      </c>
      <c r="B21" s="20" t="s">
        <v>125</v>
      </c>
      <c r="C21" s="32">
        <f t="array" aca="1" ref="C21" ca="1">_xlfn.IFNA(SUM((C$3&gt;='Gastos com Pessoal'!$E$7:$E$506)*(C$3&lt;='Gastos com Pessoal'!$F$7:$F$506)*OFFSET('Encargos e Benefícios'!$D$5,1,MATCH($B21,'Encargos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83011.552139620151</v>
      </c>
      <c r="D21" s="32">
        <f t="array" aca="1" ref="D21" ca="1">_xlfn.IFNA(SUM((D$3&gt;='Gastos com Pessoal'!$E$7:$E$506)*(D$3&lt;='Gastos com Pessoal'!$F$7:$F$506)*OFFSET('Encargos e Benefícios'!$D$5,1,MATCH($B21,'Encargos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83011.552139620151</v>
      </c>
      <c r="E21" s="32">
        <f t="array" aca="1" ref="E21" ca="1">_xlfn.IFNA(SUM((E$3&gt;='Gastos com Pessoal'!$E$7:$E$506)*(E$3&lt;='Gastos com Pessoal'!$F$7:$F$506)*OFFSET('Encargos e Benefícios'!$D$5,1,MATCH($B21,'Encargos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83011.552139620151</v>
      </c>
      <c r="F21" s="32">
        <f t="array" aca="1" ref="F21" ca="1">_xlfn.IFNA(SUM((F$3&gt;='Gastos com Pessoal'!$E$7:$E$506)*(F$3&lt;='Gastos com Pessoal'!$F$7:$F$506)*OFFSET('Encargos e Benefícios'!$D$5,1,MATCH($B21,'Encargos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83011.552139620151</v>
      </c>
      <c r="G21" s="32">
        <f t="array" aca="1" ref="G21" ca="1">_xlfn.IFNA(SUM((G$3&gt;='Gastos com Pessoal'!$E$7:$E$506)*(G$3&lt;='Gastos com Pessoal'!$F$7:$F$506)*OFFSET('Encargos e Benefícios'!$D$5,1,MATCH($B21,'Encargos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83011.552139620151</v>
      </c>
      <c r="H21" s="32">
        <f t="array" aca="1" ref="H21" ca="1">_xlfn.IFNA(SUM((H$3&gt;='Gastos com Pessoal'!$E$7:$E$506)*(H$3&lt;='Gastos com Pessoal'!$F$7:$F$506)*OFFSET('Encargos e Benefícios'!$D$5,1,MATCH($B21,'Encargos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83011.552139620151</v>
      </c>
      <c r="I21" s="32">
        <f t="array" aca="1" ref="I21" ca="1">_xlfn.IFNA(SUM((I$3&gt;='Gastos com Pessoal'!$E$7:$E$506)*(I$3&lt;='Gastos com Pessoal'!$F$7:$F$506)*OFFSET('Encargos e Benefícios'!$D$5,1,MATCH($B21,'Encargos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83011.552139620151</v>
      </c>
      <c r="J21" s="32">
        <f t="array" aca="1" ref="J21" ca="1">_xlfn.IFNA(SUM((J$3&gt;='Gastos com Pessoal'!$E$7:$E$506)*(J$3&lt;='Gastos com Pessoal'!$F$7:$F$506)*OFFSET('Encargos e Benefícios'!$D$5,1,MATCH($B21,'Encargos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83011.552139620151</v>
      </c>
      <c r="K21" s="32">
        <f t="array" aca="1" ref="K21" ca="1">_xlfn.IFNA(SUM((K$3&gt;='Gastos com Pessoal'!$E$7:$E$506)*(K$3&lt;='Gastos com Pessoal'!$F$7:$F$506)*OFFSET('Encargos e Benefícios'!$D$5,1,MATCH($B21,'Encargos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83011.552139620151</v>
      </c>
      <c r="L21" s="32">
        <f t="array" aca="1" ref="L21" ca="1">_xlfn.IFNA(SUM((L$3&gt;='Gastos com Pessoal'!$E$7:$E$506)*(L$3&lt;='Gastos com Pessoal'!$F$7:$F$506)*OFFSET('Encargos e Benefícios'!$D$5,1,MATCH($B21,'Encargos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83011.552139620151</v>
      </c>
      <c r="M21" s="32">
        <f t="array" aca="1" ref="M21" ca="1">_xlfn.IFNA(SUM((M$3&gt;='Gastos com Pessoal'!$E$7:$E$506)*(M$3&lt;='Gastos com Pessoal'!$F$7:$F$506)*OFFSET('Encargos e Benefícios'!$D$5,1,MATCH($B21,'Encargos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83011.552139620151</v>
      </c>
      <c r="N21" s="32">
        <f t="array" aca="1" ref="N21" ca="1">_xlfn.IFNA(SUM((N$3&gt;='Gastos com Pessoal'!$E$7:$E$506)*(N$3&lt;='Gastos com Pessoal'!$F$7:$F$506)*OFFSET('Encargos e Benefícios'!$D$5,1,MATCH($B21,'Encargos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83011.552139620151</v>
      </c>
      <c r="O21" s="32">
        <f t="array" aca="1" ref="O21" ca="1">_xlfn.IFNA(SUM((O$3&gt;='Gastos com Pessoal'!$E$7:$E$506)*(O$3&lt;='Gastos com Pessoal'!$F$7:$F$506)*OFFSET('Encargos e Benefícios'!$D$5,1,MATCH($B21,'Encargos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86332.014225204955</v>
      </c>
      <c r="P21" s="32">
        <f t="array" aca="1" ref="P21" ca="1">_xlfn.IFNA(SUM((P$3&gt;='Gastos com Pessoal'!$E$7:$E$506)*(P$3&lt;='Gastos com Pessoal'!$F$7:$F$506)*OFFSET('Encargos e Benefícios'!$D$5,1,MATCH($B21,'Encargos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86332.014225204955</v>
      </c>
      <c r="Q21" s="32">
        <f t="array" aca="1" ref="Q21" ca="1">_xlfn.IFNA(SUM((Q$3&gt;='Gastos com Pessoal'!$E$7:$E$506)*(Q$3&lt;='Gastos com Pessoal'!$F$7:$F$506)*OFFSET('Encargos e Benefícios'!$D$5,1,MATCH($B21,'Encargos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86332.014225204955</v>
      </c>
      <c r="R21" s="32">
        <f t="array" aca="1" ref="R21" ca="1">_xlfn.IFNA(SUM((R$3&gt;='Gastos com Pessoal'!$E$7:$E$506)*(R$3&lt;='Gastos com Pessoal'!$F$7:$F$506)*OFFSET('Encargos e Benefícios'!$D$5,1,MATCH($B21,'Encargos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86332.014225204955</v>
      </c>
      <c r="S21" s="32">
        <f t="array" aca="1" ref="S21" ca="1">_xlfn.IFNA(SUM((S$3&gt;='Gastos com Pessoal'!$E$7:$E$506)*(S$3&lt;='Gastos com Pessoal'!$F$7:$F$506)*OFFSET('Encargos e Benefícios'!$D$5,1,MATCH($B21,'Encargos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86332.014225204955</v>
      </c>
      <c r="T21" s="32">
        <f t="array" aca="1" ref="T21" ca="1">_xlfn.IFNA(SUM((T$3&gt;='Gastos com Pessoal'!$E$7:$E$506)*(T$3&lt;='Gastos com Pessoal'!$F$7:$F$506)*OFFSET('Encargos e Benefícios'!$D$5,1,MATCH($B21,'Encargos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86332.014225204955</v>
      </c>
      <c r="U21" s="32">
        <f t="array" aca="1" ref="U21" ca="1">_xlfn.IFNA(SUM((U$3&gt;='Gastos com Pessoal'!$E$7:$E$506)*(U$3&lt;='Gastos com Pessoal'!$F$7:$F$506)*OFFSET('Encargos e Benefícios'!$D$5,1,MATCH($B21,'Encargos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86332.014225204955</v>
      </c>
      <c r="V21" s="32">
        <f t="array" aca="1" ref="V21" ca="1">_xlfn.IFNA(SUM((V$3&gt;='Gastos com Pessoal'!$E$7:$E$506)*(V$3&lt;='Gastos com Pessoal'!$F$7:$F$506)*OFFSET('Encargos e Benefícios'!$D$5,1,MATCH($B21,'Encargos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86332.014225204955</v>
      </c>
      <c r="W21" s="32">
        <f t="array" aca="1" ref="W21" ca="1">_xlfn.IFNA(SUM((W$3&gt;='Gastos com Pessoal'!$E$7:$E$506)*(W$3&lt;='Gastos com Pessoal'!$F$7:$F$506)*OFFSET('Encargos e Benefícios'!$D$5,1,MATCH($B21,'Encargos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86332.014225204955</v>
      </c>
      <c r="X21" s="32">
        <f t="array" aca="1" ref="X21" ca="1">_xlfn.IFNA(SUM((X$3&gt;='Gastos com Pessoal'!$E$7:$E$506)*(X$3&lt;='Gastos com Pessoal'!$F$7:$F$506)*OFFSET('Encargos e Benefícios'!$D$5,1,MATCH($B21,'Encargos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86332.014225204955</v>
      </c>
      <c r="Y21" s="32">
        <f t="array" aca="1" ref="Y21" ca="1">_xlfn.IFNA(SUM((Y$3&gt;='Gastos com Pessoal'!$E$7:$E$506)*(Y$3&lt;='Gastos com Pessoal'!$F$7:$F$506)*OFFSET('Encargos e Benefícios'!$D$5,1,MATCH($B21,'Encargos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86332.014225204955</v>
      </c>
      <c r="Z21" s="32">
        <f t="array" aca="1" ref="Z21" ca="1">_xlfn.IFNA(SUM((Z$3&gt;='Gastos com Pessoal'!$E$7:$E$506)*(Z$3&lt;='Gastos com Pessoal'!$F$7:$F$506)*OFFSET('Encargos e Benefícios'!$D$5,1,MATCH($B21,'Encargos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86332.014225204955</v>
      </c>
      <c r="AA21" s="32">
        <f t="array" aca="1" ref="AA21" ca="1">_xlfn.IFNA(SUM((AA$3&gt;='Gastos com Pessoal'!$E$7:$E$506)*(AA$3&lt;='Gastos com Pessoal'!$F$7:$F$506)*OFFSET('Encargos e Benefícios'!$D$5,1,MATCH($B21,'Encargos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89785.294794213158</v>
      </c>
      <c r="AB21" s="32">
        <f t="array" aca="1" ref="AB21" ca="1">_xlfn.IFNA(SUM((AB$3&gt;='Gastos com Pessoal'!$E$7:$E$506)*(AB$3&lt;='Gastos com Pessoal'!$F$7:$F$506)*OFFSET('Encargos e Benefícios'!$D$5,1,MATCH($B21,'Encargos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89785.294794213158</v>
      </c>
      <c r="AC21" s="32">
        <f t="array" aca="1" ref="AC21" ca="1">_xlfn.IFNA(SUM((AC$3&gt;='Gastos com Pessoal'!$E$7:$E$506)*(AC$3&lt;='Gastos com Pessoal'!$F$7:$F$506)*OFFSET('Encargos e Benefícios'!$D$5,1,MATCH($B21,'Encargos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89785.294794213158</v>
      </c>
      <c r="AD21" s="32">
        <f t="array" aca="1" ref="AD21" ca="1">_xlfn.IFNA(SUM((AD$3&gt;='Gastos com Pessoal'!$E$7:$E$506)*(AD$3&lt;='Gastos com Pessoal'!$F$7:$F$506)*OFFSET('Encargos e Benefícios'!$D$5,1,MATCH($B21,'Encargos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89785.294794213158</v>
      </c>
      <c r="AE21" s="32">
        <f t="array" aca="1" ref="AE21" ca="1">_xlfn.IFNA(SUM((AE$3&gt;='Gastos com Pessoal'!$E$7:$E$506)*(AE$3&lt;='Gastos com Pessoal'!$F$7:$F$506)*OFFSET('Encargos e Benefícios'!$D$5,1,MATCH($B21,'Encargos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89785.294794213158</v>
      </c>
      <c r="AF21" s="32">
        <f t="array" aca="1" ref="AF21" ca="1">_xlfn.IFNA(SUM((AF$3&gt;='Gastos com Pessoal'!$E$7:$E$506)*(AF$3&lt;='Gastos com Pessoal'!$F$7:$F$506)*OFFSET('Encargos e Benefícios'!$D$5,1,MATCH($B21,'Encargos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89785.294794213158</v>
      </c>
      <c r="AG21" s="32">
        <f t="array" aca="1" ref="AG21" ca="1">_xlfn.IFNA(SUM((AG$3&gt;='Gastos com Pessoal'!$E$7:$E$506)*(AG$3&lt;='Gastos com Pessoal'!$F$7:$F$506)*OFFSET('Encargos e Benefícios'!$D$5,1,MATCH($B21,'Encargos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89785.294794213158</v>
      </c>
      <c r="AH21" s="32">
        <f t="array" aca="1" ref="AH21" ca="1">_xlfn.IFNA(SUM((AH$3&gt;='Gastos com Pessoal'!$E$7:$E$506)*(AH$3&lt;='Gastos com Pessoal'!$F$7:$F$506)*OFFSET('Encargos e Benefícios'!$D$5,1,MATCH($B21,'Encargos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89785.294794213158</v>
      </c>
      <c r="AI21" s="32">
        <f t="array" aca="1" ref="AI21" ca="1">_xlfn.IFNA(SUM((AI$3&gt;='Gastos com Pessoal'!$E$7:$E$506)*(AI$3&lt;='Gastos com Pessoal'!$F$7:$F$506)*OFFSET('Encargos e Benefícios'!$D$5,1,MATCH($B21,'Encargos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89785.294794213158</v>
      </c>
      <c r="AJ21" s="32">
        <f t="array" aca="1" ref="AJ21" ca="1">_xlfn.IFNA(SUM((AJ$3&gt;='Gastos com Pessoal'!$E$7:$E$506)*(AJ$3&lt;='Gastos com Pessoal'!$F$7:$F$506)*OFFSET('Encargos e Benefícios'!$D$5,1,MATCH($B21,'Encargos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89785.294794213158</v>
      </c>
      <c r="AK21" s="32">
        <f t="array" aca="1" ref="AK21" ca="1">_xlfn.IFNA(SUM((AK$3&gt;='Gastos com Pessoal'!$E$7:$E$506)*(AK$3&lt;='Gastos com Pessoal'!$F$7:$F$506)*OFFSET('Encargos e Benefícios'!$D$5,1,MATCH($B21,'Encargos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89785.294794213158</v>
      </c>
      <c r="AL21" s="32">
        <f t="array" aca="1" ref="AL21" ca="1">_xlfn.IFNA(SUM((AL$3&gt;='Gastos com Pessoal'!$E$7:$E$506)*(AL$3&lt;='Gastos com Pessoal'!$F$7:$F$506)*OFFSET('Encargos e Benefícios'!$D$5,1,MATCH($B21,'Encargos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89785.294794213158</v>
      </c>
      <c r="AM21" s="32">
        <f t="array" aca="1" ref="AM21" ca="1">_xlfn.IFNA(SUM((AM$3&gt;='Gastos com Pessoal'!$E$7:$E$506)*(AM$3&lt;='Gastos com Pessoal'!$F$7:$F$506)*OFFSET('Encargos e Benefícios'!$D$5,1,MATCH($B21,'Encargos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1" s="32">
        <f t="array" aca="1" ref="AN21" ca="1">_xlfn.IFNA(SUM((AN$3&gt;='Gastos com Pessoal'!$E$7:$E$506)*(AN$3&lt;='Gastos com Pessoal'!$F$7:$F$506)*OFFSET('Encargos e Benefícios'!$D$5,1,MATCH($B21,'Encargos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1" s="32">
        <f t="array" aca="1" ref="AO21" ca="1">_xlfn.IFNA(SUM((AO$3&gt;='Gastos com Pessoal'!$E$7:$E$506)*(AO$3&lt;='Gastos com Pessoal'!$F$7:$F$506)*OFFSET('Encargos e Benefícios'!$D$5,1,MATCH($B21,'Encargos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1" s="32">
        <f t="array" aca="1" ref="AP21" ca="1">_xlfn.IFNA(SUM((AP$3&gt;='Gastos com Pessoal'!$E$7:$E$506)*(AP$3&lt;='Gastos com Pessoal'!$F$7:$F$506)*OFFSET('Encargos e Benefícios'!$D$5,1,MATCH($B21,'Encargos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1" s="32">
        <f t="array" aca="1" ref="AQ21" ca="1">_xlfn.IFNA(SUM((AQ$3&gt;='Gastos com Pessoal'!$E$7:$E$506)*(AQ$3&lt;='Gastos com Pessoal'!$F$7:$F$506)*OFFSET('Encargos e Benefícios'!$D$5,1,MATCH($B21,'Encargos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1" s="32">
        <f t="array" aca="1" ref="AR21" ca="1">_xlfn.IFNA(SUM((AR$3&gt;='Gastos com Pessoal'!$E$7:$E$506)*(AR$3&lt;='Gastos com Pessoal'!$F$7:$F$506)*OFFSET('Encargos e Benefícios'!$D$5,1,MATCH($B21,'Encargos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1" s="32">
        <f t="array" aca="1" ref="AS21" ca="1">_xlfn.IFNA(SUM((AS$3&gt;='Gastos com Pessoal'!$E$7:$E$506)*(AS$3&lt;='Gastos com Pessoal'!$F$7:$F$506)*OFFSET('Encargos e Benefícios'!$D$5,1,MATCH($B21,'Encargos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1" s="32">
        <f t="array" aca="1" ref="AT21" ca="1">_xlfn.IFNA(SUM((AT$3&gt;='Gastos com Pessoal'!$E$7:$E$506)*(AT$3&lt;='Gastos com Pessoal'!$F$7:$F$506)*OFFSET('Encargos e Benefícios'!$D$5,1,MATCH($B21,'Encargos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1" s="32">
        <f t="array" aca="1" ref="AU21" ca="1">_xlfn.IFNA(SUM((AU$3&gt;='Gastos com Pessoal'!$E$7:$E$506)*(AU$3&lt;='Gastos com Pessoal'!$F$7:$F$506)*OFFSET('Encargos e Benefícios'!$D$5,1,MATCH($B21,'Encargos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1" s="32">
        <f t="array" aca="1" ref="AV21" ca="1">_xlfn.IFNA(SUM((AV$3&gt;='Gastos com Pessoal'!$E$7:$E$506)*(AV$3&lt;='Gastos com Pessoal'!$F$7:$F$506)*OFFSET('Encargos e Benefícios'!$D$5,1,MATCH($B21,'Encargos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1" s="32">
        <f t="array" aca="1" ref="AW21" ca="1">_xlfn.IFNA(SUM((AW$3&gt;='Gastos com Pessoal'!$E$7:$E$506)*(AW$3&lt;='Gastos com Pessoal'!$F$7:$F$506)*OFFSET('Encargos e Benefícios'!$D$5,1,MATCH($B21,'Encargos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1" s="32">
        <f t="array" aca="1" ref="AX21" ca="1">_xlfn.IFNA(SUM((AX$3&gt;='Gastos com Pessoal'!$E$7:$E$506)*(AX$3&lt;='Gastos com Pessoal'!$F$7:$F$506)*OFFSET('Encargos e Benefícios'!$D$5,1,MATCH($B21,'Encargos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1" s="32">
        <f t="array" aca="1" ref="AY21" ca="1">_xlfn.IFNA(SUM((AY$3&gt;='Gastos com Pessoal'!$E$7:$E$506)*(AY$3&lt;='Gastos com Pessoal'!$F$7:$F$506)*OFFSET('Encargos e Benefícios'!$D$5,1,MATCH($B21,'Encargos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1" s="32">
        <f t="array" aca="1" ref="AZ21" ca="1">_xlfn.IFNA(SUM((AZ$3&gt;='Gastos com Pessoal'!$E$7:$E$506)*(AZ$3&lt;='Gastos com Pessoal'!$F$7:$F$506)*OFFSET('Encargos e Benefícios'!$D$5,1,MATCH($B21,'Encargos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1" s="32">
        <f t="array" aca="1" ref="BA21" ca="1">_xlfn.IFNA(SUM((BA$3&gt;='Gastos com Pessoal'!$E$7:$E$506)*(BA$3&lt;='Gastos com Pessoal'!$F$7:$F$506)*OFFSET('Encargos e Benefícios'!$D$5,1,MATCH($B21,'Encargos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1" s="32">
        <f t="array" aca="1" ref="BB21" ca="1">_xlfn.IFNA(SUM((BB$3&gt;='Gastos com Pessoal'!$E$7:$E$506)*(BB$3&lt;='Gastos com Pessoal'!$F$7:$F$506)*OFFSET('Encargos e Benefícios'!$D$5,1,MATCH($B21,'Encargos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1" s="32">
        <f t="array" aca="1" ref="BC21" ca="1">_xlfn.IFNA(SUM((BC$3&gt;='Gastos com Pessoal'!$E$7:$E$506)*(BC$3&lt;='Gastos com Pessoal'!$F$7:$F$506)*OFFSET('Encargos e Benefícios'!$D$5,1,MATCH($B21,'Encargos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1" s="32">
        <f t="array" aca="1" ref="BD21" ca="1">_xlfn.IFNA(SUM((BD$3&gt;='Gastos com Pessoal'!$E$7:$E$506)*(BD$3&lt;='Gastos com Pessoal'!$F$7:$F$506)*OFFSET('Encargos e Benefícios'!$D$5,1,MATCH($B21,'Encargos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1" s="32">
        <f t="array" aca="1" ref="BE21" ca="1">_xlfn.IFNA(SUM((BE$3&gt;='Gastos com Pessoal'!$E$7:$E$506)*(BE$3&lt;='Gastos com Pessoal'!$F$7:$F$506)*OFFSET('Encargos e Benefícios'!$D$5,1,MATCH($B21,'Encargos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1" s="32">
        <f t="array" aca="1" ref="BF21" ca="1">_xlfn.IFNA(SUM((BF$3&gt;='Gastos com Pessoal'!$E$7:$E$506)*(BF$3&lt;='Gastos com Pessoal'!$F$7:$F$506)*OFFSET('Encargos e Benefícios'!$D$5,1,MATCH($B21,'Encargos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1" s="32">
        <f t="array" aca="1" ref="BG21" ca="1">_xlfn.IFNA(SUM((BG$3&gt;='Gastos com Pessoal'!$E$7:$E$506)*(BG$3&lt;='Gastos com Pessoal'!$F$7:$F$506)*OFFSET('Encargos e Benefícios'!$D$5,1,MATCH($B21,'Encargos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1" s="32">
        <f t="array" aca="1" ref="BH21" ca="1">_xlfn.IFNA(SUM((BH$3&gt;='Gastos com Pessoal'!$E$7:$E$506)*(BH$3&lt;='Gastos com Pessoal'!$F$7:$F$506)*OFFSET('Encargos e Benefícios'!$D$5,1,MATCH($B21,'Encargos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1" s="32">
        <f t="array" aca="1" ref="BI21" ca="1">_xlfn.IFNA(SUM((BI$3&gt;='Gastos com Pessoal'!$E$7:$E$506)*(BI$3&lt;='Gastos com Pessoal'!$F$7:$F$506)*OFFSET('Encargos e Benefícios'!$D$5,1,MATCH($B21,'Encargos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1" s="32">
        <f t="array" aca="1" ref="BJ21" ca="1">_xlfn.IFNA(SUM((BJ$3&gt;='Gastos com Pessoal'!$E$7:$E$506)*(BJ$3&lt;='Gastos com Pessoal'!$F$7:$F$506)*OFFSET('Encargos e Benefícios'!$D$5,1,MATCH($B21,'Encargos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1" s="71">
        <f t="shared" ref="BK21:BK26" ca="1" si="10">SUM(C21:BJ21)</f>
        <v>3109546.3339084578</v>
      </c>
      <c r="BL21" s="76">
        <f t="shared" ca="1" si="9"/>
        <v>8.4815936841557207E-3</v>
      </c>
    </row>
    <row r="22" spans="1:64" s="49" customFormat="1" ht="23.25" customHeight="1" x14ac:dyDescent="0.2">
      <c r="A22" s="19" t="s">
        <v>126</v>
      </c>
      <c r="B22" s="20" t="s">
        <v>127</v>
      </c>
      <c r="C22" s="32">
        <f t="array" aca="1" ref="C22" ca="1">_xlfn.IFNA(SUM((C$3&gt;='Gastos com Pessoal'!$E$7:$E$506)*(C$3&lt;='Gastos com Pessoal'!$F$7:$F$506)*OFFSET('Encargos e Benefícios'!$D$5,1,MATCH($B22,'Encargos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16602.310427924036</v>
      </c>
      <c r="D22" s="32">
        <f t="array" aca="1" ref="D22" ca="1">_xlfn.IFNA(SUM((D$3&gt;='Gastos com Pessoal'!$E$7:$E$506)*(D$3&lt;='Gastos com Pessoal'!$F$7:$F$506)*OFFSET('Encargos e Benefícios'!$D$5,1,MATCH($B22,'Encargos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16602.310427924036</v>
      </c>
      <c r="E22" s="32">
        <f t="array" aca="1" ref="E22" ca="1">_xlfn.IFNA(SUM((E$3&gt;='Gastos com Pessoal'!$E$7:$E$506)*(E$3&lt;='Gastos com Pessoal'!$F$7:$F$506)*OFFSET('Encargos e Benefícios'!$D$5,1,MATCH($B22,'Encargos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16602.310427924036</v>
      </c>
      <c r="F22" s="32">
        <f t="array" aca="1" ref="F22" ca="1">_xlfn.IFNA(SUM((F$3&gt;='Gastos com Pessoal'!$E$7:$E$506)*(F$3&lt;='Gastos com Pessoal'!$F$7:$F$506)*OFFSET('Encargos e Benefícios'!$D$5,1,MATCH($B22,'Encargos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16602.310427924036</v>
      </c>
      <c r="G22" s="32">
        <f t="array" aca="1" ref="G22" ca="1">_xlfn.IFNA(SUM((G$3&gt;='Gastos com Pessoal'!$E$7:$E$506)*(G$3&lt;='Gastos com Pessoal'!$F$7:$F$506)*OFFSET('Encargos e Benefícios'!$D$5,1,MATCH($B22,'Encargos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16602.310427924036</v>
      </c>
      <c r="H22" s="32">
        <f t="array" aca="1" ref="H22" ca="1">_xlfn.IFNA(SUM((H$3&gt;='Gastos com Pessoal'!$E$7:$E$506)*(H$3&lt;='Gastos com Pessoal'!$F$7:$F$506)*OFFSET('Encargos e Benefícios'!$D$5,1,MATCH($B22,'Encargos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16602.310427924036</v>
      </c>
      <c r="I22" s="32">
        <f t="array" aca="1" ref="I22" ca="1">_xlfn.IFNA(SUM((I$3&gt;='Gastos com Pessoal'!$E$7:$E$506)*(I$3&lt;='Gastos com Pessoal'!$F$7:$F$506)*OFFSET('Encargos e Benefícios'!$D$5,1,MATCH($B22,'Encargos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16602.310427924036</v>
      </c>
      <c r="J22" s="32">
        <f t="array" aca="1" ref="J22" ca="1">_xlfn.IFNA(SUM((J$3&gt;='Gastos com Pessoal'!$E$7:$E$506)*(J$3&lt;='Gastos com Pessoal'!$F$7:$F$506)*OFFSET('Encargos e Benefícios'!$D$5,1,MATCH($B22,'Encargos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16602.310427924036</v>
      </c>
      <c r="K22" s="32">
        <f t="array" aca="1" ref="K22" ca="1">_xlfn.IFNA(SUM((K$3&gt;='Gastos com Pessoal'!$E$7:$E$506)*(K$3&lt;='Gastos com Pessoal'!$F$7:$F$506)*OFFSET('Encargos e Benefícios'!$D$5,1,MATCH($B22,'Encargos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16602.310427924036</v>
      </c>
      <c r="L22" s="32">
        <f t="array" aca="1" ref="L22" ca="1">_xlfn.IFNA(SUM((L$3&gt;='Gastos com Pessoal'!$E$7:$E$506)*(L$3&lt;='Gastos com Pessoal'!$F$7:$F$506)*OFFSET('Encargos e Benefícios'!$D$5,1,MATCH($B22,'Encargos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16602.310427924036</v>
      </c>
      <c r="M22" s="32">
        <f t="array" aca="1" ref="M22" ca="1">_xlfn.IFNA(SUM((M$3&gt;='Gastos com Pessoal'!$E$7:$E$506)*(M$3&lt;='Gastos com Pessoal'!$F$7:$F$506)*OFFSET('Encargos e Benefícios'!$D$5,1,MATCH($B22,'Encargos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16602.310427924036</v>
      </c>
      <c r="N22" s="32">
        <f t="array" aca="1" ref="N22" ca="1">_xlfn.IFNA(SUM((N$3&gt;='Gastos com Pessoal'!$E$7:$E$506)*(N$3&lt;='Gastos com Pessoal'!$F$7:$F$506)*OFFSET('Encargos e Benefícios'!$D$5,1,MATCH($B22,'Encargos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16602.310427924036</v>
      </c>
      <c r="O22" s="32">
        <f t="array" aca="1" ref="O22" ca="1">_xlfn.IFNA(SUM((O$3&gt;='Gastos com Pessoal'!$E$7:$E$506)*(O$3&lt;='Gastos com Pessoal'!$F$7:$F$506)*OFFSET('Encargos e Benefícios'!$D$5,1,MATCH($B22,'Encargos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17266.402845040997</v>
      </c>
      <c r="P22" s="32">
        <f t="array" aca="1" ref="P22" ca="1">_xlfn.IFNA(SUM((P$3&gt;='Gastos com Pessoal'!$E$7:$E$506)*(P$3&lt;='Gastos com Pessoal'!$F$7:$F$506)*OFFSET('Encargos e Benefícios'!$D$5,1,MATCH($B22,'Encargos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17266.402845040997</v>
      </c>
      <c r="Q22" s="32">
        <f t="array" aca="1" ref="Q22" ca="1">_xlfn.IFNA(SUM((Q$3&gt;='Gastos com Pessoal'!$E$7:$E$506)*(Q$3&lt;='Gastos com Pessoal'!$F$7:$F$506)*OFFSET('Encargos e Benefícios'!$D$5,1,MATCH($B22,'Encargos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17266.402845040997</v>
      </c>
      <c r="R22" s="32">
        <f t="array" aca="1" ref="R22" ca="1">_xlfn.IFNA(SUM((R$3&gt;='Gastos com Pessoal'!$E$7:$E$506)*(R$3&lt;='Gastos com Pessoal'!$F$7:$F$506)*OFFSET('Encargos e Benefícios'!$D$5,1,MATCH($B22,'Encargos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17266.402845040997</v>
      </c>
      <c r="S22" s="32">
        <f t="array" aca="1" ref="S22" ca="1">_xlfn.IFNA(SUM((S$3&gt;='Gastos com Pessoal'!$E$7:$E$506)*(S$3&lt;='Gastos com Pessoal'!$F$7:$F$506)*OFFSET('Encargos e Benefícios'!$D$5,1,MATCH($B22,'Encargos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17266.402845040997</v>
      </c>
      <c r="T22" s="32">
        <f t="array" aca="1" ref="T22" ca="1">_xlfn.IFNA(SUM((T$3&gt;='Gastos com Pessoal'!$E$7:$E$506)*(T$3&lt;='Gastos com Pessoal'!$F$7:$F$506)*OFFSET('Encargos e Benefícios'!$D$5,1,MATCH($B22,'Encargos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17266.402845040997</v>
      </c>
      <c r="U22" s="32">
        <f t="array" aca="1" ref="U22" ca="1">_xlfn.IFNA(SUM((U$3&gt;='Gastos com Pessoal'!$E$7:$E$506)*(U$3&lt;='Gastos com Pessoal'!$F$7:$F$506)*OFFSET('Encargos e Benefícios'!$D$5,1,MATCH($B22,'Encargos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17266.402845040997</v>
      </c>
      <c r="V22" s="32">
        <f t="array" aca="1" ref="V22" ca="1">_xlfn.IFNA(SUM((V$3&gt;='Gastos com Pessoal'!$E$7:$E$506)*(V$3&lt;='Gastos com Pessoal'!$F$7:$F$506)*OFFSET('Encargos e Benefícios'!$D$5,1,MATCH($B22,'Encargos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17266.402845040997</v>
      </c>
      <c r="W22" s="32">
        <f t="array" aca="1" ref="W22" ca="1">_xlfn.IFNA(SUM((W$3&gt;='Gastos com Pessoal'!$E$7:$E$506)*(W$3&lt;='Gastos com Pessoal'!$F$7:$F$506)*OFFSET('Encargos e Benefícios'!$D$5,1,MATCH($B22,'Encargos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17266.402845040997</v>
      </c>
      <c r="X22" s="32">
        <f t="array" aca="1" ref="X22" ca="1">_xlfn.IFNA(SUM((X$3&gt;='Gastos com Pessoal'!$E$7:$E$506)*(X$3&lt;='Gastos com Pessoal'!$F$7:$F$506)*OFFSET('Encargos e Benefícios'!$D$5,1,MATCH($B22,'Encargos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17266.402845040997</v>
      </c>
      <c r="Y22" s="32">
        <f t="array" aca="1" ref="Y22" ca="1">_xlfn.IFNA(SUM((Y$3&gt;='Gastos com Pessoal'!$E$7:$E$506)*(Y$3&lt;='Gastos com Pessoal'!$F$7:$F$506)*OFFSET('Encargos e Benefícios'!$D$5,1,MATCH($B22,'Encargos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17266.402845040997</v>
      </c>
      <c r="Z22" s="32">
        <f t="array" aca="1" ref="Z22" ca="1">_xlfn.IFNA(SUM((Z$3&gt;='Gastos com Pessoal'!$E$7:$E$506)*(Z$3&lt;='Gastos com Pessoal'!$F$7:$F$506)*OFFSET('Encargos e Benefícios'!$D$5,1,MATCH($B22,'Encargos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17266.402845040997</v>
      </c>
      <c r="AA22" s="32">
        <f t="array" aca="1" ref="AA22" ca="1">_xlfn.IFNA(SUM((AA$3&gt;='Gastos com Pessoal'!$E$7:$E$506)*(AA$3&lt;='Gastos com Pessoal'!$F$7:$F$506)*OFFSET('Encargos e Benefícios'!$D$5,1,MATCH($B22,'Encargos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17957.058958842637</v>
      </c>
      <c r="AB22" s="32">
        <f t="array" aca="1" ref="AB22" ca="1">_xlfn.IFNA(SUM((AB$3&gt;='Gastos com Pessoal'!$E$7:$E$506)*(AB$3&lt;='Gastos com Pessoal'!$F$7:$F$506)*OFFSET('Encargos e Benefícios'!$D$5,1,MATCH($B22,'Encargos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17957.058958842637</v>
      </c>
      <c r="AC22" s="32">
        <f t="array" aca="1" ref="AC22" ca="1">_xlfn.IFNA(SUM((AC$3&gt;='Gastos com Pessoal'!$E$7:$E$506)*(AC$3&lt;='Gastos com Pessoal'!$F$7:$F$506)*OFFSET('Encargos e Benefícios'!$D$5,1,MATCH($B22,'Encargos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17957.058958842637</v>
      </c>
      <c r="AD22" s="32">
        <f t="array" aca="1" ref="AD22" ca="1">_xlfn.IFNA(SUM((AD$3&gt;='Gastos com Pessoal'!$E$7:$E$506)*(AD$3&lt;='Gastos com Pessoal'!$F$7:$F$506)*OFFSET('Encargos e Benefícios'!$D$5,1,MATCH($B22,'Encargos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17957.058958842637</v>
      </c>
      <c r="AE22" s="32">
        <f t="array" aca="1" ref="AE22" ca="1">_xlfn.IFNA(SUM((AE$3&gt;='Gastos com Pessoal'!$E$7:$E$506)*(AE$3&lt;='Gastos com Pessoal'!$F$7:$F$506)*OFFSET('Encargos e Benefícios'!$D$5,1,MATCH($B22,'Encargos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17957.058958842637</v>
      </c>
      <c r="AF22" s="32">
        <f t="array" aca="1" ref="AF22" ca="1">_xlfn.IFNA(SUM((AF$3&gt;='Gastos com Pessoal'!$E$7:$E$506)*(AF$3&lt;='Gastos com Pessoal'!$F$7:$F$506)*OFFSET('Encargos e Benefícios'!$D$5,1,MATCH($B22,'Encargos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17957.058958842637</v>
      </c>
      <c r="AG22" s="32">
        <f t="array" aca="1" ref="AG22" ca="1">_xlfn.IFNA(SUM((AG$3&gt;='Gastos com Pessoal'!$E$7:$E$506)*(AG$3&lt;='Gastos com Pessoal'!$F$7:$F$506)*OFFSET('Encargos e Benefícios'!$D$5,1,MATCH($B22,'Encargos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17957.058958842637</v>
      </c>
      <c r="AH22" s="32">
        <f t="array" aca="1" ref="AH22" ca="1">_xlfn.IFNA(SUM((AH$3&gt;='Gastos com Pessoal'!$E$7:$E$506)*(AH$3&lt;='Gastos com Pessoal'!$F$7:$F$506)*OFFSET('Encargos e Benefícios'!$D$5,1,MATCH($B22,'Encargos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17957.058958842637</v>
      </c>
      <c r="AI22" s="32">
        <f t="array" aca="1" ref="AI22" ca="1">_xlfn.IFNA(SUM((AI$3&gt;='Gastos com Pessoal'!$E$7:$E$506)*(AI$3&lt;='Gastos com Pessoal'!$F$7:$F$506)*OFFSET('Encargos e Benefícios'!$D$5,1,MATCH($B22,'Encargos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17957.058958842637</v>
      </c>
      <c r="AJ22" s="32">
        <f t="array" aca="1" ref="AJ22" ca="1">_xlfn.IFNA(SUM((AJ$3&gt;='Gastos com Pessoal'!$E$7:$E$506)*(AJ$3&lt;='Gastos com Pessoal'!$F$7:$F$506)*OFFSET('Encargos e Benefícios'!$D$5,1,MATCH($B22,'Encargos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17957.058958842637</v>
      </c>
      <c r="AK22" s="32">
        <f t="array" aca="1" ref="AK22" ca="1">_xlfn.IFNA(SUM((AK$3&gt;='Gastos com Pessoal'!$E$7:$E$506)*(AK$3&lt;='Gastos com Pessoal'!$F$7:$F$506)*OFFSET('Encargos e Benefícios'!$D$5,1,MATCH($B22,'Encargos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17957.058958842637</v>
      </c>
      <c r="AL22" s="32">
        <f t="array" aca="1" ref="AL22" ca="1">_xlfn.IFNA(SUM((AL$3&gt;='Gastos com Pessoal'!$E$7:$E$506)*(AL$3&lt;='Gastos com Pessoal'!$F$7:$F$506)*OFFSET('Encargos e Benefícios'!$D$5,1,MATCH($B22,'Encargos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17957.058958842637</v>
      </c>
      <c r="AM22" s="32">
        <f t="array" aca="1" ref="AM22" ca="1">_xlfn.IFNA(SUM((AM$3&gt;='Gastos com Pessoal'!$E$7:$E$506)*(AM$3&lt;='Gastos com Pessoal'!$F$7:$F$506)*OFFSET('Encargos e Benefícios'!$D$5,1,MATCH($B22,'Encargos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2" s="32">
        <f t="array" aca="1" ref="AN22" ca="1">_xlfn.IFNA(SUM((AN$3&gt;='Gastos com Pessoal'!$E$7:$E$506)*(AN$3&lt;='Gastos com Pessoal'!$F$7:$F$506)*OFFSET('Encargos e Benefícios'!$D$5,1,MATCH($B22,'Encargos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2" s="32">
        <f t="array" aca="1" ref="AO22" ca="1">_xlfn.IFNA(SUM((AO$3&gt;='Gastos com Pessoal'!$E$7:$E$506)*(AO$3&lt;='Gastos com Pessoal'!$F$7:$F$506)*OFFSET('Encargos e Benefícios'!$D$5,1,MATCH($B22,'Encargos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2" s="32">
        <f t="array" aca="1" ref="AP22" ca="1">_xlfn.IFNA(SUM((AP$3&gt;='Gastos com Pessoal'!$E$7:$E$506)*(AP$3&lt;='Gastos com Pessoal'!$F$7:$F$506)*OFFSET('Encargos e Benefícios'!$D$5,1,MATCH($B22,'Encargos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2" s="32">
        <f t="array" aca="1" ref="AQ22" ca="1">_xlfn.IFNA(SUM((AQ$3&gt;='Gastos com Pessoal'!$E$7:$E$506)*(AQ$3&lt;='Gastos com Pessoal'!$F$7:$F$506)*OFFSET('Encargos e Benefícios'!$D$5,1,MATCH($B22,'Encargos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2" s="32">
        <f t="array" aca="1" ref="AR22" ca="1">_xlfn.IFNA(SUM((AR$3&gt;='Gastos com Pessoal'!$E$7:$E$506)*(AR$3&lt;='Gastos com Pessoal'!$F$7:$F$506)*OFFSET('Encargos e Benefícios'!$D$5,1,MATCH($B22,'Encargos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2" s="32">
        <f t="array" aca="1" ref="AS22" ca="1">_xlfn.IFNA(SUM((AS$3&gt;='Gastos com Pessoal'!$E$7:$E$506)*(AS$3&lt;='Gastos com Pessoal'!$F$7:$F$506)*OFFSET('Encargos e Benefícios'!$D$5,1,MATCH($B22,'Encargos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2" s="32">
        <f t="array" aca="1" ref="AT22" ca="1">_xlfn.IFNA(SUM((AT$3&gt;='Gastos com Pessoal'!$E$7:$E$506)*(AT$3&lt;='Gastos com Pessoal'!$F$7:$F$506)*OFFSET('Encargos e Benefícios'!$D$5,1,MATCH($B22,'Encargos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2" s="32">
        <f t="array" aca="1" ref="AU22" ca="1">_xlfn.IFNA(SUM((AU$3&gt;='Gastos com Pessoal'!$E$7:$E$506)*(AU$3&lt;='Gastos com Pessoal'!$F$7:$F$506)*OFFSET('Encargos e Benefícios'!$D$5,1,MATCH($B22,'Encargos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2" s="32">
        <f t="array" aca="1" ref="AV22" ca="1">_xlfn.IFNA(SUM((AV$3&gt;='Gastos com Pessoal'!$E$7:$E$506)*(AV$3&lt;='Gastos com Pessoal'!$F$7:$F$506)*OFFSET('Encargos e Benefícios'!$D$5,1,MATCH($B22,'Encargos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2" s="32">
        <f t="array" aca="1" ref="AW22" ca="1">_xlfn.IFNA(SUM((AW$3&gt;='Gastos com Pessoal'!$E$7:$E$506)*(AW$3&lt;='Gastos com Pessoal'!$F$7:$F$506)*OFFSET('Encargos e Benefícios'!$D$5,1,MATCH($B22,'Encargos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2" s="32">
        <f t="array" aca="1" ref="AX22" ca="1">_xlfn.IFNA(SUM((AX$3&gt;='Gastos com Pessoal'!$E$7:$E$506)*(AX$3&lt;='Gastos com Pessoal'!$F$7:$F$506)*OFFSET('Encargos e Benefícios'!$D$5,1,MATCH($B22,'Encargos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2" s="32">
        <f t="array" aca="1" ref="AY22" ca="1">_xlfn.IFNA(SUM((AY$3&gt;='Gastos com Pessoal'!$E$7:$E$506)*(AY$3&lt;='Gastos com Pessoal'!$F$7:$F$506)*OFFSET('Encargos e Benefícios'!$D$5,1,MATCH($B22,'Encargos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2" s="32">
        <f t="array" aca="1" ref="AZ22" ca="1">_xlfn.IFNA(SUM((AZ$3&gt;='Gastos com Pessoal'!$E$7:$E$506)*(AZ$3&lt;='Gastos com Pessoal'!$F$7:$F$506)*OFFSET('Encargos e Benefícios'!$D$5,1,MATCH($B22,'Encargos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2" s="32">
        <f t="array" aca="1" ref="BA22" ca="1">_xlfn.IFNA(SUM((BA$3&gt;='Gastos com Pessoal'!$E$7:$E$506)*(BA$3&lt;='Gastos com Pessoal'!$F$7:$F$506)*OFFSET('Encargos e Benefícios'!$D$5,1,MATCH($B22,'Encargos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2" s="32">
        <f t="array" aca="1" ref="BB22" ca="1">_xlfn.IFNA(SUM((BB$3&gt;='Gastos com Pessoal'!$E$7:$E$506)*(BB$3&lt;='Gastos com Pessoal'!$F$7:$F$506)*OFFSET('Encargos e Benefícios'!$D$5,1,MATCH($B22,'Encargos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2" s="32">
        <f t="array" aca="1" ref="BC22" ca="1">_xlfn.IFNA(SUM((BC$3&gt;='Gastos com Pessoal'!$E$7:$E$506)*(BC$3&lt;='Gastos com Pessoal'!$F$7:$F$506)*OFFSET('Encargos e Benefícios'!$D$5,1,MATCH($B22,'Encargos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2" s="32">
        <f t="array" aca="1" ref="BD22" ca="1">_xlfn.IFNA(SUM((BD$3&gt;='Gastos com Pessoal'!$E$7:$E$506)*(BD$3&lt;='Gastos com Pessoal'!$F$7:$F$506)*OFFSET('Encargos e Benefícios'!$D$5,1,MATCH($B22,'Encargos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2" s="32">
        <f t="array" aca="1" ref="BE22" ca="1">_xlfn.IFNA(SUM((BE$3&gt;='Gastos com Pessoal'!$E$7:$E$506)*(BE$3&lt;='Gastos com Pessoal'!$F$7:$F$506)*OFFSET('Encargos e Benefícios'!$D$5,1,MATCH($B22,'Encargos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2" s="32">
        <f t="array" aca="1" ref="BF22" ca="1">_xlfn.IFNA(SUM((BF$3&gt;='Gastos com Pessoal'!$E$7:$E$506)*(BF$3&lt;='Gastos com Pessoal'!$F$7:$F$506)*OFFSET('Encargos e Benefícios'!$D$5,1,MATCH($B22,'Encargos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2" s="32">
        <f t="array" aca="1" ref="BG22" ca="1">_xlfn.IFNA(SUM((BG$3&gt;='Gastos com Pessoal'!$E$7:$E$506)*(BG$3&lt;='Gastos com Pessoal'!$F$7:$F$506)*OFFSET('Encargos e Benefícios'!$D$5,1,MATCH($B22,'Encargos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2" s="32">
        <f t="array" aca="1" ref="BH22" ca="1">_xlfn.IFNA(SUM((BH$3&gt;='Gastos com Pessoal'!$E$7:$E$506)*(BH$3&lt;='Gastos com Pessoal'!$F$7:$F$506)*OFFSET('Encargos e Benefícios'!$D$5,1,MATCH($B22,'Encargos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2" s="32">
        <f t="array" aca="1" ref="BI22" ca="1">_xlfn.IFNA(SUM((BI$3&gt;='Gastos com Pessoal'!$E$7:$E$506)*(BI$3&lt;='Gastos com Pessoal'!$F$7:$F$506)*OFFSET('Encargos e Benefícios'!$D$5,1,MATCH($B22,'Encargos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2" s="32">
        <f t="array" aca="1" ref="BJ22" ca="1">_xlfn.IFNA(SUM((BJ$3&gt;='Gastos com Pessoal'!$E$7:$E$506)*(BJ$3&lt;='Gastos com Pessoal'!$F$7:$F$506)*OFFSET('Encargos e Benefícios'!$D$5,1,MATCH($B22,'Encargos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2" s="71">
        <f t="shared" ca="1" si="10"/>
        <v>621909.26678169239</v>
      </c>
      <c r="BL22" s="76">
        <f t="shared" ca="1" si="9"/>
        <v>1.6963187368311465E-3</v>
      </c>
    </row>
    <row r="23" spans="1:64" s="49" customFormat="1" ht="23.25" customHeight="1" x14ac:dyDescent="0.2">
      <c r="A23" s="19" t="s">
        <v>128</v>
      </c>
      <c r="B23" s="20" t="s">
        <v>129</v>
      </c>
      <c r="C23" s="32">
        <f t="array" aca="1" ref="C23" ca="1">_xlfn.IFNA(SUM((C$3&gt;='Gastos com Pessoal'!$E$7:$E$506)*(C$3&lt;='Gastos com Pessoal'!$F$7:$F$506)*OFFSET('Encargos e Benefícios'!$D$5,1,MATCH($B23,'Encargos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289532.72403359745</v>
      </c>
      <c r="D23" s="32">
        <f t="array" aca="1" ref="D23" ca="1">_xlfn.IFNA(SUM((D$3&gt;='Gastos com Pessoal'!$E$7:$E$506)*(D$3&lt;='Gastos com Pessoal'!$F$7:$F$506)*OFFSET('Encargos e Benefícios'!$D$5,1,MATCH($B23,'Encargos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289532.72403359745</v>
      </c>
      <c r="E23" s="32">
        <f t="array" aca="1" ref="E23" ca="1">_xlfn.IFNA(SUM((E$3&gt;='Gastos com Pessoal'!$E$7:$E$506)*(E$3&lt;='Gastos com Pessoal'!$F$7:$F$506)*OFFSET('Encargos e Benefícios'!$D$5,1,MATCH($B23,'Encargos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289532.72403359745</v>
      </c>
      <c r="F23" s="32">
        <f t="array" aca="1" ref="F23" ca="1">_xlfn.IFNA(SUM((F$3&gt;='Gastos com Pessoal'!$E$7:$E$506)*(F$3&lt;='Gastos com Pessoal'!$F$7:$F$506)*OFFSET('Encargos e Benefícios'!$D$5,1,MATCH($B23,'Encargos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289532.72403359745</v>
      </c>
      <c r="G23" s="32">
        <f t="array" aca="1" ref="G23" ca="1">_xlfn.IFNA(SUM((G$3&gt;='Gastos com Pessoal'!$E$7:$E$506)*(G$3&lt;='Gastos com Pessoal'!$F$7:$F$506)*OFFSET('Encargos e Benefícios'!$D$5,1,MATCH($B23,'Encargos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289532.72403359745</v>
      </c>
      <c r="H23" s="32">
        <f t="array" aca="1" ref="H23" ca="1">_xlfn.IFNA(SUM((H$3&gt;='Gastos com Pessoal'!$E$7:$E$506)*(H$3&lt;='Gastos com Pessoal'!$F$7:$F$506)*OFFSET('Encargos e Benefícios'!$D$5,1,MATCH($B23,'Encargos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289532.72403359745</v>
      </c>
      <c r="I23" s="32">
        <f t="array" aca="1" ref="I23" ca="1">_xlfn.IFNA(SUM((I$3&gt;='Gastos com Pessoal'!$E$7:$E$506)*(I$3&lt;='Gastos com Pessoal'!$F$7:$F$506)*OFFSET('Encargos e Benefícios'!$D$5,1,MATCH($B23,'Encargos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289532.72403359745</v>
      </c>
      <c r="J23" s="32">
        <f t="array" aca="1" ref="J23" ca="1">_xlfn.IFNA(SUM((J$3&gt;='Gastos com Pessoal'!$E$7:$E$506)*(J$3&lt;='Gastos com Pessoal'!$F$7:$F$506)*OFFSET('Encargos e Benefícios'!$D$5,1,MATCH($B23,'Encargos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289532.72403359745</v>
      </c>
      <c r="K23" s="32">
        <f t="array" aca="1" ref="K23" ca="1">_xlfn.IFNA(SUM((K$3&gt;='Gastos com Pessoal'!$E$7:$E$506)*(K$3&lt;='Gastos com Pessoal'!$F$7:$F$506)*OFFSET('Encargos e Benefícios'!$D$5,1,MATCH($B23,'Encargos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289532.72403359745</v>
      </c>
      <c r="L23" s="32">
        <f t="array" aca="1" ref="L23" ca="1">_xlfn.IFNA(SUM((L$3&gt;='Gastos com Pessoal'!$E$7:$E$506)*(L$3&lt;='Gastos com Pessoal'!$F$7:$F$506)*OFFSET('Encargos e Benefícios'!$D$5,1,MATCH($B23,'Encargos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289532.72403359745</v>
      </c>
      <c r="M23" s="32">
        <f t="array" aca="1" ref="M23" ca="1">_xlfn.IFNA(SUM((M$3&gt;='Gastos com Pessoal'!$E$7:$E$506)*(M$3&lt;='Gastos com Pessoal'!$F$7:$F$506)*OFFSET('Encargos e Benefícios'!$D$5,1,MATCH($B23,'Encargos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289532.72403359745</v>
      </c>
      <c r="N23" s="32">
        <f t="array" aca="1" ref="N23" ca="1">_xlfn.IFNA(SUM((N$3&gt;='Gastos com Pessoal'!$E$7:$E$506)*(N$3&lt;='Gastos com Pessoal'!$F$7:$F$506)*OFFSET('Encargos e Benefícios'!$D$5,1,MATCH($B23,'Encargos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289532.72403359745</v>
      </c>
      <c r="O23" s="32">
        <f t="array" aca="1" ref="O23" ca="1">_xlfn.IFNA(SUM((O$3&gt;='Gastos com Pessoal'!$E$7:$E$506)*(O$3&lt;='Gastos com Pessoal'!$F$7:$F$506)*OFFSET('Encargos e Benefícios'!$D$5,1,MATCH($B23,'Encargos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301114.03299494134</v>
      </c>
      <c r="P23" s="32">
        <f t="array" aca="1" ref="P23" ca="1">_xlfn.IFNA(SUM((P$3&gt;='Gastos com Pessoal'!$E$7:$E$506)*(P$3&lt;='Gastos com Pessoal'!$F$7:$F$506)*OFFSET('Encargos e Benefícios'!$D$5,1,MATCH($B23,'Encargos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301114.03299494134</v>
      </c>
      <c r="Q23" s="32">
        <f t="array" aca="1" ref="Q23" ca="1">_xlfn.IFNA(SUM((Q$3&gt;='Gastos com Pessoal'!$E$7:$E$506)*(Q$3&lt;='Gastos com Pessoal'!$F$7:$F$506)*OFFSET('Encargos e Benefícios'!$D$5,1,MATCH($B23,'Encargos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301114.03299494134</v>
      </c>
      <c r="R23" s="32">
        <f t="array" aca="1" ref="R23" ca="1">_xlfn.IFNA(SUM((R$3&gt;='Gastos com Pessoal'!$E$7:$E$506)*(R$3&lt;='Gastos com Pessoal'!$F$7:$F$506)*OFFSET('Encargos e Benefícios'!$D$5,1,MATCH($B23,'Encargos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301114.03299494134</v>
      </c>
      <c r="S23" s="32">
        <f t="array" aca="1" ref="S23" ca="1">_xlfn.IFNA(SUM((S$3&gt;='Gastos com Pessoal'!$E$7:$E$506)*(S$3&lt;='Gastos com Pessoal'!$F$7:$F$506)*OFFSET('Encargos e Benefícios'!$D$5,1,MATCH($B23,'Encargos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301114.03299494134</v>
      </c>
      <c r="T23" s="32">
        <f t="array" aca="1" ref="T23" ca="1">_xlfn.IFNA(SUM((T$3&gt;='Gastos com Pessoal'!$E$7:$E$506)*(T$3&lt;='Gastos com Pessoal'!$F$7:$F$506)*OFFSET('Encargos e Benefícios'!$D$5,1,MATCH($B23,'Encargos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301114.03299494134</v>
      </c>
      <c r="U23" s="32">
        <f t="array" aca="1" ref="U23" ca="1">_xlfn.IFNA(SUM((U$3&gt;='Gastos com Pessoal'!$E$7:$E$506)*(U$3&lt;='Gastos com Pessoal'!$F$7:$F$506)*OFFSET('Encargos e Benefícios'!$D$5,1,MATCH($B23,'Encargos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301114.03299494134</v>
      </c>
      <c r="V23" s="32">
        <f t="array" aca="1" ref="V23" ca="1">_xlfn.IFNA(SUM((V$3&gt;='Gastos com Pessoal'!$E$7:$E$506)*(V$3&lt;='Gastos com Pessoal'!$F$7:$F$506)*OFFSET('Encargos e Benefícios'!$D$5,1,MATCH($B23,'Encargos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301114.03299494134</v>
      </c>
      <c r="W23" s="32">
        <f t="array" aca="1" ref="W23" ca="1">_xlfn.IFNA(SUM((W$3&gt;='Gastos com Pessoal'!$E$7:$E$506)*(W$3&lt;='Gastos com Pessoal'!$F$7:$F$506)*OFFSET('Encargos e Benefícios'!$D$5,1,MATCH($B23,'Encargos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301114.03299494134</v>
      </c>
      <c r="X23" s="32">
        <f t="array" aca="1" ref="X23" ca="1">_xlfn.IFNA(SUM((X$3&gt;='Gastos com Pessoal'!$E$7:$E$506)*(X$3&lt;='Gastos com Pessoal'!$F$7:$F$506)*OFFSET('Encargos e Benefícios'!$D$5,1,MATCH($B23,'Encargos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301114.03299494134</v>
      </c>
      <c r="Y23" s="32">
        <f t="array" aca="1" ref="Y23" ca="1">_xlfn.IFNA(SUM((Y$3&gt;='Gastos com Pessoal'!$E$7:$E$506)*(Y$3&lt;='Gastos com Pessoal'!$F$7:$F$506)*OFFSET('Encargos e Benefícios'!$D$5,1,MATCH($B23,'Encargos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301114.03299494134</v>
      </c>
      <c r="Z23" s="32">
        <f t="array" aca="1" ref="Z23" ca="1">_xlfn.IFNA(SUM((Z$3&gt;='Gastos com Pessoal'!$E$7:$E$506)*(Z$3&lt;='Gastos com Pessoal'!$F$7:$F$506)*OFFSET('Encargos e Benefícios'!$D$5,1,MATCH($B23,'Encargos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301114.03299494134</v>
      </c>
      <c r="AA23" s="32">
        <f t="array" aca="1" ref="AA23" ca="1">_xlfn.IFNA(SUM((AA$3&gt;='Gastos com Pessoal'!$E$7:$E$506)*(AA$3&lt;='Gastos com Pessoal'!$F$7:$F$506)*OFFSET('Encargos e Benefícios'!$D$5,1,MATCH($B23,'Encargos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313158.59431473899</v>
      </c>
      <c r="AB23" s="32">
        <f t="array" aca="1" ref="AB23" ca="1">_xlfn.IFNA(SUM((AB$3&gt;='Gastos com Pessoal'!$E$7:$E$506)*(AB$3&lt;='Gastos com Pessoal'!$F$7:$F$506)*OFFSET('Encargos e Benefícios'!$D$5,1,MATCH($B23,'Encargos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313158.59431473899</v>
      </c>
      <c r="AC23" s="32">
        <f t="array" aca="1" ref="AC23" ca="1">_xlfn.IFNA(SUM((AC$3&gt;='Gastos com Pessoal'!$E$7:$E$506)*(AC$3&lt;='Gastos com Pessoal'!$F$7:$F$506)*OFFSET('Encargos e Benefícios'!$D$5,1,MATCH($B23,'Encargos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313158.59431473899</v>
      </c>
      <c r="AD23" s="32">
        <f t="array" aca="1" ref="AD23" ca="1">_xlfn.IFNA(SUM((AD$3&gt;='Gastos com Pessoal'!$E$7:$E$506)*(AD$3&lt;='Gastos com Pessoal'!$F$7:$F$506)*OFFSET('Encargos e Benefícios'!$D$5,1,MATCH($B23,'Encargos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313158.59431473899</v>
      </c>
      <c r="AE23" s="32">
        <f t="array" aca="1" ref="AE23" ca="1">_xlfn.IFNA(SUM((AE$3&gt;='Gastos com Pessoal'!$E$7:$E$506)*(AE$3&lt;='Gastos com Pessoal'!$F$7:$F$506)*OFFSET('Encargos e Benefícios'!$D$5,1,MATCH($B23,'Encargos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313158.59431473899</v>
      </c>
      <c r="AF23" s="32">
        <f t="array" aca="1" ref="AF23" ca="1">_xlfn.IFNA(SUM((AF$3&gt;='Gastos com Pessoal'!$E$7:$E$506)*(AF$3&lt;='Gastos com Pessoal'!$F$7:$F$506)*OFFSET('Encargos e Benefícios'!$D$5,1,MATCH($B23,'Encargos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313158.59431473899</v>
      </c>
      <c r="AG23" s="32">
        <f t="array" aca="1" ref="AG23" ca="1">_xlfn.IFNA(SUM((AG$3&gt;='Gastos com Pessoal'!$E$7:$E$506)*(AG$3&lt;='Gastos com Pessoal'!$F$7:$F$506)*OFFSET('Encargos e Benefícios'!$D$5,1,MATCH($B23,'Encargos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313158.59431473899</v>
      </c>
      <c r="AH23" s="32">
        <f t="array" aca="1" ref="AH23" ca="1">_xlfn.IFNA(SUM((AH$3&gt;='Gastos com Pessoal'!$E$7:$E$506)*(AH$3&lt;='Gastos com Pessoal'!$F$7:$F$506)*OFFSET('Encargos e Benefícios'!$D$5,1,MATCH($B23,'Encargos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313158.59431473899</v>
      </c>
      <c r="AI23" s="32">
        <f t="array" aca="1" ref="AI23" ca="1">_xlfn.IFNA(SUM((AI$3&gt;='Gastos com Pessoal'!$E$7:$E$506)*(AI$3&lt;='Gastos com Pessoal'!$F$7:$F$506)*OFFSET('Encargos e Benefícios'!$D$5,1,MATCH($B23,'Encargos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313158.59431473899</v>
      </c>
      <c r="AJ23" s="32">
        <f t="array" aca="1" ref="AJ23" ca="1">_xlfn.IFNA(SUM((AJ$3&gt;='Gastos com Pessoal'!$E$7:$E$506)*(AJ$3&lt;='Gastos com Pessoal'!$F$7:$F$506)*OFFSET('Encargos e Benefícios'!$D$5,1,MATCH($B23,'Encargos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313158.59431473899</v>
      </c>
      <c r="AK23" s="32">
        <f t="array" aca="1" ref="AK23" ca="1">_xlfn.IFNA(SUM((AK$3&gt;='Gastos com Pessoal'!$E$7:$E$506)*(AK$3&lt;='Gastos com Pessoal'!$F$7:$F$506)*OFFSET('Encargos e Benefícios'!$D$5,1,MATCH($B23,'Encargos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313158.59431473899</v>
      </c>
      <c r="AL23" s="32">
        <f t="array" aca="1" ref="AL23" ca="1">_xlfn.IFNA(SUM((AL$3&gt;='Gastos com Pessoal'!$E$7:$E$506)*(AL$3&lt;='Gastos com Pessoal'!$F$7:$F$506)*OFFSET('Encargos e Benefícios'!$D$5,1,MATCH($B23,'Encargos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313158.59431473899</v>
      </c>
      <c r="AM23" s="32">
        <f t="array" aca="1" ref="AM23" ca="1">_xlfn.IFNA(SUM((AM$3&gt;='Gastos com Pessoal'!$E$7:$E$506)*(AM$3&lt;='Gastos com Pessoal'!$F$7:$F$506)*OFFSET('Encargos e Benefícios'!$D$5,1,MATCH($B23,'Encargos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3" s="32">
        <f t="array" aca="1" ref="AN23" ca="1">_xlfn.IFNA(SUM((AN$3&gt;='Gastos com Pessoal'!$E$7:$E$506)*(AN$3&lt;='Gastos com Pessoal'!$F$7:$F$506)*OFFSET('Encargos e Benefícios'!$D$5,1,MATCH($B23,'Encargos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3" s="32">
        <f t="array" aca="1" ref="AO23" ca="1">_xlfn.IFNA(SUM((AO$3&gt;='Gastos com Pessoal'!$E$7:$E$506)*(AO$3&lt;='Gastos com Pessoal'!$F$7:$F$506)*OFFSET('Encargos e Benefícios'!$D$5,1,MATCH($B23,'Encargos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3" s="32">
        <f t="array" aca="1" ref="AP23" ca="1">_xlfn.IFNA(SUM((AP$3&gt;='Gastos com Pessoal'!$E$7:$E$506)*(AP$3&lt;='Gastos com Pessoal'!$F$7:$F$506)*OFFSET('Encargos e Benefícios'!$D$5,1,MATCH($B23,'Encargos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3" s="32">
        <f t="array" aca="1" ref="AQ23" ca="1">_xlfn.IFNA(SUM((AQ$3&gt;='Gastos com Pessoal'!$E$7:$E$506)*(AQ$3&lt;='Gastos com Pessoal'!$F$7:$F$506)*OFFSET('Encargos e Benefícios'!$D$5,1,MATCH($B23,'Encargos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3" s="32">
        <f t="array" aca="1" ref="AR23" ca="1">_xlfn.IFNA(SUM((AR$3&gt;='Gastos com Pessoal'!$E$7:$E$506)*(AR$3&lt;='Gastos com Pessoal'!$F$7:$F$506)*OFFSET('Encargos e Benefícios'!$D$5,1,MATCH($B23,'Encargos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3" s="32">
        <f t="array" aca="1" ref="AS23" ca="1">_xlfn.IFNA(SUM((AS$3&gt;='Gastos com Pessoal'!$E$7:$E$506)*(AS$3&lt;='Gastos com Pessoal'!$F$7:$F$506)*OFFSET('Encargos e Benefícios'!$D$5,1,MATCH($B23,'Encargos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3" s="32">
        <f t="array" aca="1" ref="AT23" ca="1">_xlfn.IFNA(SUM((AT$3&gt;='Gastos com Pessoal'!$E$7:$E$506)*(AT$3&lt;='Gastos com Pessoal'!$F$7:$F$506)*OFFSET('Encargos e Benefícios'!$D$5,1,MATCH($B23,'Encargos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3" s="32">
        <f t="array" aca="1" ref="AU23" ca="1">_xlfn.IFNA(SUM((AU$3&gt;='Gastos com Pessoal'!$E$7:$E$506)*(AU$3&lt;='Gastos com Pessoal'!$F$7:$F$506)*OFFSET('Encargos e Benefícios'!$D$5,1,MATCH($B23,'Encargos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3" s="32">
        <f t="array" aca="1" ref="AV23" ca="1">_xlfn.IFNA(SUM((AV$3&gt;='Gastos com Pessoal'!$E$7:$E$506)*(AV$3&lt;='Gastos com Pessoal'!$F$7:$F$506)*OFFSET('Encargos e Benefícios'!$D$5,1,MATCH($B23,'Encargos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3" s="32">
        <f t="array" aca="1" ref="AW23" ca="1">_xlfn.IFNA(SUM((AW$3&gt;='Gastos com Pessoal'!$E$7:$E$506)*(AW$3&lt;='Gastos com Pessoal'!$F$7:$F$506)*OFFSET('Encargos e Benefícios'!$D$5,1,MATCH($B23,'Encargos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3" s="32">
        <f t="array" aca="1" ref="AX23" ca="1">_xlfn.IFNA(SUM((AX$3&gt;='Gastos com Pessoal'!$E$7:$E$506)*(AX$3&lt;='Gastos com Pessoal'!$F$7:$F$506)*OFFSET('Encargos e Benefícios'!$D$5,1,MATCH($B23,'Encargos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3" s="32">
        <f t="array" aca="1" ref="AY23" ca="1">_xlfn.IFNA(SUM((AY$3&gt;='Gastos com Pessoal'!$E$7:$E$506)*(AY$3&lt;='Gastos com Pessoal'!$F$7:$F$506)*OFFSET('Encargos e Benefícios'!$D$5,1,MATCH($B23,'Encargos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3" s="32">
        <f t="array" aca="1" ref="AZ23" ca="1">_xlfn.IFNA(SUM((AZ$3&gt;='Gastos com Pessoal'!$E$7:$E$506)*(AZ$3&lt;='Gastos com Pessoal'!$F$7:$F$506)*OFFSET('Encargos e Benefícios'!$D$5,1,MATCH($B23,'Encargos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3" s="32">
        <f t="array" aca="1" ref="BA23" ca="1">_xlfn.IFNA(SUM((BA$3&gt;='Gastos com Pessoal'!$E$7:$E$506)*(BA$3&lt;='Gastos com Pessoal'!$F$7:$F$506)*OFFSET('Encargos e Benefícios'!$D$5,1,MATCH($B23,'Encargos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3" s="32">
        <f t="array" aca="1" ref="BB23" ca="1">_xlfn.IFNA(SUM((BB$3&gt;='Gastos com Pessoal'!$E$7:$E$506)*(BB$3&lt;='Gastos com Pessoal'!$F$7:$F$506)*OFFSET('Encargos e Benefícios'!$D$5,1,MATCH($B23,'Encargos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3" s="32">
        <f t="array" aca="1" ref="BC23" ca="1">_xlfn.IFNA(SUM((BC$3&gt;='Gastos com Pessoal'!$E$7:$E$506)*(BC$3&lt;='Gastos com Pessoal'!$F$7:$F$506)*OFFSET('Encargos e Benefícios'!$D$5,1,MATCH($B23,'Encargos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3" s="32">
        <f t="array" aca="1" ref="BD23" ca="1">_xlfn.IFNA(SUM((BD$3&gt;='Gastos com Pessoal'!$E$7:$E$506)*(BD$3&lt;='Gastos com Pessoal'!$F$7:$F$506)*OFFSET('Encargos e Benefícios'!$D$5,1,MATCH($B23,'Encargos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3" s="32">
        <f t="array" aca="1" ref="BE23" ca="1">_xlfn.IFNA(SUM((BE$3&gt;='Gastos com Pessoal'!$E$7:$E$506)*(BE$3&lt;='Gastos com Pessoal'!$F$7:$F$506)*OFFSET('Encargos e Benefícios'!$D$5,1,MATCH($B23,'Encargos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3" s="32">
        <f t="array" aca="1" ref="BF23" ca="1">_xlfn.IFNA(SUM((BF$3&gt;='Gastos com Pessoal'!$E$7:$E$506)*(BF$3&lt;='Gastos com Pessoal'!$F$7:$F$506)*OFFSET('Encargos e Benefícios'!$D$5,1,MATCH($B23,'Encargos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3" s="32">
        <f t="array" aca="1" ref="BG23" ca="1">_xlfn.IFNA(SUM((BG$3&gt;='Gastos com Pessoal'!$E$7:$E$506)*(BG$3&lt;='Gastos com Pessoal'!$F$7:$F$506)*OFFSET('Encargos e Benefícios'!$D$5,1,MATCH($B23,'Encargos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3" s="32">
        <f t="array" aca="1" ref="BH23" ca="1">_xlfn.IFNA(SUM((BH$3&gt;='Gastos com Pessoal'!$E$7:$E$506)*(BH$3&lt;='Gastos com Pessoal'!$F$7:$F$506)*OFFSET('Encargos e Benefícios'!$D$5,1,MATCH($B23,'Encargos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3" s="32">
        <f t="array" aca="1" ref="BI23" ca="1">_xlfn.IFNA(SUM((BI$3&gt;='Gastos com Pessoal'!$E$7:$E$506)*(BI$3&lt;='Gastos com Pessoal'!$F$7:$F$506)*OFFSET('Encargos e Benefícios'!$D$5,1,MATCH($B23,'Encargos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3" s="32">
        <f t="array" aca="1" ref="BJ23" ca="1">_xlfn.IFNA(SUM((BJ$3&gt;='Gastos com Pessoal'!$E$7:$E$506)*(BJ$3&lt;='Gastos com Pessoal'!$F$7:$F$506)*OFFSET('Encargos e Benefícios'!$D$5,1,MATCH($B23,'Encargos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3" s="71">
        <f t="shared" ca="1" si="10"/>
        <v>10845664.21611933</v>
      </c>
      <c r="BL23" s="76">
        <f t="shared" ca="1" si="9"/>
        <v>2.9582616638578599E-2</v>
      </c>
    </row>
    <row r="24" spans="1:64" s="49" customFormat="1" ht="23.25" customHeight="1" x14ac:dyDescent="0.2">
      <c r="A24" s="19" t="s">
        <v>130</v>
      </c>
      <c r="B24" s="20" t="s">
        <v>131</v>
      </c>
      <c r="C24" s="32">
        <f t="array" aca="1" ref="C24" ca="1">_xlfn.IFNA(SUM((C$3&gt;='Gastos com Pessoal'!$E$7:$E$506)*(C$3&lt;='Gastos com Pessoal'!$F$7:$F$506)*OFFSET('Encargos e Benefícios'!$D$5,1,MATCH($B24,'Encargos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46558.225974781031</v>
      </c>
      <c r="D24" s="32">
        <f t="array" aca="1" ref="D24" ca="1">_xlfn.IFNA(SUM((D$3&gt;='Gastos com Pessoal'!$E$7:$E$506)*(D$3&lt;='Gastos com Pessoal'!$F$7:$F$506)*OFFSET('Encargos e Benefícios'!$D$5,1,MATCH($B24,'Encargos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46558.225974781031</v>
      </c>
      <c r="E24" s="32">
        <f t="array" aca="1" ref="E24" ca="1">_xlfn.IFNA(SUM((E$3&gt;='Gastos com Pessoal'!$E$7:$E$506)*(E$3&lt;='Gastos com Pessoal'!$F$7:$F$506)*OFFSET('Encargos e Benefícios'!$D$5,1,MATCH($B24,'Encargos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46558.225974781031</v>
      </c>
      <c r="F24" s="32">
        <f t="array" aca="1" ref="F24" ca="1">_xlfn.IFNA(SUM((F$3&gt;='Gastos com Pessoal'!$E$7:$E$506)*(F$3&lt;='Gastos com Pessoal'!$F$7:$F$506)*OFFSET('Encargos e Benefícios'!$D$5,1,MATCH($B24,'Encargos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46558.225974781031</v>
      </c>
      <c r="G24" s="32">
        <f t="array" aca="1" ref="G24" ca="1">_xlfn.IFNA(SUM((G$3&gt;='Gastos com Pessoal'!$E$7:$E$506)*(G$3&lt;='Gastos com Pessoal'!$F$7:$F$506)*OFFSET('Encargos e Benefícios'!$D$5,1,MATCH($B24,'Encargos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46558.225974781031</v>
      </c>
      <c r="H24" s="32">
        <f t="array" aca="1" ref="H24" ca="1">_xlfn.IFNA(SUM((H$3&gt;='Gastos com Pessoal'!$E$7:$E$506)*(H$3&lt;='Gastos com Pessoal'!$F$7:$F$506)*OFFSET('Encargos e Benefícios'!$D$5,1,MATCH($B24,'Encargos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46558.225974781031</v>
      </c>
      <c r="I24" s="32">
        <f t="array" aca="1" ref="I24" ca="1">_xlfn.IFNA(SUM((I$3&gt;='Gastos com Pessoal'!$E$7:$E$506)*(I$3&lt;='Gastos com Pessoal'!$F$7:$F$506)*OFFSET('Encargos e Benefícios'!$D$5,1,MATCH($B24,'Encargos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46558.225974781031</v>
      </c>
      <c r="J24" s="32">
        <f t="array" aca="1" ref="J24" ca="1">_xlfn.IFNA(SUM((J$3&gt;='Gastos com Pessoal'!$E$7:$E$506)*(J$3&lt;='Gastos com Pessoal'!$F$7:$F$506)*OFFSET('Encargos e Benefícios'!$D$5,1,MATCH($B24,'Encargos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46558.225974781031</v>
      </c>
      <c r="K24" s="32">
        <f t="array" aca="1" ref="K24" ca="1">_xlfn.IFNA(SUM((K$3&gt;='Gastos com Pessoal'!$E$7:$E$506)*(K$3&lt;='Gastos com Pessoal'!$F$7:$F$506)*OFFSET('Encargos e Benefícios'!$D$5,1,MATCH($B24,'Encargos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46558.225974781031</v>
      </c>
      <c r="L24" s="32">
        <f t="array" aca="1" ref="L24" ca="1">_xlfn.IFNA(SUM((L$3&gt;='Gastos com Pessoal'!$E$7:$E$506)*(L$3&lt;='Gastos com Pessoal'!$F$7:$F$506)*OFFSET('Encargos e Benefícios'!$D$5,1,MATCH($B24,'Encargos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46558.225974781031</v>
      </c>
      <c r="M24" s="32">
        <f t="array" aca="1" ref="M24" ca="1">_xlfn.IFNA(SUM((M$3&gt;='Gastos com Pessoal'!$E$7:$E$506)*(M$3&lt;='Gastos com Pessoal'!$F$7:$F$506)*OFFSET('Encargos e Benefícios'!$D$5,1,MATCH($B24,'Encargos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46558.225974781031</v>
      </c>
      <c r="N24" s="32">
        <f t="array" aca="1" ref="N24" ca="1">_xlfn.IFNA(SUM((N$3&gt;='Gastos com Pessoal'!$E$7:$E$506)*(N$3&lt;='Gastos com Pessoal'!$F$7:$F$506)*OFFSET('Encargos e Benefícios'!$D$5,1,MATCH($B24,'Encargos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46558.225974781031</v>
      </c>
      <c r="O24" s="32">
        <f t="array" aca="1" ref="O24" ca="1">_xlfn.IFNA(SUM((O$3&gt;='Gastos com Pessoal'!$E$7:$E$506)*(O$3&lt;='Gastos com Pessoal'!$F$7:$F$506)*OFFSET('Encargos e Benefícios'!$D$5,1,MATCH($B24,'Encargos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48420.555013772275</v>
      </c>
      <c r="P24" s="32">
        <f t="array" aca="1" ref="P24" ca="1">_xlfn.IFNA(SUM((P$3&gt;='Gastos com Pessoal'!$E$7:$E$506)*(P$3&lt;='Gastos com Pessoal'!$F$7:$F$506)*OFFSET('Encargos e Benefícios'!$D$5,1,MATCH($B24,'Encargos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48420.555013772275</v>
      </c>
      <c r="Q24" s="32">
        <f t="array" aca="1" ref="Q24" ca="1">_xlfn.IFNA(SUM((Q$3&gt;='Gastos com Pessoal'!$E$7:$E$506)*(Q$3&lt;='Gastos com Pessoal'!$F$7:$F$506)*OFFSET('Encargos e Benefícios'!$D$5,1,MATCH($B24,'Encargos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48420.555013772275</v>
      </c>
      <c r="R24" s="32">
        <f t="array" aca="1" ref="R24" ca="1">_xlfn.IFNA(SUM((R$3&gt;='Gastos com Pessoal'!$E$7:$E$506)*(R$3&lt;='Gastos com Pessoal'!$F$7:$F$506)*OFFSET('Encargos e Benefícios'!$D$5,1,MATCH($B24,'Encargos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48420.555013772275</v>
      </c>
      <c r="S24" s="32">
        <f t="array" aca="1" ref="S24" ca="1">_xlfn.IFNA(SUM((S$3&gt;='Gastos com Pessoal'!$E$7:$E$506)*(S$3&lt;='Gastos com Pessoal'!$F$7:$F$506)*OFFSET('Encargos e Benefícios'!$D$5,1,MATCH($B24,'Encargos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48420.555013772275</v>
      </c>
      <c r="T24" s="32">
        <f t="array" aca="1" ref="T24" ca="1">_xlfn.IFNA(SUM((T$3&gt;='Gastos com Pessoal'!$E$7:$E$506)*(T$3&lt;='Gastos com Pessoal'!$F$7:$F$506)*OFFSET('Encargos e Benefícios'!$D$5,1,MATCH($B24,'Encargos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48420.555013772275</v>
      </c>
      <c r="U24" s="32">
        <f t="array" aca="1" ref="U24" ca="1">_xlfn.IFNA(SUM((U$3&gt;='Gastos com Pessoal'!$E$7:$E$506)*(U$3&lt;='Gastos com Pessoal'!$F$7:$F$506)*OFFSET('Encargos e Benefícios'!$D$5,1,MATCH($B24,'Encargos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48420.555013772275</v>
      </c>
      <c r="V24" s="32">
        <f t="array" aca="1" ref="V24" ca="1">_xlfn.IFNA(SUM((V$3&gt;='Gastos com Pessoal'!$E$7:$E$506)*(V$3&lt;='Gastos com Pessoal'!$F$7:$F$506)*OFFSET('Encargos e Benefícios'!$D$5,1,MATCH($B24,'Encargos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48420.555013772275</v>
      </c>
      <c r="W24" s="32">
        <f t="array" aca="1" ref="W24" ca="1">_xlfn.IFNA(SUM((W$3&gt;='Gastos com Pessoal'!$E$7:$E$506)*(W$3&lt;='Gastos com Pessoal'!$F$7:$F$506)*OFFSET('Encargos e Benefícios'!$D$5,1,MATCH($B24,'Encargos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48420.555013772275</v>
      </c>
      <c r="X24" s="32">
        <f t="array" aca="1" ref="X24" ca="1">_xlfn.IFNA(SUM((X$3&gt;='Gastos com Pessoal'!$E$7:$E$506)*(X$3&lt;='Gastos com Pessoal'!$F$7:$F$506)*OFFSET('Encargos e Benefícios'!$D$5,1,MATCH($B24,'Encargos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48420.555013772275</v>
      </c>
      <c r="Y24" s="32">
        <f t="array" aca="1" ref="Y24" ca="1">_xlfn.IFNA(SUM((Y$3&gt;='Gastos com Pessoal'!$E$7:$E$506)*(Y$3&lt;='Gastos com Pessoal'!$F$7:$F$506)*OFFSET('Encargos e Benefícios'!$D$5,1,MATCH($B24,'Encargos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48420.555013772275</v>
      </c>
      <c r="Z24" s="32">
        <f t="array" aca="1" ref="Z24" ca="1">_xlfn.IFNA(SUM((Z$3&gt;='Gastos com Pessoal'!$E$7:$E$506)*(Z$3&lt;='Gastos com Pessoal'!$F$7:$F$506)*OFFSET('Encargos e Benefícios'!$D$5,1,MATCH($B24,'Encargos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48420.555013772275</v>
      </c>
      <c r="AA24" s="32">
        <f t="array" aca="1" ref="AA24" ca="1">_xlfn.IFNA(SUM((AA$3&gt;='Gastos com Pessoal'!$E$7:$E$506)*(AA$3&lt;='Gastos com Pessoal'!$F$7:$F$506)*OFFSET('Encargos e Benefícios'!$D$5,1,MATCH($B24,'Encargos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50357.377214323169</v>
      </c>
      <c r="AB24" s="32">
        <f t="array" aca="1" ref="AB24" ca="1">_xlfn.IFNA(SUM((AB$3&gt;='Gastos com Pessoal'!$E$7:$E$506)*(AB$3&lt;='Gastos com Pessoal'!$F$7:$F$506)*OFFSET('Encargos e Benefícios'!$D$5,1,MATCH($B24,'Encargos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50357.377214323169</v>
      </c>
      <c r="AC24" s="32">
        <f t="array" aca="1" ref="AC24" ca="1">_xlfn.IFNA(SUM((AC$3&gt;='Gastos com Pessoal'!$E$7:$E$506)*(AC$3&lt;='Gastos com Pessoal'!$F$7:$F$506)*OFFSET('Encargos e Benefícios'!$D$5,1,MATCH($B24,'Encargos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50357.377214323169</v>
      </c>
      <c r="AD24" s="32">
        <f t="array" aca="1" ref="AD24" ca="1">_xlfn.IFNA(SUM((AD$3&gt;='Gastos com Pessoal'!$E$7:$E$506)*(AD$3&lt;='Gastos com Pessoal'!$F$7:$F$506)*OFFSET('Encargos e Benefícios'!$D$5,1,MATCH($B24,'Encargos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50357.377214323169</v>
      </c>
      <c r="AE24" s="32">
        <f t="array" aca="1" ref="AE24" ca="1">_xlfn.IFNA(SUM((AE$3&gt;='Gastos com Pessoal'!$E$7:$E$506)*(AE$3&lt;='Gastos com Pessoal'!$F$7:$F$506)*OFFSET('Encargos e Benefícios'!$D$5,1,MATCH($B24,'Encargos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50357.377214323169</v>
      </c>
      <c r="AF24" s="32">
        <f t="array" aca="1" ref="AF24" ca="1">_xlfn.IFNA(SUM((AF$3&gt;='Gastos com Pessoal'!$E$7:$E$506)*(AF$3&lt;='Gastos com Pessoal'!$F$7:$F$506)*OFFSET('Encargos e Benefícios'!$D$5,1,MATCH($B24,'Encargos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50357.377214323169</v>
      </c>
      <c r="AG24" s="32">
        <f t="array" aca="1" ref="AG24" ca="1">_xlfn.IFNA(SUM((AG$3&gt;='Gastos com Pessoal'!$E$7:$E$506)*(AG$3&lt;='Gastos com Pessoal'!$F$7:$F$506)*OFFSET('Encargos e Benefícios'!$D$5,1,MATCH($B24,'Encargos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50357.377214323169</v>
      </c>
      <c r="AH24" s="32">
        <f t="array" aca="1" ref="AH24" ca="1">_xlfn.IFNA(SUM((AH$3&gt;='Gastos com Pessoal'!$E$7:$E$506)*(AH$3&lt;='Gastos com Pessoal'!$F$7:$F$506)*OFFSET('Encargos e Benefícios'!$D$5,1,MATCH($B24,'Encargos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50357.377214323169</v>
      </c>
      <c r="AI24" s="32">
        <f t="array" aca="1" ref="AI24" ca="1">_xlfn.IFNA(SUM((AI$3&gt;='Gastos com Pessoal'!$E$7:$E$506)*(AI$3&lt;='Gastos com Pessoal'!$F$7:$F$506)*OFFSET('Encargos e Benefícios'!$D$5,1,MATCH($B24,'Encargos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50357.377214323169</v>
      </c>
      <c r="AJ24" s="32">
        <f t="array" aca="1" ref="AJ24" ca="1">_xlfn.IFNA(SUM((AJ$3&gt;='Gastos com Pessoal'!$E$7:$E$506)*(AJ$3&lt;='Gastos com Pessoal'!$F$7:$F$506)*OFFSET('Encargos e Benefícios'!$D$5,1,MATCH($B24,'Encargos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50357.377214323169</v>
      </c>
      <c r="AK24" s="32">
        <f t="array" aca="1" ref="AK24" ca="1">_xlfn.IFNA(SUM((AK$3&gt;='Gastos com Pessoal'!$E$7:$E$506)*(AK$3&lt;='Gastos com Pessoal'!$F$7:$F$506)*OFFSET('Encargos e Benefícios'!$D$5,1,MATCH($B24,'Encargos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50357.377214323169</v>
      </c>
      <c r="AL24" s="32">
        <f t="array" aca="1" ref="AL24" ca="1">_xlfn.IFNA(SUM((AL$3&gt;='Gastos com Pessoal'!$E$7:$E$506)*(AL$3&lt;='Gastos com Pessoal'!$F$7:$F$506)*OFFSET('Encargos e Benefícios'!$D$5,1,MATCH($B24,'Encargos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50357.377214323169</v>
      </c>
      <c r="AM24" s="32">
        <f t="array" aca="1" ref="AM24" ca="1">_xlfn.IFNA(SUM((AM$3&gt;='Gastos com Pessoal'!$E$7:$E$506)*(AM$3&lt;='Gastos com Pessoal'!$F$7:$F$506)*OFFSET('Encargos e Benefícios'!$D$5,1,MATCH($B24,'Encargos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4" s="32">
        <f t="array" aca="1" ref="AN24" ca="1">_xlfn.IFNA(SUM((AN$3&gt;='Gastos com Pessoal'!$E$7:$E$506)*(AN$3&lt;='Gastos com Pessoal'!$F$7:$F$506)*OFFSET('Encargos e Benefícios'!$D$5,1,MATCH($B24,'Encargos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4" s="32">
        <f t="array" aca="1" ref="AO24" ca="1">_xlfn.IFNA(SUM((AO$3&gt;='Gastos com Pessoal'!$E$7:$E$506)*(AO$3&lt;='Gastos com Pessoal'!$F$7:$F$506)*OFFSET('Encargos e Benefícios'!$D$5,1,MATCH($B24,'Encargos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4" s="32">
        <f t="array" aca="1" ref="AP24" ca="1">_xlfn.IFNA(SUM((AP$3&gt;='Gastos com Pessoal'!$E$7:$E$506)*(AP$3&lt;='Gastos com Pessoal'!$F$7:$F$506)*OFFSET('Encargos e Benefícios'!$D$5,1,MATCH($B24,'Encargos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4" s="32">
        <f t="array" aca="1" ref="AQ24" ca="1">_xlfn.IFNA(SUM((AQ$3&gt;='Gastos com Pessoal'!$E$7:$E$506)*(AQ$3&lt;='Gastos com Pessoal'!$F$7:$F$506)*OFFSET('Encargos e Benefícios'!$D$5,1,MATCH($B24,'Encargos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4" s="32">
        <f t="array" aca="1" ref="AR24" ca="1">_xlfn.IFNA(SUM((AR$3&gt;='Gastos com Pessoal'!$E$7:$E$506)*(AR$3&lt;='Gastos com Pessoal'!$F$7:$F$506)*OFFSET('Encargos e Benefícios'!$D$5,1,MATCH($B24,'Encargos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4" s="32">
        <f t="array" aca="1" ref="AS24" ca="1">_xlfn.IFNA(SUM((AS$3&gt;='Gastos com Pessoal'!$E$7:$E$506)*(AS$3&lt;='Gastos com Pessoal'!$F$7:$F$506)*OFFSET('Encargos e Benefícios'!$D$5,1,MATCH($B24,'Encargos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4" s="32">
        <f t="array" aca="1" ref="AT24" ca="1">_xlfn.IFNA(SUM((AT$3&gt;='Gastos com Pessoal'!$E$7:$E$506)*(AT$3&lt;='Gastos com Pessoal'!$F$7:$F$506)*OFFSET('Encargos e Benefícios'!$D$5,1,MATCH($B24,'Encargos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4" s="32">
        <f t="array" aca="1" ref="AU24" ca="1">_xlfn.IFNA(SUM((AU$3&gt;='Gastos com Pessoal'!$E$7:$E$506)*(AU$3&lt;='Gastos com Pessoal'!$F$7:$F$506)*OFFSET('Encargos e Benefícios'!$D$5,1,MATCH($B24,'Encargos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4" s="32">
        <f t="array" aca="1" ref="AV24" ca="1">_xlfn.IFNA(SUM((AV$3&gt;='Gastos com Pessoal'!$E$7:$E$506)*(AV$3&lt;='Gastos com Pessoal'!$F$7:$F$506)*OFFSET('Encargos e Benefícios'!$D$5,1,MATCH($B24,'Encargos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4" s="32">
        <f t="array" aca="1" ref="AW24" ca="1">_xlfn.IFNA(SUM((AW$3&gt;='Gastos com Pessoal'!$E$7:$E$506)*(AW$3&lt;='Gastos com Pessoal'!$F$7:$F$506)*OFFSET('Encargos e Benefícios'!$D$5,1,MATCH($B24,'Encargos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4" s="32">
        <f t="array" aca="1" ref="AX24" ca="1">_xlfn.IFNA(SUM((AX$3&gt;='Gastos com Pessoal'!$E$7:$E$506)*(AX$3&lt;='Gastos com Pessoal'!$F$7:$F$506)*OFFSET('Encargos e Benefícios'!$D$5,1,MATCH($B24,'Encargos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4" s="32">
        <f t="array" aca="1" ref="AY24" ca="1">_xlfn.IFNA(SUM((AY$3&gt;='Gastos com Pessoal'!$E$7:$E$506)*(AY$3&lt;='Gastos com Pessoal'!$F$7:$F$506)*OFFSET('Encargos e Benefícios'!$D$5,1,MATCH($B24,'Encargos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4" s="32">
        <f t="array" aca="1" ref="AZ24" ca="1">_xlfn.IFNA(SUM((AZ$3&gt;='Gastos com Pessoal'!$E$7:$E$506)*(AZ$3&lt;='Gastos com Pessoal'!$F$7:$F$506)*OFFSET('Encargos e Benefícios'!$D$5,1,MATCH($B24,'Encargos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4" s="32">
        <f t="array" aca="1" ref="BA24" ca="1">_xlfn.IFNA(SUM((BA$3&gt;='Gastos com Pessoal'!$E$7:$E$506)*(BA$3&lt;='Gastos com Pessoal'!$F$7:$F$506)*OFFSET('Encargos e Benefícios'!$D$5,1,MATCH($B24,'Encargos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4" s="32">
        <f t="array" aca="1" ref="BB24" ca="1">_xlfn.IFNA(SUM((BB$3&gt;='Gastos com Pessoal'!$E$7:$E$506)*(BB$3&lt;='Gastos com Pessoal'!$F$7:$F$506)*OFFSET('Encargos e Benefícios'!$D$5,1,MATCH($B24,'Encargos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4" s="32">
        <f t="array" aca="1" ref="BC24" ca="1">_xlfn.IFNA(SUM((BC$3&gt;='Gastos com Pessoal'!$E$7:$E$506)*(BC$3&lt;='Gastos com Pessoal'!$F$7:$F$506)*OFFSET('Encargos e Benefícios'!$D$5,1,MATCH($B24,'Encargos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4" s="32">
        <f t="array" aca="1" ref="BD24" ca="1">_xlfn.IFNA(SUM((BD$3&gt;='Gastos com Pessoal'!$E$7:$E$506)*(BD$3&lt;='Gastos com Pessoal'!$F$7:$F$506)*OFFSET('Encargos e Benefícios'!$D$5,1,MATCH($B24,'Encargos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4" s="32">
        <f t="array" aca="1" ref="BE24" ca="1">_xlfn.IFNA(SUM((BE$3&gt;='Gastos com Pessoal'!$E$7:$E$506)*(BE$3&lt;='Gastos com Pessoal'!$F$7:$F$506)*OFFSET('Encargos e Benefícios'!$D$5,1,MATCH($B24,'Encargos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4" s="32">
        <f t="array" aca="1" ref="BF24" ca="1">_xlfn.IFNA(SUM((BF$3&gt;='Gastos com Pessoal'!$E$7:$E$506)*(BF$3&lt;='Gastos com Pessoal'!$F$7:$F$506)*OFFSET('Encargos e Benefícios'!$D$5,1,MATCH($B24,'Encargos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4" s="32">
        <f t="array" aca="1" ref="BG24" ca="1">_xlfn.IFNA(SUM((BG$3&gt;='Gastos com Pessoal'!$E$7:$E$506)*(BG$3&lt;='Gastos com Pessoal'!$F$7:$F$506)*OFFSET('Encargos e Benefícios'!$D$5,1,MATCH($B24,'Encargos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4" s="32">
        <f t="array" aca="1" ref="BH24" ca="1">_xlfn.IFNA(SUM((BH$3&gt;='Gastos com Pessoal'!$E$7:$E$506)*(BH$3&lt;='Gastos com Pessoal'!$F$7:$F$506)*OFFSET('Encargos e Benefícios'!$D$5,1,MATCH($B24,'Encargos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4" s="32">
        <f t="array" aca="1" ref="BI24" ca="1">_xlfn.IFNA(SUM((BI$3&gt;='Gastos com Pessoal'!$E$7:$E$506)*(BI$3&lt;='Gastos com Pessoal'!$F$7:$F$506)*OFFSET('Encargos e Benefícios'!$D$5,1,MATCH($B24,'Encargos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4" s="32">
        <f t="array" aca="1" ref="BJ24" ca="1">_xlfn.IFNA(SUM((BJ$3&gt;='Gastos com Pessoal'!$E$7:$E$506)*(BJ$3&lt;='Gastos com Pessoal'!$F$7:$F$506)*OFFSET('Encargos e Benefícios'!$D$5,1,MATCH($B24,'Encargos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4" s="71">
        <f t="shared" ca="1" si="10"/>
        <v>1744033.8984345195</v>
      </c>
      <c r="BL24" s="76">
        <f t="shared" ca="1" si="9"/>
        <v>4.7570241152583423E-3</v>
      </c>
    </row>
    <row r="25" spans="1:64" s="49" customFormat="1" ht="23.25" customHeight="1" x14ac:dyDescent="0.2">
      <c r="A25" s="19" t="s">
        <v>132</v>
      </c>
      <c r="B25" s="20" t="s">
        <v>133</v>
      </c>
      <c r="C25" s="32">
        <f t="array" aca="1" ref="C25" ca="1">_xlfn.IFNA(SUM((C$3&gt;='Gastos com Pessoal'!$E$7:$E$506)*(C$3&lt;='Gastos com Pessoal'!$F$7:$F$506)*OFFSET('Encargos e Benefícios'!$D$5,1,MATCH($B25,'Encargos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562644.53235892812</v>
      </c>
      <c r="D25" s="32">
        <f t="array" aca="1" ref="D25" ca="1">_xlfn.IFNA(SUM((D$3&gt;='Gastos com Pessoal'!$E$7:$E$506)*(D$3&lt;='Gastos com Pessoal'!$F$7:$F$506)*OFFSET('Encargos e Benefícios'!$D$5,1,MATCH($B25,'Encargos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562644.53235892812</v>
      </c>
      <c r="E25" s="32">
        <f t="array" aca="1" ref="E25" ca="1">_xlfn.IFNA(SUM((E$3&gt;='Gastos com Pessoal'!$E$7:$E$506)*(E$3&lt;='Gastos com Pessoal'!$F$7:$F$506)*OFFSET('Encargos e Benefícios'!$D$5,1,MATCH($B25,'Encargos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562644.53235892812</v>
      </c>
      <c r="F25" s="32">
        <f t="array" aca="1" ref="F25" ca="1">_xlfn.IFNA(SUM((F$3&gt;='Gastos com Pessoal'!$E$7:$E$506)*(F$3&lt;='Gastos com Pessoal'!$F$7:$F$506)*OFFSET('Encargos e Benefícios'!$D$5,1,MATCH($B25,'Encargos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562644.53235892812</v>
      </c>
      <c r="G25" s="32">
        <f t="array" aca="1" ref="G25" ca="1">_xlfn.IFNA(SUM((G$3&gt;='Gastos com Pessoal'!$E$7:$E$506)*(G$3&lt;='Gastos com Pessoal'!$F$7:$F$506)*OFFSET('Encargos e Benefícios'!$D$5,1,MATCH($B25,'Encargos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562644.53235892812</v>
      </c>
      <c r="H25" s="32">
        <f t="array" aca="1" ref="H25" ca="1">_xlfn.IFNA(SUM((H$3&gt;='Gastos com Pessoal'!$E$7:$E$506)*(H$3&lt;='Gastos com Pessoal'!$F$7:$F$506)*OFFSET('Encargos e Benefícios'!$D$5,1,MATCH($B25,'Encargos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562644.53235892812</v>
      </c>
      <c r="I25" s="32">
        <f t="array" aca="1" ref="I25" ca="1">_xlfn.IFNA(SUM((I$3&gt;='Gastos com Pessoal'!$E$7:$E$506)*(I$3&lt;='Gastos com Pessoal'!$F$7:$F$506)*OFFSET('Encargos e Benefícios'!$D$5,1,MATCH($B25,'Encargos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562644.53235892812</v>
      </c>
      <c r="J25" s="32">
        <f t="array" aca="1" ref="J25" ca="1">_xlfn.IFNA(SUM((J$3&gt;='Gastos com Pessoal'!$E$7:$E$506)*(J$3&lt;='Gastos com Pessoal'!$F$7:$F$506)*OFFSET('Encargos e Benefícios'!$D$5,1,MATCH($B25,'Encargos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562644.53235892812</v>
      </c>
      <c r="K25" s="32">
        <f t="array" aca="1" ref="K25" ca="1">_xlfn.IFNA(SUM((K$3&gt;='Gastos com Pessoal'!$E$7:$E$506)*(K$3&lt;='Gastos com Pessoal'!$F$7:$F$506)*OFFSET('Encargos e Benefícios'!$D$5,1,MATCH($B25,'Encargos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562644.53235892812</v>
      </c>
      <c r="L25" s="32">
        <f t="array" aca="1" ref="L25" ca="1">_xlfn.IFNA(SUM((L$3&gt;='Gastos com Pessoal'!$E$7:$E$506)*(L$3&lt;='Gastos com Pessoal'!$F$7:$F$506)*OFFSET('Encargos e Benefícios'!$D$5,1,MATCH($B25,'Encargos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562644.53235892812</v>
      </c>
      <c r="M25" s="32">
        <f t="array" aca="1" ref="M25" ca="1">_xlfn.IFNA(SUM((M$3&gt;='Gastos com Pessoal'!$E$7:$E$506)*(M$3&lt;='Gastos com Pessoal'!$F$7:$F$506)*OFFSET('Encargos e Benefícios'!$D$5,1,MATCH($B25,'Encargos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562644.53235892812</v>
      </c>
      <c r="N25" s="32">
        <f t="array" aca="1" ref="N25" ca="1">_xlfn.IFNA(SUM((N$3&gt;='Gastos com Pessoal'!$E$7:$E$506)*(N$3&lt;='Gastos com Pessoal'!$F$7:$F$506)*OFFSET('Encargos e Benefícios'!$D$5,1,MATCH($B25,'Encargos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562644.53235892812</v>
      </c>
      <c r="O25" s="32">
        <f t="array" aca="1" ref="O25" ca="1">_xlfn.IFNA(SUM((O$3&gt;='Gastos com Pessoal'!$E$7:$E$506)*(O$3&lt;='Gastos com Pessoal'!$F$7:$F$506)*OFFSET('Encargos e Benefícios'!$D$5,1,MATCH($B25,'Encargos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585150.31365328527</v>
      </c>
      <c r="P25" s="32">
        <f t="array" aca="1" ref="P25" ca="1">_xlfn.IFNA(SUM((P$3&gt;='Gastos com Pessoal'!$E$7:$E$506)*(P$3&lt;='Gastos com Pessoal'!$F$7:$F$506)*OFFSET('Encargos e Benefícios'!$D$5,1,MATCH($B25,'Encargos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585150.31365328527</v>
      </c>
      <c r="Q25" s="32">
        <f t="array" aca="1" ref="Q25" ca="1">_xlfn.IFNA(SUM((Q$3&gt;='Gastos com Pessoal'!$E$7:$E$506)*(Q$3&lt;='Gastos com Pessoal'!$F$7:$F$506)*OFFSET('Encargos e Benefícios'!$D$5,1,MATCH($B25,'Encargos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585150.31365328527</v>
      </c>
      <c r="R25" s="32">
        <f t="array" aca="1" ref="R25" ca="1">_xlfn.IFNA(SUM((R$3&gt;='Gastos com Pessoal'!$E$7:$E$506)*(R$3&lt;='Gastos com Pessoal'!$F$7:$F$506)*OFFSET('Encargos e Benefícios'!$D$5,1,MATCH($B25,'Encargos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585150.31365328527</v>
      </c>
      <c r="S25" s="32">
        <f t="array" aca="1" ref="S25" ca="1">_xlfn.IFNA(SUM((S$3&gt;='Gastos com Pessoal'!$E$7:$E$506)*(S$3&lt;='Gastos com Pessoal'!$F$7:$F$506)*OFFSET('Encargos e Benefícios'!$D$5,1,MATCH($B25,'Encargos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585150.31365328527</v>
      </c>
      <c r="T25" s="32">
        <f t="array" aca="1" ref="T25" ca="1">_xlfn.IFNA(SUM((T$3&gt;='Gastos com Pessoal'!$E$7:$E$506)*(T$3&lt;='Gastos com Pessoal'!$F$7:$F$506)*OFFSET('Encargos e Benefícios'!$D$5,1,MATCH($B25,'Encargos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585150.31365328527</v>
      </c>
      <c r="U25" s="32">
        <f t="array" aca="1" ref="U25" ca="1">_xlfn.IFNA(SUM((U$3&gt;='Gastos com Pessoal'!$E$7:$E$506)*(U$3&lt;='Gastos com Pessoal'!$F$7:$F$506)*OFFSET('Encargos e Benefícios'!$D$5,1,MATCH($B25,'Encargos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585150.31365328527</v>
      </c>
      <c r="V25" s="32">
        <f t="array" aca="1" ref="V25" ca="1">_xlfn.IFNA(SUM((V$3&gt;='Gastos com Pessoal'!$E$7:$E$506)*(V$3&lt;='Gastos com Pessoal'!$F$7:$F$506)*OFFSET('Encargos e Benefícios'!$D$5,1,MATCH($B25,'Encargos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585150.31365328527</v>
      </c>
      <c r="W25" s="32">
        <f t="array" aca="1" ref="W25" ca="1">_xlfn.IFNA(SUM((W$3&gt;='Gastos com Pessoal'!$E$7:$E$506)*(W$3&lt;='Gastos com Pessoal'!$F$7:$F$506)*OFFSET('Encargos e Benefícios'!$D$5,1,MATCH($B25,'Encargos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585150.31365328527</v>
      </c>
      <c r="X25" s="32">
        <f t="array" aca="1" ref="X25" ca="1">_xlfn.IFNA(SUM((X$3&gt;='Gastos com Pessoal'!$E$7:$E$506)*(X$3&lt;='Gastos com Pessoal'!$F$7:$F$506)*OFFSET('Encargos e Benefícios'!$D$5,1,MATCH($B25,'Encargos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585150.31365328527</v>
      </c>
      <c r="Y25" s="32">
        <f t="array" aca="1" ref="Y25" ca="1">_xlfn.IFNA(SUM((Y$3&gt;='Gastos com Pessoal'!$E$7:$E$506)*(Y$3&lt;='Gastos com Pessoal'!$F$7:$F$506)*OFFSET('Encargos e Benefícios'!$D$5,1,MATCH($B25,'Encargos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585150.31365328527</v>
      </c>
      <c r="Z25" s="32">
        <f t="array" aca="1" ref="Z25" ca="1">_xlfn.IFNA(SUM((Z$3&gt;='Gastos com Pessoal'!$E$7:$E$506)*(Z$3&lt;='Gastos com Pessoal'!$F$7:$F$506)*OFFSET('Encargos e Benefícios'!$D$5,1,MATCH($B25,'Encargos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585150.31365328527</v>
      </c>
      <c r="AA25" s="32">
        <f t="array" aca="1" ref="AA25" ca="1">_xlfn.IFNA(SUM((AA$3&gt;='Gastos com Pessoal'!$E$7:$E$506)*(AA$3&lt;='Gastos com Pessoal'!$F$7:$F$506)*OFFSET('Encargos e Benefícios'!$D$5,1,MATCH($B25,'Encargos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608556.32619941665</v>
      </c>
      <c r="AB25" s="32">
        <f t="array" aca="1" ref="AB25" ca="1">_xlfn.IFNA(SUM((AB$3&gt;='Gastos com Pessoal'!$E$7:$E$506)*(AB$3&lt;='Gastos com Pessoal'!$F$7:$F$506)*OFFSET('Encargos e Benefícios'!$D$5,1,MATCH($B25,'Encargos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608556.32619941665</v>
      </c>
      <c r="AC25" s="32">
        <f t="array" aca="1" ref="AC25" ca="1">_xlfn.IFNA(SUM((AC$3&gt;='Gastos com Pessoal'!$E$7:$E$506)*(AC$3&lt;='Gastos com Pessoal'!$F$7:$F$506)*OFFSET('Encargos e Benefícios'!$D$5,1,MATCH($B25,'Encargos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608556.32619941665</v>
      </c>
      <c r="AD25" s="32">
        <f t="array" aca="1" ref="AD25" ca="1">_xlfn.IFNA(SUM((AD$3&gt;='Gastos com Pessoal'!$E$7:$E$506)*(AD$3&lt;='Gastos com Pessoal'!$F$7:$F$506)*OFFSET('Encargos e Benefícios'!$D$5,1,MATCH($B25,'Encargos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608556.32619941665</v>
      </c>
      <c r="AE25" s="32">
        <f t="array" aca="1" ref="AE25" ca="1">_xlfn.IFNA(SUM((AE$3&gt;='Gastos com Pessoal'!$E$7:$E$506)*(AE$3&lt;='Gastos com Pessoal'!$F$7:$F$506)*OFFSET('Encargos e Benefícios'!$D$5,1,MATCH($B25,'Encargos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608556.32619941665</v>
      </c>
      <c r="AF25" s="32">
        <f t="array" aca="1" ref="AF25" ca="1">_xlfn.IFNA(SUM((AF$3&gt;='Gastos com Pessoal'!$E$7:$E$506)*(AF$3&lt;='Gastos com Pessoal'!$F$7:$F$506)*OFFSET('Encargos e Benefícios'!$D$5,1,MATCH($B25,'Encargos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608556.32619941665</v>
      </c>
      <c r="AG25" s="32">
        <f t="array" aca="1" ref="AG25" ca="1">_xlfn.IFNA(SUM((AG$3&gt;='Gastos com Pessoal'!$E$7:$E$506)*(AG$3&lt;='Gastos com Pessoal'!$F$7:$F$506)*OFFSET('Encargos e Benefícios'!$D$5,1,MATCH($B25,'Encargos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608556.32619941665</v>
      </c>
      <c r="AH25" s="32">
        <f t="array" aca="1" ref="AH25" ca="1">_xlfn.IFNA(SUM((AH$3&gt;='Gastos com Pessoal'!$E$7:$E$506)*(AH$3&lt;='Gastos com Pessoal'!$F$7:$F$506)*OFFSET('Encargos e Benefícios'!$D$5,1,MATCH($B25,'Encargos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608556.32619941665</v>
      </c>
      <c r="AI25" s="32">
        <f t="array" aca="1" ref="AI25" ca="1">_xlfn.IFNA(SUM((AI$3&gt;='Gastos com Pessoal'!$E$7:$E$506)*(AI$3&lt;='Gastos com Pessoal'!$F$7:$F$506)*OFFSET('Encargos e Benefícios'!$D$5,1,MATCH($B25,'Encargos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608556.32619941665</v>
      </c>
      <c r="AJ25" s="32">
        <f t="array" aca="1" ref="AJ25" ca="1">_xlfn.IFNA(SUM((AJ$3&gt;='Gastos com Pessoal'!$E$7:$E$506)*(AJ$3&lt;='Gastos com Pessoal'!$F$7:$F$506)*OFFSET('Encargos e Benefícios'!$D$5,1,MATCH($B25,'Encargos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608556.32619941665</v>
      </c>
      <c r="AK25" s="32">
        <f t="array" aca="1" ref="AK25" ca="1">_xlfn.IFNA(SUM((AK$3&gt;='Gastos com Pessoal'!$E$7:$E$506)*(AK$3&lt;='Gastos com Pessoal'!$F$7:$F$506)*OFFSET('Encargos e Benefícios'!$D$5,1,MATCH($B25,'Encargos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608556.32619941665</v>
      </c>
      <c r="AL25" s="32">
        <f t="array" aca="1" ref="AL25" ca="1">_xlfn.IFNA(SUM((AL$3&gt;='Gastos com Pessoal'!$E$7:$E$506)*(AL$3&lt;='Gastos com Pessoal'!$F$7:$F$506)*OFFSET('Encargos e Benefícios'!$D$5,1,MATCH($B25,'Encargos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608556.32619941665</v>
      </c>
      <c r="AM25" s="32">
        <f t="array" aca="1" ref="AM25" ca="1">_xlfn.IFNA(SUM((AM$3&gt;='Gastos com Pessoal'!$E$7:$E$506)*(AM$3&lt;='Gastos com Pessoal'!$F$7:$F$506)*OFFSET('Encargos e Benefícios'!$D$5,1,MATCH($B25,'Encargos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5" s="32">
        <f t="array" aca="1" ref="AN25" ca="1">_xlfn.IFNA(SUM((AN$3&gt;='Gastos com Pessoal'!$E$7:$E$506)*(AN$3&lt;='Gastos com Pessoal'!$F$7:$F$506)*OFFSET('Encargos e Benefícios'!$D$5,1,MATCH($B25,'Encargos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5" s="32">
        <f t="array" aca="1" ref="AO25" ca="1">_xlfn.IFNA(SUM((AO$3&gt;='Gastos com Pessoal'!$E$7:$E$506)*(AO$3&lt;='Gastos com Pessoal'!$F$7:$F$506)*OFFSET('Encargos e Benefícios'!$D$5,1,MATCH($B25,'Encargos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5" s="32">
        <f t="array" aca="1" ref="AP25" ca="1">_xlfn.IFNA(SUM((AP$3&gt;='Gastos com Pessoal'!$E$7:$E$506)*(AP$3&lt;='Gastos com Pessoal'!$F$7:$F$506)*OFFSET('Encargos e Benefícios'!$D$5,1,MATCH($B25,'Encargos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5" s="32">
        <f t="array" aca="1" ref="AQ25" ca="1">_xlfn.IFNA(SUM((AQ$3&gt;='Gastos com Pessoal'!$E$7:$E$506)*(AQ$3&lt;='Gastos com Pessoal'!$F$7:$F$506)*OFFSET('Encargos e Benefícios'!$D$5,1,MATCH($B25,'Encargos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5" s="32">
        <f t="array" aca="1" ref="AR25" ca="1">_xlfn.IFNA(SUM((AR$3&gt;='Gastos com Pessoal'!$E$7:$E$506)*(AR$3&lt;='Gastos com Pessoal'!$F$7:$F$506)*OFFSET('Encargos e Benefícios'!$D$5,1,MATCH($B25,'Encargos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5" s="32">
        <f t="array" aca="1" ref="AS25" ca="1">_xlfn.IFNA(SUM((AS$3&gt;='Gastos com Pessoal'!$E$7:$E$506)*(AS$3&lt;='Gastos com Pessoal'!$F$7:$F$506)*OFFSET('Encargos e Benefícios'!$D$5,1,MATCH($B25,'Encargos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5" s="32">
        <f t="array" aca="1" ref="AT25" ca="1">_xlfn.IFNA(SUM((AT$3&gt;='Gastos com Pessoal'!$E$7:$E$506)*(AT$3&lt;='Gastos com Pessoal'!$F$7:$F$506)*OFFSET('Encargos e Benefícios'!$D$5,1,MATCH($B25,'Encargos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5" s="32">
        <f t="array" aca="1" ref="AU25" ca="1">_xlfn.IFNA(SUM((AU$3&gt;='Gastos com Pessoal'!$E$7:$E$506)*(AU$3&lt;='Gastos com Pessoal'!$F$7:$F$506)*OFFSET('Encargos e Benefícios'!$D$5,1,MATCH($B25,'Encargos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5" s="32">
        <f t="array" aca="1" ref="AV25" ca="1">_xlfn.IFNA(SUM((AV$3&gt;='Gastos com Pessoal'!$E$7:$E$506)*(AV$3&lt;='Gastos com Pessoal'!$F$7:$F$506)*OFFSET('Encargos e Benefícios'!$D$5,1,MATCH($B25,'Encargos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5" s="32">
        <f t="array" aca="1" ref="AW25" ca="1">_xlfn.IFNA(SUM((AW$3&gt;='Gastos com Pessoal'!$E$7:$E$506)*(AW$3&lt;='Gastos com Pessoal'!$F$7:$F$506)*OFFSET('Encargos e Benefícios'!$D$5,1,MATCH($B25,'Encargos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5" s="32">
        <f t="array" aca="1" ref="AX25" ca="1">_xlfn.IFNA(SUM((AX$3&gt;='Gastos com Pessoal'!$E$7:$E$506)*(AX$3&lt;='Gastos com Pessoal'!$F$7:$F$506)*OFFSET('Encargos e Benefícios'!$D$5,1,MATCH($B25,'Encargos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5" s="32">
        <f t="array" aca="1" ref="AY25" ca="1">_xlfn.IFNA(SUM((AY$3&gt;='Gastos com Pessoal'!$E$7:$E$506)*(AY$3&lt;='Gastos com Pessoal'!$F$7:$F$506)*OFFSET('Encargos e Benefícios'!$D$5,1,MATCH($B25,'Encargos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5" s="32">
        <f t="array" aca="1" ref="AZ25" ca="1">_xlfn.IFNA(SUM((AZ$3&gt;='Gastos com Pessoal'!$E$7:$E$506)*(AZ$3&lt;='Gastos com Pessoal'!$F$7:$F$506)*OFFSET('Encargos e Benefícios'!$D$5,1,MATCH($B25,'Encargos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5" s="32">
        <f t="array" aca="1" ref="BA25" ca="1">_xlfn.IFNA(SUM((BA$3&gt;='Gastos com Pessoal'!$E$7:$E$506)*(BA$3&lt;='Gastos com Pessoal'!$F$7:$F$506)*OFFSET('Encargos e Benefícios'!$D$5,1,MATCH($B25,'Encargos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5" s="32">
        <f t="array" aca="1" ref="BB25" ca="1">_xlfn.IFNA(SUM((BB$3&gt;='Gastos com Pessoal'!$E$7:$E$506)*(BB$3&lt;='Gastos com Pessoal'!$F$7:$F$506)*OFFSET('Encargos e Benefícios'!$D$5,1,MATCH($B25,'Encargos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5" s="32">
        <f t="array" aca="1" ref="BC25" ca="1">_xlfn.IFNA(SUM((BC$3&gt;='Gastos com Pessoal'!$E$7:$E$506)*(BC$3&lt;='Gastos com Pessoal'!$F$7:$F$506)*OFFSET('Encargos e Benefícios'!$D$5,1,MATCH($B25,'Encargos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5" s="32">
        <f t="array" aca="1" ref="BD25" ca="1">_xlfn.IFNA(SUM((BD$3&gt;='Gastos com Pessoal'!$E$7:$E$506)*(BD$3&lt;='Gastos com Pessoal'!$F$7:$F$506)*OFFSET('Encargos e Benefícios'!$D$5,1,MATCH($B25,'Encargos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5" s="32">
        <f t="array" aca="1" ref="BE25" ca="1">_xlfn.IFNA(SUM((BE$3&gt;='Gastos com Pessoal'!$E$7:$E$506)*(BE$3&lt;='Gastos com Pessoal'!$F$7:$F$506)*OFFSET('Encargos e Benefícios'!$D$5,1,MATCH($B25,'Encargos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5" s="32">
        <f t="array" aca="1" ref="BF25" ca="1">_xlfn.IFNA(SUM((BF$3&gt;='Gastos com Pessoal'!$E$7:$E$506)*(BF$3&lt;='Gastos com Pessoal'!$F$7:$F$506)*OFFSET('Encargos e Benefícios'!$D$5,1,MATCH($B25,'Encargos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5" s="32">
        <f t="array" aca="1" ref="BG25" ca="1">_xlfn.IFNA(SUM((BG$3&gt;='Gastos com Pessoal'!$E$7:$E$506)*(BG$3&lt;='Gastos com Pessoal'!$F$7:$F$506)*OFFSET('Encargos e Benefícios'!$D$5,1,MATCH($B25,'Encargos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5" s="32">
        <f t="array" aca="1" ref="BH25" ca="1">_xlfn.IFNA(SUM((BH$3&gt;='Gastos com Pessoal'!$E$7:$E$506)*(BH$3&lt;='Gastos com Pessoal'!$F$7:$F$506)*OFFSET('Encargos e Benefícios'!$D$5,1,MATCH($B25,'Encargos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5" s="32">
        <f t="array" aca="1" ref="BI25" ca="1">_xlfn.IFNA(SUM((BI$3&gt;='Gastos com Pessoal'!$E$7:$E$506)*(BI$3&lt;='Gastos com Pessoal'!$F$7:$F$506)*OFFSET('Encargos e Benefícios'!$D$5,1,MATCH($B25,'Encargos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5" s="32">
        <f t="array" aca="1" ref="BJ25" ca="1">_xlfn.IFNA(SUM((BJ$3&gt;='Gastos com Pessoal'!$E$7:$E$506)*(BJ$3&lt;='Gastos com Pessoal'!$F$7:$F$506)*OFFSET('Encargos e Benefícios'!$D$5,1,MATCH($B25,'Encargos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5" s="71">
        <f t="shared" ca="1" si="10"/>
        <v>21076214.066539548</v>
      </c>
      <c r="BL25" s="76">
        <f t="shared" ca="1" si="9"/>
        <v>5.7487448301819816E-2</v>
      </c>
    </row>
    <row r="26" spans="1:64" s="49" customFormat="1" ht="23.25" customHeight="1" x14ac:dyDescent="0.2">
      <c r="A26" s="19" t="s">
        <v>134</v>
      </c>
      <c r="B26" s="20" t="s">
        <v>135</v>
      </c>
      <c r="C26" s="32">
        <f t="array" aca="1" ref="C26" ca="1">_xlfn.IFNA(SUM((C$3&gt;='Gastos com Pessoal'!$E$7:$E$506)*(C$3&lt;='Gastos com Pessoal'!$F$7:$F$506)*OFFSET('Encargos e Benefícios'!$D$5,1,MATCH($B26,'Encargos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39180.902246999998</v>
      </c>
      <c r="D26" s="32">
        <f t="array" aca="1" ref="D26" ca="1">_xlfn.IFNA(SUM((D$3&gt;='Gastos com Pessoal'!$E$7:$E$506)*(D$3&lt;='Gastos com Pessoal'!$F$7:$F$506)*OFFSET('Encargos e Benefícios'!$D$5,1,MATCH($B26,'Encargos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39180.902246999998</v>
      </c>
      <c r="E26" s="32">
        <f t="array" aca="1" ref="E26" ca="1">_xlfn.IFNA(SUM((E$3&gt;='Gastos com Pessoal'!$E$7:$E$506)*(E$3&lt;='Gastos com Pessoal'!$F$7:$F$506)*OFFSET('Encargos e Benefícios'!$D$5,1,MATCH($B26,'Encargos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39180.902246999998</v>
      </c>
      <c r="F26" s="32">
        <f t="array" aca="1" ref="F26" ca="1">_xlfn.IFNA(SUM((F$3&gt;='Gastos com Pessoal'!$E$7:$E$506)*(F$3&lt;='Gastos com Pessoal'!$F$7:$F$506)*OFFSET('Encargos e Benefícios'!$D$5,1,MATCH($B26,'Encargos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39180.902246999998</v>
      </c>
      <c r="G26" s="32">
        <f t="array" aca="1" ref="G26" ca="1">_xlfn.IFNA(SUM((G$3&gt;='Gastos com Pessoal'!$E$7:$E$506)*(G$3&lt;='Gastos com Pessoal'!$F$7:$F$506)*OFFSET('Encargos e Benefícios'!$D$5,1,MATCH($B26,'Encargos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39180.902246999998</v>
      </c>
      <c r="H26" s="32">
        <f t="array" aca="1" ref="H26" ca="1">_xlfn.IFNA(SUM((H$3&gt;='Gastos com Pessoal'!$E$7:$E$506)*(H$3&lt;='Gastos com Pessoal'!$F$7:$F$506)*OFFSET('Encargos e Benefícios'!$D$5,1,MATCH($B26,'Encargos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39180.902246999998</v>
      </c>
      <c r="I26" s="32">
        <f t="array" aca="1" ref="I26" ca="1">_xlfn.IFNA(SUM((I$3&gt;='Gastos com Pessoal'!$E$7:$E$506)*(I$3&lt;='Gastos com Pessoal'!$F$7:$F$506)*OFFSET('Encargos e Benefícios'!$D$5,1,MATCH($B26,'Encargos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39180.902246999998</v>
      </c>
      <c r="J26" s="32">
        <f t="array" aca="1" ref="J26" ca="1">_xlfn.IFNA(SUM((J$3&gt;='Gastos com Pessoal'!$E$7:$E$506)*(J$3&lt;='Gastos com Pessoal'!$F$7:$F$506)*OFFSET('Encargos e Benefícios'!$D$5,1,MATCH($B26,'Encargos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39180.902246999998</v>
      </c>
      <c r="K26" s="32">
        <f t="array" aca="1" ref="K26" ca="1">_xlfn.IFNA(SUM((K$3&gt;='Gastos com Pessoal'!$E$7:$E$506)*(K$3&lt;='Gastos com Pessoal'!$F$7:$F$506)*OFFSET('Encargos e Benefícios'!$D$5,1,MATCH($B26,'Encargos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39180.902246999998</v>
      </c>
      <c r="L26" s="32">
        <f t="array" aca="1" ref="L26" ca="1">_xlfn.IFNA(SUM((L$3&gt;='Gastos com Pessoal'!$E$7:$E$506)*(L$3&lt;='Gastos com Pessoal'!$F$7:$F$506)*OFFSET('Encargos e Benefícios'!$D$5,1,MATCH($B26,'Encargos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39180.902246999998</v>
      </c>
      <c r="M26" s="32">
        <f t="array" aca="1" ref="M26" ca="1">_xlfn.IFNA(SUM((M$3&gt;='Gastos com Pessoal'!$E$7:$E$506)*(M$3&lt;='Gastos com Pessoal'!$F$7:$F$506)*OFFSET('Encargos e Benefícios'!$D$5,1,MATCH($B26,'Encargos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39180.902246999998</v>
      </c>
      <c r="N26" s="32">
        <f t="array" aca="1" ref="N26" ca="1">_xlfn.IFNA(SUM((N$3&gt;='Gastos com Pessoal'!$E$7:$E$506)*(N$3&lt;='Gastos com Pessoal'!$F$7:$F$506)*OFFSET('Encargos e Benefícios'!$D$5,1,MATCH($B26,'Encargos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39180.902246999998</v>
      </c>
      <c r="O26" s="32">
        <f t="array" aca="1" ref="O26" ca="1">_xlfn.IFNA(SUM((O$3&gt;='Gastos com Pessoal'!$E$7:$E$506)*(O$3&lt;='Gastos com Pessoal'!$F$7:$F$506)*OFFSET('Encargos e Benefícios'!$D$5,1,MATCH($B26,'Encargos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40748.138336880002</v>
      </c>
      <c r="P26" s="32">
        <f t="array" aca="1" ref="P26" ca="1">_xlfn.IFNA(SUM((P$3&gt;='Gastos com Pessoal'!$E$7:$E$506)*(P$3&lt;='Gastos com Pessoal'!$F$7:$F$506)*OFFSET('Encargos e Benefícios'!$D$5,1,MATCH($B26,'Encargos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40748.138336880002</v>
      </c>
      <c r="Q26" s="32">
        <f t="array" aca="1" ref="Q26" ca="1">_xlfn.IFNA(SUM((Q$3&gt;='Gastos com Pessoal'!$E$7:$E$506)*(Q$3&lt;='Gastos com Pessoal'!$F$7:$F$506)*OFFSET('Encargos e Benefícios'!$D$5,1,MATCH($B26,'Encargos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40748.138336880002</v>
      </c>
      <c r="R26" s="32">
        <f t="array" aca="1" ref="R26" ca="1">_xlfn.IFNA(SUM((R$3&gt;='Gastos com Pessoal'!$E$7:$E$506)*(R$3&lt;='Gastos com Pessoal'!$F$7:$F$506)*OFFSET('Encargos e Benefícios'!$D$5,1,MATCH($B26,'Encargos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40748.138336880002</v>
      </c>
      <c r="S26" s="32">
        <f t="array" aca="1" ref="S26" ca="1">_xlfn.IFNA(SUM((S$3&gt;='Gastos com Pessoal'!$E$7:$E$506)*(S$3&lt;='Gastos com Pessoal'!$F$7:$F$506)*OFFSET('Encargos e Benefícios'!$D$5,1,MATCH($B26,'Encargos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40748.138336880002</v>
      </c>
      <c r="T26" s="32">
        <f t="array" aca="1" ref="T26" ca="1">_xlfn.IFNA(SUM((T$3&gt;='Gastos com Pessoal'!$E$7:$E$506)*(T$3&lt;='Gastos com Pessoal'!$F$7:$F$506)*OFFSET('Encargos e Benefícios'!$D$5,1,MATCH($B26,'Encargos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40748.138336880002</v>
      </c>
      <c r="U26" s="32">
        <f t="array" aca="1" ref="U26" ca="1">_xlfn.IFNA(SUM((U$3&gt;='Gastos com Pessoal'!$E$7:$E$506)*(U$3&lt;='Gastos com Pessoal'!$F$7:$F$506)*OFFSET('Encargos e Benefícios'!$D$5,1,MATCH($B26,'Encargos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40748.138336880002</v>
      </c>
      <c r="V26" s="32">
        <f t="array" aca="1" ref="V26" ca="1">_xlfn.IFNA(SUM((V$3&gt;='Gastos com Pessoal'!$E$7:$E$506)*(V$3&lt;='Gastos com Pessoal'!$F$7:$F$506)*OFFSET('Encargos e Benefícios'!$D$5,1,MATCH($B26,'Encargos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40748.138336880002</v>
      </c>
      <c r="W26" s="32">
        <f t="array" aca="1" ref="W26" ca="1">_xlfn.IFNA(SUM((W$3&gt;='Gastos com Pessoal'!$E$7:$E$506)*(W$3&lt;='Gastos com Pessoal'!$F$7:$F$506)*OFFSET('Encargos e Benefícios'!$D$5,1,MATCH($B26,'Encargos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40748.138336880002</v>
      </c>
      <c r="X26" s="32">
        <f t="array" aca="1" ref="X26" ca="1">_xlfn.IFNA(SUM((X$3&gt;='Gastos com Pessoal'!$E$7:$E$506)*(X$3&lt;='Gastos com Pessoal'!$F$7:$F$506)*OFFSET('Encargos e Benefícios'!$D$5,1,MATCH($B26,'Encargos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40748.138336880002</v>
      </c>
      <c r="Y26" s="32">
        <f t="array" aca="1" ref="Y26" ca="1">_xlfn.IFNA(SUM((Y$3&gt;='Gastos com Pessoal'!$E$7:$E$506)*(Y$3&lt;='Gastos com Pessoal'!$F$7:$F$506)*OFFSET('Encargos e Benefícios'!$D$5,1,MATCH($B26,'Encargos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40748.138336880002</v>
      </c>
      <c r="Z26" s="32">
        <f t="array" aca="1" ref="Z26" ca="1">_xlfn.IFNA(SUM((Z$3&gt;='Gastos com Pessoal'!$E$7:$E$506)*(Z$3&lt;='Gastos com Pessoal'!$F$7:$F$506)*OFFSET('Encargos e Benefícios'!$D$5,1,MATCH($B26,'Encargos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40748.138336880002</v>
      </c>
      <c r="AA26" s="32">
        <f t="array" aca="1" ref="AA26" ca="1">_xlfn.IFNA(SUM((AA$3&gt;='Gastos com Pessoal'!$E$7:$E$506)*(AA$3&lt;='Gastos com Pessoal'!$F$7:$F$506)*OFFSET('Encargos e Benefícios'!$D$5,1,MATCH($B26,'Encargos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42378.063870355203</v>
      </c>
      <c r="AB26" s="32">
        <f t="array" aca="1" ref="AB26" ca="1">_xlfn.IFNA(SUM((AB$3&gt;='Gastos com Pessoal'!$E$7:$E$506)*(AB$3&lt;='Gastos com Pessoal'!$F$7:$F$506)*OFFSET('Encargos e Benefícios'!$D$5,1,MATCH($B26,'Encargos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42378.063870355203</v>
      </c>
      <c r="AC26" s="32">
        <f t="array" aca="1" ref="AC26" ca="1">_xlfn.IFNA(SUM((AC$3&gt;='Gastos com Pessoal'!$E$7:$E$506)*(AC$3&lt;='Gastos com Pessoal'!$F$7:$F$506)*OFFSET('Encargos e Benefícios'!$D$5,1,MATCH($B26,'Encargos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42378.063870355203</v>
      </c>
      <c r="AD26" s="32">
        <f t="array" aca="1" ref="AD26" ca="1">_xlfn.IFNA(SUM((AD$3&gt;='Gastos com Pessoal'!$E$7:$E$506)*(AD$3&lt;='Gastos com Pessoal'!$F$7:$F$506)*OFFSET('Encargos e Benefícios'!$D$5,1,MATCH($B26,'Encargos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42378.063870355203</v>
      </c>
      <c r="AE26" s="32">
        <f t="array" aca="1" ref="AE26" ca="1">_xlfn.IFNA(SUM((AE$3&gt;='Gastos com Pessoal'!$E$7:$E$506)*(AE$3&lt;='Gastos com Pessoal'!$F$7:$F$506)*OFFSET('Encargos e Benefícios'!$D$5,1,MATCH($B26,'Encargos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42378.063870355203</v>
      </c>
      <c r="AF26" s="32">
        <f t="array" aca="1" ref="AF26" ca="1">_xlfn.IFNA(SUM((AF$3&gt;='Gastos com Pessoal'!$E$7:$E$506)*(AF$3&lt;='Gastos com Pessoal'!$F$7:$F$506)*OFFSET('Encargos e Benefícios'!$D$5,1,MATCH($B26,'Encargos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42378.063870355203</v>
      </c>
      <c r="AG26" s="32">
        <f t="array" aca="1" ref="AG26" ca="1">_xlfn.IFNA(SUM((AG$3&gt;='Gastos com Pessoal'!$E$7:$E$506)*(AG$3&lt;='Gastos com Pessoal'!$F$7:$F$506)*OFFSET('Encargos e Benefícios'!$D$5,1,MATCH($B26,'Encargos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42378.063870355203</v>
      </c>
      <c r="AH26" s="32">
        <f t="array" aca="1" ref="AH26" ca="1">_xlfn.IFNA(SUM((AH$3&gt;='Gastos com Pessoal'!$E$7:$E$506)*(AH$3&lt;='Gastos com Pessoal'!$F$7:$F$506)*OFFSET('Encargos e Benefícios'!$D$5,1,MATCH($B26,'Encargos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42378.063870355203</v>
      </c>
      <c r="AI26" s="32">
        <f t="array" aca="1" ref="AI26" ca="1">_xlfn.IFNA(SUM((AI$3&gt;='Gastos com Pessoal'!$E$7:$E$506)*(AI$3&lt;='Gastos com Pessoal'!$F$7:$F$506)*OFFSET('Encargos e Benefícios'!$D$5,1,MATCH($B26,'Encargos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42378.063870355203</v>
      </c>
      <c r="AJ26" s="32">
        <f t="array" aca="1" ref="AJ26" ca="1">_xlfn.IFNA(SUM((AJ$3&gt;='Gastos com Pessoal'!$E$7:$E$506)*(AJ$3&lt;='Gastos com Pessoal'!$F$7:$F$506)*OFFSET('Encargos e Benefícios'!$D$5,1,MATCH($B26,'Encargos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42378.063870355203</v>
      </c>
      <c r="AK26" s="32">
        <f t="array" aca="1" ref="AK26" ca="1">_xlfn.IFNA(SUM((AK$3&gt;='Gastos com Pessoal'!$E$7:$E$506)*(AK$3&lt;='Gastos com Pessoal'!$F$7:$F$506)*OFFSET('Encargos e Benefícios'!$D$5,1,MATCH($B26,'Encargos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42378.063870355203</v>
      </c>
      <c r="AL26" s="32">
        <f t="array" aca="1" ref="AL26" ca="1">_xlfn.IFNA(SUM((AL$3&gt;='Gastos com Pessoal'!$E$7:$E$506)*(AL$3&lt;='Gastos com Pessoal'!$F$7:$F$506)*OFFSET('Encargos e Benefícios'!$D$5,1,MATCH($B26,'Encargos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42378.063870355203</v>
      </c>
      <c r="AM26" s="32">
        <f t="array" aca="1" ref="AM26" ca="1">_xlfn.IFNA(SUM((AM$3&gt;='Gastos com Pessoal'!$E$7:$E$506)*(AM$3&lt;='Gastos com Pessoal'!$F$7:$F$506)*OFFSET('Encargos e Benefícios'!$D$5,1,MATCH($B26,'Encargos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6" s="32">
        <f t="array" aca="1" ref="AN26" ca="1">_xlfn.IFNA(SUM((AN$3&gt;='Gastos com Pessoal'!$E$7:$E$506)*(AN$3&lt;='Gastos com Pessoal'!$F$7:$F$506)*OFFSET('Encargos e Benefícios'!$D$5,1,MATCH($B26,'Encargos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6" s="32">
        <f t="array" aca="1" ref="AO26" ca="1">_xlfn.IFNA(SUM((AO$3&gt;='Gastos com Pessoal'!$E$7:$E$506)*(AO$3&lt;='Gastos com Pessoal'!$F$7:$F$506)*OFFSET('Encargos e Benefícios'!$D$5,1,MATCH($B26,'Encargos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6" s="32">
        <f t="array" aca="1" ref="AP26" ca="1">_xlfn.IFNA(SUM((AP$3&gt;='Gastos com Pessoal'!$E$7:$E$506)*(AP$3&lt;='Gastos com Pessoal'!$F$7:$F$506)*OFFSET('Encargos e Benefícios'!$D$5,1,MATCH($B26,'Encargos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6" s="32">
        <f t="array" aca="1" ref="AQ26" ca="1">_xlfn.IFNA(SUM((AQ$3&gt;='Gastos com Pessoal'!$E$7:$E$506)*(AQ$3&lt;='Gastos com Pessoal'!$F$7:$F$506)*OFFSET('Encargos e Benefícios'!$D$5,1,MATCH($B26,'Encargos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6" s="32">
        <f t="array" aca="1" ref="AR26" ca="1">_xlfn.IFNA(SUM((AR$3&gt;='Gastos com Pessoal'!$E$7:$E$506)*(AR$3&lt;='Gastos com Pessoal'!$F$7:$F$506)*OFFSET('Encargos e Benefícios'!$D$5,1,MATCH($B26,'Encargos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6" s="32">
        <f t="array" aca="1" ref="AS26" ca="1">_xlfn.IFNA(SUM((AS$3&gt;='Gastos com Pessoal'!$E$7:$E$506)*(AS$3&lt;='Gastos com Pessoal'!$F$7:$F$506)*OFFSET('Encargos e Benefícios'!$D$5,1,MATCH($B26,'Encargos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6" s="32">
        <f t="array" aca="1" ref="AT26" ca="1">_xlfn.IFNA(SUM((AT$3&gt;='Gastos com Pessoal'!$E$7:$E$506)*(AT$3&lt;='Gastos com Pessoal'!$F$7:$F$506)*OFFSET('Encargos e Benefícios'!$D$5,1,MATCH($B26,'Encargos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6" s="32">
        <f t="array" aca="1" ref="AU26" ca="1">_xlfn.IFNA(SUM((AU$3&gt;='Gastos com Pessoal'!$E$7:$E$506)*(AU$3&lt;='Gastos com Pessoal'!$F$7:$F$506)*OFFSET('Encargos e Benefícios'!$D$5,1,MATCH($B26,'Encargos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6" s="32">
        <f t="array" aca="1" ref="AV26" ca="1">_xlfn.IFNA(SUM((AV$3&gt;='Gastos com Pessoal'!$E$7:$E$506)*(AV$3&lt;='Gastos com Pessoal'!$F$7:$F$506)*OFFSET('Encargos e Benefícios'!$D$5,1,MATCH($B26,'Encargos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6" s="32">
        <f t="array" aca="1" ref="AW26" ca="1">_xlfn.IFNA(SUM((AW$3&gt;='Gastos com Pessoal'!$E$7:$E$506)*(AW$3&lt;='Gastos com Pessoal'!$F$7:$F$506)*OFFSET('Encargos e Benefícios'!$D$5,1,MATCH($B26,'Encargos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6" s="32">
        <f t="array" aca="1" ref="AX26" ca="1">_xlfn.IFNA(SUM((AX$3&gt;='Gastos com Pessoal'!$E$7:$E$506)*(AX$3&lt;='Gastos com Pessoal'!$F$7:$F$506)*OFFSET('Encargos e Benefícios'!$D$5,1,MATCH($B26,'Encargos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6" s="32">
        <f t="array" aca="1" ref="AY26" ca="1">_xlfn.IFNA(SUM((AY$3&gt;='Gastos com Pessoal'!$E$7:$E$506)*(AY$3&lt;='Gastos com Pessoal'!$F$7:$F$506)*OFFSET('Encargos e Benefícios'!$D$5,1,MATCH($B26,'Encargos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6" s="32">
        <f t="array" aca="1" ref="AZ26" ca="1">_xlfn.IFNA(SUM((AZ$3&gt;='Gastos com Pessoal'!$E$7:$E$506)*(AZ$3&lt;='Gastos com Pessoal'!$F$7:$F$506)*OFFSET('Encargos e Benefícios'!$D$5,1,MATCH($B26,'Encargos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6" s="32">
        <f t="array" aca="1" ref="BA26" ca="1">_xlfn.IFNA(SUM((BA$3&gt;='Gastos com Pessoal'!$E$7:$E$506)*(BA$3&lt;='Gastos com Pessoal'!$F$7:$F$506)*OFFSET('Encargos e Benefícios'!$D$5,1,MATCH($B26,'Encargos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6" s="32">
        <f t="array" aca="1" ref="BB26" ca="1">_xlfn.IFNA(SUM((BB$3&gt;='Gastos com Pessoal'!$E$7:$E$506)*(BB$3&lt;='Gastos com Pessoal'!$F$7:$F$506)*OFFSET('Encargos e Benefícios'!$D$5,1,MATCH($B26,'Encargos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6" s="32">
        <f t="array" aca="1" ref="BC26" ca="1">_xlfn.IFNA(SUM((BC$3&gt;='Gastos com Pessoal'!$E$7:$E$506)*(BC$3&lt;='Gastos com Pessoal'!$F$7:$F$506)*OFFSET('Encargos e Benefícios'!$D$5,1,MATCH($B26,'Encargos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6" s="32">
        <f t="array" aca="1" ref="BD26" ca="1">_xlfn.IFNA(SUM((BD$3&gt;='Gastos com Pessoal'!$E$7:$E$506)*(BD$3&lt;='Gastos com Pessoal'!$F$7:$F$506)*OFFSET('Encargos e Benefícios'!$D$5,1,MATCH($B26,'Encargos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6" s="32">
        <f t="array" aca="1" ref="BE26" ca="1">_xlfn.IFNA(SUM((BE$3&gt;='Gastos com Pessoal'!$E$7:$E$506)*(BE$3&lt;='Gastos com Pessoal'!$F$7:$F$506)*OFFSET('Encargos e Benefícios'!$D$5,1,MATCH($B26,'Encargos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6" s="32">
        <f t="array" aca="1" ref="BF26" ca="1">_xlfn.IFNA(SUM((BF$3&gt;='Gastos com Pessoal'!$E$7:$E$506)*(BF$3&lt;='Gastos com Pessoal'!$F$7:$F$506)*OFFSET('Encargos e Benefícios'!$D$5,1,MATCH($B26,'Encargos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6" s="32">
        <f t="array" aca="1" ref="BG26" ca="1">_xlfn.IFNA(SUM((BG$3&gt;='Gastos com Pessoal'!$E$7:$E$506)*(BG$3&lt;='Gastos com Pessoal'!$F$7:$F$506)*OFFSET('Encargos e Benefícios'!$D$5,1,MATCH($B26,'Encargos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6" s="32">
        <f t="array" aca="1" ref="BH26" ca="1">_xlfn.IFNA(SUM((BH$3&gt;='Gastos com Pessoal'!$E$7:$E$506)*(BH$3&lt;='Gastos com Pessoal'!$F$7:$F$506)*OFFSET('Encargos e Benefícios'!$D$5,1,MATCH($B26,'Encargos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6" s="32">
        <f t="array" aca="1" ref="BI26" ca="1">_xlfn.IFNA(SUM((BI$3&gt;='Gastos com Pessoal'!$E$7:$E$506)*(BI$3&lt;='Gastos com Pessoal'!$F$7:$F$506)*OFFSET('Encargos e Benefícios'!$D$5,1,MATCH($B26,'Encargos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6" s="32">
        <f t="array" aca="1" ref="BJ26" ca="1">_xlfn.IFNA(SUM((BJ$3&gt;='Gastos com Pessoal'!$E$7:$E$506)*(BJ$3&lt;='Gastos com Pessoal'!$F$7:$F$506)*OFFSET('Encargos e Benefícios'!$D$5,1,MATCH($B26,'Encargos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6" s="71">
        <f t="shared" ca="1" si="10"/>
        <v>1467685.2534508232</v>
      </c>
      <c r="BL26" s="76">
        <f t="shared" ca="1" si="9"/>
        <v>4.0032559863323967E-3</v>
      </c>
    </row>
    <row r="27" spans="1:64" s="49" customFormat="1" ht="23.25" customHeight="1" x14ac:dyDescent="0.2">
      <c r="A27" s="19" t="s">
        <v>136</v>
      </c>
      <c r="B27" s="20" t="s">
        <v>137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32">
        <v>0</v>
      </c>
      <c r="AI27" s="32">
        <v>0</v>
      </c>
      <c r="AJ27" s="32">
        <v>0</v>
      </c>
      <c r="AK27" s="32">
        <v>0</v>
      </c>
      <c r="AL27" s="32">
        <v>0</v>
      </c>
      <c r="AM27" s="32">
        <v>0</v>
      </c>
      <c r="AN27" s="32">
        <v>0</v>
      </c>
      <c r="AO27" s="32">
        <v>0</v>
      </c>
      <c r="AP27" s="32">
        <v>0</v>
      </c>
      <c r="AQ27" s="32">
        <v>0</v>
      </c>
      <c r="AR27" s="32">
        <v>0</v>
      </c>
      <c r="AS27" s="32">
        <v>0</v>
      </c>
      <c r="AT27" s="32">
        <v>0</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71">
        <f>SUM(C27:BJ27)</f>
        <v>0</v>
      </c>
      <c r="BL27" s="76">
        <f t="shared" ca="1" si="9"/>
        <v>0</v>
      </c>
    </row>
    <row r="28" spans="1:64" s="49" customFormat="1" ht="23.25" customHeight="1" x14ac:dyDescent="0.2">
      <c r="A28" s="41"/>
      <c r="B28" s="42" t="s">
        <v>138</v>
      </c>
      <c r="C28" s="43">
        <f t="shared" ref="C28" ca="1" si="11">SUBTOTAL(109,C20:C27)</f>
        <v>4607321.3410367211</v>
      </c>
      <c r="D28" s="43">
        <f t="shared" ref="D28:BJ28" ca="1" si="12">SUBTOTAL(109,D20:D27)</f>
        <v>4607321.3410367211</v>
      </c>
      <c r="E28" s="43">
        <f t="shared" ca="1" si="12"/>
        <v>4607321.3410367211</v>
      </c>
      <c r="F28" s="43">
        <f t="shared" ca="1" si="12"/>
        <v>4607321.3410367211</v>
      </c>
      <c r="G28" s="43">
        <f t="shared" ca="1" si="12"/>
        <v>4607321.3410367211</v>
      </c>
      <c r="H28" s="43">
        <f t="shared" ca="1" si="12"/>
        <v>4607321.3410367211</v>
      </c>
      <c r="I28" s="43">
        <f t="shared" ca="1" si="12"/>
        <v>4607321.3410367211</v>
      </c>
      <c r="J28" s="43">
        <f t="shared" ca="1" si="12"/>
        <v>4607321.3410367211</v>
      </c>
      <c r="K28" s="43">
        <f t="shared" ca="1" si="12"/>
        <v>4607321.3410367211</v>
      </c>
      <c r="L28" s="43">
        <f t="shared" ca="1" si="12"/>
        <v>4607321.3410367211</v>
      </c>
      <c r="M28" s="43">
        <f t="shared" ca="1" si="12"/>
        <v>4607321.3410367211</v>
      </c>
      <c r="N28" s="43">
        <f t="shared" ca="1" si="12"/>
        <v>4607321.3410367211</v>
      </c>
      <c r="O28" s="43">
        <f t="shared" ca="1" si="12"/>
        <v>4729471.6326909773</v>
      </c>
      <c r="P28" s="43">
        <f t="shared" ca="1" si="12"/>
        <v>4729471.6326909773</v>
      </c>
      <c r="Q28" s="43">
        <f t="shared" ca="1" si="12"/>
        <v>4729471.6326909773</v>
      </c>
      <c r="R28" s="43">
        <f t="shared" ca="1" si="12"/>
        <v>4729471.6326909773</v>
      </c>
      <c r="S28" s="43">
        <f t="shared" ca="1" si="12"/>
        <v>4729471.6326909773</v>
      </c>
      <c r="T28" s="43">
        <f t="shared" ca="1" si="12"/>
        <v>4729471.6326909773</v>
      </c>
      <c r="U28" s="43">
        <f t="shared" ca="1" si="12"/>
        <v>4729471.6326909773</v>
      </c>
      <c r="V28" s="43">
        <f t="shared" ca="1" si="12"/>
        <v>4729471.6326909773</v>
      </c>
      <c r="W28" s="43">
        <f t="shared" ca="1" si="12"/>
        <v>4729471.6326909773</v>
      </c>
      <c r="X28" s="43">
        <f t="shared" ca="1" si="12"/>
        <v>4729471.6326909773</v>
      </c>
      <c r="Y28" s="43">
        <f t="shared" ca="1" si="12"/>
        <v>4729471.6326909773</v>
      </c>
      <c r="Z28" s="43">
        <f t="shared" ca="1" si="12"/>
        <v>4729471.6326909773</v>
      </c>
      <c r="AA28" s="43">
        <f t="shared" ca="1" si="12"/>
        <v>4918650.4979986157</v>
      </c>
      <c r="AB28" s="43">
        <f t="shared" ca="1" si="12"/>
        <v>4918650.4979986157</v>
      </c>
      <c r="AC28" s="43">
        <f t="shared" ca="1" si="12"/>
        <v>4918650.4979986157</v>
      </c>
      <c r="AD28" s="43">
        <f t="shared" ca="1" si="12"/>
        <v>4918650.4979986157</v>
      </c>
      <c r="AE28" s="43">
        <f t="shared" ca="1" si="12"/>
        <v>4918650.4979986157</v>
      </c>
      <c r="AF28" s="43">
        <f t="shared" ca="1" si="12"/>
        <v>4918650.4979986157</v>
      </c>
      <c r="AG28" s="43">
        <f t="shared" ca="1" si="12"/>
        <v>4918650.4979986157</v>
      </c>
      <c r="AH28" s="43">
        <f t="shared" ca="1" si="12"/>
        <v>4918650.4979986157</v>
      </c>
      <c r="AI28" s="43">
        <f t="shared" ca="1" si="12"/>
        <v>4918650.4979986157</v>
      </c>
      <c r="AJ28" s="43">
        <f t="shared" ca="1" si="12"/>
        <v>4918650.4979986157</v>
      </c>
      <c r="AK28" s="43">
        <f t="shared" ca="1" si="12"/>
        <v>4918650.4979986157</v>
      </c>
      <c r="AL28" s="43">
        <f t="shared" ca="1" si="12"/>
        <v>4918650.4979986157</v>
      </c>
      <c r="AM28" s="43">
        <f t="shared" ca="1" si="12"/>
        <v>0</v>
      </c>
      <c r="AN28" s="43">
        <f t="shared" ca="1" si="12"/>
        <v>0</v>
      </c>
      <c r="AO28" s="43">
        <f t="shared" ca="1" si="12"/>
        <v>0</v>
      </c>
      <c r="AP28" s="43">
        <f t="shared" ca="1" si="12"/>
        <v>0</v>
      </c>
      <c r="AQ28" s="43">
        <f t="shared" ca="1" si="12"/>
        <v>0</v>
      </c>
      <c r="AR28" s="43">
        <f t="shared" ca="1" si="12"/>
        <v>0</v>
      </c>
      <c r="AS28" s="43">
        <f t="shared" ca="1" si="12"/>
        <v>0</v>
      </c>
      <c r="AT28" s="43">
        <f t="shared" ca="1" si="12"/>
        <v>0</v>
      </c>
      <c r="AU28" s="43">
        <f t="shared" ca="1" si="12"/>
        <v>0</v>
      </c>
      <c r="AV28" s="43">
        <f t="shared" ca="1" si="12"/>
        <v>0</v>
      </c>
      <c r="AW28" s="43">
        <f t="shared" ca="1" si="12"/>
        <v>0</v>
      </c>
      <c r="AX28" s="43">
        <f t="shared" ca="1" si="12"/>
        <v>0</v>
      </c>
      <c r="AY28" s="43">
        <f t="shared" ca="1" si="12"/>
        <v>0</v>
      </c>
      <c r="AZ28" s="43">
        <f t="shared" ca="1" si="12"/>
        <v>0</v>
      </c>
      <c r="BA28" s="43">
        <f t="shared" ca="1" si="12"/>
        <v>0</v>
      </c>
      <c r="BB28" s="43">
        <f t="shared" ca="1" si="12"/>
        <v>0</v>
      </c>
      <c r="BC28" s="43">
        <f t="shared" ca="1" si="12"/>
        <v>0</v>
      </c>
      <c r="BD28" s="43">
        <f t="shared" ca="1" si="12"/>
        <v>0</v>
      </c>
      <c r="BE28" s="43">
        <f t="shared" ca="1" si="12"/>
        <v>0</v>
      </c>
      <c r="BF28" s="43">
        <f t="shared" ca="1" si="12"/>
        <v>0</v>
      </c>
      <c r="BG28" s="43">
        <f t="shared" ca="1" si="12"/>
        <v>0</v>
      </c>
      <c r="BH28" s="43">
        <f t="shared" ca="1" si="12"/>
        <v>0</v>
      </c>
      <c r="BI28" s="43">
        <f t="shared" ca="1" si="12"/>
        <v>0</v>
      </c>
      <c r="BJ28" s="43">
        <f t="shared" ca="1" si="12"/>
        <v>0</v>
      </c>
      <c r="BK28" s="43">
        <f t="shared" ref="BK28" ca="1" si="13">SUBTOTAL(109,BK20:BK27)</f>
        <v>171065321.66071579</v>
      </c>
      <c r="BL28" s="60">
        <f t="shared" ca="1" si="9"/>
        <v>0.46659750200664074</v>
      </c>
    </row>
    <row r="29" spans="1:64" s="97" customFormat="1" ht="23.25" customHeight="1" x14ac:dyDescent="0.2">
      <c r="A29" s="258" t="s">
        <v>83</v>
      </c>
      <c r="B29" s="259" t="s">
        <v>84</v>
      </c>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262"/>
      <c r="BE29" s="262"/>
      <c r="BF29" s="262"/>
      <c r="BG29" s="262"/>
      <c r="BH29" s="262"/>
      <c r="BI29" s="262"/>
      <c r="BJ29" s="262"/>
      <c r="BK29" s="262"/>
      <c r="BL29" s="263"/>
    </row>
    <row r="30" spans="1:64" s="49" customFormat="1" ht="23.25" customHeight="1" x14ac:dyDescent="0.2">
      <c r="A30" s="19" t="s">
        <v>139</v>
      </c>
      <c r="B30" s="12" t="s">
        <v>140</v>
      </c>
      <c r="C30" s="32">
        <f t="array" aca="1" ref="C30" ca="1">_xlfn.IFNA(SUM((C$3&gt;='Gastos com Pessoal'!$E$513:$E$522)*(C$3&lt;='Gastos com Pessoal'!$F$513:$F$522)*OFFSET('Encargos e Benefícios'!$D$511,1,MATCH($B30,'Encargos e Benefícios'!$E$511:$AB$511,0),10,1)
*(IF('Gastos com Pessoal'!$G$513:$G$522&lt;=C$3,('Gastos com Pessoal'!$H$513:$H$522)+1,1))
*(IF('Gastos com Pessoal'!$M$513:$M$522&lt;=C$3,('Gastos com Pessoal'!$N$513:$N$522)+1,1))
*(IF('Gastos com Pessoal'!$S$513:$S$522&lt;=C$3,('Gastos com Pessoal'!$T$513:$T$522)+1,1))
*(IF('Gastos com Pessoal'!$Y$513:$Y$522&lt;=C$3,('Gastos com Pessoal'!$Z$513:$Z$522)+1,1))
*(IF('Gastos com Pessoal'!$AE$513:$AE$522&lt;=C$3,('Gastos com Pessoal'!$AF$513:$AF$522)+1,1))),0)</f>
        <v>0</v>
      </c>
      <c r="D30" s="32">
        <f t="array" aca="1" ref="D30" ca="1">_xlfn.IFNA(SUM((D$3&gt;='Gastos com Pessoal'!$E$513:$E$522)*(D$3&lt;='Gastos com Pessoal'!$F$513:$F$522)*OFFSET('Encargos e Benefícios'!$D$511,1,MATCH($B30,'Encargos e Benefícios'!$E$511:$AB$511,0),10,1)
*(IF('Gastos com Pessoal'!$G$513:$G$522&lt;=D$3,('Gastos com Pessoal'!$H$513:$H$522)+1,1))
*(IF('Gastos com Pessoal'!$M$513:$M$522&lt;=D$3,('Gastos com Pessoal'!$N$513:$N$522)+1,1))
*(IF('Gastos com Pessoal'!$S$513:$S$522&lt;=D$3,('Gastos com Pessoal'!$T$513:$T$522)+1,1))
*(IF('Gastos com Pessoal'!$Y$513:$Y$522&lt;=D$3,('Gastos com Pessoal'!$Z$513:$Z$522)+1,1))
*(IF('Gastos com Pessoal'!$AE$513:$AE$522&lt;=D$3,('Gastos com Pessoal'!$AF$513:$AF$522)+1,1))),0)</f>
        <v>0</v>
      </c>
      <c r="E30" s="32">
        <f t="array" aca="1" ref="E30" ca="1">_xlfn.IFNA(SUM((E$3&gt;='Gastos com Pessoal'!$E$513:$E$522)*(E$3&lt;='Gastos com Pessoal'!$F$513:$F$522)*OFFSET('Encargos e Benefícios'!$D$511,1,MATCH($B30,'Encargos e Benefícios'!$E$511:$AB$511,0),10,1)
*(IF('Gastos com Pessoal'!$G$513:$G$522&lt;=E$3,('Gastos com Pessoal'!$H$513:$H$522)+1,1))
*(IF('Gastos com Pessoal'!$M$513:$M$522&lt;=E$3,('Gastos com Pessoal'!$N$513:$N$522)+1,1))
*(IF('Gastos com Pessoal'!$S$513:$S$522&lt;=E$3,('Gastos com Pessoal'!$T$513:$T$522)+1,1))
*(IF('Gastos com Pessoal'!$Y$513:$Y$522&lt;=E$3,('Gastos com Pessoal'!$Z$513:$Z$522)+1,1))
*(IF('Gastos com Pessoal'!$AE$513:$AE$522&lt;=E$3,('Gastos com Pessoal'!$AF$513:$AF$522)+1,1))),0)</f>
        <v>0</v>
      </c>
      <c r="F30" s="32">
        <f t="array" aca="1" ref="F30" ca="1">_xlfn.IFNA(SUM((F$3&gt;='Gastos com Pessoal'!$E$513:$E$522)*(F$3&lt;='Gastos com Pessoal'!$F$513:$F$522)*OFFSET('Encargos e Benefícios'!$D$511,1,MATCH($B30,'Encargos e Benefícios'!$E$511:$AB$511,0),10,1)
*(IF('Gastos com Pessoal'!$G$513:$G$522&lt;=F$3,('Gastos com Pessoal'!$H$513:$H$522)+1,1))
*(IF('Gastos com Pessoal'!$M$513:$M$522&lt;=F$3,('Gastos com Pessoal'!$N$513:$N$522)+1,1))
*(IF('Gastos com Pessoal'!$S$513:$S$522&lt;=F$3,('Gastos com Pessoal'!$T$513:$T$522)+1,1))
*(IF('Gastos com Pessoal'!$Y$513:$Y$522&lt;=F$3,('Gastos com Pessoal'!$Z$513:$Z$522)+1,1))
*(IF('Gastos com Pessoal'!$AE$513:$AE$522&lt;=F$3,('Gastos com Pessoal'!$AF$513:$AF$522)+1,1))),0)</f>
        <v>0</v>
      </c>
      <c r="G30" s="32">
        <f t="array" aca="1" ref="G30" ca="1">_xlfn.IFNA(SUM((G$3&gt;='Gastos com Pessoal'!$E$513:$E$522)*(G$3&lt;='Gastos com Pessoal'!$F$513:$F$522)*OFFSET('Encargos e Benefícios'!$D$511,1,MATCH($B30,'Encargos e Benefícios'!$E$511:$AB$511,0),10,1)
*(IF('Gastos com Pessoal'!$G$513:$G$522&lt;=G$3,('Gastos com Pessoal'!$H$513:$H$522)+1,1))
*(IF('Gastos com Pessoal'!$M$513:$M$522&lt;=G$3,('Gastos com Pessoal'!$N$513:$N$522)+1,1))
*(IF('Gastos com Pessoal'!$S$513:$S$522&lt;=G$3,('Gastos com Pessoal'!$T$513:$T$522)+1,1))
*(IF('Gastos com Pessoal'!$Y$513:$Y$522&lt;=G$3,('Gastos com Pessoal'!$Z$513:$Z$522)+1,1))
*(IF('Gastos com Pessoal'!$AE$513:$AE$522&lt;=G$3,('Gastos com Pessoal'!$AF$513:$AF$522)+1,1))),0)</f>
        <v>0</v>
      </c>
      <c r="H30" s="32">
        <f t="array" aca="1" ref="H30" ca="1">_xlfn.IFNA(SUM((H$3&gt;='Gastos com Pessoal'!$E$513:$E$522)*(H$3&lt;='Gastos com Pessoal'!$F$513:$F$522)*OFFSET('Encargos e Benefícios'!$D$511,1,MATCH($B30,'Encargos e Benefícios'!$E$511:$AB$511,0),10,1)
*(IF('Gastos com Pessoal'!$G$513:$G$522&lt;=H$3,('Gastos com Pessoal'!$H$513:$H$522)+1,1))
*(IF('Gastos com Pessoal'!$M$513:$M$522&lt;=H$3,('Gastos com Pessoal'!$N$513:$N$522)+1,1))
*(IF('Gastos com Pessoal'!$S$513:$S$522&lt;=H$3,('Gastos com Pessoal'!$T$513:$T$522)+1,1))
*(IF('Gastos com Pessoal'!$Y$513:$Y$522&lt;=H$3,('Gastos com Pessoal'!$Z$513:$Z$522)+1,1))
*(IF('Gastos com Pessoal'!$AE$513:$AE$522&lt;=H$3,('Gastos com Pessoal'!$AF$513:$AF$522)+1,1))),0)</f>
        <v>0</v>
      </c>
      <c r="I30" s="32">
        <f t="array" aca="1" ref="I30" ca="1">_xlfn.IFNA(SUM((I$3&gt;='Gastos com Pessoal'!$E$513:$E$522)*(I$3&lt;='Gastos com Pessoal'!$F$513:$F$522)*OFFSET('Encargos e Benefícios'!$D$511,1,MATCH($B30,'Encargos e Benefícios'!$E$511:$AB$511,0),10,1)
*(IF('Gastos com Pessoal'!$G$513:$G$522&lt;=I$3,('Gastos com Pessoal'!$H$513:$H$522)+1,1))
*(IF('Gastos com Pessoal'!$M$513:$M$522&lt;=I$3,('Gastos com Pessoal'!$N$513:$N$522)+1,1))
*(IF('Gastos com Pessoal'!$S$513:$S$522&lt;=I$3,('Gastos com Pessoal'!$T$513:$T$522)+1,1))
*(IF('Gastos com Pessoal'!$Y$513:$Y$522&lt;=I$3,('Gastos com Pessoal'!$Z$513:$Z$522)+1,1))
*(IF('Gastos com Pessoal'!$AE$513:$AE$522&lt;=I$3,('Gastos com Pessoal'!$AF$513:$AF$522)+1,1))),0)</f>
        <v>0</v>
      </c>
      <c r="J30" s="32">
        <f t="array" aca="1" ref="J30" ca="1">_xlfn.IFNA(SUM((J$3&gt;='Gastos com Pessoal'!$E$513:$E$522)*(J$3&lt;='Gastos com Pessoal'!$F$513:$F$522)*OFFSET('Encargos e Benefícios'!$D$511,1,MATCH($B30,'Encargos e Benefícios'!$E$511:$AB$511,0),10,1)
*(IF('Gastos com Pessoal'!$G$513:$G$522&lt;=J$3,('Gastos com Pessoal'!$H$513:$H$522)+1,1))
*(IF('Gastos com Pessoal'!$M$513:$M$522&lt;=J$3,('Gastos com Pessoal'!$N$513:$N$522)+1,1))
*(IF('Gastos com Pessoal'!$S$513:$S$522&lt;=J$3,('Gastos com Pessoal'!$T$513:$T$522)+1,1))
*(IF('Gastos com Pessoal'!$Y$513:$Y$522&lt;=J$3,('Gastos com Pessoal'!$Z$513:$Z$522)+1,1))
*(IF('Gastos com Pessoal'!$AE$513:$AE$522&lt;=J$3,('Gastos com Pessoal'!$AF$513:$AF$522)+1,1))),0)</f>
        <v>0</v>
      </c>
      <c r="K30" s="32">
        <f t="array" aca="1" ref="K30" ca="1">_xlfn.IFNA(SUM((K$3&gt;='Gastos com Pessoal'!$E$513:$E$522)*(K$3&lt;='Gastos com Pessoal'!$F$513:$F$522)*OFFSET('Encargos e Benefícios'!$D$511,1,MATCH($B30,'Encargos e Benefícios'!$E$511:$AB$511,0),10,1)
*(IF('Gastos com Pessoal'!$G$513:$G$522&lt;=K$3,('Gastos com Pessoal'!$H$513:$H$522)+1,1))
*(IF('Gastos com Pessoal'!$M$513:$M$522&lt;=K$3,('Gastos com Pessoal'!$N$513:$N$522)+1,1))
*(IF('Gastos com Pessoal'!$S$513:$S$522&lt;=K$3,('Gastos com Pessoal'!$T$513:$T$522)+1,1))
*(IF('Gastos com Pessoal'!$Y$513:$Y$522&lt;=K$3,('Gastos com Pessoal'!$Z$513:$Z$522)+1,1))
*(IF('Gastos com Pessoal'!$AE$513:$AE$522&lt;=K$3,('Gastos com Pessoal'!$AF$513:$AF$522)+1,1))),0)</f>
        <v>0</v>
      </c>
      <c r="L30" s="32">
        <f t="array" aca="1" ref="L30" ca="1">_xlfn.IFNA(SUM((L$3&gt;='Gastos com Pessoal'!$E$513:$E$522)*(L$3&lt;='Gastos com Pessoal'!$F$513:$F$522)*OFFSET('Encargos e Benefícios'!$D$511,1,MATCH($B30,'Encargos e Benefícios'!$E$511:$AB$511,0),10,1)
*(IF('Gastos com Pessoal'!$G$513:$G$522&lt;=L$3,('Gastos com Pessoal'!$H$513:$H$522)+1,1))
*(IF('Gastos com Pessoal'!$M$513:$M$522&lt;=L$3,('Gastos com Pessoal'!$N$513:$N$522)+1,1))
*(IF('Gastos com Pessoal'!$S$513:$S$522&lt;=L$3,('Gastos com Pessoal'!$T$513:$T$522)+1,1))
*(IF('Gastos com Pessoal'!$Y$513:$Y$522&lt;=L$3,('Gastos com Pessoal'!$Z$513:$Z$522)+1,1))
*(IF('Gastos com Pessoal'!$AE$513:$AE$522&lt;=L$3,('Gastos com Pessoal'!$AF$513:$AF$522)+1,1))),0)</f>
        <v>0</v>
      </c>
      <c r="M30" s="32">
        <f t="array" aca="1" ref="M30" ca="1">_xlfn.IFNA(SUM((M$3&gt;='Gastos com Pessoal'!$E$513:$E$522)*(M$3&lt;='Gastos com Pessoal'!$F$513:$F$522)*OFFSET('Encargos e Benefícios'!$D$511,1,MATCH($B30,'Encargos e Benefícios'!$E$511:$AB$511,0),10,1)
*(IF('Gastos com Pessoal'!$G$513:$G$522&lt;=M$3,('Gastos com Pessoal'!$H$513:$H$522)+1,1))
*(IF('Gastos com Pessoal'!$M$513:$M$522&lt;=M$3,('Gastos com Pessoal'!$N$513:$N$522)+1,1))
*(IF('Gastos com Pessoal'!$S$513:$S$522&lt;=M$3,('Gastos com Pessoal'!$T$513:$T$522)+1,1))
*(IF('Gastos com Pessoal'!$Y$513:$Y$522&lt;=M$3,('Gastos com Pessoal'!$Z$513:$Z$522)+1,1))
*(IF('Gastos com Pessoal'!$AE$513:$AE$522&lt;=M$3,('Gastos com Pessoal'!$AF$513:$AF$522)+1,1))),0)</f>
        <v>0</v>
      </c>
      <c r="N30" s="32">
        <f t="array" aca="1" ref="N30" ca="1">_xlfn.IFNA(SUM((N$3&gt;='Gastos com Pessoal'!$E$513:$E$522)*(N$3&lt;='Gastos com Pessoal'!$F$513:$F$522)*OFFSET('Encargos e Benefícios'!$D$511,1,MATCH($B30,'Encargos e Benefícios'!$E$511:$AB$511,0),10,1)
*(IF('Gastos com Pessoal'!$G$513:$G$522&lt;=N$3,('Gastos com Pessoal'!$H$513:$H$522)+1,1))
*(IF('Gastos com Pessoal'!$M$513:$M$522&lt;=N$3,('Gastos com Pessoal'!$N$513:$N$522)+1,1))
*(IF('Gastos com Pessoal'!$S$513:$S$522&lt;=N$3,('Gastos com Pessoal'!$T$513:$T$522)+1,1))
*(IF('Gastos com Pessoal'!$Y$513:$Y$522&lt;=N$3,('Gastos com Pessoal'!$Z$513:$Z$522)+1,1))
*(IF('Gastos com Pessoal'!$AE$513:$AE$522&lt;=N$3,('Gastos com Pessoal'!$AF$513:$AF$522)+1,1))),0)</f>
        <v>0</v>
      </c>
      <c r="O30" s="32">
        <f t="array" aca="1" ref="O30" ca="1">_xlfn.IFNA(SUM((O$3&gt;='Gastos com Pessoal'!$E$513:$E$522)*(O$3&lt;='Gastos com Pessoal'!$F$513:$F$522)*OFFSET('Encargos e Benefícios'!$D$511,1,MATCH($B30,'Encargos e Benefícios'!$E$511:$AB$511,0),10,1)
*(IF('Gastos com Pessoal'!$G$513:$G$522&lt;=O$3,('Gastos com Pessoal'!$H$513:$H$522)+1,1))
*(IF('Gastos com Pessoal'!$M$513:$M$522&lt;=O$3,('Gastos com Pessoal'!$N$513:$N$522)+1,1))
*(IF('Gastos com Pessoal'!$S$513:$S$522&lt;=O$3,('Gastos com Pessoal'!$T$513:$T$522)+1,1))
*(IF('Gastos com Pessoal'!$Y$513:$Y$522&lt;=O$3,('Gastos com Pessoal'!$Z$513:$Z$522)+1,1))
*(IF('Gastos com Pessoal'!$AE$513:$AE$522&lt;=O$3,('Gastos com Pessoal'!$AF$513:$AF$522)+1,1))),0)</f>
        <v>0</v>
      </c>
      <c r="P30" s="32">
        <f t="array" aca="1" ref="P30" ca="1">_xlfn.IFNA(SUM((P$3&gt;='Gastos com Pessoal'!$E$513:$E$522)*(P$3&lt;='Gastos com Pessoal'!$F$513:$F$522)*OFFSET('Encargos e Benefícios'!$D$511,1,MATCH($B30,'Encargos e Benefícios'!$E$511:$AB$511,0),10,1)
*(IF('Gastos com Pessoal'!$G$513:$G$522&lt;=P$3,('Gastos com Pessoal'!$H$513:$H$522)+1,1))
*(IF('Gastos com Pessoal'!$M$513:$M$522&lt;=P$3,('Gastos com Pessoal'!$N$513:$N$522)+1,1))
*(IF('Gastos com Pessoal'!$S$513:$S$522&lt;=P$3,('Gastos com Pessoal'!$T$513:$T$522)+1,1))
*(IF('Gastos com Pessoal'!$Y$513:$Y$522&lt;=P$3,('Gastos com Pessoal'!$Z$513:$Z$522)+1,1))
*(IF('Gastos com Pessoal'!$AE$513:$AE$522&lt;=P$3,('Gastos com Pessoal'!$AF$513:$AF$522)+1,1))),0)</f>
        <v>0</v>
      </c>
      <c r="Q30" s="32">
        <f t="array" aca="1" ref="Q30" ca="1">_xlfn.IFNA(SUM((Q$3&gt;='Gastos com Pessoal'!$E$513:$E$522)*(Q$3&lt;='Gastos com Pessoal'!$F$513:$F$522)*OFFSET('Encargos e Benefícios'!$D$511,1,MATCH($B30,'Encargos e Benefícios'!$E$511:$AB$511,0),10,1)
*(IF('Gastos com Pessoal'!$G$513:$G$522&lt;=Q$3,('Gastos com Pessoal'!$H$513:$H$522)+1,1))
*(IF('Gastos com Pessoal'!$M$513:$M$522&lt;=Q$3,('Gastos com Pessoal'!$N$513:$N$522)+1,1))
*(IF('Gastos com Pessoal'!$S$513:$S$522&lt;=Q$3,('Gastos com Pessoal'!$T$513:$T$522)+1,1))
*(IF('Gastos com Pessoal'!$Y$513:$Y$522&lt;=Q$3,('Gastos com Pessoal'!$Z$513:$Z$522)+1,1))
*(IF('Gastos com Pessoal'!$AE$513:$AE$522&lt;=Q$3,('Gastos com Pessoal'!$AF$513:$AF$522)+1,1))),0)</f>
        <v>0</v>
      </c>
      <c r="R30" s="32">
        <f t="array" aca="1" ref="R30" ca="1">_xlfn.IFNA(SUM((R$3&gt;='Gastos com Pessoal'!$E$513:$E$522)*(R$3&lt;='Gastos com Pessoal'!$F$513:$F$522)*OFFSET('Encargos e Benefícios'!$D$511,1,MATCH($B30,'Encargos e Benefícios'!$E$511:$AB$511,0),10,1)
*(IF('Gastos com Pessoal'!$G$513:$G$522&lt;=R$3,('Gastos com Pessoal'!$H$513:$H$522)+1,1))
*(IF('Gastos com Pessoal'!$M$513:$M$522&lt;=R$3,('Gastos com Pessoal'!$N$513:$N$522)+1,1))
*(IF('Gastos com Pessoal'!$S$513:$S$522&lt;=R$3,('Gastos com Pessoal'!$T$513:$T$522)+1,1))
*(IF('Gastos com Pessoal'!$Y$513:$Y$522&lt;=R$3,('Gastos com Pessoal'!$Z$513:$Z$522)+1,1))
*(IF('Gastos com Pessoal'!$AE$513:$AE$522&lt;=R$3,('Gastos com Pessoal'!$AF$513:$AF$522)+1,1))),0)</f>
        <v>0</v>
      </c>
      <c r="S30" s="32">
        <f t="array" aca="1" ref="S30" ca="1">_xlfn.IFNA(SUM((S$3&gt;='Gastos com Pessoal'!$E$513:$E$522)*(S$3&lt;='Gastos com Pessoal'!$F$513:$F$522)*OFFSET('Encargos e Benefícios'!$D$511,1,MATCH($B30,'Encargos e Benefícios'!$E$511:$AB$511,0),10,1)
*(IF('Gastos com Pessoal'!$G$513:$G$522&lt;=S$3,('Gastos com Pessoal'!$H$513:$H$522)+1,1))
*(IF('Gastos com Pessoal'!$M$513:$M$522&lt;=S$3,('Gastos com Pessoal'!$N$513:$N$522)+1,1))
*(IF('Gastos com Pessoal'!$S$513:$S$522&lt;=S$3,('Gastos com Pessoal'!$T$513:$T$522)+1,1))
*(IF('Gastos com Pessoal'!$Y$513:$Y$522&lt;=S$3,('Gastos com Pessoal'!$Z$513:$Z$522)+1,1))
*(IF('Gastos com Pessoal'!$AE$513:$AE$522&lt;=S$3,('Gastos com Pessoal'!$AF$513:$AF$522)+1,1))),0)</f>
        <v>0</v>
      </c>
      <c r="T30" s="32">
        <f t="array" aca="1" ref="T30" ca="1">_xlfn.IFNA(SUM((T$3&gt;='Gastos com Pessoal'!$E$513:$E$522)*(T$3&lt;='Gastos com Pessoal'!$F$513:$F$522)*OFFSET('Encargos e Benefícios'!$D$511,1,MATCH($B30,'Encargos e Benefícios'!$E$511:$AB$511,0),10,1)
*(IF('Gastos com Pessoal'!$G$513:$G$522&lt;=T$3,('Gastos com Pessoal'!$H$513:$H$522)+1,1))
*(IF('Gastos com Pessoal'!$M$513:$M$522&lt;=T$3,('Gastos com Pessoal'!$N$513:$N$522)+1,1))
*(IF('Gastos com Pessoal'!$S$513:$S$522&lt;=T$3,('Gastos com Pessoal'!$T$513:$T$522)+1,1))
*(IF('Gastos com Pessoal'!$Y$513:$Y$522&lt;=T$3,('Gastos com Pessoal'!$Z$513:$Z$522)+1,1))
*(IF('Gastos com Pessoal'!$AE$513:$AE$522&lt;=T$3,('Gastos com Pessoal'!$AF$513:$AF$522)+1,1))),0)</f>
        <v>0</v>
      </c>
      <c r="U30" s="32">
        <f t="array" aca="1" ref="U30" ca="1">_xlfn.IFNA(SUM((U$3&gt;='Gastos com Pessoal'!$E$513:$E$522)*(U$3&lt;='Gastos com Pessoal'!$F$513:$F$522)*OFFSET('Encargos e Benefícios'!$D$511,1,MATCH($B30,'Encargos e Benefícios'!$E$511:$AB$511,0),10,1)
*(IF('Gastos com Pessoal'!$G$513:$G$522&lt;=U$3,('Gastos com Pessoal'!$H$513:$H$522)+1,1))
*(IF('Gastos com Pessoal'!$M$513:$M$522&lt;=U$3,('Gastos com Pessoal'!$N$513:$N$522)+1,1))
*(IF('Gastos com Pessoal'!$S$513:$S$522&lt;=U$3,('Gastos com Pessoal'!$T$513:$T$522)+1,1))
*(IF('Gastos com Pessoal'!$Y$513:$Y$522&lt;=U$3,('Gastos com Pessoal'!$Z$513:$Z$522)+1,1))
*(IF('Gastos com Pessoal'!$AE$513:$AE$522&lt;=U$3,('Gastos com Pessoal'!$AF$513:$AF$522)+1,1))),0)</f>
        <v>0</v>
      </c>
      <c r="V30" s="32">
        <f t="array" aca="1" ref="V30" ca="1">_xlfn.IFNA(SUM((V$3&gt;='Gastos com Pessoal'!$E$513:$E$522)*(V$3&lt;='Gastos com Pessoal'!$F$513:$F$522)*OFFSET('Encargos e Benefícios'!$D$511,1,MATCH($B30,'Encargos e Benefícios'!$E$511:$AB$511,0),10,1)
*(IF('Gastos com Pessoal'!$G$513:$G$522&lt;=V$3,('Gastos com Pessoal'!$H$513:$H$522)+1,1))
*(IF('Gastos com Pessoal'!$M$513:$M$522&lt;=V$3,('Gastos com Pessoal'!$N$513:$N$522)+1,1))
*(IF('Gastos com Pessoal'!$S$513:$S$522&lt;=V$3,('Gastos com Pessoal'!$T$513:$T$522)+1,1))
*(IF('Gastos com Pessoal'!$Y$513:$Y$522&lt;=V$3,('Gastos com Pessoal'!$Z$513:$Z$522)+1,1))
*(IF('Gastos com Pessoal'!$AE$513:$AE$522&lt;=V$3,('Gastos com Pessoal'!$AF$513:$AF$522)+1,1))),0)</f>
        <v>0</v>
      </c>
      <c r="W30" s="32">
        <f t="array" aca="1" ref="W30" ca="1">_xlfn.IFNA(SUM((W$3&gt;='Gastos com Pessoal'!$E$513:$E$522)*(W$3&lt;='Gastos com Pessoal'!$F$513:$F$522)*OFFSET('Encargos e Benefícios'!$D$511,1,MATCH($B30,'Encargos e Benefícios'!$E$511:$AB$511,0),10,1)
*(IF('Gastos com Pessoal'!$G$513:$G$522&lt;=W$3,('Gastos com Pessoal'!$H$513:$H$522)+1,1))
*(IF('Gastos com Pessoal'!$M$513:$M$522&lt;=W$3,('Gastos com Pessoal'!$N$513:$N$522)+1,1))
*(IF('Gastos com Pessoal'!$S$513:$S$522&lt;=W$3,('Gastos com Pessoal'!$T$513:$T$522)+1,1))
*(IF('Gastos com Pessoal'!$Y$513:$Y$522&lt;=W$3,('Gastos com Pessoal'!$Z$513:$Z$522)+1,1))
*(IF('Gastos com Pessoal'!$AE$513:$AE$522&lt;=W$3,('Gastos com Pessoal'!$AF$513:$AF$522)+1,1))),0)</f>
        <v>0</v>
      </c>
      <c r="X30" s="32">
        <f t="array" aca="1" ref="X30" ca="1">_xlfn.IFNA(SUM((X$3&gt;='Gastos com Pessoal'!$E$513:$E$522)*(X$3&lt;='Gastos com Pessoal'!$F$513:$F$522)*OFFSET('Encargos e Benefícios'!$D$511,1,MATCH($B30,'Encargos e Benefícios'!$E$511:$AB$511,0),10,1)
*(IF('Gastos com Pessoal'!$G$513:$G$522&lt;=X$3,('Gastos com Pessoal'!$H$513:$H$522)+1,1))
*(IF('Gastos com Pessoal'!$M$513:$M$522&lt;=X$3,('Gastos com Pessoal'!$N$513:$N$522)+1,1))
*(IF('Gastos com Pessoal'!$S$513:$S$522&lt;=X$3,('Gastos com Pessoal'!$T$513:$T$522)+1,1))
*(IF('Gastos com Pessoal'!$Y$513:$Y$522&lt;=X$3,('Gastos com Pessoal'!$Z$513:$Z$522)+1,1))
*(IF('Gastos com Pessoal'!$AE$513:$AE$522&lt;=X$3,('Gastos com Pessoal'!$AF$513:$AF$522)+1,1))),0)</f>
        <v>0</v>
      </c>
      <c r="Y30" s="32">
        <f t="array" aca="1" ref="Y30" ca="1">_xlfn.IFNA(SUM((Y$3&gt;='Gastos com Pessoal'!$E$513:$E$522)*(Y$3&lt;='Gastos com Pessoal'!$F$513:$F$522)*OFFSET('Encargos e Benefícios'!$D$511,1,MATCH($B30,'Encargos e Benefícios'!$E$511:$AB$511,0),10,1)
*(IF('Gastos com Pessoal'!$G$513:$G$522&lt;=Y$3,('Gastos com Pessoal'!$H$513:$H$522)+1,1))
*(IF('Gastos com Pessoal'!$M$513:$M$522&lt;=Y$3,('Gastos com Pessoal'!$N$513:$N$522)+1,1))
*(IF('Gastos com Pessoal'!$S$513:$S$522&lt;=Y$3,('Gastos com Pessoal'!$T$513:$T$522)+1,1))
*(IF('Gastos com Pessoal'!$Y$513:$Y$522&lt;=Y$3,('Gastos com Pessoal'!$Z$513:$Z$522)+1,1))
*(IF('Gastos com Pessoal'!$AE$513:$AE$522&lt;=Y$3,('Gastos com Pessoal'!$AF$513:$AF$522)+1,1))),0)</f>
        <v>0</v>
      </c>
      <c r="Z30" s="32">
        <f t="array" aca="1" ref="Z30" ca="1">_xlfn.IFNA(SUM((Z$3&gt;='Gastos com Pessoal'!$E$513:$E$522)*(Z$3&lt;='Gastos com Pessoal'!$F$513:$F$522)*OFFSET('Encargos e Benefícios'!$D$511,1,MATCH($B30,'Encargos e Benefícios'!$E$511:$AB$511,0),10,1)
*(IF('Gastos com Pessoal'!$G$513:$G$522&lt;=Z$3,('Gastos com Pessoal'!$H$513:$H$522)+1,1))
*(IF('Gastos com Pessoal'!$M$513:$M$522&lt;=Z$3,('Gastos com Pessoal'!$N$513:$N$522)+1,1))
*(IF('Gastos com Pessoal'!$S$513:$S$522&lt;=Z$3,('Gastos com Pessoal'!$T$513:$T$522)+1,1))
*(IF('Gastos com Pessoal'!$Y$513:$Y$522&lt;=Z$3,('Gastos com Pessoal'!$Z$513:$Z$522)+1,1))
*(IF('Gastos com Pessoal'!$AE$513:$AE$522&lt;=Z$3,('Gastos com Pessoal'!$AF$513:$AF$522)+1,1))),0)</f>
        <v>0</v>
      </c>
      <c r="AA30" s="32">
        <f t="array" aca="1" ref="AA30" ca="1">_xlfn.IFNA(SUM((AA$3&gt;='Gastos com Pessoal'!$E$513:$E$522)*(AA$3&lt;='Gastos com Pessoal'!$F$513:$F$522)*OFFSET('Encargos e Benefícios'!$D$511,1,MATCH($B30,'Encargos e Benefícios'!$E$511:$AB$511,0),10,1)
*(IF('Gastos com Pessoal'!$G$513:$G$522&lt;=AA$3,('Gastos com Pessoal'!$H$513:$H$522)+1,1))
*(IF('Gastos com Pessoal'!$M$513:$M$522&lt;=AA$3,('Gastos com Pessoal'!$N$513:$N$522)+1,1))
*(IF('Gastos com Pessoal'!$S$513:$S$522&lt;=AA$3,('Gastos com Pessoal'!$T$513:$T$522)+1,1))
*(IF('Gastos com Pessoal'!$Y$513:$Y$522&lt;=AA$3,('Gastos com Pessoal'!$Z$513:$Z$522)+1,1))
*(IF('Gastos com Pessoal'!$AE$513:$AE$522&lt;=AA$3,('Gastos com Pessoal'!$AF$513:$AF$522)+1,1))),0)</f>
        <v>0</v>
      </c>
      <c r="AB30" s="32">
        <f t="array" aca="1" ref="AB30" ca="1">_xlfn.IFNA(SUM((AB$3&gt;='Gastos com Pessoal'!$E$513:$E$522)*(AB$3&lt;='Gastos com Pessoal'!$F$513:$F$522)*OFFSET('Encargos e Benefícios'!$D$511,1,MATCH($B30,'Encargos e Benefícios'!$E$511:$AB$511,0),10,1)
*(IF('Gastos com Pessoal'!$G$513:$G$522&lt;=AB$3,('Gastos com Pessoal'!$H$513:$H$522)+1,1))
*(IF('Gastos com Pessoal'!$M$513:$M$522&lt;=AB$3,('Gastos com Pessoal'!$N$513:$N$522)+1,1))
*(IF('Gastos com Pessoal'!$S$513:$S$522&lt;=AB$3,('Gastos com Pessoal'!$T$513:$T$522)+1,1))
*(IF('Gastos com Pessoal'!$Y$513:$Y$522&lt;=AB$3,('Gastos com Pessoal'!$Z$513:$Z$522)+1,1))
*(IF('Gastos com Pessoal'!$AE$513:$AE$522&lt;=AB$3,('Gastos com Pessoal'!$AF$513:$AF$522)+1,1))),0)</f>
        <v>0</v>
      </c>
      <c r="AC30" s="32">
        <f t="array" aca="1" ref="AC30" ca="1">_xlfn.IFNA(SUM((AC$3&gt;='Gastos com Pessoal'!$E$513:$E$522)*(AC$3&lt;='Gastos com Pessoal'!$F$513:$F$522)*OFFSET('Encargos e Benefícios'!$D$511,1,MATCH($B30,'Encargos e Benefícios'!$E$511:$AB$511,0),10,1)
*(IF('Gastos com Pessoal'!$G$513:$G$522&lt;=AC$3,('Gastos com Pessoal'!$H$513:$H$522)+1,1))
*(IF('Gastos com Pessoal'!$M$513:$M$522&lt;=AC$3,('Gastos com Pessoal'!$N$513:$N$522)+1,1))
*(IF('Gastos com Pessoal'!$S$513:$S$522&lt;=AC$3,('Gastos com Pessoal'!$T$513:$T$522)+1,1))
*(IF('Gastos com Pessoal'!$Y$513:$Y$522&lt;=AC$3,('Gastos com Pessoal'!$Z$513:$Z$522)+1,1))
*(IF('Gastos com Pessoal'!$AE$513:$AE$522&lt;=AC$3,('Gastos com Pessoal'!$AF$513:$AF$522)+1,1))),0)</f>
        <v>0</v>
      </c>
      <c r="AD30" s="32">
        <f t="array" aca="1" ref="AD30" ca="1">_xlfn.IFNA(SUM((AD$3&gt;='Gastos com Pessoal'!$E$513:$E$522)*(AD$3&lt;='Gastos com Pessoal'!$F$513:$F$522)*OFFSET('Encargos e Benefícios'!$D$511,1,MATCH($B30,'Encargos e Benefícios'!$E$511:$AB$511,0),10,1)
*(IF('Gastos com Pessoal'!$G$513:$G$522&lt;=AD$3,('Gastos com Pessoal'!$H$513:$H$522)+1,1))
*(IF('Gastos com Pessoal'!$M$513:$M$522&lt;=AD$3,('Gastos com Pessoal'!$N$513:$N$522)+1,1))
*(IF('Gastos com Pessoal'!$S$513:$S$522&lt;=AD$3,('Gastos com Pessoal'!$T$513:$T$522)+1,1))
*(IF('Gastos com Pessoal'!$Y$513:$Y$522&lt;=AD$3,('Gastos com Pessoal'!$Z$513:$Z$522)+1,1))
*(IF('Gastos com Pessoal'!$AE$513:$AE$522&lt;=AD$3,('Gastos com Pessoal'!$AF$513:$AF$522)+1,1))),0)</f>
        <v>0</v>
      </c>
      <c r="AE30" s="32">
        <f t="array" aca="1" ref="AE30" ca="1">_xlfn.IFNA(SUM((AE$3&gt;='Gastos com Pessoal'!$E$513:$E$522)*(AE$3&lt;='Gastos com Pessoal'!$F$513:$F$522)*OFFSET('Encargos e Benefícios'!$D$511,1,MATCH($B30,'Encargos e Benefícios'!$E$511:$AB$511,0),10,1)
*(IF('Gastos com Pessoal'!$G$513:$G$522&lt;=AE$3,('Gastos com Pessoal'!$H$513:$H$522)+1,1))
*(IF('Gastos com Pessoal'!$M$513:$M$522&lt;=AE$3,('Gastos com Pessoal'!$N$513:$N$522)+1,1))
*(IF('Gastos com Pessoal'!$S$513:$S$522&lt;=AE$3,('Gastos com Pessoal'!$T$513:$T$522)+1,1))
*(IF('Gastos com Pessoal'!$Y$513:$Y$522&lt;=AE$3,('Gastos com Pessoal'!$Z$513:$Z$522)+1,1))
*(IF('Gastos com Pessoal'!$AE$513:$AE$522&lt;=AE$3,('Gastos com Pessoal'!$AF$513:$AF$522)+1,1))),0)</f>
        <v>0</v>
      </c>
      <c r="AF30" s="32">
        <f t="array" aca="1" ref="AF30" ca="1">_xlfn.IFNA(SUM((AF$3&gt;='Gastos com Pessoal'!$E$513:$E$522)*(AF$3&lt;='Gastos com Pessoal'!$F$513:$F$522)*OFFSET('Encargos e Benefícios'!$D$511,1,MATCH($B30,'Encargos e Benefícios'!$E$511:$AB$511,0),10,1)
*(IF('Gastos com Pessoal'!$G$513:$G$522&lt;=AF$3,('Gastos com Pessoal'!$H$513:$H$522)+1,1))
*(IF('Gastos com Pessoal'!$M$513:$M$522&lt;=AF$3,('Gastos com Pessoal'!$N$513:$N$522)+1,1))
*(IF('Gastos com Pessoal'!$S$513:$S$522&lt;=AF$3,('Gastos com Pessoal'!$T$513:$T$522)+1,1))
*(IF('Gastos com Pessoal'!$Y$513:$Y$522&lt;=AF$3,('Gastos com Pessoal'!$Z$513:$Z$522)+1,1))
*(IF('Gastos com Pessoal'!$AE$513:$AE$522&lt;=AF$3,('Gastos com Pessoal'!$AF$513:$AF$522)+1,1))),0)</f>
        <v>0</v>
      </c>
      <c r="AG30" s="32">
        <f t="array" aca="1" ref="AG30" ca="1">_xlfn.IFNA(SUM((AG$3&gt;='Gastos com Pessoal'!$E$513:$E$522)*(AG$3&lt;='Gastos com Pessoal'!$F$513:$F$522)*OFFSET('Encargos e Benefícios'!$D$511,1,MATCH($B30,'Encargos e Benefícios'!$E$511:$AB$511,0),10,1)
*(IF('Gastos com Pessoal'!$G$513:$G$522&lt;=AG$3,('Gastos com Pessoal'!$H$513:$H$522)+1,1))
*(IF('Gastos com Pessoal'!$M$513:$M$522&lt;=AG$3,('Gastos com Pessoal'!$N$513:$N$522)+1,1))
*(IF('Gastos com Pessoal'!$S$513:$S$522&lt;=AG$3,('Gastos com Pessoal'!$T$513:$T$522)+1,1))
*(IF('Gastos com Pessoal'!$Y$513:$Y$522&lt;=AG$3,('Gastos com Pessoal'!$Z$513:$Z$522)+1,1))
*(IF('Gastos com Pessoal'!$AE$513:$AE$522&lt;=AG$3,('Gastos com Pessoal'!$AF$513:$AF$522)+1,1))),0)</f>
        <v>0</v>
      </c>
      <c r="AH30" s="32">
        <f t="array" aca="1" ref="AH30" ca="1">_xlfn.IFNA(SUM((AH$3&gt;='Gastos com Pessoal'!$E$513:$E$522)*(AH$3&lt;='Gastos com Pessoal'!$F$513:$F$522)*OFFSET('Encargos e Benefícios'!$D$511,1,MATCH($B30,'Encargos e Benefícios'!$E$511:$AB$511,0),10,1)
*(IF('Gastos com Pessoal'!$G$513:$G$522&lt;=AH$3,('Gastos com Pessoal'!$H$513:$H$522)+1,1))
*(IF('Gastos com Pessoal'!$M$513:$M$522&lt;=AH$3,('Gastos com Pessoal'!$N$513:$N$522)+1,1))
*(IF('Gastos com Pessoal'!$S$513:$S$522&lt;=AH$3,('Gastos com Pessoal'!$T$513:$T$522)+1,1))
*(IF('Gastos com Pessoal'!$Y$513:$Y$522&lt;=AH$3,('Gastos com Pessoal'!$Z$513:$Z$522)+1,1))
*(IF('Gastos com Pessoal'!$AE$513:$AE$522&lt;=AH$3,('Gastos com Pessoal'!$AF$513:$AF$522)+1,1))),0)</f>
        <v>0</v>
      </c>
      <c r="AI30" s="32">
        <f t="array" aca="1" ref="AI30" ca="1">_xlfn.IFNA(SUM((AI$3&gt;='Gastos com Pessoal'!$E$513:$E$522)*(AI$3&lt;='Gastos com Pessoal'!$F$513:$F$522)*OFFSET('Encargos e Benefícios'!$D$511,1,MATCH($B30,'Encargos e Benefícios'!$E$511:$AB$511,0),10,1)
*(IF('Gastos com Pessoal'!$G$513:$G$522&lt;=AI$3,('Gastos com Pessoal'!$H$513:$H$522)+1,1))
*(IF('Gastos com Pessoal'!$M$513:$M$522&lt;=AI$3,('Gastos com Pessoal'!$N$513:$N$522)+1,1))
*(IF('Gastos com Pessoal'!$S$513:$S$522&lt;=AI$3,('Gastos com Pessoal'!$T$513:$T$522)+1,1))
*(IF('Gastos com Pessoal'!$Y$513:$Y$522&lt;=AI$3,('Gastos com Pessoal'!$Z$513:$Z$522)+1,1))
*(IF('Gastos com Pessoal'!$AE$513:$AE$522&lt;=AI$3,('Gastos com Pessoal'!$AF$513:$AF$522)+1,1))),0)</f>
        <v>0</v>
      </c>
      <c r="AJ30" s="32">
        <f t="array" aca="1" ref="AJ30" ca="1">_xlfn.IFNA(SUM((AJ$3&gt;='Gastos com Pessoal'!$E$513:$E$522)*(AJ$3&lt;='Gastos com Pessoal'!$F$513:$F$522)*OFFSET('Encargos e Benefícios'!$D$511,1,MATCH($B30,'Encargos e Benefícios'!$E$511:$AB$511,0),10,1)
*(IF('Gastos com Pessoal'!$G$513:$G$522&lt;=AJ$3,('Gastos com Pessoal'!$H$513:$H$522)+1,1))
*(IF('Gastos com Pessoal'!$M$513:$M$522&lt;=AJ$3,('Gastos com Pessoal'!$N$513:$N$522)+1,1))
*(IF('Gastos com Pessoal'!$S$513:$S$522&lt;=AJ$3,('Gastos com Pessoal'!$T$513:$T$522)+1,1))
*(IF('Gastos com Pessoal'!$Y$513:$Y$522&lt;=AJ$3,('Gastos com Pessoal'!$Z$513:$Z$522)+1,1))
*(IF('Gastos com Pessoal'!$AE$513:$AE$522&lt;=AJ$3,('Gastos com Pessoal'!$AF$513:$AF$522)+1,1))),0)</f>
        <v>0</v>
      </c>
      <c r="AK30" s="32">
        <f t="array" aca="1" ref="AK30" ca="1">_xlfn.IFNA(SUM((AK$3&gt;='Gastos com Pessoal'!$E$513:$E$522)*(AK$3&lt;='Gastos com Pessoal'!$F$513:$F$522)*OFFSET('Encargos e Benefícios'!$D$511,1,MATCH($B30,'Encargos e Benefícios'!$E$511:$AB$511,0),10,1)
*(IF('Gastos com Pessoal'!$G$513:$G$522&lt;=AK$3,('Gastos com Pessoal'!$H$513:$H$522)+1,1))
*(IF('Gastos com Pessoal'!$M$513:$M$522&lt;=AK$3,('Gastos com Pessoal'!$N$513:$N$522)+1,1))
*(IF('Gastos com Pessoal'!$S$513:$S$522&lt;=AK$3,('Gastos com Pessoal'!$T$513:$T$522)+1,1))
*(IF('Gastos com Pessoal'!$Y$513:$Y$522&lt;=AK$3,('Gastos com Pessoal'!$Z$513:$Z$522)+1,1))
*(IF('Gastos com Pessoal'!$AE$513:$AE$522&lt;=AK$3,('Gastos com Pessoal'!$AF$513:$AF$522)+1,1))),0)</f>
        <v>0</v>
      </c>
      <c r="AL30" s="32">
        <f t="array" aca="1" ref="AL30" ca="1">_xlfn.IFNA(SUM((AL$3&gt;='Gastos com Pessoal'!$E$513:$E$522)*(AL$3&lt;='Gastos com Pessoal'!$F$513:$F$522)*OFFSET('Encargos e Benefícios'!$D$511,1,MATCH($B30,'Encargos e Benefícios'!$E$511:$AB$511,0),10,1)
*(IF('Gastos com Pessoal'!$G$513:$G$522&lt;=AL$3,('Gastos com Pessoal'!$H$513:$H$522)+1,1))
*(IF('Gastos com Pessoal'!$M$513:$M$522&lt;=AL$3,('Gastos com Pessoal'!$N$513:$N$522)+1,1))
*(IF('Gastos com Pessoal'!$S$513:$S$522&lt;=AL$3,('Gastos com Pessoal'!$T$513:$T$522)+1,1))
*(IF('Gastos com Pessoal'!$Y$513:$Y$522&lt;=AL$3,('Gastos com Pessoal'!$Z$513:$Z$522)+1,1))
*(IF('Gastos com Pessoal'!$AE$513:$AE$522&lt;=AL$3,('Gastos com Pessoal'!$AF$513:$AF$522)+1,1))),0)</f>
        <v>0</v>
      </c>
      <c r="AM30" s="32">
        <f t="array" aca="1" ref="AM30" ca="1">_xlfn.IFNA(SUM((AM$3&gt;='Gastos com Pessoal'!$E$513:$E$522)*(AM$3&lt;='Gastos com Pessoal'!$F$513:$F$522)*OFFSET('Encargos e Benefícios'!$D$511,1,MATCH($B30,'Encargos e Benefícios'!$E$511:$AB$511,0),10,1)
*(IF('Gastos com Pessoal'!$G$513:$G$522&lt;=AM$3,('Gastos com Pessoal'!$H$513:$H$522)+1,1))
*(IF('Gastos com Pessoal'!$M$513:$M$522&lt;=AM$3,('Gastos com Pessoal'!$N$513:$N$522)+1,1))
*(IF('Gastos com Pessoal'!$S$513:$S$522&lt;=AM$3,('Gastos com Pessoal'!$T$513:$T$522)+1,1))
*(IF('Gastos com Pessoal'!$Y$513:$Y$522&lt;=AM$3,('Gastos com Pessoal'!$Z$513:$Z$522)+1,1))
*(IF('Gastos com Pessoal'!$AE$513:$AE$522&lt;=AM$3,('Gastos com Pessoal'!$AF$513:$AF$522)+1,1))),0)</f>
        <v>0</v>
      </c>
      <c r="AN30" s="32">
        <f t="array" aca="1" ref="AN30" ca="1">_xlfn.IFNA(SUM((AN$3&gt;='Gastos com Pessoal'!$E$513:$E$522)*(AN$3&lt;='Gastos com Pessoal'!$F$513:$F$522)*OFFSET('Encargos e Benefícios'!$D$511,1,MATCH($B30,'Encargos e Benefícios'!$E$511:$AB$511,0),10,1)
*(IF('Gastos com Pessoal'!$G$513:$G$522&lt;=AN$3,('Gastos com Pessoal'!$H$513:$H$522)+1,1))
*(IF('Gastos com Pessoal'!$M$513:$M$522&lt;=AN$3,('Gastos com Pessoal'!$N$513:$N$522)+1,1))
*(IF('Gastos com Pessoal'!$S$513:$S$522&lt;=AN$3,('Gastos com Pessoal'!$T$513:$T$522)+1,1))
*(IF('Gastos com Pessoal'!$Y$513:$Y$522&lt;=AN$3,('Gastos com Pessoal'!$Z$513:$Z$522)+1,1))
*(IF('Gastos com Pessoal'!$AE$513:$AE$522&lt;=AN$3,('Gastos com Pessoal'!$AF$513:$AF$522)+1,1))),0)</f>
        <v>0</v>
      </c>
      <c r="AO30" s="32">
        <f t="array" aca="1" ref="AO30" ca="1">_xlfn.IFNA(SUM((AO$3&gt;='Gastos com Pessoal'!$E$513:$E$522)*(AO$3&lt;='Gastos com Pessoal'!$F$513:$F$522)*OFFSET('Encargos e Benefícios'!$D$511,1,MATCH($B30,'Encargos e Benefícios'!$E$511:$AB$511,0),10,1)
*(IF('Gastos com Pessoal'!$G$513:$G$522&lt;=AO$3,('Gastos com Pessoal'!$H$513:$H$522)+1,1))
*(IF('Gastos com Pessoal'!$M$513:$M$522&lt;=AO$3,('Gastos com Pessoal'!$N$513:$N$522)+1,1))
*(IF('Gastos com Pessoal'!$S$513:$S$522&lt;=AO$3,('Gastos com Pessoal'!$T$513:$T$522)+1,1))
*(IF('Gastos com Pessoal'!$Y$513:$Y$522&lt;=AO$3,('Gastos com Pessoal'!$Z$513:$Z$522)+1,1))
*(IF('Gastos com Pessoal'!$AE$513:$AE$522&lt;=AO$3,('Gastos com Pessoal'!$AF$513:$AF$522)+1,1))),0)</f>
        <v>0</v>
      </c>
      <c r="AP30" s="32">
        <f t="array" aca="1" ref="AP30" ca="1">_xlfn.IFNA(SUM((AP$3&gt;='Gastos com Pessoal'!$E$513:$E$522)*(AP$3&lt;='Gastos com Pessoal'!$F$513:$F$522)*OFFSET('Encargos e Benefícios'!$D$511,1,MATCH($B30,'Encargos e Benefícios'!$E$511:$AB$511,0),10,1)
*(IF('Gastos com Pessoal'!$G$513:$G$522&lt;=AP$3,('Gastos com Pessoal'!$H$513:$H$522)+1,1))
*(IF('Gastos com Pessoal'!$M$513:$M$522&lt;=AP$3,('Gastos com Pessoal'!$N$513:$N$522)+1,1))
*(IF('Gastos com Pessoal'!$S$513:$S$522&lt;=AP$3,('Gastos com Pessoal'!$T$513:$T$522)+1,1))
*(IF('Gastos com Pessoal'!$Y$513:$Y$522&lt;=AP$3,('Gastos com Pessoal'!$Z$513:$Z$522)+1,1))
*(IF('Gastos com Pessoal'!$AE$513:$AE$522&lt;=AP$3,('Gastos com Pessoal'!$AF$513:$AF$522)+1,1))),0)</f>
        <v>0</v>
      </c>
      <c r="AQ30" s="32">
        <f t="array" aca="1" ref="AQ30" ca="1">_xlfn.IFNA(SUM((AQ$3&gt;='Gastos com Pessoal'!$E$513:$E$522)*(AQ$3&lt;='Gastos com Pessoal'!$F$513:$F$522)*OFFSET('Encargos e Benefícios'!$D$511,1,MATCH($B30,'Encargos e Benefícios'!$E$511:$AB$511,0),10,1)
*(IF('Gastos com Pessoal'!$G$513:$G$522&lt;=AQ$3,('Gastos com Pessoal'!$H$513:$H$522)+1,1))
*(IF('Gastos com Pessoal'!$M$513:$M$522&lt;=AQ$3,('Gastos com Pessoal'!$N$513:$N$522)+1,1))
*(IF('Gastos com Pessoal'!$S$513:$S$522&lt;=AQ$3,('Gastos com Pessoal'!$T$513:$T$522)+1,1))
*(IF('Gastos com Pessoal'!$Y$513:$Y$522&lt;=AQ$3,('Gastos com Pessoal'!$Z$513:$Z$522)+1,1))
*(IF('Gastos com Pessoal'!$AE$513:$AE$522&lt;=AQ$3,('Gastos com Pessoal'!$AF$513:$AF$522)+1,1))),0)</f>
        <v>0</v>
      </c>
      <c r="AR30" s="32">
        <f t="array" aca="1" ref="AR30" ca="1">_xlfn.IFNA(SUM((AR$3&gt;='Gastos com Pessoal'!$E$513:$E$522)*(AR$3&lt;='Gastos com Pessoal'!$F$513:$F$522)*OFFSET('Encargos e Benefícios'!$D$511,1,MATCH($B30,'Encargos e Benefícios'!$E$511:$AB$511,0),10,1)
*(IF('Gastos com Pessoal'!$G$513:$G$522&lt;=AR$3,('Gastos com Pessoal'!$H$513:$H$522)+1,1))
*(IF('Gastos com Pessoal'!$M$513:$M$522&lt;=AR$3,('Gastos com Pessoal'!$N$513:$N$522)+1,1))
*(IF('Gastos com Pessoal'!$S$513:$S$522&lt;=AR$3,('Gastos com Pessoal'!$T$513:$T$522)+1,1))
*(IF('Gastos com Pessoal'!$Y$513:$Y$522&lt;=AR$3,('Gastos com Pessoal'!$Z$513:$Z$522)+1,1))
*(IF('Gastos com Pessoal'!$AE$513:$AE$522&lt;=AR$3,('Gastos com Pessoal'!$AF$513:$AF$522)+1,1))),0)</f>
        <v>0</v>
      </c>
      <c r="AS30" s="32">
        <f t="array" aca="1" ref="AS30" ca="1">_xlfn.IFNA(SUM((AS$3&gt;='Gastos com Pessoal'!$E$513:$E$522)*(AS$3&lt;='Gastos com Pessoal'!$F$513:$F$522)*OFFSET('Encargos e Benefícios'!$D$511,1,MATCH($B30,'Encargos e Benefícios'!$E$511:$AB$511,0),10,1)
*(IF('Gastos com Pessoal'!$G$513:$G$522&lt;=AS$3,('Gastos com Pessoal'!$H$513:$H$522)+1,1))
*(IF('Gastos com Pessoal'!$M$513:$M$522&lt;=AS$3,('Gastos com Pessoal'!$N$513:$N$522)+1,1))
*(IF('Gastos com Pessoal'!$S$513:$S$522&lt;=AS$3,('Gastos com Pessoal'!$T$513:$T$522)+1,1))
*(IF('Gastos com Pessoal'!$Y$513:$Y$522&lt;=AS$3,('Gastos com Pessoal'!$Z$513:$Z$522)+1,1))
*(IF('Gastos com Pessoal'!$AE$513:$AE$522&lt;=AS$3,('Gastos com Pessoal'!$AF$513:$AF$522)+1,1))),0)</f>
        <v>0</v>
      </c>
      <c r="AT30" s="32">
        <f t="array" aca="1" ref="AT30" ca="1">_xlfn.IFNA(SUM((AT$3&gt;='Gastos com Pessoal'!$E$513:$E$522)*(AT$3&lt;='Gastos com Pessoal'!$F$513:$F$522)*OFFSET('Encargos e Benefícios'!$D$511,1,MATCH($B30,'Encargos e Benefícios'!$E$511:$AB$511,0),10,1)
*(IF('Gastos com Pessoal'!$G$513:$G$522&lt;=AT$3,('Gastos com Pessoal'!$H$513:$H$522)+1,1))
*(IF('Gastos com Pessoal'!$M$513:$M$522&lt;=AT$3,('Gastos com Pessoal'!$N$513:$N$522)+1,1))
*(IF('Gastos com Pessoal'!$S$513:$S$522&lt;=AT$3,('Gastos com Pessoal'!$T$513:$T$522)+1,1))
*(IF('Gastos com Pessoal'!$Y$513:$Y$522&lt;=AT$3,('Gastos com Pessoal'!$Z$513:$Z$522)+1,1))
*(IF('Gastos com Pessoal'!$AE$513:$AE$522&lt;=AT$3,('Gastos com Pessoal'!$AF$513:$AF$522)+1,1))),0)</f>
        <v>0</v>
      </c>
      <c r="AU30" s="32">
        <f t="array" aca="1" ref="AU30" ca="1">_xlfn.IFNA(SUM((AU$3&gt;='Gastos com Pessoal'!$E$513:$E$522)*(AU$3&lt;='Gastos com Pessoal'!$F$513:$F$522)*OFFSET('Encargos e Benefícios'!$D$511,1,MATCH($B30,'Encargos e Benefícios'!$E$511:$AB$511,0),10,1)
*(IF('Gastos com Pessoal'!$G$513:$G$522&lt;=AU$3,('Gastos com Pessoal'!$H$513:$H$522)+1,1))
*(IF('Gastos com Pessoal'!$M$513:$M$522&lt;=AU$3,('Gastos com Pessoal'!$N$513:$N$522)+1,1))
*(IF('Gastos com Pessoal'!$S$513:$S$522&lt;=AU$3,('Gastos com Pessoal'!$T$513:$T$522)+1,1))
*(IF('Gastos com Pessoal'!$Y$513:$Y$522&lt;=AU$3,('Gastos com Pessoal'!$Z$513:$Z$522)+1,1))
*(IF('Gastos com Pessoal'!$AE$513:$AE$522&lt;=AU$3,('Gastos com Pessoal'!$AF$513:$AF$522)+1,1))),0)</f>
        <v>0</v>
      </c>
      <c r="AV30" s="32">
        <f t="array" aca="1" ref="AV30" ca="1">_xlfn.IFNA(SUM((AV$3&gt;='Gastos com Pessoal'!$E$513:$E$522)*(AV$3&lt;='Gastos com Pessoal'!$F$513:$F$522)*OFFSET('Encargos e Benefícios'!$D$511,1,MATCH($B30,'Encargos e Benefícios'!$E$511:$AB$511,0),10,1)
*(IF('Gastos com Pessoal'!$G$513:$G$522&lt;=AV$3,('Gastos com Pessoal'!$H$513:$H$522)+1,1))
*(IF('Gastos com Pessoal'!$M$513:$M$522&lt;=AV$3,('Gastos com Pessoal'!$N$513:$N$522)+1,1))
*(IF('Gastos com Pessoal'!$S$513:$S$522&lt;=AV$3,('Gastos com Pessoal'!$T$513:$T$522)+1,1))
*(IF('Gastos com Pessoal'!$Y$513:$Y$522&lt;=AV$3,('Gastos com Pessoal'!$Z$513:$Z$522)+1,1))
*(IF('Gastos com Pessoal'!$AE$513:$AE$522&lt;=AV$3,('Gastos com Pessoal'!$AF$513:$AF$522)+1,1))),0)</f>
        <v>0</v>
      </c>
      <c r="AW30" s="32">
        <f t="array" aca="1" ref="AW30" ca="1">_xlfn.IFNA(SUM((AW$3&gt;='Gastos com Pessoal'!$E$513:$E$522)*(AW$3&lt;='Gastos com Pessoal'!$F$513:$F$522)*OFFSET('Encargos e Benefícios'!$D$511,1,MATCH($B30,'Encargos e Benefícios'!$E$511:$AB$511,0),10,1)
*(IF('Gastos com Pessoal'!$G$513:$G$522&lt;=AW$3,('Gastos com Pessoal'!$H$513:$H$522)+1,1))
*(IF('Gastos com Pessoal'!$M$513:$M$522&lt;=AW$3,('Gastos com Pessoal'!$N$513:$N$522)+1,1))
*(IF('Gastos com Pessoal'!$S$513:$S$522&lt;=AW$3,('Gastos com Pessoal'!$T$513:$T$522)+1,1))
*(IF('Gastos com Pessoal'!$Y$513:$Y$522&lt;=AW$3,('Gastos com Pessoal'!$Z$513:$Z$522)+1,1))
*(IF('Gastos com Pessoal'!$AE$513:$AE$522&lt;=AW$3,('Gastos com Pessoal'!$AF$513:$AF$522)+1,1))),0)</f>
        <v>0</v>
      </c>
      <c r="AX30" s="32">
        <f t="array" aca="1" ref="AX30" ca="1">_xlfn.IFNA(SUM((AX$3&gt;='Gastos com Pessoal'!$E$513:$E$522)*(AX$3&lt;='Gastos com Pessoal'!$F$513:$F$522)*OFFSET('Encargos e Benefícios'!$D$511,1,MATCH($B30,'Encargos e Benefícios'!$E$511:$AB$511,0),10,1)
*(IF('Gastos com Pessoal'!$G$513:$G$522&lt;=AX$3,('Gastos com Pessoal'!$H$513:$H$522)+1,1))
*(IF('Gastos com Pessoal'!$M$513:$M$522&lt;=AX$3,('Gastos com Pessoal'!$N$513:$N$522)+1,1))
*(IF('Gastos com Pessoal'!$S$513:$S$522&lt;=AX$3,('Gastos com Pessoal'!$T$513:$T$522)+1,1))
*(IF('Gastos com Pessoal'!$Y$513:$Y$522&lt;=AX$3,('Gastos com Pessoal'!$Z$513:$Z$522)+1,1))
*(IF('Gastos com Pessoal'!$AE$513:$AE$522&lt;=AX$3,('Gastos com Pessoal'!$AF$513:$AF$522)+1,1))),0)</f>
        <v>0</v>
      </c>
      <c r="AY30" s="32">
        <f t="array" aca="1" ref="AY30" ca="1">_xlfn.IFNA(SUM((AY$3&gt;='Gastos com Pessoal'!$E$513:$E$522)*(AY$3&lt;='Gastos com Pessoal'!$F$513:$F$522)*OFFSET('Encargos e Benefícios'!$D$511,1,MATCH($B30,'Encargos e Benefícios'!$E$511:$AB$511,0),10,1)
*(IF('Gastos com Pessoal'!$G$513:$G$522&lt;=AY$3,('Gastos com Pessoal'!$H$513:$H$522)+1,1))
*(IF('Gastos com Pessoal'!$M$513:$M$522&lt;=AY$3,('Gastos com Pessoal'!$N$513:$N$522)+1,1))
*(IF('Gastos com Pessoal'!$S$513:$S$522&lt;=AY$3,('Gastos com Pessoal'!$T$513:$T$522)+1,1))
*(IF('Gastos com Pessoal'!$Y$513:$Y$522&lt;=AY$3,('Gastos com Pessoal'!$Z$513:$Z$522)+1,1))
*(IF('Gastos com Pessoal'!$AE$513:$AE$522&lt;=AY$3,('Gastos com Pessoal'!$AF$513:$AF$522)+1,1))),0)</f>
        <v>0</v>
      </c>
      <c r="AZ30" s="32">
        <f t="array" aca="1" ref="AZ30" ca="1">_xlfn.IFNA(SUM((AZ$3&gt;='Gastos com Pessoal'!$E$513:$E$522)*(AZ$3&lt;='Gastos com Pessoal'!$F$513:$F$522)*OFFSET('Encargos e Benefícios'!$D$511,1,MATCH($B30,'Encargos e Benefícios'!$E$511:$AB$511,0),10,1)
*(IF('Gastos com Pessoal'!$G$513:$G$522&lt;=AZ$3,('Gastos com Pessoal'!$H$513:$H$522)+1,1))
*(IF('Gastos com Pessoal'!$M$513:$M$522&lt;=AZ$3,('Gastos com Pessoal'!$N$513:$N$522)+1,1))
*(IF('Gastos com Pessoal'!$S$513:$S$522&lt;=AZ$3,('Gastos com Pessoal'!$T$513:$T$522)+1,1))
*(IF('Gastos com Pessoal'!$Y$513:$Y$522&lt;=AZ$3,('Gastos com Pessoal'!$Z$513:$Z$522)+1,1))
*(IF('Gastos com Pessoal'!$AE$513:$AE$522&lt;=AZ$3,('Gastos com Pessoal'!$AF$513:$AF$522)+1,1))),0)</f>
        <v>0</v>
      </c>
      <c r="BA30" s="32">
        <f t="array" aca="1" ref="BA30" ca="1">_xlfn.IFNA(SUM((BA$3&gt;='Gastos com Pessoal'!$E$513:$E$522)*(BA$3&lt;='Gastos com Pessoal'!$F$513:$F$522)*OFFSET('Encargos e Benefícios'!$D$511,1,MATCH($B30,'Encargos e Benefícios'!$E$511:$AB$511,0),10,1)
*(IF('Gastos com Pessoal'!$G$513:$G$522&lt;=BA$3,('Gastos com Pessoal'!$H$513:$H$522)+1,1))
*(IF('Gastos com Pessoal'!$M$513:$M$522&lt;=BA$3,('Gastos com Pessoal'!$N$513:$N$522)+1,1))
*(IF('Gastos com Pessoal'!$S$513:$S$522&lt;=BA$3,('Gastos com Pessoal'!$T$513:$T$522)+1,1))
*(IF('Gastos com Pessoal'!$Y$513:$Y$522&lt;=BA$3,('Gastos com Pessoal'!$Z$513:$Z$522)+1,1))
*(IF('Gastos com Pessoal'!$AE$513:$AE$522&lt;=BA$3,('Gastos com Pessoal'!$AF$513:$AF$522)+1,1))),0)</f>
        <v>0</v>
      </c>
      <c r="BB30" s="32">
        <f t="array" aca="1" ref="BB30" ca="1">_xlfn.IFNA(SUM((BB$3&gt;='Gastos com Pessoal'!$E$513:$E$522)*(BB$3&lt;='Gastos com Pessoal'!$F$513:$F$522)*OFFSET('Encargos e Benefícios'!$D$511,1,MATCH($B30,'Encargos e Benefícios'!$E$511:$AB$511,0),10,1)
*(IF('Gastos com Pessoal'!$G$513:$G$522&lt;=BB$3,('Gastos com Pessoal'!$H$513:$H$522)+1,1))
*(IF('Gastos com Pessoal'!$M$513:$M$522&lt;=BB$3,('Gastos com Pessoal'!$N$513:$N$522)+1,1))
*(IF('Gastos com Pessoal'!$S$513:$S$522&lt;=BB$3,('Gastos com Pessoal'!$T$513:$T$522)+1,1))
*(IF('Gastos com Pessoal'!$Y$513:$Y$522&lt;=BB$3,('Gastos com Pessoal'!$Z$513:$Z$522)+1,1))
*(IF('Gastos com Pessoal'!$AE$513:$AE$522&lt;=BB$3,('Gastos com Pessoal'!$AF$513:$AF$522)+1,1))),0)</f>
        <v>0</v>
      </c>
      <c r="BC30" s="32">
        <f t="array" aca="1" ref="BC30" ca="1">_xlfn.IFNA(SUM((BC$3&gt;='Gastos com Pessoal'!$E$513:$E$522)*(BC$3&lt;='Gastos com Pessoal'!$F$513:$F$522)*OFFSET('Encargos e Benefícios'!$D$511,1,MATCH($B30,'Encargos e Benefícios'!$E$511:$AB$511,0),10,1)
*(IF('Gastos com Pessoal'!$G$513:$G$522&lt;=BC$3,('Gastos com Pessoal'!$H$513:$H$522)+1,1))
*(IF('Gastos com Pessoal'!$M$513:$M$522&lt;=BC$3,('Gastos com Pessoal'!$N$513:$N$522)+1,1))
*(IF('Gastos com Pessoal'!$S$513:$S$522&lt;=BC$3,('Gastos com Pessoal'!$T$513:$T$522)+1,1))
*(IF('Gastos com Pessoal'!$Y$513:$Y$522&lt;=BC$3,('Gastos com Pessoal'!$Z$513:$Z$522)+1,1))
*(IF('Gastos com Pessoal'!$AE$513:$AE$522&lt;=BC$3,('Gastos com Pessoal'!$AF$513:$AF$522)+1,1))),0)</f>
        <v>0</v>
      </c>
      <c r="BD30" s="32">
        <f t="array" aca="1" ref="BD30" ca="1">_xlfn.IFNA(SUM((BD$3&gt;='Gastos com Pessoal'!$E$513:$E$522)*(BD$3&lt;='Gastos com Pessoal'!$F$513:$F$522)*OFFSET('Encargos e Benefícios'!$D$511,1,MATCH($B30,'Encargos e Benefícios'!$E$511:$AB$511,0),10,1)
*(IF('Gastos com Pessoal'!$G$513:$G$522&lt;=BD$3,('Gastos com Pessoal'!$H$513:$H$522)+1,1))
*(IF('Gastos com Pessoal'!$M$513:$M$522&lt;=BD$3,('Gastos com Pessoal'!$N$513:$N$522)+1,1))
*(IF('Gastos com Pessoal'!$S$513:$S$522&lt;=BD$3,('Gastos com Pessoal'!$T$513:$T$522)+1,1))
*(IF('Gastos com Pessoal'!$Y$513:$Y$522&lt;=BD$3,('Gastos com Pessoal'!$Z$513:$Z$522)+1,1))
*(IF('Gastos com Pessoal'!$AE$513:$AE$522&lt;=BD$3,('Gastos com Pessoal'!$AF$513:$AF$522)+1,1))),0)</f>
        <v>0</v>
      </c>
      <c r="BE30" s="32">
        <f t="array" aca="1" ref="BE30" ca="1">_xlfn.IFNA(SUM((BE$3&gt;='Gastos com Pessoal'!$E$513:$E$522)*(BE$3&lt;='Gastos com Pessoal'!$F$513:$F$522)*OFFSET('Encargos e Benefícios'!$D$511,1,MATCH($B30,'Encargos e Benefícios'!$E$511:$AB$511,0),10,1)
*(IF('Gastos com Pessoal'!$G$513:$G$522&lt;=BE$3,('Gastos com Pessoal'!$H$513:$H$522)+1,1))
*(IF('Gastos com Pessoal'!$M$513:$M$522&lt;=BE$3,('Gastos com Pessoal'!$N$513:$N$522)+1,1))
*(IF('Gastos com Pessoal'!$S$513:$S$522&lt;=BE$3,('Gastos com Pessoal'!$T$513:$T$522)+1,1))
*(IF('Gastos com Pessoal'!$Y$513:$Y$522&lt;=BE$3,('Gastos com Pessoal'!$Z$513:$Z$522)+1,1))
*(IF('Gastos com Pessoal'!$AE$513:$AE$522&lt;=BE$3,('Gastos com Pessoal'!$AF$513:$AF$522)+1,1))),0)</f>
        <v>0</v>
      </c>
      <c r="BF30" s="32">
        <f t="array" aca="1" ref="BF30" ca="1">_xlfn.IFNA(SUM((BF$3&gt;='Gastos com Pessoal'!$E$513:$E$522)*(BF$3&lt;='Gastos com Pessoal'!$F$513:$F$522)*OFFSET('Encargos e Benefícios'!$D$511,1,MATCH($B30,'Encargos e Benefícios'!$E$511:$AB$511,0),10,1)
*(IF('Gastos com Pessoal'!$G$513:$G$522&lt;=BF$3,('Gastos com Pessoal'!$H$513:$H$522)+1,1))
*(IF('Gastos com Pessoal'!$M$513:$M$522&lt;=BF$3,('Gastos com Pessoal'!$N$513:$N$522)+1,1))
*(IF('Gastos com Pessoal'!$S$513:$S$522&lt;=BF$3,('Gastos com Pessoal'!$T$513:$T$522)+1,1))
*(IF('Gastos com Pessoal'!$Y$513:$Y$522&lt;=BF$3,('Gastos com Pessoal'!$Z$513:$Z$522)+1,1))
*(IF('Gastos com Pessoal'!$AE$513:$AE$522&lt;=BF$3,('Gastos com Pessoal'!$AF$513:$AF$522)+1,1))),0)</f>
        <v>0</v>
      </c>
      <c r="BG30" s="32">
        <f t="array" aca="1" ref="BG30" ca="1">_xlfn.IFNA(SUM((BG$3&gt;='Gastos com Pessoal'!$E$513:$E$522)*(BG$3&lt;='Gastos com Pessoal'!$F$513:$F$522)*OFFSET('Encargos e Benefícios'!$D$511,1,MATCH($B30,'Encargos e Benefícios'!$E$511:$AB$511,0),10,1)
*(IF('Gastos com Pessoal'!$G$513:$G$522&lt;=BG$3,('Gastos com Pessoal'!$H$513:$H$522)+1,1))
*(IF('Gastos com Pessoal'!$M$513:$M$522&lt;=BG$3,('Gastos com Pessoal'!$N$513:$N$522)+1,1))
*(IF('Gastos com Pessoal'!$S$513:$S$522&lt;=BG$3,('Gastos com Pessoal'!$T$513:$T$522)+1,1))
*(IF('Gastos com Pessoal'!$Y$513:$Y$522&lt;=BG$3,('Gastos com Pessoal'!$Z$513:$Z$522)+1,1))
*(IF('Gastos com Pessoal'!$AE$513:$AE$522&lt;=BG$3,('Gastos com Pessoal'!$AF$513:$AF$522)+1,1))),0)</f>
        <v>0</v>
      </c>
      <c r="BH30" s="32">
        <f t="array" aca="1" ref="BH30" ca="1">_xlfn.IFNA(SUM((BH$3&gt;='Gastos com Pessoal'!$E$513:$E$522)*(BH$3&lt;='Gastos com Pessoal'!$F$513:$F$522)*OFFSET('Encargos e Benefícios'!$D$511,1,MATCH($B30,'Encargos e Benefícios'!$E$511:$AB$511,0),10,1)
*(IF('Gastos com Pessoal'!$G$513:$G$522&lt;=BH$3,('Gastos com Pessoal'!$H$513:$H$522)+1,1))
*(IF('Gastos com Pessoal'!$M$513:$M$522&lt;=BH$3,('Gastos com Pessoal'!$N$513:$N$522)+1,1))
*(IF('Gastos com Pessoal'!$S$513:$S$522&lt;=BH$3,('Gastos com Pessoal'!$T$513:$T$522)+1,1))
*(IF('Gastos com Pessoal'!$Y$513:$Y$522&lt;=BH$3,('Gastos com Pessoal'!$Z$513:$Z$522)+1,1))
*(IF('Gastos com Pessoal'!$AE$513:$AE$522&lt;=BH$3,('Gastos com Pessoal'!$AF$513:$AF$522)+1,1))),0)</f>
        <v>0</v>
      </c>
      <c r="BI30" s="32">
        <f t="array" aca="1" ref="BI30" ca="1">_xlfn.IFNA(SUM((BI$3&gt;='Gastos com Pessoal'!$E$513:$E$522)*(BI$3&lt;='Gastos com Pessoal'!$F$513:$F$522)*OFFSET('Encargos e Benefícios'!$D$511,1,MATCH($B30,'Encargos e Benefícios'!$E$511:$AB$511,0),10,1)
*(IF('Gastos com Pessoal'!$G$513:$G$522&lt;=BI$3,('Gastos com Pessoal'!$H$513:$H$522)+1,1))
*(IF('Gastos com Pessoal'!$M$513:$M$522&lt;=BI$3,('Gastos com Pessoal'!$N$513:$N$522)+1,1))
*(IF('Gastos com Pessoal'!$S$513:$S$522&lt;=BI$3,('Gastos com Pessoal'!$T$513:$T$522)+1,1))
*(IF('Gastos com Pessoal'!$Y$513:$Y$522&lt;=BI$3,('Gastos com Pessoal'!$Z$513:$Z$522)+1,1))
*(IF('Gastos com Pessoal'!$AE$513:$AE$522&lt;=BI$3,('Gastos com Pessoal'!$AF$513:$AF$522)+1,1))),0)</f>
        <v>0</v>
      </c>
      <c r="BJ30" s="32">
        <f t="array" aca="1" ref="BJ30" ca="1">_xlfn.IFNA(SUM((BJ$3&gt;='Gastos com Pessoal'!$E$513:$E$522)*(BJ$3&lt;='Gastos com Pessoal'!$F$513:$F$522)*OFFSET('Encargos e Benefícios'!$D$511,1,MATCH($B30,'Encargos e Benefícios'!$E$511:$AB$511,0),10,1)
*(IF('Gastos com Pessoal'!$G$513:$G$522&lt;=BJ$3,('Gastos com Pessoal'!$H$513:$H$522)+1,1))
*(IF('Gastos com Pessoal'!$M$513:$M$522&lt;=BJ$3,('Gastos com Pessoal'!$N$513:$N$522)+1,1))
*(IF('Gastos com Pessoal'!$S$513:$S$522&lt;=BJ$3,('Gastos com Pessoal'!$T$513:$T$522)+1,1))
*(IF('Gastos com Pessoal'!$Y$513:$Y$522&lt;=BJ$3,('Gastos com Pessoal'!$Z$513:$Z$522)+1,1))
*(IF('Gastos com Pessoal'!$AE$513:$AE$522&lt;=BJ$3,('Gastos com Pessoal'!$AF$513:$AF$522)+1,1))),0)</f>
        <v>0</v>
      </c>
      <c r="BK30" s="71">
        <f ca="1">SUM(C30:BJ30)</f>
        <v>0</v>
      </c>
      <c r="BL30" s="76">
        <f ca="1">IF($BK$155=0,0,BK30/$BK$155)</f>
        <v>0</v>
      </c>
    </row>
    <row r="31" spans="1:64" s="49" customFormat="1" ht="23.25" customHeight="1" x14ac:dyDescent="0.2">
      <c r="A31" s="19" t="s">
        <v>141</v>
      </c>
      <c r="B31" s="12" t="s">
        <v>142</v>
      </c>
      <c r="C31" s="32">
        <f t="array" aca="1" ref="C31" ca="1">_xlfn.IFNA(SUM((C$3&gt;='Gastos com Pessoal'!$E$7:$E$506)*(C$3&lt;='Gastos com Pessoal'!$F$7:$F$506)*OFFSET('Encargos e Benefícios'!$D$5,1,MATCH($B31,'Encargos e Benefícios'!$E$5:$AB$5,0),500,1)),0)
+_xlfn.IFNA(SUM((C$3&gt;='Gastos com Pessoal'!$E$513:$E$522)*(C$3&lt;='Gastos com Pessoal'!$F$513:$F$522)*OFFSET('Encargos e Benefícios'!$D$511,1,MATCH($B31,'Encargos e Benefícios'!$E$511:$AB$511,0),10,1)),0)
+_xlfn.IFNA(SUM((C$3&gt;='Gastos com Pessoal'!$E$7:$E$506)*(C$3&lt;='Gastos com Pessoal'!$F$7:$F$506)*(IF('Gastos com Pessoal'!$G$7:$G$506&lt;=C$3,1,0))*OFFSET('Gastos com Pessoal'!$H$6,1,MATCH(1&amp;$B31,'Gastos com Pessoal'!$I$532:$AJ$532&amp;'Gastos com Pessoal'!$I$6:$AJ$6,0),500,1)),0)
+_xlfn.IFNA(SUM((C$3&gt;='Gastos com Pessoal'!$E$7:$E$506)*(C$3&lt;='Gastos com Pessoal'!$F$7:$F$506)*(IF('Gastos com Pessoal'!$M$7:$M$506&lt;=C$3,1,0))*OFFSET('Gastos com Pessoal'!$H$6,1,MATCH(2&amp;$B31,'Gastos com Pessoal'!$I$532:$AJ$532&amp;'Gastos com Pessoal'!$I$6:$AJ$6,0),500,1)),0)
+_xlfn.IFNA(SUM((C$3&gt;='Gastos com Pessoal'!$E$7:$E$506)*(C$3&lt;='Gastos com Pessoal'!$F$7:$F$506)*(IF('Gastos com Pessoal'!$S$7:$S$506&lt;=C$3,1,0))*OFFSET('Gastos com Pessoal'!$H$6,1,MATCH(3&amp;$B31,'Gastos com Pessoal'!$I$532:$AJ$532&amp;'Gastos com Pessoal'!$I$6:$AJ$6,0),500,1)),0)
+_xlfn.IFNA(SUM((C$3&gt;='Gastos com Pessoal'!$E$7:$E$506)*(C$3&lt;='Gastos com Pessoal'!$F$7:$F$506)*(IF('Gastos com Pessoal'!$Y$7:$Y$506&lt;=C$3,1,0))*OFFSET('Gastos com Pessoal'!$H$6,1,MATCH(4&amp;$B31,'Gastos com Pessoal'!$I$532:$AJ$532&amp;'Gastos com Pessoal'!$I$6:$AJ$6,0),500,1)),0)
+_xlfn.IFNA(SUM((C$3&gt;='Gastos com Pessoal'!$E$7:$E$506)*(C$3&lt;='Gastos com Pessoal'!$F$7:$F$506)*(IF('Gastos com Pessoal'!$AE$7:$AE$506&lt;=C$3,1,0))*OFFSET('Gastos com Pessoal'!$H$6,1,MATCH(5&amp;$B31,'Gastos com Pessoal'!$I$532:$AJ$532&amp;'Gastos com Pessoal'!$I$6:$AJ$6,0),500,1)),0)
+_xlfn.IFNA(SUM((C$3&gt;='Gastos com Pessoal'!$E$513:$E$522)*(C$3&lt;='Gastos com Pessoal'!$F$513:$F$522)*(IF('Gastos com Pessoal'!$G$513:$G$522&lt;=C$3,1,0))*OFFSET('Gastos com Pessoal'!$H$512,1,MATCH(1&amp;$B31,'Gastos com Pessoal'!$I$532:$AJ$532&amp;'Gastos com Pessoal'!$I$512:$AJ$512,0),10,1)),0)
+_xlfn.IFNA(SUM((C$3&gt;='Gastos com Pessoal'!$E$513:$E$522)*(C$3&lt;='Gastos com Pessoal'!$F$513:$F$522)*(IF('Gastos com Pessoal'!$M$513:$M$522&lt;=C$3,1,0))*OFFSET('Gastos com Pessoal'!$H$512,1,MATCH(2&amp;$B31,'Gastos com Pessoal'!$I$532:$AJ$532&amp;'Gastos com Pessoal'!$I$512:$AJ$512,0),10,1)),0)
+_xlfn.IFNA(SUM((C$3&gt;='Gastos com Pessoal'!$E$513:$E$522)*(C$3&lt;='Gastos com Pessoal'!$F$513:$F$522)*(IF('Gastos com Pessoal'!$S$513:$S$522&lt;=C$3,1,0))*OFFSET('Gastos com Pessoal'!$H$512,1,MATCH(3&amp;$B31,'Gastos com Pessoal'!$I$532:$AJ$532&amp;'Gastos com Pessoal'!$I$512:$AJ$512,0),10,1)),0)
+_xlfn.IFNA(SUM((C$3&gt;='Gastos com Pessoal'!$E$513:$E$522)*(C$3&lt;='Gastos com Pessoal'!$F$513:$F$522)*(IF('Gastos com Pessoal'!$Y$513:$Y$522&lt;=C$3,1,0))*OFFSET('Gastos com Pessoal'!$H$512,1,MATCH(4&amp;$B31,'Gastos com Pessoal'!$I$532:$AJ$532&amp;'Gastos com Pessoal'!$I$512:$AJ$512,0),10,1)),0)
+_xlfn.IFNA(SUM((C$3&gt;='Gastos com Pessoal'!$E$513:$E$522)*(C$3&lt;='Gastos com Pessoal'!$F$513:$F$522)*(IF('Gastos com Pessoal'!$AE$513:$AE$522&lt;=C$3,1,0))*OFFSET('Gastos com Pessoal'!$H$512,1,MATCH(5&amp;$B31,'Gastos com Pessoal'!$I$532:$AJ$532&amp;'Gastos com Pessoal'!$I$512:$AJ$512,0),10,1)),0)</f>
        <v>0</v>
      </c>
      <c r="D31" s="32">
        <f t="array" aca="1" ref="D31" ca="1">_xlfn.IFNA(SUM((D$3&gt;='Gastos com Pessoal'!$E$7:$E$506)*(D$3&lt;='Gastos com Pessoal'!$F$7:$F$506)*OFFSET('Encargos e Benefícios'!$D$5,1,MATCH($B31,'Encargos e Benefícios'!$E$5:$AB$5,0),500,1)),0)
+_xlfn.IFNA(SUM((D$3&gt;='Gastos com Pessoal'!$E$513:$E$522)*(D$3&lt;='Gastos com Pessoal'!$F$513:$F$522)*OFFSET('Encargos e Benefícios'!$D$511,1,MATCH($B31,'Encargos e Benefícios'!$E$511:$AB$511,0),10,1)),0)
+_xlfn.IFNA(SUM((D$3&gt;='Gastos com Pessoal'!$E$7:$E$506)*(D$3&lt;='Gastos com Pessoal'!$F$7:$F$506)*(IF('Gastos com Pessoal'!$G$7:$G$506&lt;=D$3,1,0))*OFFSET('Gastos com Pessoal'!$H$6,1,MATCH(1&amp;$B31,'Gastos com Pessoal'!$I$532:$AJ$532&amp;'Gastos com Pessoal'!$I$6:$AJ$6,0),500,1)),0)
+_xlfn.IFNA(SUM((D$3&gt;='Gastos com Pessoal'!$E$7:$E$506)*(D$3&lt;='Gastos com Pessoal'!$F$7:$F$506)*(IF('Gastos com Pessoal'!$M$7:$M$506&lt;=D$3,1,0))*OFFSET('Gastos com Pessoal'!$H$6,1,MATCH(2&amp;$B31,'Gastos com Pessoal'!$I$532:$AJ$532&amp;'Gastos com Pessoal'!$I$6:$AJ$6,0),500,1)),0)
+_xlfn.IFNA(SUM((D$3&gt;='Gastos com Pessoal'!$E$7:$E$506)*(D$3&lt;='Gastos com Pessoal'!$F$7:$F$506)*(IF('Gastos com Pessoal'!$S$7:$S$506&lt;=D$3,1,0))*OFFSET('Gastos com Pessoal'!$H$6,1,MATCH(3&amp;$B31,'Gastos com Pessoal'!$I$532:$AJ$532&amp;'Gastos com Pessoal'!$I$6:$AJ$6,0),500,1)),0)
+_xlfn.IFNA(SUM((D$3&gt;='Gastos com Pessoal'!$E$7:$E$506)*(D$3&lt;='Gastos com Pessoal'!$F$7:$F$506)*(IF('Gastos com Pessoal'!$Y$7:$Y$506&lt;=D$3,1,0))*OFFSET('Gastos com Pessoal'!$H$6,1,MATCH(4&amp;$B31,'Gastos com Pessoal'!$I$532:$AJ$532&amp;'Gastos com Pessoal'!$I$6:$AJ$6,0),500,1)),0)
+_xlfn.IFNA(SUM((D$3&gt;='Gastos com Pessoal'!$E$7:$E$506)*(D$3&lt;='Gastos com Pessoal'!$F$7:$F$506)*(IF('Gastos com Pessoal'!$AE$7:$AE$506&lt;=D$3,1,0))*OFFSET('Gastos com Pessoal'!$H$6,1,MATCH(5&amp;$B31,'Gastos com Pessoal'!$I$532:$AJ$532&amp;'Gastos com Pessoal'!$I$6:$AJ$6,0),500,1)),0)
+_xlfn.IFNA(SUM((D$3&gt;='Gastos com Pessoal'!$E$513:$E$522)*(D$3&lt;='Gastos com Pessoal'!$F$513:$F$522)*(IF('Gastos com Pessoal'!$G$513:$G$522&lt;=D$3,1,0))*OFFSET('Gastos com Pessoal'!$H$512,1,MATCH(1&amp;$B31,'Gastos com Pessoal'!$I$532:$AJ$532&amp;'Gastos com Pessoal'!$I$512:$AJ$512,0),10,1)),0)
+_xlfn.IFNA(SUM((D$3&gt;='Gastos com Pessoal'!$E$513:$E$522)*(D$3&lt;='Gastos com Pessoal'!$F$513:$F$522)*(IF('Gastos com Pessoal'!$M$513:$M$522&lt;=D$3,1,0))*OFFSET('Gastos com Pessoal'!$H$512,1,MATCH(2&amp;$B31,'Gastos com Pessoal'!$I$532:$AJ$532&amp;'Gastos com Pessoal'!$I$512:$AJ$512,0),10,1)),0)
+_xlfn.IFNA(SUM((D$3&gt;='Gastos com Pessoal'!$E$513:$E$522)*(D$3&lt;='Gastos com Pessoal'!$F$513:$F$522)*(IF('Gastos com Pessoal'!$S$513:$S$522&lt;=D$3,1,0))*OFFSET('Gastos com Pessoal'!$H$512,1,MATCH(3&amp;$B31,'Gastos com Pessoal'!$I$532:$AJ$532&amp;'Gastos com Pessoal'!$I$512:$AJ$512,0),10,1)),0)
+_xlfn.IFNA(SUM((D$3&gt;='Gastos com Pessoal'!$E$513:$E$522)*(D$3&lt;='Gastos com Pessoal'!$F$513:$F$522)*(IF('Gastos com Pessoal'!$Y$513:$Y$522&lt;=D$3,1,0))*OFFSET('Gastos com Pessoal'!$H$512,1,MATCH(4&amp;$B31,'Gastos com Pessoal'!$I$532:$AJ$532&amp;'Gastos com Pessoal'!$I$512:$AJ$512,0),10,1)),0)
+_xlfn.IFNA(SUM((D$3&gt;='Gastos com Pessoal'!$E$513:$E$522)*(D$3&lt;='Gastos com Pessoal'!$F$513:$F$522)*(IF('Gastos com Pessoal'!$AE$513:$AE$522&lt;=D$3,1,0))*OFFSET('Gastos com Pessoal'!$H$512,1,MATCH(5&amp;$B31,'Gastos com Pessoal'!$I$532:$AJ$532&amp;'Gastos com Pessoal'!$I$512:$AJ$512,0),10,1)),0)</f>
        <v>0</v>
      </c>
      <c r="E31" s="32">
        <f t="array" aca="1" ref="E31" ca="1">_xlfn.IFNA(SUM((E$3&gt;='Gastos com Pessoal'!$E$7:$E$506)*(E$3&lt;='Gastos com Pessoal'!$F$7:$F$506)*OFFSET('Encargos e Benefícios'!$D$5,1,MATCH($B31,'Encargos e Benefícios'!$E$5:$AB$5,0),500,1)),0)
+_xlfn.IFNA(SUM((E$3&gt;='Gastos com Pessoal'!$E$513:$E$522)*(E$3&lt;='Gastos com Pessoal'!$F$513:$F$522)*OFFSET('Encargos e Benefícios'!$D$511,1,MATCH($B31,'Encargos e Benefícios'!$E$511:$AB$511,0),10,1)),0)
+_xlfn.IFNA(SUM((E$3&gt;='Gastos com Pessoal'!$E$7:$E$506)*(E$3&lt;='Gastos com Pessoal'!$F$7:$F$506)*(IF('Gastos com Pessoal'!$G$7:$G$506&lt;=E$3,1,0))*OFFSET('Gastos com Pessoal'!$H$6,1,MATCH(1&amp;$B31,'Gastos com Pessoal'!$I$532:$AJ$532&amp;'Gastos com Pessoal'!$I$6:$AJ$6,0),500,1)),0)
+_xlfn.IFNA(SUM((E$3&gt;='Gastos com Pessoal'!$E$7:$E$506)*(E$3&lt;='Gastos com Pessoal'!$F$7:$F$506)*(IF('Gastos com Pessoal'!$M$7:$M$506&lt;=E$3,1,0))*OFFSET('Gastos com Pessoal'!$H$6,1,MATCH(2&amp;$B31,'Gastos com Pessoal'!$I$532:$AJ$532&amp;'Gastos com Pessoal'!$I$6:$AJ$6,0),500,1)),0)
+_xlfn.IFNA(SUM((E$3&gt;='Gastos com Pessoal'!$E$7:$E$506)*(E$3&lt;='Gastos com Pessoal'!$F$7:$F$506)*(IF('Gastos com Pessoal'!$S$7:$S$506&lt;=E$3,1,0))*OFFSET('Gastos com Pessoal'!$H$6,1,MATCH(3&amp;$B31,'Gastos com Pessoal'!$I$532:$AJ$532&amp;'Gastos com Pessoal'!$I$6:$AJ$6,0),500,1)),0)
+_xlfn.IFNA(SUM((E$3&gt;='Gastos com Pessoal'!$E$7:$E$506)*(E$3&lt;='Gastos com Pessoal'!$F$7:$F$506)*(IF('Gastos com Pessoal'!$Y$7:$Y$506&lt;=E$3,1,0))*OFFSET('Gastos com Pessoal'!$H$6,1,MATCH(4&amp;$B31,'Gastos com Pessoal'!$I$532:$AJ$532&amp;'Gastos com Pessoal'!$I$6:$AJ$6,0),500,1)),0)
+_xlfn.IFNA(SUM((E$3&gt;='Gastos com Pessoal'!$E$7:$E$506)*(E$3&lt;='Gastos com Pessoal'!$F$7:$F$506)*(IF('Gastos com Pessoal'!$AE$7:$AE$506&lt;=E$3,1,0))*OFFSET('Gastos com Pessoal'!$H$6,1,MATCH(5&amp;$B31,'Gastos com Pessoal'!$I$532:$AJ$532&amp;'Gastos com Pessoal'!$I$6:$AJ$6,0),500,1)),0)
+_xlfn.IFNA(SUM((E$3&gt;='Gastos com Pessoal'!$E$513:$E$522)*(E$3&lt;='Gastos com Pessoal'!$F$513:$F$522)*(IF('Gastos com Pessoal'!$G$513:$G$522&lt;=E$3,1,0))*OFFSET('Gastos com Pessoal'!$H$512,1,MATCH(1&amp;$B31,'Gastos com Pessoal'!$I$532:$AJ$532&amp;'Gastos com Pessoal'!$I$512:$AJ$512,0),10,1)),0)
+_xlfn.IFNA(SUM((E$3&gt;='Gastos com Pessoal'!$E$513:$E$522)*(E$3&lt;='Gastos com Pessoal'!$F$513:$F$522)*(IF('Gastos com Pessoal'!$M$513:$M$522&lt;=E$3,1,0))*OFFSET('Gastos com Pessoal'!$H$512,1,MATCH(2&amp;$B31,'Gastos com Pessoal'!$I$532:$AJ$532&amp;'Gastos com Pessoal'!$I$512:$AJ$512,0),10,1)),0)
+_xlfn.IFNA(SUM((E$3&gt;='Gastos com Pessoal'!$E$513:$E$522)*(E$3&lt;='Gastos com Pessoal'!$F$513:$F$522)*(IF('Gastos com Pessoal'!$S$513:$S$522&lt;=E$3,1,0))*OFFSET('Gastos com Pessoal'!$H$512,1,MATCH(3&amp;$B31,'Gastos com Pessoal'!$I$532:$AJ$532&amp;'Gastos com Pessoal'!$I$512:$AJ$512,0),10,1)),0)
+_xlfn.IFNA(SUM((E$3&gt;='Gastos com Pessoal'!$E$513:$E$522)*(E$3&lt;='Gastos com Pessoal'!$F$513:$F$522)*(IF('Gastos com Pessoal'!$Y$513:$Y$522&lt;=E$3,1,0))*OFFSET('Gastos com Pessoal'!$H$512,1,MATCH(4&amp;$B31,'Gastos com Pessoal'!$I$532:$AJ$532&amp;'Gastos com Pessoal'!$I$512:$AJ$512,0),10,1)),0)
+_xlfn.IFNA(SUM((E$3&gt;='Gastos com Pessoal'!$E$513:$E$522)*(E$3&lt;='Gastos com Pessoal'!$F$513:$F$522)*(IF('Gastos com Pessoal'!$AE$513:$AE$522&lt;=E$3,1,0))*OFFSET('Gastos com Pessoal'!$H$512,1,MATCH(5&amp;$B31,'Gastos com Pessoal'!$I$532:$AJ$532&amp;'Gastos com Pessoal'!$I$512:$AJ$512,0),10,1)),0)</f>
        <v>0</v>
      </c>
      <c r="F31" s="32">
        <f t="array" aca="1" ref="F31" ca="1">_xlfn.IFNA(SUM((F$3&gt;='Gastos com Pessoal'!$E$7:$E$506)*(F$3&lt;='Gastos com Pessoal'!$F$7:$F$506)*OFFSET('Encargos e Benefícios'!$D$5,1,MATCH($B31,'Encargos e Benefícios'!$E$5:$AB$5,0),500,1)),0)
+_xlfn.IFNA(SUM((F$3&gt;='Gastos com Pessoal'!$E$513:$E$522)*(F$3&lt;='Gastos com Pessoal'!$F$513:$F$522)*OFFSET('Encargos e Benefícios'!$D$511,1,MATCH($B31,'Encargos e Benefícios'!$E$511:$AB$511,0),10,1)),0)
+_xlfn.IFNA(SUM((F$3&gt;='Gastos com Pessoal'!$E$7:$E$506)*(F$3&lt;='Gastos com Pessoal'!$F$7:$F$506)*(IF('Gastos com Pessoal'!$G$7:$G$506&lt;=F$3,1,0))*OFFSET('Gastos com Pessoal'!$H$6,1,MATCH(1&amp;$B31,'Gastos com Pessoal'!$I$532:$AJ$532&amp;'Gastos com Pessoal'!$I$6:$AJ$6,0),500,1)),0)
+_xlfn.IFNA(SUM((F$3&gt;='Gastos com Pessoal'!$E$7:$E$506)*(F$3&lt;='Gastos com Pessoal'!$F$7:$F$506)*(IF('Gastos com Pessoal'!$M$7:$M$506&lt;=F$3,1,0))*OFFSET('Gastos com Pessoal'!$H$6,1,MATCH(2&amp;$B31,'Gastos com Pessoal'!$I$532:$AJ$532&amp;'Gastos com Pessoal'!$I$6:$AJ$6,0),500,1)),0)
+_xlfn.IFNA(SUM((F$3&gt;='Gastos com Pessoal'!$E$7:$E$506)*(F$3&lt;='Gastos com Pessoal'!$F$7:$F$506)*(IF('Gastos com Pessoal'!$S$7:$S$506&lt;=F$3,1,0))*OFFSET('Gastos com Pessoal'!$H$6,1,MATCH(3&amp;$B31,'Gastos com Pessoal'!$I$532:$AJ$532&amp;'Gastos com Pessoal'!$I$6:$AJ$6,0),500,1)),0)
+_xlfn.IFNA(SUM((F$3&gt;='Gastos com Pessoal'!$E$7:$E$506)*(F$3&lt;='Gastos com Pessoal'!$F$7:$F$506)*(IF('Gastos com Pessoal'!$Y$7:$Y$506&lt;=F$3,1,0))*OFFSET('Gastos com Pessoal'!$H$6,1,MATCH(4&amp;$B31,'Gastos com Pessoal'!$I$532:$AJ$532&amp;'Gastos com Pessoal'!$I$6:$AJ$6,0),500,1)),0)
+_xlfn.IFNA(SUM((F$3&gt;='Gastos com Pessoal'!$E$7:$E$506)*(F$3&lt;='Gastos com Pessoal'!$F$7:$F$506)*(IF('Gastos com Pessoal'!$AE$7:$AE$506&lt;=F$3,1,0))*OFFSET('Gastos com Pessoal'!$H$6,1,MATCH(5&amp;$B31,'Gastos com Pessoal'!$I$532:$AJ$532&amp;'Gastos com Pessoal'!$I$6:$AJ$6,0),500,1)),0)
+_xlfn.IFNA(SUM((F$3&gt;='Gastos com Pessoal'!$E$513:$E$522)*(F$3&lt;='Gastos com Pessoal'!$F$513:$F$522)*(IF('Gastos com Pessoal'!$G$513:$G$522&lt;=F$3,1,0))*OFFSET('Gastos com Pessoal'!$H$512,1,MATCH(1&amp;$B31,'Gastos com Pessoal'!$I$532:$AJ$532&amp;'Gastos com Pessoal'!$I$512:$AJ$512,0),10,1)),0)
+_xlfn.IFNA(SUM((F$3&gt;='Gastos com Pessoal'!$E$513:$E$522)*(F$3&lt;='Gastos com Pessoal'!$F$513:$F$522)*(IF('Gastos com Pessoal'!$M$513:$M$522&lt;=F$3,1,0))*OFFSET('Gastos com Pessoal'!$H$512,1,MATCH(2&amp;$B31,'Gastos com Pessoal'!$I$532:$AJ$532&amp;'Gastos com Pessoal'!$I$512:$AJ$512,0),10,1)),0)
+_xlfn.IFNA(SUM((F$3&gt;='Gastos com Pessoal'!$E$513:$E$522)*(F$3&lt;='Gastos com Pessoal'!$F$513:$F$522)*(IF('Gastos com Pessoal'!$S$513:$S$522&lt;=F$3,1,0))*OFFSET('Gastos com Pessoal'!$H$512,1,MATCH(3&amp;$B31,'Gastos com Pessoal'!$I$532:$AJ$532&amp;'Gastos com Pessoal'!$I$512:$AJ$512,0),10,1)),0)
+_xlfn.IFNA(SUM((F$3&gt;='Gastos com Pessoal'!$E$513:$E$522)*(F$3&lt;='Gastos com Pessoal'!$F$513:$F$522)*(IF('Gastos com Pessoal'!$Y$513:$Y$522&lt;=F$3,1,0))*OFFSET('Gastos com Pessoal'!$H$512,1,MATCH(4&amp;$B31,'Gastos com Pessoal'!$I$532:$AJ$532&amp;'Gastos com Pessoal'!$I$512:$AJ$512,0),10,1)),0)
+_xlfn.IFNA(SUM((F$3&gt;='Gastos com Pessoal'!$E$513:$E$522)*(F$3&lt;='Gastos com Pessoal'!$F$513:$F$522)*(IF('Gastos com Pessoal'!$AE$513:$AE$522&lt;=F$3,1,0))*OFFSET('Gastos com Pessoal'!$H$512,1,MATCH(5&amp;$B31,'Gastos com Pessoal'!$I$532:$AJ$532&amp;'Gastos com Pessoal'!$I$512:$AJ$512,0),10,1)),0)</f>
        <v>0</v>
      </c>
      <c r="G31" s="32">
        <f t="array" aca="1" ref="G31" ca="1">_xlfn.IFNA(SUM((G$3&gt;='Gastos com Pessoal'!$E$7:$E$506)*(G$3&lt;='Gastos com Pessoal'!$F$7:$F$506)*OFFSET('Encargos e Benefícios'!$D$5,1,MATCH($B31,'Encargos e Benefícios'!$E$5:$AB$5,0),500,1)),0)
+_xlfn.IFNA(SUM((G$3&gt;='Gastos com Pessoal'!$E$513:$E$522)*(G$3&lt;='Gastos com Pessoal'!$F$513:$F$522)*OFFSET('Encargos e Benefícios'!$D$511,1,MATCH($B31,'Encargos e Benefícios'!$E$511:$AB$511,0),10,1)),0)
+_xlfn.IFNA(SUM((G$3&gt;='Gastos com Pessoal'!$E$7:$E$506)*(G$3&lt;='Gastos com Pessoal'!$F$7:$F$506)*(IF('Gastos com Pessoal'!$G$7:$G$506&lt;=G$3,1,0))*OFFSET('Gastos com Pessoal'!$H$6,1,MATCH(1&amp;$B31,'Gastos com Pessoal'!$I$532:$AJ$532&amp;'Gastos com Pessoal'!$I$6:$AJ$6,0),500,1)),0)
+_xlfn.IFNA(SUM((G$3&gt;='Gastos com Pessoal'!$E$7:$E$506)*(G$3&lt;='Gastos com Pessoal'!$F$7:$F$506)*(IF('Gastos com Pessoal'!$M$7:$M$506&lt;=G$3,1,0))*OFFSET('Gastos com Pessoal'!$H$6,1,MATCH(2&amp;$B31,'Gastos com Pessoal'!$I$532:$AJ$532&amp;'Gastos com Pessoal'!$I$6:$AJ$6,0),500,1)),0)
+_xlfn.IFNA(SUM((G$3&gt;='Gastos com Pessoal'!$E$7:$E$506)*(G$3&lt;='Gastos com Pessoal'!$F$7:$F$506)*(IF('Gastos com Pessoal'!$S$7:$S$506&lt;=G$3,1,0))*OFFSET('Gastos com Pessoal'!$H$6,1,MATCH(3&amp;$B31,'Gastos com Pessoal'!$I$532:$AJ$532&amp;'Gastos com Pessoal'!$I$6:$AJ$6,0),500,1)),0)
+_xlfn.IFNA(SUM((G$3&gt;='Gastos com Pessoal'!$E$7:$E$506)*(G$3&lt;='Gastos com Pessoal'!$F$7:$F$506)*(IF('Gastos com Pessoal'!$Y$7:$Y$506&lt;=G$3,1,0))*OFFSET('Gastos com Pessoal'!$H$6,1,MATCH(4&amp;$B31,'Gastos com Pessoal'!$I$532:$AJ$532&amp;'Gastos com Pessoal'!$I$6:$AJ$6,0),500,1)),0)
+_xlfn.IFNA(SUM((G$3&gt;='Gastos com Pessoal'!$E$7:$E$506)*(G$3&lt;='Gastos com Pessoal'!$F$7:$F$506)*(IF('Gastos com Pessoal'!$AE$7:$AE$506&lt;=G$3,1,0))*OFFSET('Gastos com Pessoal'!$H$6,1,MATCH(5&amp;$B31,'Gastos com Pessoal'!$I$532:$AJ$532&amp;'Gastos com Pessoal'!$I$6:$AJ$6,0),500,1)),0)
+_xlfn.IFNA(SUM((G$3&gt;='Gastos com Pessoal'!$E$513:$E$522)*(G$3&lt;='Gastos com Pessoal'!$F$513:$F$522)*(IF('Gastos com Pessoal'!$G$513:$G$522&lt;=G$3,1,0))*OFFSET('Gastos com Pessoal'!$H$512,1,MATCH(1&amp;$B31,'Gastos com Pessoal'!$I$532:$AJ$532&amp;'Gastos com Pessoal'!$I$512:$AJ$512,0),10,1)),0)
+_xlfn.IFNA(SUM((G$3&gt;='Gastos com Pessoal'!$E$513:$E$522)*(G$3&lt;='Gastos com Pessoal'!$F$513:$F$522)*(IF('Gastos com Pessoal'!$M$513:$M$522&lt;=G$3,1,0))*OFFSET('Gastos com Pessoal'!$H$512,1,MATCH(2&amp;$B31,'Gastos com Pessoal'!$I$532:$AJ$532&amp;'Gastos com Pessoal'!$I$512:$AJ$512,0),10,1)),0)
+_xlfn.IFNA(SUM((G$3&gt;='Gastos com Pessoal'!$E$513:$E$522)*(G$3&lt;='Gastos com Pessoal'!$F$513:$F$522)*(IF('Gastos com Pessoal'!$S$513:$S$522&lt;=G$3,1,0))*OFFSET('Gastos com Pessoal'!$H$512,1,MATCH(3&amp;$B31,'Gastos com Pessoal'!$I$532:$AJ$532&amp;'Gastos com Pessoal'!$I$512:$AJ$512,0),10,1)),0)
+_xlfn.IFNA(SUM((G$3&gt;='Gastos com Pessoal'!$E$513:$E$522)*(G$3&lt;='Gastos com Pessoal'!$F$513:$F$522)*(IF('Gastos com Pessoal'!$Y$513:$Y$522&lt;=G$3,1,0))*OFFSET('Gastos com Pessoal'!$H$512,1,MATCH(4&amp;$B31,'Gastos com Pessoal'!$I$532:$AJ$532&amp;'Gastos com Pessoal'!$I$512:$AJ$512,0),10,1)),0)
+_xlfn.IFNA(SUM((G$3&gt;='Gastos com Pessoal'!$E$513:$E$522)*(G$3&lt;='Gastos com Pessoal'!$F$513:$F$522)*(IF('Gastos com Pessoal'!$AE$513:$AE$522&lt;=G$3,1,0))*OFFSET('Gastos com Pessoal'!$H$512,1,MATCH(5&amp;$B31,'Gastos com Pessoal'!$I$532:$AJ$532&amp;'Gastos com Pessoal'!$I$512:$AJ$512,0),10,1)),0)</f>
        <v>0</v>
      </c>
      <c r="H31" s="32">
        <f t="array" aca="1" ref="H31" ca="1">_xlfn.IFNA(SUM((H$3&gt;='Gastos com Pessoal'!$E$7:$E$506)*(H$3&lt;='Gastos com Pessoal'!$F$7:$F$506)*OFFSET('Encargos e Benefícios'!$D$5,1,MATCH($B31,'Encargos e Benefícios'!$E$5:$AB$5,0),500,1)),0)
+_xlfn.IFNA(SUM((H$3&gt;='Gastos com Pessoal'!$E$513:$E$522)*(H$3&lt;='Gastos com Pessoal'!$F$513:$F$522)*OFFSET('Encargos e Benefícios'!$D$511,1,MATCH($B31,'Encargos e Benefícios'!$E$511:$AB$511,0),10,1)),0)
+_xlfn.IFNA(SUM((H$3&gt;='Gastos com Pessoal'!$E$7:$E$506)*(H$3&lt;='Gastos com Pessoal'!$F$7:$F$506)*(IF('Gastos com Pessoal'!$G$7:$G$506&lt;=H$3,1,0))*OFFSET('Gastos com Pessoal'!$H$6,1,MATCH(1&amp;$B31,'Gastos com Pessoal'!$I$532:$AJ$532&amp;'Gastos com Pessoal'!$I$6:$AJ$6,0),500,1)),0)
+_xlfn.IFNA(SUM((H$3&gt;='Gastos com Pessoal'!$E$7:$E$506)*(H$3&lt;='Gastos com Pessoal'!$F$7:$F$506)*(IF('Gastos com Pessoal'!$M$7:$M$506&lt;=H$3,1,0))*OFFSET('Gastos com Pessoal'!$H$6,1,MATCH(2&amp;$B31,'Gastos com Pessoal'!$I$532:$AJ$532&amp;'Gastos com Pessoal'!$I$6:$AJ$6,0),500,1)),0)
+_xlfn.IFNA(SUM((H$3&gt;='Gastos com Pessoal'!$E$7:$E$506)*(H$3&lt;='Gastos com Pessoal'!$F$7:$F$506)*(IF('Gastos com Pessoal'!$S$7:$S$506&lt;=H$3,1,0))*OFFSET('Gastos com Pessoal'!$H$6,1,MATCH(3&amp;$B31,'Gastos com Pessoal'!$I$532:$AJ$532&amp;'Gastos com Pessoal'!$I$6:$AJ$6,0),500,1)),0)
+_xlfn.IFNA(SUM((H$3&gt;='Gastos com Pessoal'!$E$7:$E$506)*(H$3&lt;='Gastos com Pessoal'!$F$7:$F$506)*(IF('Gastos com Pessoal'!$Y$7:$Y$506&lt;=H$3,1,0))*OFFSET('Gastos com Pessoal'!$H$6,1,MATCH(4&amp;$B31,'Gastos com Pessoal'!$I$532:$AJ$532&amp;'Gastos com Pessoal'!$I$6:$AJ$6,0),500,1)),0)
+_xlfn.IFNA(SUM((H$3&gt;='Gastos com Pessoal'!$E$7:$E$506)*(H$3&lt;='Gastos com Pessoal'!$F$7:$F$506)*(IF('Gastos com Pessoal'!$AE$7:$AE$506&lt;=H$3,1,0))*OFFSET('Gastos com Pessoal'!$H$6,1,MATCH(5&amp;$B31,'Gastos com Pessoal'!$I$532:$AJ$532&amp;'Gastos com Pessoal'!$I$6:$AJ$6,0),500,1)),0)
+_xlfn.IFNA(SUM((H$3&gt;='Gastos com Pessoal'!$E$513:$E$522)*(H$3&lt;='Gastos com Pessoal'!$F$513:$F$522)*(IF('Gastos com Pessoal'!$G$513:$G$522&lt;=H$3,1,0))*OFFSET('Gastos com Pessoal'!$H$512,1,MATCH(1&amp;$B31,'Gastos com Pessoal'!$I$532:$AJ$532&amp;'Gastos com Pessoal'!$I$512:$AJ$512,0),10,1)),0)
+_xlfn.IFNA(SUM((H$3&gt;='Gastos com Pessoal'!$E$513:$E$522)*(H$3&lt;='Gastos com Pessoal'!$F$513:$F$522)*(IF('Gastos com Pessoal'!$M$513:$M$522&lt;=H$3,1,0))*OFFSET('Gastos com Pessoal'!$H$512,1,MATCH(2&amp;$B31,'Gastos com Pessoal'!$I$532:$AJ$532&amp;'Gastos com Pessoal'!$I$512:$AJ$512,0),10,1)),0)
+_xlfn.IFNA(SUM((H$3&gt;='Gastos com Pessoal'!$E$513:$E$522)*(H$3&lt;='Gastos com Pessoal'!$F$513:$F$522)*(IF('Gastos com Pessoal'!$S$513:$S$522&lt;=H$3,1,0))*OFFSET('Gastos com Pessoal'!$H$512,1,MATCH(3&amp;$B31,'Gastos com Pessoal'!$I$532:$AJ$532&amp;'Gastos com Pessoal'!$I$512:$AJ$512,0),10,1)),0)
+_xlfn.IFNA(SUM((H$3&gt;='Gastos com Pessoal'!$E$513:$E$522)*(H$3&lt;='Gastos com Pessoal'!$F$513:$F$522)*(IF('Gastos com Pessoal'!$Y$513:$Y$522&lt;=H$3,1,0))*OFFSET('Gastos com Pessoal'!$H$512,1,MATCH(4&amp;$B31,'Gastos com Pessoal'!$I$532:$AJ$532&amp;'Gastos com Pessoal'!$I$512:$AJ$512,0),10,1)),0)
+_xlfn.IFNA(SUM((H$3&gt;='Gastos com Pessoal'!$E$513:$E$522)*(H$3&lt;='Gastos com Pessoal'!$F$513:$F$522)*(IF('Gastos com Pessoal'!$AE$513:$AE$522&lt;=H$3,1,0))*OFFSET('Gastos com Pessoal'!$H$512,1,MATCH(5&amp;$B31,'Gastos com Pessoal'!$I$532:$AJ$532&amp;'Gastos com Pessoal'!$I$512:$AJ$512,0),10,1)),0)</f>
        <v>0</v>
      </c>
      <c r="I31" s="32">
        <f t="array" aca="1" ref="I31" ca="1">_xlfn.IFNA(SUM((I$3&gt;='Gastos com Pessoal'!$E$7:$E$506)*(I$3&lt;='Gastos com Pessoal'!$F$7:$F$506)*OFFSET('Encargos e Benefícios'!$D$5,1,MATCH($B31,'Encargos e Benefícios'!$E$5:$AB$5,0),500,1)),0)
+_xlfn.IFNA(SUM((I$3&gt;='Gastos com Pessoal'!$E$513:$E$522)*(I$3&lt;='Gastos com Pessoal'!$F$513:$F$522)*OFFSET('Encargos e Benefícios'!$D$511,1,MATCH($B31,'Encargos e Benefícios'!$E$511:$AB$511,0),10,1)),0)
+_xlfn.IFNA(SUM((I$3&gt;='Gastos com Pessoal'!$E$7:$E$506)*(I$3&lt;='Gastos com Pessoal'!$F$7:$F$506)*(IF('Gastos com Pessoal'!$G$7:$G$506&lt;=I$3,1,0))*OFFSET('Gastos com Pessoal'!$H$6,1,MATCH(1&amp;$B31,'Gastos com Pessoal'!$I$532:$AJ$532&amp;'Gastos com Pessoal'!$I$6:$AJ$6,0),500,1)),0)
+_xlfn.IFNA(SUM((I$3&gt;='Gastos com Pessoal'!$E$7:$E$506)*(I$3&lt;='Gastos com Pessoal'!$F$7:$F$506)*(IF('Gastos com Pessoal'!$M$7:$M$506&lt;=I$3,1,0))*OFFSET('Gastos com Pessoal'!$H$6,1,MATCH(2&amp;$B31,'Gastos com Pessoal'!$I$532:$AJ$532&amp;'Gastos com Pessoal'!$I$6:$AJ$6,0),500,1)),0)
+_xlfn.IFNA(SUM((I$3&gt;='Gastos com Pessoal'!$E$7:$E$506)*(I$3&lt;='Gastos com Pessoal'!$F$7:$F$506)*(IF('Gastos com Pessoal'!$S$7:$S$506&lt;=I$3,1,0))*OFFSET('Gastos com Pessoal'!$H$6,1,MATCH(3&amp;$B31,'Gastos com Pessoal'!$I$532:$AJ$532&amp;'Gastos com Pessoal'!$I$6:$AJ$6,0),500,1)),0)
+_xlfn.IFNA(SUM((I$3&gt;='Gastos com Pessoal'!$E$7:$E$506)*(I$3&lt;='Gastos com Pessoal'!$F$7:$F$506)*(IF('Gastos com Pessoal'!$Y$7:$Y$506&lt;=I$3,1,0))*OFFSET('Gastos com Pessoal'!$H$6,1,MATCH(4&amp;$B31,'Gastos com Pessoal'!$I$532:$AJ$532&amp;'Gastos com Pessoal'!$I$6:$AJ$6,0),500,1)),0)
+_xlfn.IFNA(SUM((I$3&gt;='Gastos com Pessoal'!$E$7:$E$506)*(I$3&lt;='Gastos com Pessoal'!$F$7:$F$506)*(IF('Gastos com Pessoal'!$AE$7:$AE$506&lt;=I$3,1,0))*OFFSET('Gastos com Pessoal'!$H$6,1,MATCH(5&amp;$B31,'Gastos com Pessoal'!$I$532:$AJ$532&amp;'Gastos com Pessoal'!$I$6:$AJ$6,0),500,1)),0)
+_xlfn.IFNA(SUM((I$3&gt;='Gastos com Pessoal'!$E$513:$E$522)*(I$3&lt;='Gastos com Pessoal'!$F$513:$F$522)*(IF('Gastos com Pessoal'!$G$513:$G$522&lt;=I$3,1,0))*OFFSET('Gastos com Pessoal'!$H$512,1,MATCH(1&amp;$B31,'Gastos com Pessoal'!$I$532:$AJ$532&amp;'Gastos com Pessoal'!$I$512:$AJ$512,0),10,1)),0)
+_xlfn.IFNA(SUM((I$3&gt;='Gastos com Pessoal'!$E$513:$E$522)*(I$3&lt;='Gastos com Pessoal'!$F$513:$F$522)*(IF('Gastos com Pessoal'!$M$513:$M$522&lt;=I$3,1,0))*OFFSET('Gastos com Pessoal'!$H$512,1,MATCH(2&amp;$B31,'Gastos com Pessoal'!$I$532:$AJ$532&amp;'Gastos com Pessoal'!$I$512:$AJ$512,0),10,1)),0)
+_xlfn.IFNA(SUM((I$3&gt;='Gastos com Pessoal'!$E$513:$E$522)*(I$3&lt;='Gastos com Pessoal'!$F$513:$F$522)*(IF('Gastos com Pessoal'!$S$513:$S$522&lt;=I$3,1,0))*OFFSET('Gastos com Pessoal'!$H$512,1,MATCH(3&amp;$B31,'Gastos com Pessoal'!$I$532:$AJ$532&amp;'Gastos com Pessoal'!$I$512:$AJ$512,0),10,1)),0)
+_xlfn.IFNA(SUM((I$3&gt;='Gastos com Pessoal'!$E$513:$E$522)*(I$3&lt;='Gastos com Pessoal'!$F$513:$F$522)*(IF('Gastos com Pessoal'!$Y$513:$Y$522&lt;=I$3,1,0))*OFFSET('Gastos com Pessoal'!$H$512,1,MATCH(4&amp;$B31,'Gastos com Pessoal'!$I$532:$AJ$532&amp;'Gastos com Pessoal'!$I$512:$AJ$512,0),10,1)),0)
+_xlfn.IFNA(SUM((I$3&gt;='Gastos com Pessoal'!$E$513:$E$522)*(I$3&lt;='Gastos com Pessoal'!$F$513:$F$522)*(IF('Gastos com Pessoal'!$AE$513:$AE$522&lt;=I$3,1,0))*OFFSET('Gastos com Pessoal'!$H$512,1,MATCH(5&amp;$B31,'Gastos com Pessoal'!$I$532:$AJ$532&amp;'Gastos com Pessoal'!$I$512:$AJ$512,0),10,1)),0)</f>
        <v>0</v>
      </c>
      <c r="J31" s="32">
        <f t="array" aca="1" ref="J31" ca="1">_xlfn.IFNA(SUM((J$3&gt;='Gastos com Pessoal'!$E$7:$E$506)*(J$3&lt;='Gastos com Pessoal'!$F$7:$F$506)*OFFSET('Encargos e Benefícios'!$D$5,1,MATCH($B31,'Encargos e Benefícios'!$E$5:$AB$5,0),500,1)),0)
+_xlfn.IFNA(SUM((J$3&gt;='Gastos com Pessoal'!$E$513:$E$522)*(J$3&lt;='Gastos com Pessoal'!$F$513:$F$522)*OFFSET('Encargos e Benefícios'!$D$511,1,MATCH($B31,'Encargos e Benefícios'!$E$511:$AB$511,0),10,1)),0)
+_xlfn.IFNA(SUM((J$3&gt;='Gastos com Pessoal'!$E$7:$E$506)*(J$3&lt;='Gastos com Pessoal'!$F$7:$F$506)*(IF('Gastos com Pessoal'!$G$7:$G$506&lt;=J$3,1,0))*OFFSET('Gastos com Pessoal'!$H$6,1,MATCH(1&amp;$B31,'Gastos com Pessoal'!$I$532:$AJ$532&amp;'Gastos com Pessoal'!$I$6:$AJ$6,0),500,1)),0)
+_xlfn.IFNA(SUM((J$3&gt;='Gastos com Pessoal'!$E$7:$E$506)*(J$3&lt;='Gastos com Pessoal'!$F$7:$F$506)*(IF('Gastos com Pessoal'!$M$7:$M$506&lt;=J$3,1,0))*OFFSET('Gastos com Pessoal'!$H$6,1,MATCH(2&amp;$B31,'Gastos com Pessoal'!$I$532:$AJ$532&amp;'Gastos com Pessoal'!$I$6:$AJ$6,0),500,1)),0)
+_xlfn.IFNA(SUM((J$3&gt;='Gastos com Pessoal'!$E$7:$E$506)*(J$3&lt;='Gastos com Pessoal'!$F$7:$F$506)*(IF('Gastos com Pessoal'!$S$7:$S$506&lt;=J$3,1,0))*OFFSET('Gastos com Pessoal'!$H$6,1,MATCH(3&amp;$B31,'Gastos com Pessoal'!$I$532:$AJ$532&amp;'Gastos com Pessoal'!$I$6:$AJ$6,0),500,1)),0)
+_xlfn.IFNA(SUM((J$3&gt;='Gastos com Pessoal'!$E$7:$E$506)*(J$3&lt;='Gastos com Pessoal'!$F$7:$F$506)*(IF('Gastos com Pessoal'!$Y$7:$Y$506&lt;=J$3,1,0))*OFFSET('Gastos com Pessoal'!$H$6,1,MATCH(4&amp;$B31,'Gastos com Pessoal'!$I$532:$AJ$532&amp;'Gastos com Pessoal'!$I$6:$AJ$6,0),500,1)),0)
+_xlfn.IFNA(SUM((J$3&gt;='Gastos com Pessoal'!$E$7:$E$506)*(J$3&lt;='Gastos com Pessoal'!$F$7:$F$506)*(IF('Gastos com Pessoal'!$AE$7:$AE$506&lt;=J$3,1,0))*OFFSET('Gastos com Pessoal'!$H$6,1,MATCH(5&amp;$B31,'Gastos com Pessoal'!$I$532:$AJ$532&amp;'Gastos com Pessoal'!$I$6:$AJ$6,0),500,1)),0)
+_xlfn.IFNA(SUM((J$3&gt;='Gastos com Pessoal'!$E$513:$E$522)*(J$3&lt;='Gastos com Pessoal'!$F$513:$F$522)*(IF('Gastos com Pessoal'!$G$513:$G$522&lt;=J$3,1,0))*OFFSET('Gastos com Pessoal'!$H$512,1,MATCH(1&amp;$B31,'Gastos com Pessoal'!$I$532:$AJ$532&amp;'Gastos com Pessoal'!$I$512:$AJ$512,0),10,1)),0)
+_xlfn.IFNA(SUM((J$3&gt;='Gastos com Pessoal'!$E$513:$E$522)*(J$3&lt;='Gastos com Pessoal'!$F$513:$F$522)*(IF('Gastos com Pessoal'!$M$513:$M$522&lt;=J$3,1,0))*OFFSET('Gastos com Pessoal'!$H$512,1,MATCH(2&amp;$B31,'Gastos com Pessoal'!$I$532:$AJ$532&amp;'Gastos com Pessoal'!$I$512:$AJ$512,0),10,1)),0)
+_xlfn.IFNA(SUM((J$3&gt;='Gastos com Pessoal'!$E$513:$E$522)*(J$3&lt;='Gastos com Pessoal'!$F$513:$F$522)*(IF('Gastos com Pessoal'!$S$513:$S$522&lt;=J$3,1,0))*OFFSET('Gastos com Pessoal'!$H$512,1,MATCH(3&amp;$B31,'Gastos com Pessoal'!$I$532:$AJ$532&amp;'Gastos com Pessoal'!$I$512:$AJ$512,0),10,1)),0)
+_xlfn.IFNA(SUM((J$3&gt;='Gastos com Pessoal'!$E$513:$E$522)*(J$3&lt;='Gastos com Pessoal'!$F$513:$F$522)*(IF('Gastos com Pessoal'!$Y$513:$Y$522&lt;=J$3,1,0))*OFFSET('Gastos com Pessoal'!$H$512,1,MATCH(4&amp;$B31,'Gastos com Pessoal'!$I$532:$AJ$532&amp;'Gastos com Pessoal'!$I$512:$AJ$512,0),10,1)),0)
+_xlfn.IFNA(SUM((J$3&gt;='Gastos com Pessoal'!$E$513:$E$522)*(J$3&lt;='Gastos com Pessoal'!$F$513:$F$522)*(IF('Gastos com Pessoal'!$AE$513:$AE$522&lt;=J$3,1,0))*OFFSET('Gastos com Pessoal'!$H$512,1,MATCH(5&amp;$B31,'Gastos com Pessoal'!$I$532:$AJ$532&amp;'Gastos com Pessoal'!$I$512:$AJ$512,0),10,1)),0)</f>
        <v>0</v>
      </c>
      <c r="K31" s="32">
        <f t="array" aca="1" ref="K31" ca="1">_xlfn.IFNA(SUM((K$3&gt;='Gastos com Pessoal'!$E$7:$E$506)*(K$3&lt;='Gastos com Pessoal'!$F$7:$F$506)*OFFSET('Encargos e Benefícios'!$D$5,1,MATCH($B31,'Encargos e Benefícios'!$E$5:$AB$5,0),500,1)),0)
+_xlfn.IFNA(SUM((K$3&gt;='Gastos com Pessoal'!$E$513:$E$522)*(K$3&lt;='Gastos com Pessoal'!$F$513:$F$522)*OFFSET('Encargos e Benefícios'!$D$511,1,MATCH($B31,'Encargos e Benefícios'!$E$511:$AB$511,0),10,1)),0)
+_xlfn.IFNA(SUM((K$3&gt;='Gastos com Pessoal'!$E$7:$E$506)*(K$3&lt;='Gastos com Pessoal'!$F$7:$F$506)*(IF('Gastos com Pessoal'!$G$7:$G$506&lt;=K$3,1,0))*OFFSET('Gastos com Pessoal'!$H$6,1,MATCH(1&amp;$B31,'Gastos com Pessoal'!$I$532:$AJ$532&amp;'Gastos com Pessoal'!$I$6:$AJ$6,0),500,1)),0)
+_xlfn.IFNA(SUM((K$3&gt;='Gastos com Pessoal'!$E$7:$E$506)*(K$3&lt;='Gastos com Pessoal'!$F$7:$F$506)*(IF('Gastos com Pessoal'!$M$7:$M$506&lt;=K$3,1,0))*OFFSET('Gastos com Pessoal'!$H$6,1,MATCH(2&amp;$B31,'Gastos com Pessoal'!$I$532:$AJ$532&amp;'Gastos com Pessoal'!$I$6:$AJ$6,0),500,1)),0)
+_xlfn.IFNA(SUM((K$3&gt;='Gastos com Pessoal'!$E$7:$E$506)*(K$3&lt;='Gastos com Pessoal'!$F$7:$F$506)*(IF('Gastos com Pessoal'!$S$7:$S$506&lt;=K$3,1,0))*OFFSET('Gastos com Pessoal'!$H$6,1,MATCH(3&amp;$B31,'Gastos com Pessoal'!$I$532:$AJ$532&amp;'Gastos com Pessoal'!$I$6:$AJ$6,0),500,1)),0)
+_xlfn.IFNA(SUM((K$3&gt;='Gastos com Pessoal'!$E$7:$E$506)*(K$3&lt;='Gastos com Pessoal'!$F$7:$F$506)*(IF('Gastos com Pessoal'!$Y$7:$Y$506&lt;=K$3,1,0))*OFFSET('Gastos com Pessoal'!$H$6,1,MATCH(4&amp;$B31,'Gastos com Pessoal'!$I$532:$AJ$532&amp;'Gastos com Pessoal'!$I$6:$AJ$6,0),500,1)),0)
+_xlfn.IFNA(SUM((K$3&gt;='Gastos com Pessoal'!$E$7:$E$506)*(K$3&lt;='Gastos com Pessoal'!$F$7:$F$506)*(IF('Gastos com Pessoal'!$AE$7:$AE$506&lt;=K$3,1,0))*OFFSET('Gastos com Pessoal'!$H$6,1,MATCH(5&amp;$B31,'Gastos com Pessoal'!$I$532:$AJ$532&amp;'Gastos com Pessoal'!$I$6:$AJ$6,0),500,1)),0)
+_xlfn.IFNA(SUM((K$3&gt;='Gastos com Pessoal'!$E$513:$E$522)*(K$3&lt;='Gastos com Pessoal'!$F$513:$F$522)*(IF('Gastos com Pessoal'!$G$513:$G$522&lt;=K$3,1,0))*OFFSET('Gastos com Pessoal'!$H$512,1,MATCH(1&amp;$B31,'Gastos com Pessoal'!$I$532:$AJ$532&amp;'Gastos com Pessoal'!$I$512:$AJ$512,0),10,1)),0)
+_xlfn.IFNA(SUM((K$3&gt;='Gastos com Pessoal'!$E$513:$E$522)*(K$3&lt;='Gastos com Pessoal'!$F$513:$F$522)*(IF('Gastos com Pessoal'!$M$513:$M$522&lt;=K$3,1,0))*OFFSET('Gastos com Pessoal'!$H$512,1,MATCH(2&amp;$B31,'Gastos com Pessoal'!$I$532:$AJ$532&amp;'Gastos com Pessoal'!$I$512:$AJ$512,0),10,1)),0)
+_xlfn.IFNA(SUM((K$3&gt;='Gastos com Pessoal'!$E$513:$E$522)*(K$3&lt;='Gastos com Pessoal'!$F$513:$F$522)*(IF('Gastos com Pessoal'!$S$513:$S$522&lt;=K$3,1,0))*OFFSET('Gastos com Pessoal'!$H$512,1,MATCH(3&amp;$B31,'Gastos com Pessoal'!$I$532:$AJ$532&amp;'Gastos com Pessoal'!$I$512:$AJ$512,0),10,1)),0)
+_xlfn.IFNA(SUM((K$3&gt;='Gastos com Pessoal'!$E$513:$E$522)*(K$3&lt;='Gastos com Pessoal'!$F$513:$F$522)*(IF('Gastos com Pessoal'!$Y$513:$Y$522&lt;=K$3,1,0))*OFFSET('Gastos com Pessoal'!$H$512,1,MATCH(4&amp;$B31,'Gastos com Pessoal'!$I$532:$AJ$532&amp;'Gastos com Pessoal'!$I$512:$AJ$512,0),10,1)),0)
+_xlfn.IFNA(SUM((K$3&gt;='Gastos com Pessoal'!$E$513:$E$522)*(K$3&lt;='Gastos com Pessoal'!$F$513:$F$522)*(IF('Gastos com Pessoal'!$AE$513:$AE$522&lt;=K$3,1,0))*OFFSET('Gastos com Pessoal'!$H$512,1,MATCH(5&amp;$B31,'Gastos com Pessoal'!$I$532:$AJ$532&amp;'Gastos com Pessoal'!$I$512:$AJ$512,0),10,1)),0)</f>
        <v>0</v>
      </c>
      <c r="L31" s="32">
        <f t="array" aca="1" ref="L31" ca="1">_xlfn.IFNA(SUM((L$3&gt;='Gastos com Pessoal'!$E$7:$E$506)*(L$3&lt;='Gastos com Pessoal'!$F$7:$F$506)*OFFSET('Encargos e Benefícios'!$D$5,1,MATCH($B31,'Encargos e Benefícios'!$E$5:$AB$5,0),500,1)),0)
+_xlfn.IFNA(SUM((L$3&gt;='Gastos com Pessoal'!$E$513:$E$522)*(L$3&lt;='Gastos com Pessoal'!$F$513:$F$522)*OFFSET('Encargos e Benefícios'!$D$511,1,MATCH($B31,'Encargos e Benefícios'!$E$511:$AB$511,0),10,1)),0)
+_xlfn.IFNA(SUM((L$3&gt;='Gastos com Pessoal'!$E$7:$E$506)*(L$3&lt;='Gastos com Pessoal'!$F$7:$F$506)*(IF('Gastos com Pessoal'!$G$7:$G$506&lt;=L$3,1,0))*OFFSET('Gastos com Pessoal'!$H$6,1,MATCH(1&amp;$B31,'Gastos com Pessoal'!$I$532:$AJ$532&amp;'Gastos com Pessoal'!$I$6:$AJ$6,0),500,1)),0)
+_xlfn.IFNA(SUM((L$3&gt;='Gastos com Pessoal'!$E$7:$E$506)*(L$3&lt;='Gastos com Pessoal'!$F$7:$F$506)*(IF('Gastos com Pessoal'!$M$7:$M$506&lt;=L$3,1,0))*OFFSET('Gastos com Pessoal'!$H$6,1,MATCH(2&amp;$B31,'Gastos com Pessoal'!$I$532:$AJ$532&amp;'Gastos com Pessoal'!$I$6:$AJ$6,0),500,1)),0)
+_xlfn.IFNA(SUM((L$3&gt;='Gastos com Pessoal'!$E$7:$E$506)*(L$3&lt;='Gastos com Pessoal'!$F$7:$F$506)*(IF('Gastos com Pessoal'!$S$7:$S$506&lt;=L$3,1,0))*OFFSET('Gastos com Pessoal'!$H$6,1,MATCH(3&amp;$B31,'Gastos com Pessoal'!$I$532:$AJ$532&amp;'Gastos com Pessoal'!$I$6:$AJ$6,0),500,1)),0)
+_xlfn.IFNA(SUM((L$3&gt;='Gastos com Pessoal'!$E$7:$E$506)*(L$3&lt;='Gastos com Pessoal'!$F$7:$F$506)*(IF('Gastos com Pessoal'!$Y$7:$Y$506&lt;=L$3,1,0))*OFFSET('Gastos com Pessoal'!$H$6,1,MATCH(4&amp;$B31,'Gastos com Pessoal'!$I$532:$AJ$532&amp;'Gastos com Pessoal'!$I$6:$AJ$6,0),500,1)),0)
+_xlfn.IFNA(SUM((L$3&gt;='Gastos com Pessoal'!$E$7:$E$506)*(L$3&lt;='Gastos com Pessoal'!$F$7:$F$506)*(IF('Gastos com Pessoal'!$AE$7:$AE$506&lt;=L$3,1,0))*OFFSET('Gastos com Pessoal'!$H$6,1,MATCH(5&amp;$B31,'Gastos com Pessoal'!$I$532:$AJ$532&amp;'Gastos com Pessoal'!$I$6:$AJ$6,0),500,1)),0)
+_xlfn.IFNA(SUM((L$3&gt;='Gastos com Pessoal'!$E$513:$E$522)*(L$3&lt;='Gastos com Pessoal'!$F$513:$F$522)*(IF('Gastos com Pessoal'!$G$513:$G$522&lt;=L$3,1,0))*OFFSET('Gastos com Pessoal'!$H$512,1,MATCH(1&amp;$B31,'Gastos com Pessoal'!$I$532:$AJ$532&amp;'Gastos com Pessoal'!$I$512:$AJ$512,0),10,1)),0)
+_xlfn.IFNA(SUM((L$3&gt;='Gastos com Pessoal'!$E$513:$E$522)*(L$3&lt;='Gastos com Pessoal'!$F$513:$F$522)*(IF('Gastos com Pessoal'!$M$513:$M$522&lt;=L$3,1,0))*OFFSET('Gastos com Pessoal'!$H$512,1,MATCH(2&amp;$B31,'Gastos com Pessoal'!$I$532:$AJ$532&amp;'Gastos com Pessoal'!$I$512:$AJ$512,0),10,1)),0)
+_xlfn.IFNA(SUM((L$3&gt;='Gastos com Pessoal'!$E$513:$E$522)*(L$3&lt;='Gastos com Pessoal'!$F$513:$F$522)*(IF('Gastos com Pessoal'!$S$513:$S$522&lt;=L$3,1,0))*OFFSET('Gastos com Pessoal'!$H$512,1,MATCH(3&amp;$B31,'Gastos com Pessoal'!$I$532:$AJ$532&amp;'Gastos com Pessoal'!$I$512:$AJ$512,0),10,1)),0)
+_xlfn.IFNA(SUM((L$3&gt;='Gastos com Pessoal'!$E$513:$E$522)*(L$3&lt;='Gastos com Pessoal'!$F$513:$F$522)*(IF('Gastos com Pessoal'!$Y$513:$Y$522&lt;=L$3,1,0))*OFFSET('Gastos com Pessoal'!$H$512,1,MATCH(4&amp;$B31,'Gastos com Pessoal'!$I$532:$AJ$532&amp;'Gastos com Pessoal'!$I$512:$AJ$512,0),10,1)),0)
+_xlfn.IFNA(SUM((L$3&gt;='Gastos com Pessoal'!$E$513:$E$522)*(L$3&lt;='Gastos com Pessoal'!$F$513:$F$522)*(IF('Gastos com Pessoal'!$AE$513:$AE$522&lt;=L$3,1,0))*OFFSET('Gastos com Pessoal'!$H$512,1,MATCH(5&amp;$B31,'Gastos com Pessoal'!$I$532:$AJ$532&amp;'Gastos com Pessoal'!$I$512:$AJ$512,0),10,1)),0)</f>
        <v>0</v>
      </c>
      <c r="M31" s="32">
        <f t="array" aca="1" ref="M31" ca="1">_xlfn.IFNA(SUM((M$3&gt;='Gastos com Pessoal'!$E$7:$E$506)*(M$3&lt;='Gastos com Pessoal'!$F$7:$F$506)*OFFSET('Encargos e Benefícios'!$D$5,1,MATCH($B31,'Encargos e Benefícios'!$E$5:$AB$5,0),500,1)),0)
+_xlfn.IFNA(SUM((M$3&gt;='Gastos com Pessoal'!$E$513:$E$522)*(M$3&lt;='Gastos com Pessoal'!$F$513:$F$522)*OFFSET('Encargos e Benefícios'!$D$511,1,MATCH($B31,'Encargos e Benefícios'!$E$511:$AB$511,0),10,1)),0)
+_xlfn.IFNA(SUM((M$3&gt;='Gastos com Pessoal'!$E$7:$E$506)*(M$3&lt;='Gastos com Pessoal'!$F$7:$F$506)*(IF('Gastos com Pessoal'!$G$7:$G$506&lt;=M$3,1,0))*OFFSET('Gastos com Pessoal'!$H$6,1,MATCH(1&amp;$B31,'Gastos com Pessoal'!$I$532:$AJ$532&amp;'Gastos com Pessoal'!$I$6:$AJ$6,0),500,1)),0)
+_xlfn.IFNA(SUM((M$3&gt;='Gastos com Pessoal'!$E$7:$E$506)*(M$3&lt;='Gastos com Pessoal'!$F$7:$F$506)*(IF('Gastos com Pessoal'!$M$7:$M$506&lt;=M$3,1,0))*OFFSET('Gastos com Pessoal'!$H$6,1,MATCH(2&amp;$B31,'Gastos com Pessoal'!$I$532:$AJ$532&amp;'Gastos com Pessoal'!$I$6:$AJ$6,0),500,1)),0)
+_xlfn.IFNA(SUM((M$3&gt;='Gastos com Pessoal'!$E$7:$E$506)*(M$3&lt;='Gastos com Pessoal'!$F$7:$F$506)*(IF('Gastos com Pessoal'!$S$7:$S$506&lt;=M$3,1,0))*OFFSET('Gastos com Pessoal'!$H$6,1,MATCH(3&amp;$B31,'Gastos com Pessoal'!$I$532:$AJ$532&amp;'Gastos com Pessoal'!$I$6:$AJ$6,0),500,1)),0)
+_xlfn.IFNA(SUM((M$3&gt;='Gastos com Pessoal'!$E$7:$E$506)*(M$3&lt;='Gastos com Pessoal'!$F$7:$F$506)*(IF('Gastos com Pessoal'!$Y$7:$Y$506&lt;=M$3,1,0))*OFFSET('Gastos com Pessoal'!$H$6,1,MATCH(4&amp;$B31,'Gastos com Pessoal'!$I$532:$AJ$532&amp;'Gastos com Pessoal'!$I$6:$AJ$6,0),500,1)),0)
+_xlfn.IFNA(SUM((M$3&gt;='Gastos com Pessoal'!$E$7:$E$506)*(M$3&lt;='Gastos com Pessoal'!$F$7:$F$506)*(IF('Gastos com Pessoal'!$AE$7:$AE$506&lt;=M$3,1,0))*OFFSET('Gastos com Pessoal'!$H$6,1,MATCH(5&amp;$B31,'Gastos com Pessoal'!$I$532:$AJ$532&amp;'Gastos com Pessoal'!$I$6:$AJ$6,0),500,1)),0)
+_xlfn.IFNA(SUM((M$3&gt;='Gastos com Pessoal'!$E$513:$E$522)*(M$3&lt;='Gastos com Pessoal'!$F$513:$F$522)*(IF('Gastos com Pessoal'!$G$513:$G$522&lt;=M$3,1,0))*OFFSET('Gastos com Pessoal'!$H$512,1,MATCH(1&amp;$B31,'Gastos com Pessoal'!$I$532:$AJ$532&amp;'Gastos com Pessoal'!$I$512:$AJ$512,0),10,1)),0)
+_xlfn.IFNA(SUM((M$3&gt;='Gastos com Pessoal'!$E$513:$E$522)*(M$3&lt;='Gastos com Pessoal'!$F$513:$F$522)*(IF('Gastos com Pessoal'!$M$513:$M$522&lt;=M$3,1,0))*OFFSET('Gastos com Pessoal'!$H$512,1,MATCH(2&amp;$B31,'Gastos com Pessoal'!$I$532:$AJ$532&amp;'Gastos com Pessoal'!$I$512:$AJ$512,0),10,1)),0)
+_xlfn.IFNA(SUM((M$3&gt;='Gastos com Pessoal'!$E$513:$E$522)*(M$3&lt;='Gastos com Pessoal'!$F$513:$F$522)*(IF('Gastos com Pessoal'!$S$513:$S$522&lt;=M$3,1,0))*OFFSET('Gastos com Pessoal'!$H$512,1,MATCH(3&amp;$B31,'Gastos com Pessoal'!$I$532:$AJ$532&amp;'Gastos com Pessoal'!$I$512:$AJ$512,0),10,1)),0)
+_xlfn.IFNA(SUM((M$3&gt;='Gastos com Pessoal'!$E$513:$E$522)*(M$3&lt;='Gastos com Pessoal'!$F$513:$F$522)*(IF('Gastos com Pessoal'!$Y$513:$Y$522&lt;=M$3,1,0))*OFFSET('Gastos com Pessoal'!$H$512,1,MATCH(4&amp;$B31,'Gastos com Pessoal'!$I$532:$AJ$532&amp;'Gastos com Pessoal'!$I$512:$AJ$512,0),10,1)),0)
+_xlfn.IFNA(SUM((M$3&gt;='Gastos com Pessoal'!$E$513:$E$522)*(M$3&lt;='Gastos com Pessoal'!$F$513:$F$522)*(IF('Gastos com Pessoal'!$AE$513:$AE$522&lt;=M$3,1,0))*OFFSET('Gastos com Pessoal'!$H$512,1,MATCH(5&amp;$B31,'Gastos com Pessoal'!$I$532:$AJ$532&amp;'Gastos com Pessoal'!$I$512:$AJ$512,0),10,1)),0)</f>
        <v>0</v>
      </c>
      <c r="N31" s="32">
        <f t="array" aca="1" ref="N31" ca="1">_xlfn.IFNA(SUM((N$3&gt;='Gastos com Pessoal'!$E$7:$E$506)*(N$3&lt;='Gastos com Pessoal'!$F$7:$F$506)*OFFSET('Encargos e Benefícios'!$D$5,1,MATCH($B31,'Encargos e Benefícios'!$E$5:$AB$5,0),500,1)),0)
+_xlfn.IFNA(SUM((N$3&gt;='Gastos com Pessoal'!$E$513:$E$522)*(N$3&lt;='Gastos com Pessoal'!$F$513:$F$522)*OFFSET('Encargos e Benefícios'!$D$511,1,MATCH($B31,'Encargos e Benefícios'!$E$511:$AB$511,0),10,1)),0)
+_xlfn.IFNA(SUM((N$3&gt;='Gastos com Pessoal'!$E$7:$E$506)*(N$3&lt;='Gastos com Pessoal'!$F$7:$F$506)*(IF('Gastos com Pessoal'!$G$7:$G$506&lt;=N$3,1,0))*OFFSET('Gastos com Pessoal'!$H$6,1,MATCH(1&amp;$B31,'Gastos com Pessoal'!$I$532:$AJ$532&amp;'Gastos com Pessoal'!$I$6:$AJ$6,0),500,1)),0)
+_xlfn.IFNA(SUM((N$3&gt;='Gastos com Pessoal'!$E$7:$E$506)*(N$3&lt;='Gastos com Pessoal'!$F$7:$F$506)*(IF('Gastos com Pessoal'!$M$7:$M$506&lt;=N$3,1,0))*OFFSET('Gastos com Pessoal'!$H$6,1,MATCH(2&amp;$B31,'Gastos com Pessoal'!$I$532:$AJ$532&amp;'Gastos com Pessoal'!$I$6:$AJ$6,0),500,1)),0)
+_xlfn.IFNA(SUM((N$3&gt;='Gastos com Pessoal'!$E$7:$E$506)*(N$3&lt;='Gastos com Pessoal'!$F$7:$F$506)*(IF('Gastos com Pessoal'!$S$7:$S$506&lt;=N$3,1,0))*OFFSET('Gastos com Pessoal'!$H$6,1,MATCH(3&amp;$B31,'Gastos com Pessoal'!$I$532:$AJ$532&amp;'Gastos com Pessoal'!$I$6:$AJ$6,0),500,1)),0)
+_xlfn.IFNA(SUM((N$3&gt;='Gastos com Pessoal'!$E$7:$E$506)*(N$3&lt;='Gastos com Pessoal'!$F$7:$F$506)*(IF('Gastos com Pessoal'!$Y$7:$Y$506&lt;=N$3,1,0))*OFFSET('Gastos com Pessoal'!$H$6,1,MATCH(4&amp;$B31,'Gastos com Pessoal'!$I$532:$AJ$532&amp;'Gastos com Pessoal'!$I$6:$AJ$6,0),500,1)),0)
+_xlfn.IFNA(SUM((N$3&gt;='Gastos com Pessoal'!$E$7:$E$506)*(N$3&lt;='Gastos com Pessoal'!$F$7:$F$506)*(IF('Gastos com Pessoal'!$AE$7:$AE$506&lt;=N$3,1,0))*OFFSET('Gastos com Pessoal'!$H$6,1,MATCH(5&amp;$B31,'Gastos com Pessoal'!$I$532:$AJ$532&amp;'Gastos com Pessoal'!$I$6:$AJ$6,0),500,1)),0)
+_xlfn.IFNA(SUM((N$3&gt;='Gastos com Pessoal'!$E$513:$E$522)*(N$3&lt;='Gastos com Pessoal'!$F$513:$F$522)*(IF('Gastos com Pessoal'!$G$513:$G$522&lt;=N$3,1,0))*OFFSET('Gastos com Pessoal'!$H$512,1,MATCH(1&amp;$B31,'Gastos com Pessoal'!$I$532:$AJ$532&amp;'Gastos com Pessoal'!$I$512:$AJ$512,0),10,1)),0)
+_xlfn.IFNA(SUM((N$3&gt;='Gastos com Pessoal'!$E$513:$E$522)*(N$3&lt;='Gastos com Pessoal'!$F$513:$F$522)*(IF('Gastos com Pessoal'!$M$513:$M$522&lt;=N$3,1,0))*OFFSET('Gastos com Pessoal'!$H$512,1,MATCH(2&amp;$B31,'Gastos com Pessoal'!$I$532:$AJ$532&amp;'Gastos com Pessoal'!$I$512:$AJ$512,0),10,1)),0)
+_xlfn.IFNA(SUM((N$3&gt;='Gastos com Pessoal'!$E$513:$E$522)*(N$3&lt;='Gastos com Pessoal'!$F$513:$F$522)*(IF('Gastos com Pessoal'!$S$513:$S$522&lt;=N$3,1,0))*OFFSET('Gastos com Pessoal'!$H$512,1,MATCH(3&amp;$B31,'Gastos com Pessoal'!$I$532:$AJ$532&amp;'Gastos com Pessoal'!$I$512:$AJ$512,0),10,1)),0)
+_xlfn.IFNA(SUM((N$3&gt;='Gastos com Pessoal'!$E$513:$E$522)*(N$3&lt;='Gastos com Pessoal'!$F$513:$F$522)*(IF('Gastos com Pessoal'!$Y$513:$Y$522&lt;=N$3,1,0))*OFFSET('Gastos com Pessoal'!$H$512,1,MATCH(4&amp;$B31,'Gastos com Pessoal'!$I$532:$AJ$532&amp;'Gastos com Pessoal'!$I$512:$AJ$512,0),10,1)),0)
+_xlfn.IFNA(SUM((N$3&gt;='Gastos com Pessoal'!$E$513:$E$522)*(N$3&lt;='Gastos com Pessoal'!$F$513:$F$522)*(IF('Gastos com Pessoal'!$AE$513:$AE$522&lt;=N$3,1,0))*OFFSET('Gastos com Pessoal'!$H$512,1,MATCH(5&amp;$B31,'Gastos com Pessoal'!$I$532:$AJ$532&amp;'Gastos com Pessoal'!$I$512:$AJ$512,0),10,1)),0)</f>
        <v>0</v>
      </c>
      <c r="O31" s="32">
        <f t="array" aca="1" ref="O31" ca="1">_xlfn.IFNA(SUM((O$3&gt;='Gastos com Pessoal'!$E$7:$E$506)*(O$3&lt;='Gastos com Pessoal'!$F$7:$F$506)*OFFSET('Encargos e Benefícios'!$D$5,1,MATCH($B31,'Encargos e Benefícios'!$E$5:$AB$5,0),500,1)),0)
+_xlfn.IFNA(SUM((O$3&gt;='Gastos com Pessoal'!$E$513:$E$522)*(O$3&lt;='Gastos com Pessoal'!$F$513:$F$522)*OFFSET('Encargos e Benefícios'!$D$511,1,MATCH($B31,'Encargos e Benefícios'!$E$511:$AB$511,0),10,1)),0)
+_xlfn.IFNA(SUM((O$3&gt;='Gastos com Pessoal'!$E$7:$E$506)*(O$3&lt;='Gastos com Pessoal'!$F$7:$F$506)*(IF('Gastos com Pessoal'!$G$7:$G$506&lt;=O$3,1,0))*OFFSET('Gastos com Pessoal'!$H$6,1,MATCH(1&amp;$B31,'Gastos com Pessoal'!$I$532:$AJ$532&amp;'Gastos com Pessoal'!$I$6:$AJ$6,0),500,1)),0)
+_xlfn.IFNA(SUM((O$3&gt;='Gastos com Pessoal'!$E$7:$E$506)*(O$3&lt;='Gastos com Pessoal'!$F$7:$F$506)*(IF('Gastos com Pessoal'!$M$7:$M$506&lt;=O$3,1,0))*OFFSET('Gastos com Pessoal'!$H$6,1,MATCH(2&amp;$B31,'Gastos com Pessoal'!$I$532:$AJ$532&amp;'Gastos com Pessoal'!$I$6:$AJ$6,0),500,1)),0)
+_xlfn.IFNA(SUM((O$3&gt;='Gastos com Pessoal'!$E$7:$E$506)*(O$3&lt;='Gastos com Pessoal'!$F$7:$F$506)*(IF('Gastos com Pessoal'!$S$7:$S$506&lt;=O$3,1,0))*OFFSET('Gastos com Pessoal'!$H$6,1,MATCH(3&amp;$B31,'Gastos com Pessoal'!$I$532:$AJ$532&amp;'Gastos com Pessoal'!$I$6:$AJ$6,0),500,1)),0)
+_xlfn.IFNA(SUM((O$3&gt;='Gastos com Pessoal'!$E$7:$E$506)*(O$3&lt;='Gastos com Pessoal'!$F$7:$F$506)*(IF('Gastos com Pessoal'!$Y$7:$Y$506&lt;=O$3,1,0))*OFFSET('Gastos com Pessoal'!$H$6,1,MATCH(4&amp;$B31,'Gastos com Pessoal'!$I$532:$AJ$532&amp;'Gastos com Pessoal'!$I$6:$AJ$6,0),500,1)),0)
+_xlfn.IFNA(SUM((O$3&gt;='Gastos com Pessoal'!$E$7:$E$506)*(O$3&lt;='Gastos com Pessoal'!$F$7:$F$506)*(IF('Gastos com Pessoal'!$AE$7:$AE$506&lt;=O$3,1,0))*OFFSET('Gastos com Pessoal'!$H$6,1,MATCH(5&amp;$B31,'Gastos com Pessoal'!$I$532:$AJ$532&amp;'Gastos com Pessoal'!$I$6:$AJ$6,0),500,1)),0)
+_xlfn.IFNA(SUM((O$3&gt;='Gastos com Pessoal'!$E$513:$E$522)*(O$3&lt;='Gastos com Pessoal'!$F$513:$F$522)*(IF('Gastos com Pessoal'!$G$513:$G$522&lt;=O$3,1,0))*OFFSET('Gastos com Pessoal'!$H$512,1,MATCH(1&amp;$B31,'Gastos com Pessoal'!$I$532:$AJ$532&amp;'Gastos com Pessoal'!$I$512:$AJ$512,0),10,1)),0)
+_xlfn.IFNA(SUM((O$3&gt;='Gastos com Pessoal'!$E$513:$E$522)*(O$3&lt;='Gastos com Pessoal'!$F$513:$F$522)*(IF('Gastos com Pessoal'!$M$513:$M$522&lt;=O$3,1,0))*OFFSET('Gastos com Pessoal'!$H$512,1,MATCH(2&amp;$B31,'Gastos com Pessoal'!$I$532:$AJ$532&amp;'Gastos com Pessoal'!$I$512:$AJ$512,0),10,1)),0)
+_xlfn.IFNA(SUM((O$3&gt;='Gastos com Pessoal'!$E$513:$E$522)*(O$3&lt;='Gastos com Pessoal'!$F$513:$F$522)*(IF('Gastos com Pessoal'!$S$513:$S$522&lt;=O$3,1,0))*OFFSET('Gastos com Pessoal'!$H$512,1,MATCH(3&amp;$B31,'Gastos com Pessoal'!$I$532:$AJ$532&amp;'Gastos com Pessoal'!$I$512:$AJ$512,0),10,1)),0)
+_xlfn.IFNA(SUM((O$3&gt;='Gastos com Pessoal'!$E$513:$E$522)*(O$3&lt;='Gastos com Pessoal'!$F$513:$F$522)*(IF('Gastos com Pessoal'!$Y$513:$Y$522&lt;=O$3,1,0))*OFFSET('Gastos com Pessoal'!$H$512,1,MATCH(4&amp;$B31,'Gastos com Pessoal'!$I$532:$AJ$532&amp;'Gastos com Pessoal'!$I$512:$AJ$512,0),10,1)),0)
+_xlfn.IFNA(SUM((O$3&gt;='Gastos com Pessoal'!$E$513:$E$522)*(O$3&lt;='Gastos com Pessoal'!$F$513:$F$522)*(IF('Gastos com Pessoal'!$AE$513:$AE$522&lt;=O$3,1,0))*OFFSET('Gastos com Pessoal'!$H$512,1,MATCH(5&amp;$B31,'Gastos com Pessoal'!$I$532:$AJ$532&amp;'Gastos com Pessoal'!$I$512:$AJ$512,0),10,1)),0)</f>
        <v>0</v>
      </c>
      <c r="P31" s="32">
        <f t="array" aca="1" ref="P31" ca="1">_xlfn.IFNA(SUM((P$3&gt;='Gastos com Pessoal'!$E$7:$E$506)*(P$3&lt;='Gastos com Pessoal'!$F$7:$F$506)*OFFSET('Encargos e Benefícios'!$D$5,1,MATCH($B31,'Encargos e Benefícios'!$E$5:$AB$5,0),500,1)),0)
+_xlfn.IFNA(SUM((P$3&gt;='Gastos com Pessoal'!$E$513:$E$522)*(P$3&lt;='Gastos com Pessoal'!$F$513:$F$522)*OFFSET('Encargos e Benefícios'!$D$511,1,MATCH($B31,'Encargos e Benefícios'!$E$511:$AB$511,0),10,1)),0)
+_xlfn.IFNA(SUM((P$3&gt;='Gastos com Pessoal'!$E$7:$E$506)*(P$3&lt;='Gastos com Pessoal'!$F$7:$F$506)*(IF('Gastos com Pessoal'!$G$7:$G$506&lt;=P$3,1,0))*OFFSET('Gastos com Pessoal'!$H$6,1,MATCH(1&amp;$B31,'Gastos com Pessoal'!$I$532:$AJ$532&amp;'Gastos com Pessoal'!$I$6:$AJ$6,0),500,1)),0)
+_xlfn.IFNA(SUM((P$3&gt;='Gastos com Pessoal'!$E$7:$E$506)*(P$3&lt;='Gastos com Pessoal'!$F$7:$F$506)*(IF('Gastos com Pessoal'!$M$7:$M$506&lt;=P$3,1,0))*OFFSET('Gastos com Pessoal'!$H$6,1,MATCH(2&amp;$B31,'Gastos com Pessoal'!$I$532:$AJ$532&amp;'Gastos com Pessoal'!$I$6:$AJ$6,0),500,1)),0)
+_xlfn.IFNA(SUM((P$3&gt;='Gastos com Pessoal'!$E$7:$E$506)*(P$3&lt;='Gastos com Pessoal'!$F$7:$F$506)*(IF('Gastos com Pessoal'!$S$7:$S$506&lt;=P$3,1,0))*OFFSET('Gastos com Pessoal'!$H$6,1,MATCH(3&amp;$B31,'Gastos com Pessoal'!$I$532:$AJ$532&amp;'Gastos com Pessoal'!$I$6:$AJ$6,0),500,1)),0)
+_xlfn.IFNA(SUM((P$3&gt;='Gastos com Pessoal'!$E$7:$E$506)*(P$3&lt;='Gastos com Pessoal'!$F$7:$F$506)*(IF('Gastos com Pessoal'!$Y$7:$Y$506&lt;=P$3,1,0))*OFFSET('Gastos com Pessoal'!$H$6,1,MATCH(4&amp;$B31,'Gastos com Pessoal'!$I$532:$AJ$532&amp;'Gastos com Pessoal'!$I$6:$AJ$6,0),500,1)),0)
+_xlfn.IFNA(SUM((P$3&gt;='Gastos com Pessoal'!$E$7:$E$506)*(P$3&lt;='Gastos com Pessoal'!$F$7:$F$506)*(IF('Gastos com Pessoal'!$AE$7:$AE$506&lt;=P$3,1,0))*OFFSET('Gastos com Pessoal'!$H$6,1,MATCH(5&amp;$B31,'Gastos com Pessoal'!$I$532:$AJ$532&amp;'Gastos com Pessoal'!$I$6:$AJ$6,0),500,1)),0)
+_xlfn.IFNA(SUM((P$3&gt;='Gastos com Pessoal'!$E$513:$E$522)*(P$3&lt;='Gastos com Pessoal'!$F$513:$F$522)*(IF('Gastos com Pessoal'!$G$513:$G$522&lt;=P$3,1,0))*OFFSET('Gastos com Pessoal'!$H$512,1,MATCH(1&amp;$B31,'Gastos com Pessoal'!$I$532:$AJ$532&amp;'Gastos com Pessoal'!$I$512:$AJ$512,0),10,1)),0)
+_xlfn.IFNA(SUM((P$3&gt;='Gastos com Pessoal'!$E$513:$E$522)*(P$3&lt;='Gastos com Pessoal'!$F$513:$F$522)*(IF('Gastos com Pessoal'!$M$513:$M$522&lt;=P$3,1,0))*OFFSET('Gastos com Pessoal'!$H$512,1,MATCH(2&amp;$B31,'Gastos com Pessoal'!$I$532:$AJ$532&amp;'Gastos com Pessoal'!$I$512:$AJ$512,0),10,1)),0)
+_xlfn.IFNA(SUM((P$3&gt;='Gastos com Pessoal'!$E$513:$E$522)*(P$3&lt;='Gastos com Pessoal'!$F$513:$F$522)*(IF('Gastos com Pessoal'!$S$513:$S$522&lt;=P$3,1,0))*OFFSET('Gastos com Pessoal'!$H$512,1,MATCH(3&amp;$B31,'Gastos com Pessoal'!$I$532:$AJ$532&amp;'Gastos com Pessoal'!$I$512:$AJ$512,0),10,1)),0)
+_xlfn.IFNA(SUM((P$3&gt;='Gastos com Pessoal'!$E$513:$E$522)*(P$3&lt;='Gastos com Pessoal'!$F$513:$F$522)*(IF('Gastos com Pessoal'!$Y$513:$Y$522&lt;=P$3,1,0))*OFFSET('Gastos com Pessoal'!$H$512,1,MATCH(4&amp;$B31,'Gastos com Pessoal'!$I$532:$AJ$532&amp;'Gastos com Pessoal'!$I$512:$AJ$512,0),10,1)),0)
+_xlfn.IFNA(SUM((P$3&gt;='Gastos com Pessoal'!$E$513:$E$522)*(P$3&lt;='Gastos com Pessoal'!$F$513:$F$522)*(IF('Gastos com Pessoal'!$AE$513:$AE$522&lt;=P$3,1,0))*OFFSET('Gastos com Pessoal'!$H$512,1,MATCH(5&amp;$B31,'Gastos com Pessoal'!$I$532:$AJ$532&amp;'Gastos com Pessoal'!$I$512:$AJ$512,0),10,1)),0)</f>
        <v>0</v>
      </c>
      <c r="Q31" s="32">
        <f t="array" aca="1" ref="Q31" ca="1">_xlfn.IFNA(SUM((Q$3&gt;='Gastos com Pessoal'!$E$7:$E$506)*(Q$3&lt;='Gastos com Pessoal'!$F$7:$F$506)*OFFSET('Encargos e Benefícios'!$D$5,1,MATCH($B31,'Encargos e Benefícios'!$E$5:$AB$5,0),500,1)),0)
+_xlfn.IFNA(SUM((Q$3&gt;='Gastos com Pessoal'!$E$513:$E$522)*(Q$3&lt;='Gastos com Pessoal'!$F$513:$F$522)*OFFSET('Encargos e Benefícios'!$D$511,1,MATCH($B31,'Encargos e Benefícios'!$E$511:$AB$511,0),10,1)),0)
+_xlfn.IFNA(SUM((Q$3&gt;='Gastos com Pessoal'!$E$7:$E$506)*(Q$3&lt;='Gastos com Pessoal'!$F$7:$F$506)*(IF('Gastos com Pessoal'!$G$7:$G$506&lt;=Q$3,1,0))*OFFSET('Gastos com Pessoal'!$H$6,1,MATCH(1&amp;$B31,'Gastos com Pessoal'!$I$532:$AJ$532&amp;'Gastos com Pessoal'!$I$6:$AJ$6,0),500,1)),0)
+_xlfn.IFNA(SUM((Q$3&gt;='Gastos com Pessoal'!$E$7:$E$506)*(Q$3&lt;='Gastos com Pessoal'!$F$7:$F$506)*(IF('Gastos com Pessoal'!$M$7:$M$506&lt;=Q$3,1,0))*OFFSET('Gastos com Pessoal'!$H$6,1,MATCH(2&amp;$B31,'Gastos com Pessoal'!$I$532:$AJ$532&amp;'Gastos com Pessoal'!$I$6:$AJ$6,0),500,1)),0)
+_xlfn.IFNA(SUM((Q$3&gt;='Gastos com Pessoal'!$E$7:$E$506)*(Q$3&lt;='Gastos com Pessoal'!$F$7:$F$506)*(IF('Gastos com Pessoal'!$S$7:$S$506&lt;=Q$3,1,0))*OFFSET('Gastos com Pessoal'!$H$6,1,MATCH(3&amp;$B31,'Gastos com Pessoal'!$I$532:$AJ$532&amp;'Gastos com Pessoal'!$I$6:$AJ$6,0),500,1)),0)
+_xlfn.IFNA(SUM((Q$3&gt;='Gastos com Pessoal'!$E$7:$E$506)*(Q$3&lt;='Gastos com Pessoal'!$F$7:$F$506)*(IF('Gastos com Pessoal'!$Y$7:$Y$506&lt;=Q$3,1,0))*OFFSET('Gastos com Pessoal'!$H$6,1,MATCH(4&amp;$B31,'Gastos com Pessoal'!$I$532:$AJ$532&amp;'Gastos com Pessoal'!$I$6:$AJ$6,0),500,1)),0)
+_xlfn.IFNA(SUM((Q$3&gt;='Gastos com Pessoal'!$E$7:$E$506)*(Q$3&lt;='Gastos com Pessoal'!$F$7:$F$506)*(IF('Gastos com Pessoal'!$AE$7:$AE$506&lt;=Q$3,1,0))*OFFSET('Gastos com Pessoal'!$H$6,1,MATCH(5&amp;$B31,'Gastos com Pessoal'!$I$532:$AJ$532&amp;'Gastos com Pessoal'!$I$6:$AJ$6,0),500,1)),0)
+_xlfn.IFNA(SUM((Q$3&gt;='Gastos com Pessoal'!$E$513:$E$522)*(Q$3&lt;='Gastos com Pessoal'!$F$513:$F$522)*(IF('Gastos com Pessoal'!$G$513:$G$522&lt;=Q$3,1,0))*OFFSET('Gastos com Pessoal'!$H$512,1,MATCH(1&amp;$B31,'Gastos com Pessoal'!$I$532:$AJ$532&amp;'Gastos com Pessoal'!$I$512:$AJ$512,0),10,1)),0)
+_xlfn.IFNA(SUM((Q$3&gt;='Gastos com Pessoal'!$E$513:$E$522)*(Q$3&lt;='Gastos com Pessoal'!$F$513:$F$522)*(IF('Gastos com Pessoal'!$M$513:$M$522&lt;=Q$3,1,0))*OFFSET('Gastos com Pessoal'!$H$512,1,MATCH(2&amp;$B31,'Gastos com Pessoal'!$I$532:$AJ$532&amp;'Gastos com Pessoal'!$I$512:$AJ$512,0),10,1)),0)
+_xlfn.IFNA(SUM((Q$3&gt;='Gastos com Pessoal'!$E$513:$E$522)*(Q$3&lt;='Gastos com Pessoal'!$F$513:$F$522)*(IF('Gastos com Pessoal'!$S$513:$S$522&lt;=Q$3,1,0))*OFFSET('Gastos com Pessoal'!$H$512,1,MATCH(3&amp;$B31,'Gastos com Pessoal'!$I$532:$AJ$532&amp;'Gastos com Pessoal'!$I$512:$AJ$512,0),10,1)),0)
+_xlfn.IFNA(SUM((Q$3&gt;='Gastos com Pessoal'!$E$513:$E$522)*(Q$3&lt;='Gastos com Pessoal'!$F$513:$F$522)*(IF('Gastos com Pessoal'!$Y$513:$Y$522&lt;=Q$3,1,0))*OFFSET('Gastos com Pessoal'!$H$512,1,MATCH(4&amp;$B31,'Gastos com Pessoal'!$I$532:$AJ$532&amp;'Gastos com Pessoal'!$I$512:$AJ$512,0),10,1)),0)
+_xlfn.IFNA(SUM((Q$3&gt;='Gastos com Pessoal'!$E$513:$E$522)*(Q$3&lt;='Gastos com Pessoal'!$F$513:$F$522)*(IF('Gastos com Pessoal'!$AE$513:$AE$522&lt;=Q$3,1,0))*OFFSET('Gastos com Pessoal'!$H$512,1,MATCH(5&amp;$B31,'Gastos com Pessoal'!$I$532:$AJ$532&amp;'Gastos com Pessoal'!$I$512:$AJ$512,0),10,1)),0)</f>
        <v>0</v>
      </c>
      <c r="R31" s="32">
        <f t="array" aca="1" ref="R31" ca="1">_xlfn.IFNA(SUM((R$3&gt;='Gastos com Pessoal'!$E$7:$E$506)*(R$3&lt;='Gastos com Pessoal'!$F$7:$F$506)*OFFSET('Encargos e Benefícios'!$D$5,1,MATCH($B31,'Encargos e Benefícios'!$E$5:$AB$5,0),500,1)),0)
+_xlfn.IFNA(SUM((R$3&gt;='Gastos com Pessoal'!$E$513:$E$522)*(R$3&lt;='Gastos com Pessoal'!$F$513:$F$522)*OFFSET('Encargos e Benefícios'!$D$511,1,MATCH($B31,'Encargos e Benefícios'!$E$511:$AB$511,0),10,1)),0)
+_xlfn.IFNA(SUM((R$3&gt;='Gastos com Pessoal'!$E$7:$E$506)*(R$3&lt;='Gastos com Pessoal'!$F$7:$F$506)*(IF('Gastos com Pessoal'!$G$7:$G$506&lt;=R$3,1,0))*OFFSET('Gastos com Pessoal'!$H$6,1,MATCH(1&amp;$B31,'Gastos com Pessoal'!$I$532:$AJ$532&amp;'Gastos com Pessoal'!$I$6:$AJ$6,0),500,1)),0)
+_xlfn.IFNA(SUM((R$3&gt;='Gastos com Pessoal'!$E$7:$E$506)*(R$3&lt;='Gastos com Pessoal'!$F$7:$F$506)*(IF('Gastos com Pessoal'!$M$7:$M$506&lt;=R$3,1,0))*OFFSET('Gastos com Pessoal'!$H$6,1,MATCH(2&amp;$B31,'Gastos com Pessoal'!$I$532:$AJ$532&amp;'Gastos com Pessoal'!$I$6:$AJ$6,0),500,1)),0)
+_xlfn.IFNA(SUM((R$3&gt;='Gastos com Pessoal'!$E$7:$E$506)*(R$3&lt;='Gastos com Pessoal'!$F$7:$F$506)*(IF('Gastos com Pessoal'!$S$7:$S$506&lt;=R$3,1,0))*OFFSET('Gastos com Pessoal'!$H$6,1,MATCH(3&amp;$B31,'Gastos com Pessoal'!$I$532:$AJ$532&amp;'Gastos com Pessoal'!$I$6:$AJ$6,0),500,1)),0)
+_xlfn.IFNA(SUM((R$3&gt;='Gastos com Pessoal'!$E$7:$E$506)*(R$3&lt;='Gastos com Pessoal'!$F$7:$F$506)*(IF('Gastos com Pessoal'!$Y$7:$Y$506&lt;=R$3,1,0))*OFFSET('Gastos com Pessoal'!$H$6,1,MATCH(4&amp;$B31,'Gastos com Pessoal'!$I$532:$AJ$532&amp;'Gastos com Pessoal'!$I$6:$AJ$6,0),500,1)),0)
+_xlfn.IFNA(SUM((R$3&gt;='Gastos com Pessoal'!$E$7:$E$506)*(R$3&lt;='Gastos com Pessoal'!$F$7:$F$506)*(IF('Gastos com Pessoal'!$AE$7:$AE$506&lt;=R$3,1,0))*OFFSET('Gastos com Pessoal'!$H$6,1,MATCH(5&amp;$B31,'Gastos com Pessoal'!$I$532:$AJ$532&amp;'Gastos com Pessoal'!$I$6:$AJ$6,0),500,1)),0)
+_xlfn.IFNA(SUM((R$3&gt;='Gastos com Pessoal'!$E$513:$E$522)*(R$3&lt;='Gastos com Pessoal'!$F$513:$F$522)*(IF('Gastos com Pessoal'!$G$513:$G$522&lt;=R$3,1,0))*OFFSET('Gastos com Pessoal'!$H$512,1,MATCH(1&amp;$B31,'Gastos com Pessoal'!$I$532:$AJ$532&amp;'Gastos com Pessoal'!$I$512:$AJ$512,0),10,1)),0)
+_xlfn.IFNA(SUM((R$3&gt;='Gastos com Pessoal'!$E$513:$E$522)*(R$3&lt;='Gastos com Pessoal'!$F$513:$F$522)*(IF('Gastos com Pessoal'!$M$513:$M$522&lt;=R$3,1,0))*OFFSET('Gastos com Pessoal'!$H$512,1,MATCH(2&amp;$B31,'Gastos com Pessoal'!$I$532:$AJ$532&amp;'Gastos com Pessoal'!$I$512:$AJ$512,0),10,1)),0)
+_xlfn.IFNA(SUM((R$3&gt;='Gastos com Pessoal'!$E$513:$E$522)*(R$3&lt;='Gastos com Pessoal'!$F$513:$F$522)*(IF('Gastos com Pessoal'!$S$513:$S$522&lt;=R$3,1,0))*OFFSET('Gastos com Pessoal'!$H$512,1,MATCH(3&amp;$B31,'Gastos com Pessoal'!$I$532:$AJ$532&amp;'Gastos com Pessoal'!$I$512:$AJ$512,0),10,1)),0)
+_xlfn.IFNA(SUM((R$3&gt;='Gastos com Pessoal'!$E$513:$E$522)*(R$3&lt;='Gastos com Pessoal'!$F$513:$F$522)*(IF('Gastos com Pessoal'!$Y$513:$Y$522&lt;=R$3,1,0))*OFFSET('Gastos com Pessoal'!$H$512,1,MATCH(4&amp;$B31,'Gastos com Pessoal'!$I$532:$AJ$532&amp;'Gastos com Pessoal'!$I$512:$AJ$512,0),10,1)),0)
+_xlfn.IFNA(SUM((R$3&gt;='Gastos com Pessoal'!$E$513:$E$522)*(R$3&lt;='Gastos com Pessoal'!$F$513:$F$522)*(IF('Gastos com Pessoal'!$AE$513:$AE$522&lt;=R$3,1,0))*OFFSET('Gastos com Pessoal'!$H$512,1,MATCH(5&amp;$B31,'Gastos com Pessoal'!$I$532:$AJ$532&amp;'Gastos com Pessoal'!$I$512:$AJ$512,0),10,1)),0)</f>
        <v>0</v>
      </c>
      <c r="S31" s="32">
        <f t="array" aca="1" ref="S31" ca="1">_xlfn.IFNA(SUM((S$3&gt;='Gastos com Pessoal'!$E$7:$E$506)*(S$3&lt;='Gastos com Pessoal'!$F$7:$F$506)*OFFSET('Encargos e Benefícios'!$D$5,1,MATCH($B31,'Encargos e Benefícios'!$E$5:$AB$5,0),500,1)),0)
+_xlfn.IFNA(SUM((S$3&gt;='Gastos com Pessoal'!$E$513:$E$522)*(S$3&lt;='Gastos com Pessoal'!$F$513:$F$522)*OFFSET('Encargos e Benefícios'!$D$511,1,MATCH($B31,'Encargos e Benefícios'!$E$511:$AB$511,0),10,1)),0)
+_xlfn.IFNA(SUM((S$3&gt;='Gastos com Pessoal'!$E$7:$E$506)*(S$3&lt;='Gastos com Pessoal'!$F$7:$F$506)*(IF('Gastos com Pessoal'!$G$7:$G$506&lt;=S$3,1,0))*OFFSET('Gastos com Pessoal'!$H$6,1,MATCH(1&amp;$B31,'Gastos com Pessoal'!$I$532:$AJ$532&amp;'Gastos com Pessoal'!$I$6:$AJ$6,0),500,1)),0)
+_xlfn.IFNA(SUM((S$3&gt;='Gastos com Pessoal'!$E$7:$E$506)*(S$3&lt;='Gastos com Pessoal'!$F$7:$F$506)*(IF('Gastos com Pessoal'!$M$7:$M$506&lt;=S$3,1,0))*OFFSET('Gastos com Pessoal'!$H$6,1,MATCH(2&amp;$B31,'Gastos com Pessoal'!$I$532:$AJ$532&amp;'Gastos com Pessoal'!$I$6:$AJ$6,0),500,1)),0)
+_xlfn.IFNA(SUM((S$3&gt;='Gastos com Pessoal'!$E$7:$E$506)*(S$3&lt;='Gastos com Pessoal'!$F$7:$F$506)*(IF('Gastos com Pessoal'!$S$7:$S$506&lt;=S$3,1,0))*OFFSET('Gastos com Pessoal'!$H$6,1,MATCH(3&amp;$B31,'Gastos com Pessoal'!$I$532:$AJ$532&amp;'Gastos com Pessoal'!$I$6:$AJ$6,0),500,1)),0)
+_xlfn.IFNA(SUM((S$3&gt;='Gastos com Pessoal'!$E$7:$E$506)*(S$3&lt;='Gastos com Pessoal'!$F$7:$F$506)*(IF('Gastos com Pessoal'!$Y$7:$Y$506&lt;=S$3,1,0))*OFFSET('Gastos com Pessoal'!$H$6,1,MATCH(4&amp;$B31,'Gastos com Pessoal'!$I$532:$AJ$532&amp;'Gastos com Pessoal'!$I$6:$AJ$6,0),500,1)),0)
+_xlfn.IFNA(SUM((S$3&gt;='Gastos com Pessoal'!$E$7:$E$506)*(S$3&lt;='Gastos com Pessoal'!$F$7:$F$506)*(IF('Gastos com Pessoal'!$AE$7:$AE$506&lt;=S$3,1,0))*OFFSET('Gastos com Pessoal'!$H$6,1,MATCH(5&amp;$B31,'Gastos com Pessoal'!$I$532:$AJ$532&amp;'Gastos com Pessoal'!$I$6:$AJ$6,0),500,1)),0)
+_xlfn.IFNA(SUM((S$3&gt;='Gastos com Pessoal'!$E$513:$E$522)*(S$3&lt;='Gastos com Pessoal'!$F$513:$F$522)*(IF('Gastos com Pessoal'!$G$513:$G$522&lt;=S$3,1,0))*OFFSET('Gastos com Pessoal'!$H$512,1,MATCH(1&amp;$B31,'Gastos com Pessoal'!$I$532:$AJ$532&amp;'Gastos com Pessoal'!$I$512:$AJ$512,0),10,1)),0)
+_xlfn.IFNA(SUM((S$3&gt;='Gastos com Pessoal'!$E$513:$E$522)*(S$3&lt;='Gastos com Pessoal'!$F$513:$F$522)*(IF('Gastos com Pessoal'!$M$513:$M$522&lt;=S$3,1,0))*OFFSET('Gastos com Pessoal'!$H$512,1,MATCH(2&amp;$B31,'Gastos com Pessoal'!$I$532:$AJ$532&amp;'Gastos com Pessoal'!$I$512:$AJ$512,0),10,1)),0)
+_xlfn.IFNA(SUM((S$3&gt;='Gastos com Pessoal'!$E$513:$E$522)*(S$3&lt;='Gastos com Pessoal'!$F$513:$F$522)*(IF('Gastos com Pessoal'!$S$513:$S$522&lt;=S$3,1,0))*OFFSET('Gastos com Pessoal'!$H$512,1,MATCH(3&amp;$B31,'Gastos com Pessoal'!$I$532:$AJ$532&amp;'Gastos com Pessoal'!$I$512:$AJ$512,0),10,1)),0)
+_xlfn.IFNA(SUM((S$3&gt;='Gastos com Pessoal'!$E$513:$E$522)*(S$3&lt;='Gastos com Pessoal'!$F$513:$F$522)*(IF('Gastos com Pessoal'!$Y$513:$Y$522&lt;=S$3,1,0))*OFFSET('Gastos com Pessoal'!$H$512,1,MATCH(4&amp;$B31,'Gastos com Pessoal'!$I$532:$AJ$532&amp;'Gastos com Pessoal'!$I$512:$AJ$512,0),10,1)),0)
+_xlfn.IFNA(SUM((S$3&gt;='Gastos com Pessoal'!$E$513:$E$522)*(S$3&lt;='Gastos com Pessoal'!$F$513:$F$522)*(IF('Gastos com Pessoal'!$AE$513:$AE$522&lt;=S$3,1,0))*OFFSET('Gastos com Pessoal'!$H$512,1,MATCH(5&amp;$B31,'Gastos com Pessoal'!$I$532:$AJ$532&amp;'Gastos com Pessoal'!$I$512:$AJ$512,0),10,1)),0)</f>
        <v>0</v>
      </c>
      <c r="T31" s="32">
        <f t="array" aca="1" ref="T31" ca="1">_xlfn.IFNA(SUM((T$3&gt;='Gastos com Pessoal'!$E$7:$E$506)*(T$3&lt;='Gastos com Pessoal'!$F$7:$F$506)*OFFSET('Encargos e Benefícios'!$D$5,1,MATCH($B31,'Encargos e Benefícios'!$E$5:$AB$5,0),500,1)),0)
+_xlfn.IFNA(SUM((T$3&gt;='Gastos com Pessoal'!$E$513:$E$522)*(T$3&lt;='Gastos com Pessoal'!$F$513:$F$522)*OFFSET('Encargos e Benefícios'!$D$511,1,MATCH($B31,'Encargos e Benefícios'!$E$511:$AB$511,0),10,1)),0)
+_xlfn.IFNA(SUM((T$3&gt;='Gastos com Pessoal'!$E$7:$E$506)*(T$3&lt;='Gastos com Pessoal'!$F$7:$F$506)*(IF('Gastos com Pessoal'!$G$7:$G$506&lt;=T$3,1,0))*OFFSET('Gastos com Pessoal'!$H$6,1,MATCH(1&amp;$B31,'Gastos com Pessoal'!$I$532:$AJ$532&amp;'Gastos com Pessoal'!$I$6:$AJ$6,0),500,1)),0)
+_xlfn.IFNA(SUM((T$3&gt;='Gastos com Pessoal'!$E$7:$E$506)*(T$3&lt;='Gastos com Pessoal'!$F$7:$F$506)*(IF('Gastos com Pessoal'!$M$7:$M$506&lt;=T$3,1,0))*OFFSET('Gastos com Pessoal'!$H$6,1,MATCH(2&amp;$B31,'Gastos com Pessoal'!$I$532:$AJ$532&amp;'Gastos com Pessoal'!$I$6:$AJ$6,0),500,1)),0)
+_xlfn.IFNA(SUM((T$3&gt;='Gastos com Pessoal'!$E$7:$E$506)*(T$3&lt;='Gastos com Pessoal'!$F$7:$F$506)*(IF('Gastos com Pessoal'!$S$7:$S$506&lt;=T$3,1,0))*OFFSET('Gastos com Pessoal'!$H$6,1,MATCH(3&amp;$B31,'Gastos com Pessoal'!$I$532:$AJ$532&amp;'Gastos com Pessoal'!$I$6:$AJ$6,0),500,1)),0)
+_xlfn.IFNA(SUM((T$3&gt;='Gastos com Pessoal'!$E$7:$E$506)*(T$3&lt;='Gastos com Pessoal'!$F$7:$F$506)*(IF('Gastos com Pessoal'!$Y$7:$Y$506&lt;=T$3,1,0))*OFFSET('Gastos com Pessoal'!$H$6,1,MATCH(4&amp;$B31,'Gastos com Pessoal'!$I$532:$AJ$532&amp;'Gastos com Pessoal'!$I$6:$AJ$6,0),500,1)),0)
+_xlfn.IFNA(SUM((T$3&gt;='Gastos com Pessoal'!$E$7:$E$506)*(T$3&lt;='Gastos com Pessoal'!$F$7:$F$506)*(IF('Gastos com Pessoal'!$AE$7:$AE$506&lt;=T$3,1,0))*OFFSET('Gastos com Pessoal'!$H$6,1,MATCH(5&amp;$B31,'Gastos com Pessoal'!$I$532:$AJ$532&amp;'Gastos com Pessoal'!$I$6:$AJ$6,0),500,1)),0)
+_xlfn.IFNA(SUM((T$3&gt;='Gastos com Pessoal'!$E$513:$E$522)*(T$3&lt;='Gastos com Pessoal'!$F$513:$F$522)*(IF('Gastos com Pessoal'!$G$513:$G$522&lt;=T$3,1,0))*OFFSET('Gastos com Pessoal'!$H$512,1,MATCH(1&amp;$B31,'Gastos com Pessoal'!$I$532:$AJ$532&amp;'Gastos com Pessoal'!$I$512:$AJ$512,0),10,1)),0)
+_xlfn.IFNA(SUM((T$3&gt;='Gastos com Pessoal'!$E$513:$E$522)*(T$3&lt;='Gastos com Pessoal'!$F$513:$F$522)*(IF('Gastos com Pessoal'!$M$513:$M$522&lt;=T$3,1,0))*OFFSET('Gastos com Pessoal'!$H$512,1,MATCH(2&amp;$B31,'Gastos com Pessoal'!$I$532:$AJ$532&amp;'Gastos com Pessoal'!$I$512:$AJ$512,0),10,1)),0)
+_xlfn.IFNA(SUM((T$3&gt;='Gastos com Pessoal'!$E$513:$E$522)*(T$3&lt;='Gastos com Pessoal'!$F$513:$F$522)*(IF('Gastos com Pessoal'!$S$513:$S$522&lt;=T$3,1,0))*OFFSET('Gastos com Pessoal'!$H$512,1,MATCH(3&amp;$B31,'Gastos com Pessoal'!$I$532:$AJ$532&amp;'Gastos com Pessoal'!$I$512:$AJ$512,0),10,1)),0)
+_xlfn.IFNA(SUM((T$3&gt;='Gastos com Pessoal'!$E$513:$E$522)*(T$3&lt;='Gastos com Pessoal'!$F$513:$F$522)*(IF('Gastos com Pessoal'!$Y$513:$Y$522&lt;=T$3,1,0))*OFFSET('Gastos com Pessoal'!$H$512,1,MATCH(4&amp;$B31,'Gastos com Pessoal'!$I$532:$AJ$532&amp;'Gastos com Pessoal'!$I$512:$AJ$512,0),10,1)),0)
+_xlfn.IFNA(SUM((T$3&gt;='Gastos com Pessoal'!$E$513:$E$522)*(T$3&lt;='Gastos com Pessoal'!$F$513:$F$522)*(IF('Gastos com Pessoal'!$AE$513:$AE$522&lt;=T$3,1,0))*OFFSET('Gastos com Pessoal'!$H$512,1,MATCH(5&amp;$B31,'Gastos com Pessoal'!$I$532:$AJ$532&amp;'Gastos com Pessoal'!$I$512:$AJ$512,0),10,1)),0)</f>
        <v>0</v>
      </c>
      <c r="U31" s="32">
        <f t="array" aca="1" ref="U31" ca="1">_xlfn.IFNA(SUM((U$3&gt;='Gastos com Pessoal'!$E$7:$E$506)*(U$3&lt;='Gastos com Pessoal'!$F$7:$F$506)*OFFSET('Encargos e Benefícios'!$D$5,1,MATCH($B31,'Encargos e Benefícios'!$E$5:$AB$5,0),500,1)),0)
+_xlfn.IFNA(SUM((U$3&gt;='Gastos com Pessoal'!$E$513:$E$522)*(U$3&lt;='Gastos com Pessoal'!$F$513:$F$522)*OFFSET('Encargos e Benefícios'!$D$511,1,MATCH($B31,'Encargos e Benefícios'!$E$511:$AB$511,0),10,1)),0)
+_xlfn.IFNA(SUM((U$3&gt;='Gastos com Pessoal'!$E$7:$E$506)*(U$3&lt;='Gastos com Pessoal'!$F$7:$F$506)*(IF('Gastos com Pessoal'!$G$7:$G$506&lt;=U$3,1,0))*OFFSET('Gastos com Pessoal'!$H$6,1,MATCH(1&amp;$B31,'Gastos com Pessoal'!$I$532:$AJ$532&amp;'Gastos com Pessoal'!$I$6:$AJ$6,0),500,1)),0)
+_xlfn.IFNA(SUM((U$3&gt;='Gastos com Pessoal'!$E$7:$E$506)*(U$3&lt;='Gastos com Pessoal'!$F$7:$F$506)*(IF('Gastos com Pessoal'!$M$7:$M$506&lt;=U$3,1,0))*OFFSET('Gastos com Pessoal'!$H$6,1,MATCH(2&amp;$B31,'Gastos com Pessoal'!$I$532:$AJ$532&amp;'Gastos com Pessoal'!$I$6:$AJ$6,0),500,1)),0)
+_xlfn.IFNA(SUM((U$3&gt;='Gastos com Pessoal'!$E$7:$E$506)*(U$3&lt;='Gastos com Pessoal'!$F$7:$F$506)*(IF('Gastos com Pessoal'!$S$7:$S$506&lt;=U$3,1,0))*OFFSET('Gastos com Pessoal'!$H$6,1,MATCH(3&amp;$B31,'Gastos com Pessoal'!$I$532:$AJ$532&amp;'Gastos com Pessoal'!$I$6:$AJ$6,0),500,1)),0)
+_xlfn.IFNA(SUM((U$3&gt;='Gastos com Pessoal'!$E$7:$E$506)*(U$3&lt;='Gastos com Pessoal'!$F$7:$F$506)*(IF('Gastos com Pessoal'!$Y$7:$Y$506&lt;=U$3,1,0))*OFFSET('Gastos com Pessoal'!$H$6,1,MATCH(4&amp;$B31,'Gastos com Pessoal'!$I$532:$AJ$532&amp;'Gastos com Pessoal'!$I$6:$AJ$6,0),500,1)),0)
+_xlfn.IFNA(SUM((U$3&gt;='Gastos com Pessoal'!$E$7:$E$506)*(U$3&lt;='Gastos com Pessoal'!$F$7:$F$506)*(IF('Gastos com Pessoal'!$AE$7:$AE$506&lt;=U$3,1,0))*OFFSET('Gastos com Pessoal'!$H$6,1,MATCH(5&amp;$B31,'Gastos com Pessoal'!$I$532:$AJ$532&amp;'Gastos com Pessoal'!$I$6:$AJ$6,0),500,1)),0)
+_xlfn.IFNA(SUM((U$3&gt;='Gastos com Pessoal'!$E$513:$E$522)*(U$3&lt;='Gastos com Pessoal'!$F$513:$F$522)*(IF('Gastos com Pessoal'!$G$513:$G$522&lt;=U$3,1,0))*OFFSET('Gastos com Pessoal'!$H$512,1,MATCH(1&amp;$B31,'Gastos com Pessoal'!$I$532:$AJ$532&amp;'Gastos com Pessoal'!$I$512:$AJ$512,0),10,1)),0)
+_xlfn.IFNA(SUM((U$3&gt;='Gastos com Pessoal'!$E$513:$E$522)*(U$3&lt;='Gastos com Pessoal'!$F$513:$F$522)*(IF('Gastos com Pessoal'!$M$513:$M$522&lt;=U$3,1,0))*OFFSET('Gastos com Pessoal'!$H$512,1,MATCH(2&amp;$B31,'Gastos com Pessoal'!$I$532:$AJ$532&amp;'Gastos com Pessoal'!$I$512:$AJ$512,0),10,1)),0)
+_xlfn.IFNA(SUM((U$3&gt;='Gastos com Pessoal'!$E$513:$E$522)*(U$3&lt;='Gastos com Pessoal'!$F$513:$F$522)*(IF('Gastos com Pessoal'!$S$513:$S$522&lt;=U$3,1,0))*OFFSET('Gastos com Pessoal'!$H$512,1,MATCH(3&amp;$B31,'Gastos com Pessoal'!$I$532:$AJ$532&amp;'Gastos com Pessoal'!$I$512:$AJ$512,0),10,1)),0)
+_xlfn.IFNA(SUM((U$3&gt;='Gastos com Pessoal'!$E$513:$E$522)*(U$3&lt;='Gastos com Pessoal'!$F$513:$F$522)*(IF('Gastos com Pessoal'!$Y$513:$Y$522&lt;=U$3,1,0))*OFFSET('Gastos com Pessoal'!$H$512,1,MATCH(4&amp;$B31,'Gastos com Pessoal'!$I$532:$AJ$532&amp;'Gastos com Pessoal'!$I$512:$AJ$512,0),10,1)),0)
+_xlfn.IFNA(SUM((U$3&gt;='Gastos com Pessoal'!$E$513:$E$522)*(U$3&lt;='Gastos com Pessoal'!$F$513:$F$522)*(IF('Gastos com Pessoal'!$AE$513:$AE$522&lt;=U$3,1,0))*OFFSET('Gastos com Pessoal'!$H$512,1,MATCH(5&amp;$B31,'Gastos com Pessoal'!$I$532:$AJ$532&amp;'Gastos com Pessoal'!$I$512:$AJ$512,0),10,1)),0)</f>
        <v>0</v>
      </c>
      <c r="V31" s="32">
        <f t="array" aca="1" ref="V31" ca="1">_xlfn.IFNA(SUM((V$3&gt;='Gastos com Pessoal'!$E$7:$E$506)*(V$3&lt;='Gastos com Pessoal'!$F$7:$F$506)*OFFSET('Encargos e Benefícios'!$D$5,1,MATCH($B31,'Encargos e Benefícios'!$E$5:$AB$5,0),500,1)),0)
+_xlfn.IFNA(SUM((V$3&gt;='Gastos com Pessoal'!$E$513:$E$522)*(V$3&lt;='Gastos com Pessoal'!$F$513:$F$522)*OFFSET('Encargos e Benefícios'!$D$511,1,MATCH($B31,'Encargos e Benefícios'!$E$511:$AB$511,0),10,1)),0)
+_xlfn.IFNA(SUM((V$3&gt;='Gastos com Pessoal'!$E$7:$E$506)*(V$3&lt;='Gastos com Pessoal'!$F$7:$F$506)*(IF('Gastos com Pessoal'!$G$7:$G$506&lt;=V$3,1,0))*OFFSET('Gastos com Pessoal'!$H$6,1,MATCH(1&amp;$B31,'Gastos com Pessoal'!$I$532:$AJ$532&amp;'Gastos com Pessoal'!$I$6:$AJ$6,0),500,1)),0)
+_xlfn.IFNA(SUM((V$3&gt;='Gastos com Pessoal'!$E$7:$E$506)*(V$3&lt;='Gastos com Pessoal'!$F$7:$F$506)*(IF('Gastos com Pessoal'!$M$7:$M$506&lt;=V$3,1,0))*OFFSET('Gastos com Pessoal'!$H$6,1,MATCH(2&amp;$B31,'Gastos com Pessoal'!$I$532:$AJ$532&amp;'Gastos com Pessoal'!$I$6:$AJ$6,0),500,1)),0)
+_xlfn.IFNA(SUM((V$3&gt;='Gastos com Pessoal'!$E$7:$E$506)*(V$3&lt;='Gastos com Pessoal'!$F$7:$F$506)*(IF('Gastos com Pessoal'!$S$7:$S$506&lt;=V$3,1,0))*OFFSET('Gastos com Pessoal'!$H$6,1,MATCH(3&amp;$B31,'Gastos com Pessoal'!$I$532:$AJ$532&amp;'Gastos com Pessoal'!$I$6:$AJ$6,0),500,1)),0)
+_xlfn.IFNA(SUM((V$3&gt;='Gastos com Pessoal'!$E$7:$E$506)*(V$3&lt;='Gastos com Pessoal'!$F$7:$F$506)*(IF('Gastos com Pessoal'!$Y$7:$Y$506&lt;=V$3,1,0))*OFFSET('Gastos com Pessoal'!$H$6,1,MATCH(4&amp;$B31,'Gastos com Pessoal'!$I$532:$AJ$532&amp;'Gastos com Pessoal'!$I$6:$AJ$6,0),500,1)),0)
+_xlfn.IFNA(SUM((V$3&gt;='Gastos com Pessoal'!$E$7:$E$506)*(V$3&lt;='Gastos com Pessoal'!$F$7:$F$506)*(IF('Gastos com Pessoal'!$AE$7:$AE$506&lt;=V$3,1,0))*OFFSET('Gastos com Pessoal'!$H$6,1,MATCH(5&amp;$B31,'Gastos com Pessoal'!$I$532:$AJ$532&amp;'Gastos com Pessoal'!$I$6:$AJ$6,0),500,1)),0)
+_xlfn.IFNA(SUM((V$3&gt;='Gastos com Pessoal'!$E$513:$E$522)*(V$3&lt;='Gastos com Pessoal'!$F$513:$F$522)*(IF('Gastos com Pessoal'!$G$513:$G$522&lt;=V$3,1,0))*OFFSET('Gastos com Pessoal'!$H$512,1,MATCH(1&amp;$B31,'Gastos com Pessoal'!$I$532:$AJ$532&amp;'Gastos com Pessoal'!$I$512:$AJ$512,0),10,1)),0)
+_xlfn.IFNA(SUM((V$3&gt;='Gastos com Pessoal'!$E$513:$E$522)*(V$3&lt;='Gastos com Pessoal'!$F$513:$F$522)*(IF('Gastos com Pessoal'!$M$513:$M$522&lt;=V$3,1,0))*OFFSET('Gastos com Pessoal'!$H$512,1,MATCH(2&amp;$B31,'Gastos com Pessoal'!$I$532:$AJ$532&amp;'Gastos com Pessoal'!$I$512:$AJ$512,0),10,1)),0)
+_xlfn.IFNA(SUM((V$3&gt;='Gastos com Pessoal'!$E$513:$E$522)*(V$3&lt;='Gastos com Pessoal'!$F$513:$F$522)*(IF('Gastos com Pessoal'!$S$513:$S$522&lt;=V$3,1,0))*OFFSET('Gastos com Pessoal'!$H$512,1,MATCH(3&amp;$B31,'Gastos com Pessoal'!$I$532:$AJ$532&amp;'Gastos com Pessoal'!$I$512:$AJ$512,0),10,1)),0)
+_xlfn.IFNA(SUM((V$3&gt;='Gastos com Pessoal'!$E$513:$E$522)*(V$3&lt;='Gastos com Pessoal'!$F$513:$F$522)*(IF('Gastos com Pessoal'!$Y$513:$Y$522&lt;=V$3,1,0))*OFFSET('Gastos com Pessoal'!$H$512,1,MATCH(4&amp;$B31,'Gastos com Pessoal'!$I$532:$AJ$532&amp;'Gastos com Pessoal'!$I$512:$AJ$512,0),10,1)),0)
+_xlfn.IFNA(SUM((V$3&gt;='Gastos com Pessoal'!$E$513:$E$522)*(V$3&lt;='Gastos com Pessoal'!$F$513:$F$522)*(IF('Gastos com Pessoal'!$AE$513:$AE$522&lt;=V$3,1,0))*OFFSET('Gastos com Pessoal'!$H$512,1,MATCH(5&amp;$B31,'Gastos com Pessoal'!$I$532:$AJ$532&amp;'Gastos com Pessoal'!$I$512:$AJ$512,0),10,1)),0)</f>
        <v>0</v>
      </c>
      <c r="W31" s="32">
        <f t="array" aca="1" ref="W31" ca="1">_xlfn.IFNA(SUM((W$3&gt;='Gastos com Pessoal'!$E$7:$E$506)*(W$3&lt;='Gastos com Pessoal'!$F$7:$F$506)*OFFSET('Encargos e Benefícios'!$D$5,1,MATCH($B31,'Encargos e Benefícios'!$E$5:$AB$5,0),500,1)),0)
+_xlfn.IFNA(SUM((W$3&gt;='Gastos com Pessoal'!$E$513:$E$522)*(W$3&lt;='Gastos com Pessoal'!$F$513:$F$522)*OFFSET('Encargos e Benefícios'!$D$511,1,MATCH($B31,'Encargos e Benefícios'!$E$511:$AB$511,0),10,1)),0)
+_xlfn.IFNA(SUM((W$3&gt;='Gastos com Pessoal'!$E$7:$E$506)*(W$3&lt;='Gastos com Pessoal'!$F$7:$F$506)*(IF('Gastos com Pessoal'!$G$7:$G$506&lt;=W$3,1,0))*OFFSET('Gastos com Pessoal'!$H$6,1,MATCH(1&amp;$B31,'Gastos com Pessoal'!$I$532:$AJ$532&amp;'Gastos com Pessoal'!$I$6:$AJ$6,0),500,1)),0)
+_xlfn.IFNA(SUM((W$3&gt;='Gastos com Pessoal'!$E$7:$E$506)*(W$3&lt;='Gastos com Pessoal'!$F$7:$F$506)*(IF('Gastos com Pessoal'!$M$7:$M$506&lt;=W$3,1,0))*OFFSET('Gastos com Pessoal'!$H$6,1,MATCH(2&amp;$B31,'Gastos com Pessoal'!$I$532:$AJ$532&amp;'Gastos com Pessoal'!$I$6:$AJ$6,0),500,1)),0)
+_xlfn.IFNA(SUM((W$3&gt;='Gastos com Pessoal'!$E$7:$E$506)*(W$3&lt;='Gastos com Pessoal'!$F$7:$F$506)*(IF('Gastos com Pessoal'!$S$7:$S$506&lt;=W$3,1,0))*OFFSET('Gastos com Pessoal'!$H$6,1,MATCH(3&amp;$B31,'Gastos com Pessoal'!$I$532:$AJ$532&amp;'Gastos com Pessoal'!$I$6:$AJ$6,0),500,1)),0)
+_xlfn.IFNA(SUM((W$3&gt;='Gastos com Pessoal'!$E$7:$E$506)*(W$3&lt;='Gastos com Pessoal'!$F$7:$F$506)*(IF('Gastos com Pessoal'!$Y$7:$Y$506&lt;=W$3,1,0))*OFFSET('Gastos com Pessoal'!$H$6,1,MATCH(4&amp;$B31,'Gastos com Pessoal'!$I$532:$AJ$532&amp;'Gastos com Pessoal'!$I$6:$AJ$6,0),500,1)),0)
+_xlfn.IFNA(SUM((W$3&gt;='Gastos com Pessoal'!$E$7:$E$506)*(W$3&lt;='Gastos com Pessoal'!$F$7:$F$506)*(IF('Gastos com Pessoal'!$AE$7:$AE$506&lt;=W$3,1,0))*OFFSET('Gastos com Pessoal'!$H$6,1,MATCH(5&amp;$B31,'Gastos com Pessoal'!$I$532:$AJ$532&amp;'Gastos com Pessoal'!$I$6:$AJ$6,0),500,1)),0)
+_xlfn.IFNA(SUM((W$3&gt;='Gastos com Pessoal'!$E$513:$E$522)*(W$3&lt;='Gastos com Pessoal'!$F$513:$F$522)*(IF('Gastos com Pessoal'!$G$513:$G$522&lt;=W$3,1,0))*OFFSET('Gastos com Pessoal'!$H$512,1,MATCH(1&amp;$B31,'Gastos com Pessoal'!$I$532:$AJ$532&amp;'Gastos com Pessoal'!$I$512:$AJ$512,0),10,1)),0)
+_xlfn.IFNA(SUM((W$3&gt;='Gastos com Pessoal'!$E$513:$E$522)*(W$3&lt;='Gastos com Pessoal'!$F$513:$F$522)*(IF('Gastos com Pessoal'!$M$513:$M$522&lt;=W$3,1,0))*OFFSET('Gastos com Pessoal'!$H$512,1,MATCH(2&amp;$B31,'Gastos com Pessoal'!$I$532:$AJ$532&amp;'Gastos com Pessoal'!$I$512:$AJ$512,0),10,1)),0)
+_xlfn.IFNA(SUM((W$3&gt;='Gastos com Pessoal'!$E$513:$E$522)*(W$3&lt;='Gastos com Pessoal'!$F$513:$F$522)*(IF('Gastos com Pessoal'!$S$513:$S$522&lt;=W$3,1,0))*OFFSET('Gastos com Pessoal'!$H$512,1,MATCH(3&amp;$B31,'Gastos com Pessoal'!$I$532:$AJ$532&amp;'Gastos com Pessoal'!$I$512:$AJ$512,0),10,1)),0)
+_xlfn.IFNA(SUM((W$3&gt;='Gastos com Pessoal'!$E$513:$E$522)*(W$3&lt;='Gastos com Pessoal'!$F$513:$F$522)*(IF('Gastos com Pessoal'!$Y$513:$Y$522&lt;=W$3,1,0))*OFFSET('Gastos com Pessoal'!$H$512,1,MATCH(4&amp;$B31,'Gastos com Pessoal'!$I$532:$AJ$532&amp;'Gastos com Pessoal'!$I$512:$AJ$512,0),10,1)),0)
+_xlfn.IFNA(SUM((W$3&gt;='Gastos com Pessoal'!$E$513:$E$522)*(W$3&lt;='Gastos com Pessoal'!$F$513:$F$522)*(IF('Gastos com Pessoal'!$AE$513:$AE$522&lt;=W$3,1,0))*OFFSET('Gastos com Pessoal'!$H$512,1,MATCH(5&amp;$B31,'Gastos com Pessoal'!$I$532:$AJ$532&amp;'Gastos com Pessoal'!$I$512:$AJ$512,0),10,1)),0)</f>
        <v>0</v>
      </c>
      <c r="X31" s="32">
        <f t="array" aca="1" ref="X31" ca="1">_xlfn.IFNA(SUM((X$3&gt;='Gastos com Pessoal'!$E$7:$E$506)*(X$3&lt;='Gastos com Pessoal'!$F$7:$F$506)*OFFSET('Encargos e Benefícios'!$D$5,1,MATCH($B31,'Encargos e Benefícios'!$E$5:$AB$5,0),500,1)),0)
+_xlfn.IFNA(SUM((X$3&gt;='Gastos com Pessoal'!$E$513:$E$522)*(X$3&lt;='Gastos com Pessoal'!$F$513:$F$522)*OFFSET('Encargos e Benefícios'!$D$511,1,MATCH($B31,'Encargos e Benefícios'!$E$511:$AB$511,0),10,1)),0)
+_xlfn.IFNA(SUM((X$3&gt;='Gastos com Pessoal'!$E$7:$E$506)*(X$3&lt;='Gastos com Pessoal'!$F$7:$F$506)*(IF('Gastos com Pessoal'!$G$7:$G$506&lt;=X$3,1,0))*OFFSET('Gastos com Pessoal'!$H$6,1,MATCH(1&amp;$B31,'Gastos com Pessoal'!$I$532:$AJ$532&amp;'Gastos com Pessoal'!$I$6:$AJ$6,0),500,1)),0)
+_xlfn.IFNA(SUM((X$3&gt;='Gastos com Pessoal'!$E$7:$E$506)*(X$3&lt;='Gastos com Pessoal'!$F$7:$F$506)*(IF('Gastos com Pessoal'!$M$7:$M$506&lt;=X$3,1,0))*OFFSET('Gastos com Pessoal'!$H$6,1,MATCH(2&amp;$B31,'Gastos com Pessoal'!$I$532:$AJ$532&amp;'Gastos com Pessoal'!$I$6:$AJ$6,0),500,1)),0)
+_xlfn.IFNA(SUM((X$3&gt;='Gastos com Pessoal'!$E$7:$E$506)*(X$3&lt;='Gastos com Pessoal'!$F$7:$F$506)*(IF('Gastos com Pessoal'!$S$7:$S$506&lt;=X$3,1,0))*OFFSET('Gastos com Pessoal'!$H$6,1,MATCH(3&amp;$B31,'Gastos com Pessoal'!$I$532:$AJ$532&amp;'Gastos com Pessoal'!$I$6:$AJ$6,0),500,1)),0)
+_xlfn.IFNA(SUM((X$3&gt;='Gastos com Pessoal'!$E$7:$E$506)*(X$3&lt;='Gastos com Pessoal'!$F$7:$F$506)*(IF('Gastos com Pessoal'!$Y$7:$Y$506&lt;=X$3,1,0))*OFFSET('Gastos com Pessoal'!$H$6,1,MATCH(4&amp;$B31,'Gastos com Pessoal'!$I$532:$AJ$532&amp;'Gastos com Pessoal'!$I$6:$AJ$6,0),500,1)),0)
+_xlfn.IFNA(SUM((X$3&gt;='Gastos com Pessoal'!$E$7:$E$506)*(X$3&lt;='Gastos com Pessoal'!$F$7:$F$506)*(IF('Gastos com Pessoal'!$AE$7:$AE$506&lt;=X$3,1,0))*OFFSET('Gastos com Pessoal'!$H$6,1,MATCH(5&amp;$B31,'Gastos com Pessoal'!$I$532:$AJ$532&amp;'Gastos com Pessoal'!$I$6:$AJ$6,0),500,1)),0)
+_xlfn.IFNA(SUM((X$3&gt;='Gastos com Pessoal'!$E$513:$E$522)*(X$3&lt;='Gastos com Pessoal'!$F$513:$F$522)*(IF('Gastos com Pessoal'!$G$513:$G$522&lt;=X$3,1,0))*OFFSET('Gastos com Pessoal'!$H$512,1,MATCH(1&amp;$B31,'Gastos com Pessoal'!$I$532:$AJ$532&amp;'Gastos com Pessoal'!$I$512:$AJ$512,0),10,1)),0)
+_xlfn.IFNA(SUM((X$3&gt;='Gastos com Pessoal'!$E$513:$E$522)*(X$3&lt;='Gastos com Pessoal'!$F$513:$F$522)*(IF('Gastos com Pessoal'!$M$513:$M$522&lt;=X$3,1,0))*OFFSET('Gastos com Pessoal'!$H$512,1,MATCH(2&amp;$B31,'Gastos com Pessoal'!$I$532:$AJ$532&amp;'Gastos com Pessoal'!$I$512:$AJ$512,0),10,1)),0)
+_xlfn.IFNA(SUM((X$3&gt;='Gastos com Pessoal'!$E$513:$E$522)*(X$3&lt;='Gastos com Pessoal'!$F$513:$F$522)*(IF('Gastos com Pessoal'!$S$513:$S$522&lt;=X$3,1,0))*OFFSET('Gastos com Pessoal'!$H$512,1,MATCH(3&amp;$B31,'Gastos com Pessoal'!$I$532:$AJ$532&amp;'Gastos com Pessoal'!$I$512:$AJ$512,0),10,1)),0)
+_xlfn.IFNA(SUM((X$3&gt;='Gastos com Pessoal'!$E$513:$E$522)*(X$3&lt;='Gastos com Pessoal'!$F$513:$F$522)*(IF('Gastos com Pessoal'!$Y$513:$Y$522&lt;=X$3,1,0))*OFFSET('Gastos com Pessoal'!$H$512,1,MATCH(4&amp;$B31,'Gastos com Pessoal'!$I$532:$AJ$532&amp;'Gastos com Pessoal'!$I$512:$AJ$512,0),10,1)),0)
+_xlfn.IFNA(SUM((X$3&gt;='Gastos com Pessoal'!$E$513:$E$522)*(X$3&lt;='Gastos com Pessoal'!$F$513:$F$522)*(IF('Gastos com Pessoal'!$AE$513:$AE$522&lt;=X$3,1,0))*OFFSET('Gastos com Pessoal'!$H$512,1,MATCH(5&amp;$B31,'Gastos com Pessoal'!$I$532:$AJ$532&amp;'Gastos com Pessoal'!$I$512:$AJ$512,0),10,1)),0)</f>
        <v>0</v>
      </c>
      <c r="Y31" s="32">
        <f t="array" aca="1" ref="Y31" ca="1">_xlfn.IFNA(SUM((Y$3&gt;='Gastos com Pessoal'!$E$7:$E$506)*(Y$3&lt;='Gastos com Pessoal'!$F$7:$F$506)*OFFSET('Encargos e Benefícios'!$D$5,1,MATCH($B31,'Encargos e Benefícios'!$E$5:$AB$5,0),500,1)),0)
+_xlfn.IFNA(SUM((Y$3&gt;='Gastos com Pessoal'!$E$513:$E$522)*(Y$3&lt;='Gastos com Pessoal'!$F$513:$F$522)*OFFSET('Encargos e Benefícios'!$D$511,1,MATCH($B31,'Encargos e Benefícios'!$E$511:$AB$511,0),10,1)),0)
+_xlfn.IFNA(SUM((Y$3&gt;='Gastos com Pessoal'!$E$7:$E$506)*(Y$3&lt;='Gastos com Pessoal'!$F$7:$F$506)*(IF('Gastos com Pessoal'!$G$7:$G$506&lt;=Y$3,1,0))*OFFSET('Gastos com Pessoal'!$H$6,1,MATCH(1&amp;$B31,'Gastos com Pessoal'!$I$532:$AJ$532&amp;'Gastos com Pessoal'!$I$6:$AJ$6,0),500,1)),0)
+_xlfn.IFNA(SUM((Y$3&gt;='Gastos com Pessoal'!$E$7:$E$506)*(Y$3&lt;='Gastos com Pessoal'!$F$7:$F$506)*(IF('Gastos com Pessoal'!$M$7:$M$506&lt;=Y$3,1,0))*OFFSET('Gastos com Pessoal'!$H$6,1,MATCH(2&amp;$B31,'Gastos com Pessoal'!$I$532:$AJ$532&amp;'Gastos com Pessoal'!$I$6:$AJ$6,0),500,1)),0)
+_xlfn.IFNA(SUM((Y$3&gt;='Gastos com Pessoal'!$E$7:$E$506)*(Y$3&lt;='Gastos com Pessoal'!$F$7:$F$506)*(IF('Gastos com Pessoal'!$S$7:$S$506&lt;=Y$3,1,0))*OFFSET('Gastos com Pessoal'!$H$6,1,MATCH(3&amp;$B31,'Gastos com Pessoal'!$I$532:$AJ$532&amp;'Gastos com Pessoal'!$I$6:$AJ$6,0),500,1)),0)
+_xlfn.IFNA(SUM((Y$3&gt;='Gastos com Pessoal'!$E$7:$E$506)*(Y$3&lt;='Gastos com Pessoal'!$F$7:$F$506)*(IF('Gastos com Pessoal'!$Y$7:$Y$506&lt;=Y$3,1,0))*OFFSET('Gastos com Pessoal'!$H$6,1,MATCH(4&amp;$B31,'Gastos com Pessoal'!$I$532:$AJ$532&amp;'Gastos com Pessoal'!$I$6:$AJ$6,0),500,1)),0)
+_xlfn.IFNA(SUM((Y$3&gt;='Gastos com Pessoal'!$E$7:$E$506)*(Y$3&lt;='Gastos com Pessoal'!$F$7:$F$506)*(IF('Gastos com Pessoal'!$AE$7:$AE$506&lt;=Y$3,1,0))*OFFSET('Gastos com Pessoal'!$H$6,1,MATCH(5&amp;$B31,'Gastos com Pessoal'!$I$532:$AJ$532&amp;'Gastos com Pessoal'!$I$6:$AJ$6,0),500,1)),0)
+_xlfn.IFNA(SUM((Y$3&gt;='Gastos com Pessoal'!$E$513:$E$522)*(Y$3&lt;='Gastos com Pessoal'!$F$513:$F$522)*(IF('Gastos com Pessoal'!$G$513:$G$522&lt;=Y$3,1,0))*OFFSET('Gastos com Pessoal'!$H$512,1,MATCH(1&amp;$B31,'Gastos com Pessoal'!$I$532:$AJ$532&amp;'Gastos com Pessoal'!$I$512:$AJ$512,0),10,1)),0)
+_xlfn.IFNA(SUM((Y$3&gt;='Gastos com Pessoal'!$E$513:$E$522)*(Y$3&lt;='Gastos com Pessoal'!$F$513:$F$522)*(IF('Gastos com Pessoal'!$M$513:$M$522&lt;=Y$3,1,0))*OFFSET('Gastos com Pessoal'!$H$512,1,MATCH(2&amp;$B31,'Gastos com Pessoal'!$I$532:$AJ$532&amp;'Gastos com Pessoal'!$I$512:$AJ$512,0),10,1)),0)
+_xlfn.IFNA(SUM((Y$3&gt;='Gastos com Pessoal'!$E$513:$E$522)*(Y$3&lt;='Gastos com Pessoal'!$F$513:$F$522)*(IF('Gastos com Pessoal'!$S$513:$S$522&lt;=Y$3,1,0))*OFFSET('Gastos com Pessoal'!$H$512,1,MATCH(3&amp;$B31,'Gastos com Pessoal'!$I$532:$AJ$532&amp;'Gastos com Pessoal'!$I$512:$AJ$512,0),10,1)),0)
+_xlfn.IFNA(SUM((Y$3&gt;='Gastos com Pessoal'!$E$513:$E$522)*(Y$3&lt;='Gastos com Pessoal'!$F$513:$F$522)*(IF('Gastos com Pessoal'!$Y$513:$Y$522&lt;=Y$3,1,0))*OFFSET('Gastos com Pessoal'!$H$512,1,MATCH(4&amp;$B31,'Gastos com Pessoal'!$I$532:$AJ$532&amp;'Gastos com Pessoal'!$I$512:$AJ$512,0),10,1)),0)
+_xlfn.IFNA(SUM((Y$3&gt;='Gastos com Pessoal'!$E$513:$E$522)*(Y$3&lt;='Gastos com Pessoal'!$F$513:$F$522)*(IF('Gastos com Pessoal'!$AE$513:$AE$522&lt;=Y$3,1,0))*OFFSET('Gastos com Pessoal'!$H$512,1,MATCH(5&amp;$B31,'Gastos com Pessoal'!$I$532:$AJ$532&amp;'Gastos com Pessoal'!$I$512:$AJ$512,0),10,1)),0)</f>
        <v>0</v>
      </c>
      <c r="Z31" s="32">
        <f t="array" aca="1" ref="Z31" ca="1">_xlfn.IFNA(SUM((Z$3&gt;='Gastos com Pessoal'!$E$7:$E$506)*(Z$3&lt;='Gastos com Pessoal'!$F$7:$F$506)*OFFSET('Encargos e Benefícios'!$D$5,1,MATCH($B31,'Encargos e Benefícios'!$E$5:$AB$5,0),500,1)),0)
+_xlfn.IFNA(SUM((Z$3&gt;='Gastos com Pessoal'!$E$513:$E$522)*(Z$3&lt;='Gastos com Pessoal'!$F$513:$F$522)*OFFSET('Encargos e Benefícios'!$D$511,1,MATCH($B31,'Encargos e Benefícios'!$E$511:$AB$511,0),10,1)),0)
+_xlfn.IFNA(SUM((Z$3&gt;='Gastos com Pessoal'!$E$7:$E$506)*(Z$3&lt;='Gastos com Pessoal'!$F$7:$F$506)*(IF('Gastos com Pessoal'!$G$7:$G$506&lt;=Z$3,1,0))*OFFSET('Gastos com Pessoal'!$H$6,1,MATCH(1&amp;$B31,'Gastos com Pessoal'!$I$532:$AJ$532&amp;'Gastos com Pessoal'!$I$6:$AJ$6,0),500,1)),0)
+_xlfn.IFNA(SUM((Z$3&gt;='Gastos com Pessoal'!$E$7:$E$506)*(Z$3&lt;='Gastos com Pessoal'!$F$7:$F$506)*(IF('Gastos com Pessoal'!$M$7:$M$506&lt;=Z$3,1,0))*OFFSET('Gastos com Pessoal'!$H$6,1,MATCH(2&amp;$B31,'Gastos com Pessoal'!$I$532:$AJ$532&amp;'Gastos com Pessoal'!$I$6:$AJ$6,0),500,1)),0)
+_xlfn.IFNA(SUM((Z$3&gt;='Gastos com Pessoal'!$E$7:$E$506)*(Z$3&lt;='Gastos com Pessoal'!$F$7:$F$506)*(IF('Gastos com Pessoal'!$S$7:$S$506&lt;=Z$3,1,0))*OFFSET('Gastos com Pessoal'!$H$6,1,MATCH(3&amp;$B31,'Gastos com Pessoal'!$I$532:$AJ$532&amp;'Gastos com Pessoal'!$I$6:$AJ$6,0),500,1)),0)
+_xlfn.IFNA(SUM((Z$3&gt;='Gastos com Pessoal'!$E$7:$E$506)*(Z$3&lt;='Gastos com Pessoal'!$F$7:$F$506)*(IF('Gastos com Pessoal'!$Y$7:$Y$506&lt;=Z$3,1,0))*OFFSET('Gastos com Pessoal'!$H$6,1,MATCH(4&amp;$B31,'Gastos com Pessoal'!$I$532:$AJ$532&amp;'Gastos com Pessoal'!$I$6:$AJ$6,0),500,1)),0)
+_xlfn.IFNA(SUM((Z$3&gt;='Gastos com Pessoal'!$E$7:$E$506)*(Z$3&lt;='Gastos com Pessoal'!$F$7:$F$506)*(IF('Gastos com Pessoal'!$AE$7:$AE$506&lt;=Z$3,1,0))*OFFSET('Gastos com Pessoal'!$H$6,1,MATCH(5&amp;$B31,'Gastos com Pessoal'!$I$532:$AJ$532&amp;'Gastos com Pessoal'!$I$6:$AJ$6,0),500,1)),0)
+_xlfn.IFNA(SUM((Z$3&gt;='Gastos com Pessoal'!$E$513:$E$522)*(Z$3&lt;='Gastos com Pessoal'!$F$513:$F$522)*(IF('Gastos com Pessoal'!$G$513:$G$522&lt;=Z$3,1,0))*OFFSET('Gastos com Pessoal'!$H$512,1,MATCH(1&amp;$B31,'Gastos com Pessoal'!$I$532:$AJ$532&amp;'Gastos com Pessoal'!$I$512:$AJ$512,0),10,1)),0)
+_xlfn.IFNA(SUM((Z$3&gt;='Gastos com Pessoal'!$E$513:$E$522)*(Z$3&lt;='Gastos com Pessoal'!$F$513:$F$522)*(IF('Gastos com Pessoal'!$M$513:$M$522&lt;=Z$3,1,0))*OFFSET('Gastos com Pessoal'!$H$512,1,MATCH(2&amp;$B31,'Gastos com Pessoal'!$I$532:$AJ$532&amp;'Gastos com Pessoal'!$I$512:$AJ$512,0),10,1)),0)
+_xlfn.IFNA(SUM((Z$3&gt;='Gastos com Pessoal'!$E$513:$E$522)*(Z$3&lt;='Gastos com Pessoal'!$F$513:$F$522)*(IF('Gastos com Pessoal'!$S$513:$S$522&lt;=Z$3,1,0))*OFFSET('Gastos com Pessoal'!$H$512,1,MATCH(3&amp;$B31,'Gastos com Pessoal'!$I$532:$AJ$532&amp;'Gastos com Pessoal'!$I$512:$AJ$512,0),10,1)),0)
+_xlfn.IFNA(SUM((Z$3&gt;='Gastos com Pessoal'!$E$513:$E$522)*(Z$3&lt;='Gastos com Pessoal'!$F$513:$F$522)*(IF('Gastos com Pessoal'!$Y$513:$Y$522&lt;=Z$3,1,0))*OFFSET('Gastos com Pessoal'!$H$512,1,MATCH(4&amp;$B31,'Gastos com Pessoal'!$I$532:$AJ$532&amp;'Gastos com Pessoal'!$I$512:$AJ$512,0),10,1)),0)
+_xlfn.IFNA(SUM((Z$3&gt;='Gastos com Pessoal'!$E$513:$E$522)*(Z$3&lt;='Gastos com Pessoal'!$F$513:$F$522)*(IF('Gastos com Pessoal'!$AE$513:$AE$522&lt;=Z$3,1,0))*OFFSET('Gastos com Pessoal'!$H$512,1,MATCH(5&amp;$B31,'Gastos com Pessoal'!$I$532:$AJ$532&amp;'Gastos com Pessoal'!$I$512:$AJ$512,0),10,1)),0)</f>
        <v>0</v>
      </c>
      <c r="AA31" s="32">
        <f t="array" aca="1" ref="AA31" ca="1">_xlfn.IFNA(SUM((AA$3&gt;='Gastos com Pessoal'!$E$7:$E$506)*(AA$3&lt;='Gastos com Pessoal'!$F$7:$F$506)*OFFSET('Encargos e Benefícios'!$D$5,1,MATCH($B31,'Encargos e Benefícios'!$E$5:$AB$5,0),500,1)),0)
+_xlfn.IFNA(SUM((AA$3&gt;='Gastos com Pessoal'!$E$513:$E$522)*(AA$3&lt;='Gastos com Pessoal'!$F$513:$F$522)*OFFSET('Encargos e Benefícios'!$D$511,1,MATCH($B31,'Encargos e Benefícios'!$E$511:$AB$511,0),10,1)),0)
+_xlfn.IFNA(SUM((AA$3&gt;='Gastos com Pessoal'!$E$7:$E$506)*(AA$3&lt;='Gastos com Pessoal'!$F$7:$F$506)*(IF('Gastos com Pessoal'!$G$7:$G$506&lt;=AA$3,1,0))*OFFSET('Gastos com Pessoal'!$H$6,1,MATCH(1&amp;$B31,'Gastos com Pessoal'!$I$532:$AJ$532&amp;'Gastos com Pessoal'!$I$6:$AJ$6,0),500,1)),0)
+_xlfn.IFNA(SUM((AA$3&gt;='Gastos com Pessoal'!$E$7:$E$506)*(AA$3&lt;='Gastos com Pessoal'!$F$7:$F$506)*(IF('Gastos com Pessoal'!$M$7:$M$506&lt;=AA$3,1,0))*OFFSET('Gastos com Pessoal'!$H$6,1,MATCH(2&amp;$B31,'Gastos com Pessoal'!$I$532:$AJ$532&amp;'Gastos com Pessoal'!$I$6:$AJ$6,0),500,1)),0)
+_xlfn.IFNA(SUM((AA$3&gt;='Gastos com Pessoal'!$E$7:$E$506)*(AA$3&lt;='Gastos com Pessoal'!$F$7:$F$506)*(IF('Gastos com Pessoal'!$S$7:$S$506&lt;=AA$3,1,0))*OFFSET('Gastos com Pessoal'!$H$6,1,MATCH(3&amp;$B31,'Gastos com Pessoal'!$I$532:$AJ$532&amp;'Gastos com Pessoal'!$I$6:$AJ$6,0),500,1)),0)
+_xlfn.IFNA(SUM((AA$3&gt;='Gastos com Pessoal'!$E$7:$E$506)*(AA$3&lt;='Gastos com Pessoal'!$F$7:$F$506)*(IF('Gastos com Pessoal'!$Y$7:$Y$506&lt;=AA$3,1,0))*OFFSET('Gastos com Pessoal'!$H$6,1,MATCH(4&amp;$B31,'Gastos com Pessoal'!$I$532:$AJ$532&amp;'Gastos com Pessoal'!$I$6:$AJ$6,0),500,1)),0)
+_xlfn.IFNA(SUM((AA$3&gt;='Gastos com Pessoal'!$E$7:$E$506)*(AA$3&lt;='Gastos com Pessoal'!$F$7:$F$506)*(IF('Gastos com Pessoal'!$AE$7:$AE$506&lt;=AA$3,1,0))*OFFSET('Gastos com Pessoal'!$H$6,1,MATCH(5&amp;$B31,'Gastos com Pessoal'!$I$532:$AJ$532&amp;'Gastos com Pessoal'!$I$6:$AJ$6,0),500,1)),0)
+_xlfn.IFNA(SUM((AA$3&gt;='Gastos com Pessoal'!$E$513:$E$522)*(AA$3&lt;='Gastos com Pessoal'!$F$513:$F$522)*(IF('Gastos com Pessoal'!$G$513:$G$522&lt;=AA$3,1,0))*OFFSET('Gastos com Pessoal'!$H$512,1,MATCH(1&amp;$B31,'Gastos com Pessoal'!$I$532:$AJ$532&amp;'Gastos com Pessoal'!$I$512:$AJ$512,0),10,1)),0)
+_xlfn.IFNA(SUM((AA$3&gt;='Gastos com Pessoal'!$E$513:$E$522)*(AA$3&lt;='Gastos com Pessoal'!$F$513:$F$522)*(IF('Gastos com Pessoal'!$M$513:$M$522&lt;=AA$3,1,0))*OFFSET('Gastos com Pessoal'!$H$512,1,MATCH(2&amp;$B31,'Gastos com Pessoal'!$I$532:$AJ$532&amp;'Gastos com Pessoal'!$I$512:$AJ$512,0),10,1)),0)
+_xlfn.IFNA(SUM((AA$3&gt;='Gastos com Pessoal'!$E$513:$E$522)*(AA$3&lt;='Gastos com Pessoal'!$F$513:$F$522)*(IF('Gastos com Pessoal'!$S$513:$S$522&lt;=AA$3,1,0))*OFFSET('Gastos com Pessoal'!$H$512,1,MATCH(3&amp;$B31,'Gastos com Pessoal'!$I$532:$AJ$532&amp;'Gastos com Pessoal'!$I$512:$AJ$512,0),10,1)),0)
+_xlfn.IFNA(SUM((AA$3&gt;='Gastos com Pessoal'!$E$513:$E$522)*(AA$3&lt;='Gastos com Pessoal'!$F$513:$F$522)*(IF('Gastos com Pessoal'!$Y$513:$Y$522&lt;=AA$3,1,0))*OFFSET('Gastos com Pessoal'!$H$512,1,MATCH(4&amp;$B31,'Gastos com Pessoal'!$I$532:$AJ$532&amp;'Gastos com Pessoal'!$I$512:$AJ$512,0),10,1)),0)
+_xlfn.IFNA(SUM((AA$3&gt;='Gastos com Pessoal'!$E$513:$E$522)*(AA$3&lt;='Gastos com Pessoal'!$F$513:$F$522)*(IF('Gastos com Pessoal'!$AE$513:$AE$522&lt;=AA$3,1,0))*OFFSET('Gastos com Pessoal'!$H$512,1,MATCH(5&amp;$B31,'Gastos com Pessoal'!$I$532:$AJ$532&amp;'Gastos com Pessoal'!$I$512:$AJ$512,0),10,1)),0)</f>
        <v>0</v>
      </c>
      <c r="AB31" s="32">
        <f t="array" aca="1" ref="AB31" ca="1">_xlfn.IFNA(SUM((AB$3&gt;='Gastos com Pessoal'!$E$7:$E$506)*(AB$3&lt;='Gastos com Pessoal'!$F$7:$F$506)*OFFSET('Encargos e Benefícios'!$D$5,1,MATCH($B31,'Encargos e Benefícios'!$E$5:$AB$5,0),500,1)),0)
+_xlfn.IFNA(SUM((AB$3&gt;='Gastos com Pessoal'!$E$513:$E$522)*(AB$3&lt;='Gastos com Pessoal'!$F$513:$F$522)*OFFSET('Encargos e Benefícios'!$D$511,1,MATCH($B31,'Encargos e Benefícios'!$E$511:$AB$511,0),10,1)),0)
+_xlfn.IFNA(SUM((AB$3&gt;='Gastos com Pessoal'!$E$7:$E$506)*(AB$3&lt;='Gastos com Pessoal'!$F$7:$F$506)*(IF('Gastos com Pessoal'!$G$7:$G$506&lt;=AB$3,1,0))*OFFSET('Gastos com Pessoal'!$H$6,1,MATCH(1&amp;$B31,'Gastos com Pessoal'!$I$532:$AJ$532&amp;'Gastos com Pessoal'!$I$6:$AJ$6,0),500,1)),0)
+_xlfn.IFNA(SUM((AB$3&gt;='Gastos com Pessoal'!$E$7:$E$506)*(AB$3&lt;='Gastos com Pessoal'!$F$7:$F$506)*(IF('Gastos com Pessoal'!$M$7:$M$506&lt;=AB$3,1,0))*OFFSET('Gastos com Pessoal'!$H$6,1,MATCH(2&amp;$B31,'Gastos com Pessoal'!$I$532:$AJ$532&amp;'Gastos com Pessoal'!$I$6:$AJ$6,0),500,1)),0)
+_xlfn.IFNA(SUM((AB$3&gt;='Gastos com Pessoal'!$E$7:$E$506)*(AB$3&lt;='Gastos com Pessoal'!$F$7:$F$506)*(IF('Gastos com Pessoal'!$S$7:$S$506&lt;=AB$3,1,0))*OFFSET('Gastos com Pessoal'!$H$6,1,MATCH(3&amp;$B31,'Gastos com Pessoal'!$I$532:$AJ$532&amp;'Gastos com Pessoal'!$I$6:$AJ$6,0),500,1)),0)
+_xlfn.IFNA(SUM((AB$3&gt;='Gastos com Pessoal'!$E$7:$E$506)*(AB$3&lt;='Gastos com Pessoal'!$F$7:$F$506)*(IF('Gastos com Pessoal'!$Y$7:$Y$506&lt;=AB$3,1,0))*OFFSET('Gastos com Pessoal'!$H$6,1,MATCH(4&amp;$B31,'Gastos com Pessoal'!$I$532:$AJ$532&amp;'Gastos com Pessoal'!$I$6:$AJ$6,0),500,1)),0)
+_xlfn.IFNA(SUM((AB$3&gt;='Gastos com Pessoal'!$E$7:$E$506)*(AB$3&lt;='Gastos com Pessoal'!$F$7:$F$506)*(IF('Gastos com Pessoal'!$AE$7:$AE$506&lt;=AB$3,1,0))*OFFSET('Gastos com Pessoal'!$H$6,1,MATCH(5&amp;$B31,'Gastos com Pessoal'!$I$532:$AJ$532&amp;'Gastos com Pessoal'!$I$6:$AJ$6,0),500,1)),0)
+_xlfn.IFNA(SUM((AB$3&gt;='Gastos com Pessoal'!$E$513:$E$522)*(AB$3&lt;='Gastos com Pessoal'!$F$513:$F$522)*(IF('Gastos com Pessoal'!$G$513:$G$522&lt;=AB$3,1,0))*OFFSET('Gastos com Pessoal'!$H$512,1,MATCH(1&amp;$B31,'Gastos com Pessoal'!$I$532:$AJ$532&amp;'Gastos com Pessoal'!$I$512:$AJ$512,0),10,1)),0)
+_xlfn.IFNA(SUM((AB$3&gt;='Gastos com Pessoal'!$E$513:$E$522)*(AB$3&lt;='Gastos com Pessoal'!$F$513:$F$522)*(IF('Gastos com Pessoal'!$M$513:$M$522&lt;=AB$3,1,0))*OFFSET('Gastos com Pessoal'!$H$512,1,MATCH(2&amp;$B31,'Gastos com Pessoal'!$I$532:$AJ$532&amp;'Gastos com Pessoal'!$I$512:$AJ$512,0),10,1)),0)
+_xlfn.IFNA(SUM((AB$3&gt;='Gastos com Pessoal'!$E$513:$E$522)*(AB$3&lt;='Gastos com Pessoal'!$F$513:$F$522)*(IF('Gastos com Pessoal'!$S$513:$S$522&lt;=AB$3,1,0))*OFFSET('Gastos com Pessoal'!$H$512,1,MATCH(3&amp;$B31,'Gastos com Pessoal'!$I$532:$AJ$532&amp;'Gastos com Pessoal'!$I$512:$AJ$512,0),10,1)),0)
+_xlfn.IFNA(SUM((AB$3&gt;='Gastos com Pessoal'!$E$513:$E$522)*(AB$3&lt;='Gastos com Pessoal'!$F$513:$F$522)*(IF('Gastos com Pessoal'!$Y$513:$Y$522&lt;=AB$3,1,0))*OFFSET('Gastos com Pessoal'!$H$512,1,MATCH(4&amp;$B31,'Gastos com Pessoal'!$I$532:$AJ$532&amp;'Gastos com Pessoal'!$I$512:$AJ$512,0),10,1)),0)
+_xlfn.IFNA(SUM((AB$3&gt;='Gastos com Pessoal'!$E$513:$E$522)*(AB$3&lt;='Gastos com Pessoal'!$F$513:$F$522)*(IF('Gastos com Pessoal'!$AE$513:$AE$522&lt;=AB$3,1,0))*OFFSET('Gastos com Pessoal'!$H$512,1,MATCH(5&amp;$B31,'Gastos com Pessoal'!$I$532:$AJ$532&amp;'Gastos com Pessoal'!$I$512:$AJ$512,0),10,1)),0)</f>
        <v>0</v>
      </c>
      <c r="AC31" s="32">
        <f t="array" aca="1" ref="AC31" ca="1">_xlfn.IFNA(SUM((AC$3&gt;='Gastos com Pessoal'!$E$7:$E$506)*(AC$3&lt;='Gastos com Pessoal'!$F$7:$F$506)*OFFSET('Encargos e Benefícios'!$D$5,1,MATCH($B31,'Encargos e Benefícios'!$E$5:$AB$5,0),500,1)),0)
+_xlfn.IFNA(SUM((AC$3&gt;='Gastos com Pessoal'!$E$513:$E$522)*(AC$3&lt;='Gastos com Pessoal'!$F$513:$F$522)*OFFSET('Encargos e Benefícios'!$D$511,1,MATCH($B31,'Encargos e Benefícios'!$E$511:$AB$511,0),10,1)),0)
+_xlfn.IFNA(SUM((AC$3&gt;='Gastos com Pessoal'!$E$7:$E$506)*(AC$3&lt;='Gastos com Pessoal'!$F$7:$F$506)*(IF('Gastos com Pessoal'!$G$7:$G$506&lt;=AC$3,1,0))*OFFSET('Gastos com Pessoal'!$H$6,1,MATCH(1&amp;$B31,'Gastos com Pessoal'!$I$532:$AJ$532&amp;'Gastos com Pessoal'!$I$6:$AJ$6,0),500,1)),0)
+_xlfn.IFNA(SUM((AC$3&gt;='Gastos com Pessoal'!$E$7:$E$506)*(AC$3&lt;='Gastos com Pessoal'!$F$7:$F$506)*(IF('Gastos com Pessoal'!$M$7:$M$506&lt;=AC$3,1,0))*OFFSET('Gastos com Pessoal'!$H$6,1,MATCH(2&amp;$B31,'Gastos com Pessoal'!$I$532:$AJ$532&amp;'Gastos com Pessoal'!$I$6:$AJ$6,0),500,1)),0)
+_xlfn.IFNA(SUM((AC$3&gt;='Gastos com Pessoal'!$E$7:$E$506)*(AC$3&lt;='Gastos com Pessoal'!$F$7:$F$506)*(IF('Gastos com Pessoal'!$S$7:$S$506&lt;=AC$3,1,0))*OFFSET('Gastos com Pessoal'!$H$6,1,MATCH(3&amp;$B31,'Gastos com Pessoal'!$I$532:$AJ$532&amp;'Gastos com Pessoal'!$I$6:$AJ$6,0),500,1)),0)
+_xlfn.IFNA(SUM((AC$3&gt;='Gastos com Pessoal'!$E$7:$E$506)*(AC$3&lt;='Gastos com Pessoal'!$F$7:$F$506)*(IF('Gastos com Pessoal'!$Y$7:$Y$506&lt;=AC$3,1,0))*OFFSET('Gastos com Pessoal'!$H$6,1,MATCH(4&amp;$B31,'Gastos com Pessoal'!$I$532:$AJ$532&amp;'Gastos com Pessoal'!$I$6:$AJ$6,0),500,1)),0)
+_xlfn.IFNA(SUM((AC$3&gt;='Gastos com Pessoal'!$E$7:$E$506)*(AC$3&lt;='Gastos com Pessoal'!$F$7:$F$506)*(IF('Gastos com Pessoal'!$AE$7:$AE$506&lt;=AC$3,1,0))*OFFSET('Gastos com Pessoal'!$H$6,1,MATCH(5&amp;$B31,'Gastos com Pessoal'!$I$532:$AJ$532&amp;'Gastos com Pessoal'!$I$6:$AJ$6,0),500,1)),0)
+_xlfn.IFNA(SUM((AC$3&gt;='Gastos com Pessoal'!$E$513:$E$522)*(AC$3&lt;='Gastos com Pessoal'!$F$513:$F$522)*(IF('Gastos com Pessoal'!$G$513:$G$522&lt;=AC$3,1,0))*OFFSET('Gastos com Pessoal'!$H$512,1,MATCH(1&amp;$B31,'Gastos com Pessoal'!$I$532:$AJ$532&amp;'Gastos com Pessoal'!$I$512:$AJ$512,0),10,1)),0)
+_xlfn.IFNA(SUM((AC$3&gt;='Gastos com Pessoal'!$E$513:$E$522)*(AC$3&lt;='Gastos com Pessoal'!$F$513:$F$522)*(IF('Gastos com Pessoal'!$M$513:$M$522&lt;=AC$3,1,0))*OFFSET('Gastos com Pessoal'!$H$512,1,MATCH(2&amp;$B31,'Gastos com Pessoal'!$I$532:$AJ$532&amp;'Gastos com Pessoal'!$I$512:$AJ$512,0),10,1)),0)
+_xlfn.IFNA(SUM((AC$3&gt;='Gastos com Pessoal'!$E$513:$E$522)*(AC$3&lt;='Gastos com Pessoal'!$F$513:$F$522)*(IF('Gastos com Pessoal'!$S$513:$S$522&lt;=AC$3,1,0))*OFFSET('Gastos com Pessoal'!$H$512,1,MATCH(3&amp;$B31,'Gastos com Pessoal'!$I$532:$AJ$532&amp;'Gastos com Pessoal'!$I$512:$AJ$512,0),10,1)),0)
+_xlfn.IFNA(SUM((AC$3&gt;='Gastos com Pessoal'!$E$513:$E$522)*(AC$3&lt;='Gastos com Pessoal'!$F$513:$F$522)*(IF('Gastos com Pessoal'!$Y$513:$Y$522&lt;=AC$3,1,0))*OFFSET('Gastos com Pessoal'!$H$512,1,MATCH(4&amp;$B31,'Gastos com Pessoal'!$I$532:$AJ$532&amp;'Gastos com Pessoal'!$I$512:$AJ$512,0),10,1)),0)
+_xlfn.IFNA(SUM((AC$3&gt;='Gastos com Pessoal'!$E$513:$E$522)*(AC$3&lt;='Gastos com Pessoal'!$F$513:$F$522)*(IF('Gastos com Pessoal'!$AE$513:$AE$522&lt;=AC$3,1,0))*OFFSET('Gastos com Pessoal'!$H$512,1,MATCH(5&amp;$B31,'Gastos com Pessoal'!$I$532:$AJ$532&amp;'Gastos com Pessoal'!$I$512:$AJ$512,0),10,1)),0)</f>
        <v>0</v>
      </c>
      <c r="AD31" s="32">
        <f t="array" aca="1" ref="AD31" ca="1">_xlfn.IFNA(SUM((AD$3&gt;='Gastos com Pessoal'!$E$7:$E$506)*(AD$3&lt;='Gastos com Pessoal'!$F$7:$F$506)*OFFSET('Encargos e Benefícios'!$D$5,1,MATCH($B31,'Encargos e Benefícios'!$E$5:$AB$5,0),500,1)),0)
+_xlfn.IFNA(SUM((AD$3&gt;='Gastos com Pessoal'!$E$513:$E$522)*(AD$3&lt;='Gastos com Pessoal'!$F$513:$F$522)*OFFSET('Encargos e Benefícios'!$D$511,1,MATCH($B31,'Encargos e Benefícios'!$E$511:$AB$511,0),10,1)),0)
+_xlfn.IFNA(SUM((AD$3&gt;='Gastos com Pessoal'!$E$7:$E$506)*(AD$3&lt;='Gastos com Pessoal'!$F$7:$F$506)*(IF('Gastos com Pessoal'!$G$7:$G$506&lt;=AD$3,1,0))*OFFSET('Gastos com Pessoal'!$H$6,1,MATCH(1&amp;$B31,'Gastos com Pessoal'!$I$532:$AJ$532&amp;'Gastos com Pessoal'!$I$6:$AJ$6,0),500,1)),0)
+_xlfn.IFNA(SUM((AD$3&gt;='Gastos com Pessoal'!$E$7:$E$506)*(AD$3&lt;='Gastos com Pessoal'!$F$7:$F$506)*(IF('Gastos com Pessoal'!$M$7:$M$506&lt;=AD$3,1,0))*OFFSET('Gastos com Pessoal'!$H$6,1,MATCH(2&amp;$B31,'Gastos com Pessoal'!$I$532:$AJ$532&amp;'Gastos com Pessoal'!$I$6:$AJ$6,0),500,1)),0)
+_xlfn.IFNA(SUM((AD$3&gt;='Gastos com Pessoal'!$E$7:$E$506)*(AD$3&lt;='Gastos com Pessoal'!$F$7:$F$506)*(IF('Gastos com Pessoal'!$S$7:$S$506&lt;=AD$3,1,0))*OFFSET('Gastos com Pessoal'!$H$6,1,MATCH(3&amp;$B31,'Gastos com Pessoal'!$I$532:$AJ$532&amp;'Gastos com Pessoal'!$I$6:$AJ$6,0),500,1)),0)
+_xlfn.IFNA(SUM((AD$3&gt;='Gastos com Pessoal'!$E$7:$E$506)*(AD$3&lt;='Gastos com Pessoal'!$F$7:$F$506)*(IF('Gastos com Pessoal'!$Y$7:$Y$506&lt;=AD$3,1,0))*OFFSET('Gastos com Pessoal'!$H$6,1,MATCH(4&amp;$B31,'Gastos com Pessoal'!$I$532:$AJ$532&amp;'Gastos com Pessoal'!$I$6:$AJ$6,0),500,1)),0)
+_xlfn.IFNA(SUM((AD$3&gt;='Gastos com Pessoal'!$E$7:$E$506)*(AD$3&lt;='Gastos com Pessoal'!$F$7:$F$506)*(IF('Gastos com Pessoal'!$AE$7:$AE$506&lt;=AD$3,1,0))*OFFSET('Gastos com Pessoal'!$H$6,1,MATCH(5&amp;$B31,'Gastos com Pessoal'!$I$532:$AJ$532&amp;'Gastos com Pessoal'!$I$6:$AJ$6,0),500,1)),0)
+_xlfn.IFNA(SUM((AD$3&gt;='Gastos com Pessoal'!$E$513:$E$522)*(AD$3&lt;='Gastos com Pessoal'!$F$513:$F$522)*(IF('Gastos com Pessoal'!$G$513:$G$522&lt;=AD$3,1,0))*OFFSET('Gastos com Pessoal'!$H$512,1,MATCH(1&amp;$B31,'Gastos com Pessoal'!$I$532:$AJ$532&amp;'Gastos com Pessoal'!$I$512:$AJ$512,0),10,1)),0)
+_xlfn.IFNA(SUM((AD$3&gt;='Gastos com Pessoal'!$E$513:$E$522)*(AD$3&lt;='Gastos com Pessoal'!$F$513:$F$522)*(IF('Gastos com Pessoal'!$M$513:$M$522&lt;=AD$3,1,0))*OFFSET('Gastos com Pessoal'!$H$512,1,MATCH(2&amp;$B31,'Gastos com Pessoal'!$I$532:$AJ$532&amp;'Gastos com Pessoal'!$I$512:$AJ$512,0),10,1)),0)
+_xlfn.IFNA(SUM((AD$3&gt;='Gastos com Pessoal'!$E$513:$E$522)*(AD$3&lt;='Gastos com Pessoal'!$F$513:$F$522)*(IF('Gastos com Pessoal'!$S$513:$S$522&lt;=AD$3,1,0))*OFFSET('Gastos com Pessoal'!$H$512,1,MATCH(3&amp;$B31,'Gastos com Pessoal'!$I$532:$AJ$532&amp;'Gastos com Pessoal'!$I$512:$AJ$512,0),10,1)),0)
+_xlfn.IFNA(SUM((AD$3&gt;='Gastos com Pessoal'!$E$513:$E$522)*(AD$3&lt;='Gastos com Pessoal'!$F$513:$F$522)*(IF('Gastos com Pessoal'!$Y$513:$Y$522&lt;=AD$3,1,0))*OFFSET('Gastos com Pessoal'!$H$512,1,MATCH(4&amp;$B31,'Gastos com Pessoal'!$I$532:$AJ$532&amp;'Gastos com Pessoal'!$I$512:$AJ$512,0),10,1)),0)
+_xlfn.IFNA(SUM((AD$3&gt;='Gastos com Pessoal'!$E$513:$E$522)*(AD$3&lt;='Gastos com Pessoal'!$F$513:$F$522)*(IF('Gastos com Pessoal'!$AE$513:$AE$522&lt;=AD$3,1,0))*OFFSET('Gastos com Pessoal'!$H$512,1,MATCH(5&amp;$B31,'Gastos com Pessoal'!$I$532:$AJ$532&amp;'Gastos com Pessoal'!$I$512:$AJ$512,0),10,1)),0)</f>
        <v>0</v>
      </c>
      <c r="AE31" s="32">
        <f t="array" aca="1" ref="AE31" ca="1">_xlfn.IFNA(SUM((AE$3&gt;='Gastos com Pessoal'!$E$7:$E$506)*(AE$3&lt;='Gastos com Pessoal'!$F$7:$F$506)*OFFSET('Encargos e Benefícios'!$D$5,1,MATCH($B31,'Encargos e Benefícios'!$E$5:$AB$5,0),500,1)),0)
+_xlfn.IFNA(SUM((AE$3&gt;='Gastos com Pessoal'!$E$513:$E$522)*(AE$3&lt;='Gastos com Pessoal'!$F$513:$F$522)*OFFSET('Encargos e Benefícios'!$D$511,1,MATCH($B31,'Encargos e Benefícios'!$E$511:$AB$511,0),10,1)),0)
+_xlfn.IFNA(SUM((AE$3&gt;='Gastos com Pessoal'!$E$7:$E$506)*(AE$3&lt;='Gastos com Pessoal'!$F$7:$F$506)*(IF('Gastos com Pessoal'!$G$7:$G$506&lt;=AE$3,1,0))*OFFSET('Gastos com Pessoal'!$H$6,1,MATCH(1&amp;$B31,'Gastos com Pessoal'!$I$532:$AJ$532&amp;'Gastos com Pessoal'!$I$6:$AJ$6,0),500,1)),0)
+_xlfn.IFNA(SUM((AE$3&gt;='Gastos com Pessoal'!$E$7:$E$506)*(AE$3&lt;='Gastos com Pessoal'!$F$7:$F$506)*(IF('Gastos com Pessoal'!$M$7:$M$506&lt;=AE$3,1,0))*OFFSET('Gastos com Pessoal'!$H$6,1,MATCH(2&amp;$B31,'Gastos com Pessoal'!$I$532:$AJ$532&amp;'Gastos com Pessoal'!$I$6:$AJ$6,0),500,1)),0)
+_xlfn.IFNA(SUM((AE$3&gt;='Gastos com Pessoal'!$E$7:$E$506)*(AE$3&lt;='Gastos com Pessoal'!$F$7:$F$506)*(IF('Gastos com Pessoal'!$S$7:$S$506&lt;=AE$3,1,0))*OFFSET('Gastos com Pessoal'!$H$6,1,MATCH(3&amp;$B31,'Gastos com Pessoal'!$I$532:$AJ$532&amp;'Gastos com Pessoal'!$I$6:$AJ$6,0),500,1)),0)
+_xlfn.IFNA(SUM((AE$3&gt;='Gastos com Pessoal'!$E$7:$E$506)*(AE$3&lt;='Gastos com Pessoal'!$F$7:$F$506)*(IF('Gastos com Pessoal'!$Y$7:$Y$506&lt;=AE$3,1,0))*OFFSET('Gastos com Pessoal'!$H$6,1,MATCH(4&amp;$B31,'Gastos com Pessoal'!$I$532:$AJ$532&amp;'Gastos com Pessoal'!$I$6:$AJ$6,0),500,1)),0)
+_xlfn.IFNA(SUM((AE$3&gt;='Gastos com Pessoal'!$E$7:$E$506)*(AE$3&lt;='Gastos com Pessoal'!$F$7:$F$506)*(IF('Gastos com Pessoal'!$AE$7:$AE$506&lt;=AE$3,1,0))*OFFSET('Gastos com Pessoal'!$H$6,1,MATCH(5&amp;$B31,'Gastos com Pessoal'!$I$532:$AJ$532&amp;'Gastos com Pessoal'!$I$6:$AJ$6,0),500,1)),0)
+_xlfn.IFNA(SUM((AE$3&gt;='Gastos com Pessoal'!$E$513:$E$522)*(AE$3&lt;='Gastos com Pessoal'!$F$513:$F$522)*(IF('Gastos com Pessoal'!$G$513:$G$522&lt;=AE$3,1,0))*OFFSET('Gastos com Pessoal'!$H$512,1,MATCH(1&amp;$B31,'Gastos com Pessoal'!$I$532:$AJ$532&amp;'Gastos com Pessoal'!$I$512:$AJ$512,0),10,1)),0)
+_xlfn.IFNA(SUM((AE$3&gt;='Gastos com Pessoal'!$E$513:$E$522)*(AE$3&lt;='Gastos com Pessoal'!$F$513:$F$522)*(IF('Gastos com Pessoal'!$M$513:$M$522&lt;=AE$3,1,0))*OFFSET('Gastos com Pessoal'!$H$512,1,MATCH(2&amp;$B31,'Gastos com Pessoal'!$I$532:$AJ$532&amp;'Gastos com Pessoal'!$I$512:$AJ$512,0),10,1)),0)
+_xlfn.IFNA(SUM((AE$3&gt;='Gastos com Pessoal'!$E$513:$E$522)*(AE$3&lt;='Gastos com Pessoal'!$F$513:$F$522)*(IF('Gastos com Pessoal'!$S$513:$S$522&lt;=AE$3,1,0))*OFFSET('Gastos com Pessoal'!$H$512,1,MATCH(3&amp;$B31,'Gastos com Pessoal'!$I$532:$AJ$532&amp;'Gastos com Pessoal'!$I$512:$AJ$512,0),10,1)),0)
+_xlfn.IFNA(SUM((AE$3&gt;='Gastos com Pessoal'!$E$513:$E$522)*(AE$3&lt;='Gastos com Pessoal'!$F$513:$F$522)*(IF('Gastos com Pessoal'!$Y$513:$Y$522&lt;=AE$3,1,0))*OFFSET('Gastos com Pessoal'!$H$512,1,MATCH(4&amp;$B31,'Gastos com Pessoal'!$I$532:$AJ$532&amp;'Gastos com Pessoal'!$I$512:$AJ$512,0),10,1)),0)
+_xlfn.IFNA(SUM((AE$3&gt;='Gastos com Pessoal'!$E$513:$E$522)*(AE$3&lt;='Gastos com Pessoal'!$F$513:$F$522)*(IF('Gastos com Pessoal'!$AE$513:$AE$522&lt;=AE$3,1,0))*OFFSET('Gastos com Pessoal'!$H$512,1,MATCH(5&amp;$B31,'Gastos com Pessoal'!$I$532:$AJ$532&amp;'Gastos com Pessoal'!$I$512:$AJ$512,0),10,1)),0)</f>
        <v>0</v>
      </c>
      <c r="AF31" s="32">
        <f t="array" aca="1" ref="AF31" ca="1">_xlfn.IFNA(SUM((AF$3&gt;='Gastos com Pessoal'!$E$7:$E$506)*(AF$3&lt;='Gastos com Pessoal'!$F$7:$F$506)*OFFSET('Encargos e Benefícios'!$D$5,1,MATCH($B31,'Encargos e Benefícios'!$E$5:$AB$5,0),500,1)),0)
+_xlfn.IFNA(SUM((AF$3&gt;='Gastos com Pessoal'!$E$513:$E$522)*(AF$3&lt;='Gastos com Pessoal'!$F$513:$F$522)*OFFSET('Encargos e Benefícios'!$D$511,1,MATCH($B31,'Encargos e Benefícios'!$E$511:$AB$511,0),10,1)),0)
+_xlfn.IFNA(SUM((AF$3&gt;='Gastos com Pessoal'!$E$7:$E$506)*(AF$3&lt;='Gastos com Pessoal'!$F$7:$F$506)*(IF('Gastos com Pessoal'!$G$7:$G$506&lt;=AF$3,1,0))*OFFSET('Gastos com Pessoal'!$H$6,1,MATCH(1&amp;$B31,'Gastos com Pessoal'!$I$532:$AJ$532&amp;'Gastos com Pessoal'!$I$6:$AJ$6,0),500,1)),0)
+_xlfn.IFNA(SUM((AF$3&gt;='Gastos com Pessoal'!$E$7:$E$506)*(AF$3&lt;='Gastos com Pessoal'!$F$7:$F$506)*(IF('Gastos com Pessoal'!$M$7:$M$506&lt;=AF$3,1,0))*OFFSET('Gastos com Pessoal'!$H$6,1,MATCH(2&amp;$B31,'Gastos com Pessoal'!$I$532:$AJ$532&amp;'Gastos com Pessoal'!$I$6:$AJ$6,0),500,1)),0)
+_xlfn.IFNA(SUM((AF$3&gt;='Gastos com Pessoal'!$E$7:$E$506)*(AF$3&lt;='Gastos com Pessoal'!$F$7:$F$506)*(IF('Gastos com Pessoal'!$S$7:$S$506&lt;=AF$3,1,0))*OFFSET('Gastos com Pessoal'!$H$6,1,MATCH(3&amp;$B31,'Gastos com Pessoal'!$I$532:$AJ$532&amp;'Gastos com Pessoal'!$I$6:$AJ$6,0),500,1)),0)
+_xlfn.IFNA(SUM((AF$3&gt;='Gastos com Pessoal'!$E$7:$E$506)*(AF$3&lt;='Gastos com Pessoal'!$F$7:$F$506)*(IF('Gastos com Pessoal'!$Y$7:$Y$506&lt;=AF$3,1,0))*OFFSET('Gastos com Pessoal'!$H$6,1,MATCH(4&amp;$B31,'Gastos com Pessoal'!$I$532:$AJ$532&amp;'Gastos com Pessoal'!$I$6:$AJ$6,0),500,1)),0)
+_xlfn.IFNA(SUM((AF$3&gt;='Gastos com Pessoal'!$E$7:$E$506)*(AF$3&lt;='Gastos com Pessoal'!$F$7:$F$506)*(IF('Gastos com Pessoal'!$AE$7:$AE$506&lt;=AF$3,1,0))*OFFSET('Gastos com Pessoal'!$H$6,1,MATCH(5&amp;$B31,'Gastos com Pessoal'!$I$532:$AJ$532&amp;'Gastos com Pessoal'!$I$6:$AJ$6,0),500,1)),0)
+_xlfn.IFNA(SUM((AF$3&gt;='Gastos com Pessoal'!$E$513:$E$522)*(AF$3&lt;='Gastos com Pessoal'!$F$513:$F$522)*(IF('Gastos com Pessoal'!$G$513:$G$522&lt;=AF$3,1,0))*OFFSET('Gastos com Pessoal'!$H$512,1,MATCH(1&amp;$B31,'Gastos com Pessoal'!$I$532:$AJ$532&amp;'Gastos com Pessoal'!$I$512:$AJ$512,0),10,1)),0)
+_xlfn.IFNA(SUM((AF$3&gt;='Gastos com Pessoal'!$E$513:$E$522)*(AF$3&lt;='Gastos com Pessoal'!$F$513:$F$522)*(IF('Gastos com Pessoal'!$M$513:$M$522&lt;=AF$3,1,0))*OFFSET('Gastos com Pessoal'!$H$512,1,MATCH(2&amp;$B31,'Gastos com Pessoal'!$I$532:$AJ$532&amp;'Gastos com Pessoal'!$I$512:$AJ$512,0),10,1)),0)
+_xlfn.IFNA(SUM((AF$3&gt;='Gastos com Pessoal'!$E$513:$E$522)*(AF$3&lt;='Gastos com Pessoal'!$F$513:$F$522)*(IF('Gastos com Pessoal'!$S$513:$S$522&lt;=AF$3,1,0))*OFFSET('Gastos com Pessoal'!$H$512,1,MATCH(3&amp;$B31,'Gastos com Pessoal'!$I$532:$AJ$532&amp;'Gastos com Pessoal'!$I$512:$AJ$512,0),10,1)),0)
+_xlfn.IFNA(SUM((AF$3&gt;='Gastos com Pessoal'!$E$513:$E$522)*(AF$3&lt;='Gastos com Pessoal'!$F$513:$F$522)*(IF('Gastos com Pessoal'!$Y$513:$Y$522&lt;=AF$3,1,0))*OFFSET('Gastos com Pessoal'!$H$512,1,MATCH(4&amp;$B31,'Gastos com Pessoal'!$I$532:$AJ$532&amp;'Gastos com Pessoal'!$I$512:$AJ$512,0),10,1)),0)
+_xlfn.IFNA(SUM((AF$3&gt;='Gastos com Pessoal'!$E$513:$E$522)*(AF$3&lt;='Gastos com Pessoal'!$F$513:$F$522)*(IF('Gastos com Pessoal'!$AE$513:$AE$522&lt;=AF$3,1,0))*OFFSET('Gastos com Pessoal'!$H$512,1,MATCH(5&amp;$B31,'Gastos com Pessoal'!$I$532:$AJ$532&amp;'Gastos com Pessoal'!$I$512:$AJ$512,0),10,1)),0)</f>
        <v>0</v>
      </c>
      <c r="AG31" s="32">
        <f t="array" aca="1" ref="AG31" ca="1">_xlfn.IFNA(SUM((AG$3&gt;='Gastos com Pessoal'!$E$7:$E$506)*(AG$3&lt;='Gastos com Pessoal'!$F$7:$F$506)*OFFSET('Encargos e Benefícios'!$D$5,1,MATCH($B31,'Encargos e Benefícios'!$E$5:$AB$5,0),500,1)),0)
+_xlfn.IFNA(SUM((AG$3&gt;='Gastos com Pessoal'!$E$513:$E$522)*(AG$3&lt;='Gastos com Pessoal'!$F$513:$F$522)*OFFSET('Encargos e Benefícios'!$D$511,1,MATCH($B31,'Encargos e Benefícios'!$E$511:$AB$511,0),10,1)),0)
+_xlfn.IFNA(SUM((AG$3&gt;='Gastos com Pessoal'!$E$7:$E$506)*(AG$3&lt;='Gastos com Pessoal'!$F$7:$F$506)*(IF('Gastos com Pessoal'!$G$7:$G$506&lt;=AG$3,1,0))*OFFSET('Gastos com Pessoal'!$H$6,1,MATCH(1&amp;$B31,'Gastos com Pessoal'!$I$532:$AJ$532&amp;'Gastos com Pessoal'!$I$6:$AJ$6,0),500,1)),0)
+_xlfn.IFNA(SUM((AG$3&gt;='Gastos com Pessoal'!$E$7:$E$506)*(AG$3&lt;='Gastos com Pessoal'!$F$7:$F$506)*(IF('Gastos com Pessoal'!$M$7:$M$506&lt;=AG$3,1,0))*OFFSET('Gastos com Pessoal'!$H$6,1,MATCH(2&amp;$B31,'Gastos com Pessoal'!$I$532:$AJ$532&amp;'Gastos com Pessoal'!$I$6:$AJ$6,0),500,1)),0)
+_xlfn.IFNA(SUM((AG$3&gt;='Gastos com Pessoal'!$E$7:$E$506)*(AG$3&lt;='Gastos com Pessoal'!$F$7:$F$506)*(IF('Gastos com Pessoal'!$S$7:$S$506&lt;=AG$3,1,0))*OFFSET('Gastos com Pessoal'!$H$6,1,MATCH(3&amp;$B31,'Gastos com Pessoal'!$I$532:$AJ$532&amp;'Gastos com Pessoal'!$I$6:$AJ$6,0),500,1)),0)
+_xlfn.IFNA(SUM((AG$3&gt;='Gastos com Pessoal'!$E$7:$E$506)*(AG$3&lt;='Gastos com Pessoal'!$F$7:$F$506)*(IF('Gastos com Pessoal'!$Y$7:$Y$506&lt;=AG$3,1,0))*OFFSET('Gastos com Pessoal'!$H$6,1,MATCH(4&amp;$B31,'Gastos com Pessoal'!$I$532:$AJ$532&amp;'Gastos com Pessoal'!$I$6:$AJ$6,0),500,1)),0)
+_xlfn.IFNA(SUM((AG$3&gt;='Gastos com Pessoal'!$E$7:$E$506)*(AG$3&lt;='Gastos com Pessoal'!$F$7:$F$506)*(IF('Gastos com Pessoal'!$AE$7:$AE$506&lt;=AG$3,1,0))*OFFSET('Gastos com Pessoal'!$H$6,1,MATCH(5&amp;$B31,'Gastos com Pessoal'!$I$532:$AJ$532&amp;'Gastos com Pessoal'!$I$6:$AJ$6,0),500,1)),0)
+_xlfn.IFNA(SUM((AG$3&gt;='Gastos com Pessoal'!$E$513:$E$522)*(AG$3&lt;='Gastos com Pessoal'!$F$513:$F$522)*(IF('Gastos com Pessoal'!$G$513:$G$522&lt;=AG$3,1,0))*OFFSET('Gastos com Pessoal'!$H$512,1,MATCH(1&amp;$B31,'Gastos com Pessoal'!$I$532:$AJ$532&amp;'Gastos com Pessoal'!$I$512:$AJ$512,0),10,1)),0)
+_xlfn.IFNA(SUM((AG$3&gt;='Gastos com Pessoal'!$E$513:$E$522)*(AG$3&lt;='Gastos com Pessoal'!$F$513:$F$522)*(IF('Gastos com Pessoal'!$M$513:$M$522&lt;=AG$3,1,0))*OFFSET('Gastos com Pessoal'!$H$512,1,MATCH(2&amp;$B31,'Gastos com Pessoal'!$I$532:$AJ$532&amp;'Gastos com Pessoal'!$I$512:$AJ$512,0),10,1)),0)
+_xlfn.IFNA(SUM((AG$3&gt;='Gastos com Pessoal'!$E$513:$E$522)*(AG$3&lt;='Gastos com Pessoal'!$F$513:$F$522)*(IF('Gastos com Pessoal'!$S$513:$S$522&lt;=AG$3,1,0))*OFFSET('Gastos com Pessoal'!$H$512,1,MATCH(3&amp;$B31,'Gastos com Pessoal'!$I$532:$AJ$532&amp;'Gastos com Pessoal'!$I$512:$AJ$512,0),10,1)),0)
+_xlfn.IFNA(SUM((AG$3&gt;='Gastos com Pessoal'!$E$513:$E$522)*(AG$3&lt;='Gastos com Pessoal'!$F$513:$F$522)*(IF('Gastos com Pessoal'!$Y$513:$Y$522&lt;=AG$3,1,0))*OFFSET('Gastos com Pessoal'!$H$512,1,MATCH(4&amp;$B31,'Gastos com Pessoal'!$I$532:$AJ$532&amp;'Gastos com Pessoal'!$I$512:$AJ$512,0),10,1)),0)
+_xlfn.IFNA(SUM((AG$3&gt;='Gastos com Pessoal'!$E$513:$E$522)*(AG$3&lt;='Gastos com Pessoal'!$F$513:$F$522)*(IF('Gastos com Pessoal'!$AE$513:$AE$522&lt;=AG$3,1,0))*OFFSET('Gastos com Pessoal'!$H$512,1,MATCH(5&amp;$B31,'Gastos com Pessoal'!$I$532:$AJ$532&amp;'Gastos com Pessoal'!$I$512:$AJ$512,0),10,1)),0)</f>
        <v>0</v>
      </c>
      <c r="AH31" s="32">
        <f t="array" aca="1" ref="AH31" ca="1">_xlfn.IFNA(SUM((AH$3&gt;='Gastos com Pessoal'!$E$7:$E$506)*(AH$3&lt;='Gastos com Pessoal'!$F$7:$F$506)*OFFSET('Encargos e Benefícios'!$D$5,1,MATCH($B31,'Encargos e Benefícios'!$E$5:$AB$5,0),500,1)),0)
+_xlfn.IFNA(SUM((AH$3&gt;='Gastos com Pessoal'!$E$513:$E$522)*(AH$3&lt;='Gastos com Pessoal'!$F$513:$F$522)*OFFSET('Encargos e Benefícios'!$D$511,1,MATCH($B31,'Encargos e Benefícios'!$E$511:$AB$511,0),10,1)),0)
+_xlfn.IFNA(SUM((AH$3&gt;='Gastos com Pessoal'!$E$7:$E$506)*(AH$3&lt;='Gastos com Pessoal'!$F$7:$F$506)*(IF('Gastos com Pessoal'!$G$7:$G$506&lt;=AH$3,1,0))*OFFSET('Gastos com Pessoal'!$H$6,1,MATCH(1&amp;$B31,'Gastos com Pessoal'!$I$532:$AJ$532&amp;'Gastos com Pessoal'!$I$6:$AJ$6,0),500,1)),0)
+_xlfn.IFNA(SUM((AH$3&gt;='Gastos com Pessoal'!$E$7:$E$506)*(AH$3&lt;='Gastos com Pessoal'!$F$7:$F$506)*(IF('Gastos com Pessoal'!$M$7:$M$506&lt;=AH$3,1,0))*OFFSET('Gastos com Pessoal'!$H$6,1,MATCH(2&amp;$B31,'Gastos com Pessoal'!$I$532:$AJ$532&amp;'Gastos com Pessoal'!$I$6:$AJ$6,0),500,1)),0)
+_xlfn.IFNA(SUM((AH$3&gt;='Gastos com Pessoal'!$E$7:$E$506)*(AH$3&lt;='Gastos com Pessoal'!$F$7:$F$506)*(IF('Gastos com Pessoal'!$S$7:$S$506&lt;=AH$3,1,0))*OFFSET('Gastos com Pessoal'!$H$6,1,MATCH(3&amp;$B31,'Gastos com Pessoal'!$I$532:$AJ$532&amp;'Gastos com Pessoal'!$I$6:$AJ$6,0),500,1)),0)
+_xlfn.IFNA(SUM((AH$3&gt;='Gastos com Pessoal'!$E$7:$E$506)*(AH$3&lt;='Gastos com Pessoal'!$F$7:$F$506)*(IF('Gastos com Pessoal'!$Y$7:$Y$506&lt;=AH$3,1,0))*OFFSET('Gastos com Pessoal'!$H$6,1,MATCH(4&amp;$B31,'Gastos com Pessoal'!$I$532:$AJ$532&amp;'Gastos com Pessoal'!$I$6:$AJ$6,0),500,1)),0)
+_xlfn.IFNA(SUM((AH$3&gt;='Gastos com Pessoal'!$E$7:$E$506)*(AH$3&lt;='Gastos com Pessoal'!$F$7:$F$506)*(IF('Gastos com Pessoal'!$AE$7:$AE$506&lt;=AH$3,1,0))*OFFSET('Gastos com Pessoal'!$H$6,1,MATCH(5&amp;$B31,'Gastos com Pessoal'!$I$532:$AJ$532&amp;'Gastos com Pessoal'!$I$6:$AJ$6,0),500,1)),0)
+_xlfn.IFNA(SUM((AH$3&gt;='Gastos com Pessoal'!$E$513:$E$522)*(AH$3&lt;='Gastos com Pessoal'!$F$513:$F$522)*(IF('Gastos com Pessoal'!$G$513:$G$522&lt;=AH$3,1,0))*OFFSET('Gastos com Pessoal'!$H$512,1,MATCH(1&amp;$B31,'Gastos com Pessoal'!$I$532:$AJ$532&amp;'Gastos com Pessoal'!$I$512:$AJ$512,0),10,1)),0)
+_xlfn.IFNA(SUM((AH$3&gt;='Gastos com Pessoal'!$E$513:$E$522)*(AH$3&lt;='Gastos com Pessoal'!$F$513:$F$522)*(IF('Gastos com Pessoal'!$M$513:$M$522&lt;=AH$3,1,0))*OFFSET('Gastos com Pessoal'!$H$512,1,MATCH(2&amp;$B31,'Gastos com Pessoal'!$I$532:$AJ$532&amp;'Gastos com Pessoal'!$I$512:$AJ$512,0),10,1)),0)
+_xlfn.IFNA(SUM((AH$3&gt;='Gastos com Pessoal'!$E$513:$E$522)*(AH$3&lt;='Gastos com Pessoal'!$F$513:$F$522)*(IF('Gastos com Pessoal'!$S$513:$S$522&lt;=AH$3,1,0))*OFFSET('Gastos com Pessoal'!$H$512,1,MATCH(3&amp;$B31,'Gastos com Pessoal'!$I$532:$AJ$532&amp;'Gastos com Pessoal'!$I$512:$AJ$512,0),10,1)),0)
+_xlfn.IFNA(SUM((AH$3&gt;='Gastos com Pessoal'!$E$513:$E$522)*(AH$3&lt;='Gastos com Pessoal'!$F$513:$F$522)*(IF('Gastos com Pessoal'!$Y$513:$Y$522&lt;=AH$3,1,0))*OFFSET('Gastos com Pessoal'!$H$512,1,MATCH(4&amp;$B31,'Gastos com Pessoal'!$I$532:$AJ$532&amp;'Gastos com Pessoal'!$I$512:$AJ$512,0),10,1)),0)
+_xlfn.IFNA(SUM((AH$3&gt;='Gastos com Pessoal'!$E$513:$E$522)*(AH$3&lt;='Gastos com Pessoal'!$F$513:$F$522)*(IF('Gastos com Pessoal'!$AE$513:$AE$522&lt;=AH$3,1,0))*OFFSET('Gastos com Pessoal'!$H$512,1,MATCH(5&amp;$B31,'Gastos com Pessoal'!$I$532:$AJ$532&amp;'Gastos com Pessoal'!$I$512:$AJ$512,0),10,1)),0)</f>
        <v>0</v>
      </c>
      <c r="AI31" s="32">
        <f t="array" aca="1" ref="AI31" ca="1">_xlfn.IFNA(SUM((AI$3&gt;='Gastos com Pessoal'!$E$7:$E$506)*(AI$3&lt;='Gastos com Pessoal'!$F$7:$F$506)*OFFSET('Encargos e Benefícios'!$D$5,1,MATCH($B31,'Encargos e Benefícios'!$E$5:$AB$5,0),500,1)),0)
+_xlfn.IFNA(SUM((AI$3&gt;='Gastos com Pessoal'!$E$513:$E$522)*(AI$3&lt;='Gastos com Pessoal'!$F$513:$F$522)*OFFSET('Encargos e Benefícios'!$D$511,1,MATCH($B31,'Encargos e Benefícios'!$E$511:$AB$511,0),10,1)),0)
+_xlfn.IFNA(SUM((AI$3&gt;='Gastos com Pessoal'!$E$7:$E$506)*(AI$3&lt;='Gastos com Pessoal'!$F$7:$F$506)*(IF('Gastos com Pessoal'!$G$7:$G$506&lt;=AI$3,1,0))*OFFSET('Gastos com Pessoal'!$H$6,1,MATCH(1&amp;$B31,'Gastos com Pessoal'!$I$532:$AJ$532&amp;'Gastos com Pessoal'!$I$6:$AJ$6,0),500,1)),0)
+_xlfn.IFNA(SUM((AI$3&gt;='Gastos com Pessoal'!$E$7:$E$506)*(AI$3&lt;='Gastos com Pessoal'!$F$7:$F$506)*(IF('Gastos com Pessoal'!$M$7:$M$506&lt;=AI$3,1,0))*OFFSET('Gastos com Pessoal'!$H$6,1,MATCH(2&amp;$B31,'Gastos com Pessoal'!$I$532:$AJ$532&amp;'Gastos com Pessoal'!$I$6:$AJ$6,0),500,1)),0)
+_xlfn.IFNA(SUM((AI$3&gt;='Gastos com Pessoal'!$E$7:$E$506)*(AI$3&lt;='Gastos com Pessoal'!$F$7:$F$506)*(IF('Gastos com Pessoal'!$S$7:$S$506&lt;=AI$3,1,0))*OFFSET('Gastos com Pessoal'!$H$6,1,MATCH(3&amp;$B31,'Gastos com Pessoal'!$I$532:$AJ$532&amp;'Gastos com Pessoal'!$I$6:$AJ$6,0),500,1)),0)
+_xlfn.IFNA(SUM((AI$3&gt;='Gastos com Pessoal'!$E$7:$E$506)*(AI$3&lt;='Gastos com Pessoal'!$F$7:$F$506)*(IF('Gastos com Pessoal'!$Y$7:$Y$506&lt;=AI$3,1,0))*OFFSET('Gastos com Pessoal'!$H$6,1,MATCH(4&amp;$B31,'Gastos com Pessoal'!$I$532:$AJ$532&amp;'Gastos com Pessoal'!$I$6:$AJ$6,0),500,1)),0)
+_xlfn.IFNA(SUM((AI$3&gt;='Gastos com Pessoal'!$E$7:$E$506)*(AI$3&lt;='Gastos com Pessoal'!$F$7:$F$506)*(IF('Gastos com Pessoal'!$AE$7:$AE$506&lt;=AI$3,1,0))*OFFSET('Gastos com Pessoal'!$H$6,1,MATCH(5&amp;$B31,'Gastos com Pessoal'!$I$532:$AJ$532&amp;'Gastos com Pessoal'!$I$6:$AJ$6,0),500,1)),0)
+_xlfn.IFNA(SUM((AI$3&gt;='Gastos com Pessoal'!$E$513:$E$522)*(AI$3&lt;='Gastos com Pessoal'!$F$513:$F$522)*(IF('Gastos com Pessoal'!$G$513:$G$522&lt;=AI$3,1,0))*OFFSET('Gastos com Pessoal'!$H$512,1,MATCH(1&amp;$B31,'Gastos com Pessoal'!$I$532:$AJ$532&amp;'Gastos com Pessoal'!$I$512:$AJ$512,0),10,1)),0)
+_xlfn.IFNA(SUM((AI$3&gt;='Gastos com Pessoal'!$E$513:$E$522)*(AI$3&lt;='Gastos com Pessoal'!$F$513:$F$522)*(IF('Gastos com Pessoal'!$M$513:$M$522&lt;=AI$3,1,0))*OFFSET('Gastos com Pessoal'!$H$512,1,MATCH(2&amp;$B31,'Gastos com Pessoal'!$I$532:$AJ$532&amp;'Gastos com Pessoal'!$I$512:$AJ$512,0),10,1)),0)
+_xlfn.IFNA(SUM((AI$3&gt;='Gastos com Pessoal'!$E$513:$E$522)*(AI$3&lt;='Gastos com Pessoal'!$F$513:$F$522)*(IF('Gastos com Pessoal'!$S$513:$S$522&lt;=AI$3,1,0))*OFFSET('Gastos com Pessoal'!$H$512,1,MATCH(3&amp;$B31,'Gastos com Pessoal'!$I$532:$AJ$532&amp;'Gastos com Pessoal'!$I$512:$AJ$512,0),10,1)),0)
+_xlfn.IFNA(SUM((AI$3&gt;='Gastos com Pessoal'!$E$513:$E$522)*(AI$3&lt;='Gastos com Pessoal'!$F$513:$F$522)*(IF('Gastos com Pessoal'!$Y$513:$Y$522&lt;=AI$3,1,0))*OFFSET('Gastos com Pessoal'!$H$512,1,MATCH(4&amp;$B31,'Gastos com Pessoal'!$I$532:$AJ$532&amp;'Gastos com Pessoal'!$I$512:$AJ$512,0),10,1)),0)
+_xlfn.IFNA(SUM((AI$3&gt;='Gastos com Pessoal'!$E$513:$E$522)*(AI$3&lt;='Gastos com Pessoal'!$F$513:$F$522)*(IF('Gastos com Pessoal'!$AE$513:$AE$522&lt;=AI$3,1,0))*OFFSET('Gastos com Pessoal'!$H$512,1,MATCH(5&amp;$B31,'Gastos com Pessoal'!$I$532:$AJ$532&amp;'Gastos com Pessoal'!$I$512:$AJ$512,0),10,1)),0)</f>
        <v>0</v>
      </c>
      <c r="AJ31" s="32">
        <f t="array" aca="1" ref="AJ31" ca="1">_xlfn.IFNA(SUM((AJ$3&gt;='Gastos com Pessoal'!$E$7:$E$506)*(AJ$3&lt;='Gastos com Pessoal'!$F$7:$F$506)*OFFSET('Encargos e Benefícios'!$D$5,1,MATCH($B31,'Encargos e Benefícios'!$E$5:$AB$5,0),500,1)),0)
+_xlfn.IFNA(SUM((AJ$3&gt;='Gastos com Pessoal'!$E$513:$E$522)*(AJ$3&lt;='Gastos com Pessoal'!$F$513:$F$522)*OFFSET('Encargos e Benefícios'!$D$511,1,MATCH($B31,'Encargos e Benefícios'!$E$511:$AB$511,0),10,1)),0)
+_xlfn.IFNA(SUM((AJ$3&gt;='Gastos com Pessoal'!$E$7:$E$506)*(AJ$3&lt;='Gastos com Pessoal'!$F$7:$F$506)*(IF('Gastos com Pessoal'!$G$7:$G$506&lt;=AJ$3,1,0))*OFFSET('Gastos com Pessoal'!$H$6,1,MATCH(1&amp;$B31,'Gastos com Pessoal'!$I$532:$AJ$532&amp;'Gastos com Pessoal'!$I$6:$AJ$6,0),500,1)),0)
+_xlfn.IFNA(SUM((AJ$3&gt;='Gastos com Pessoal'!$E$7:$E$506)*(AJ$3&lt;='Gastos com Pessoal'!$F$7:$F$506)*(IF('Gastos com Pessoal'!$M$7:$M$506&lt;=AJ$3,1,0))*OFFSET('Gastos com Pessoal'!$H$6,1,MATCH(2&amp;$B31,'Gastos com Pessoal'!$I$532:$AJ$532&amp;'Gastos com Pessoal'!$I$6:$AJ$6,0),500,1)),0)
+_xlfn.IFNA(SUM((AJ$3&gt;='Gastos com Pessoal'!$E$7:$E$506)*(AJ$3&lt;='Gastos com Pessoal'!$F$7:$F$506)*(IF('Gastos com Pessoal'!$S$7:$S$506&lt;=AJ$3,1,0))*OFFSET('Gastos com Pessoal'!$H$6,1,MATCH(3&amp;$B31,'Gastos com Pessoal'!$I$532:$AJ$532&amp;'Gastos com Pessoal'!$I$6:$AJ$6,0),500,1)),0)
+_xlfn.IFNA(SUM((AJ$3&gt;='Gastos com Pessoal'!$E$7:$E$506)*(AJ$3&lt;='Gastos com Pessoal'!$F$7:$F$506)*(IF('Gastos com Pessoal'!$Y$7:$Y$506&lt;=AJ$3,1,0))*OFFSET('Gastos com Pessoal'!$H$6,1,MATCH(4&amp;$B31,'Gastos com Pessoal'!$I$532:$AJ$532&amp;'Gastos com Pessoal'!$I$6:$AJ$6,0),500,1)),0)
+_xlfn.IFNA(SUM((AJ$3&gt;='Gastos com Pessoal'!$E$7:$E$506)*(AJ$3&lt;='Gastos com Pessoal'!$F$7:$F$506)*(IF('Gastos com Pessoal'!$AE$7:$AE$506&lt;=AJ$3,1,0))*OFFSET('Gastos com Pessoal'!$H$6,1,MATCH(5&amp;$B31,'Gastos com Pessoal'!$I$532:$AJ$532&amp;'Gastos com Pessoal'!$I$6:$AJ$6,0),500,1)),0)
+_xlfn.IFNA(SUM((AJ$3&gt;='Gastos com Pessoal'!$E$513:$E$522)*(AJ$3&lt;='Gastos com Pessoal'!$F$513:$F$522)*(IF('Gastos com Pessoal'!$G$513:$G$522&lt;=AJ$3,1,0))*OFFSET('Gastos com Pessoal'!$H$512,1,MATCH(1&amp;$B31,'Gastos com Pessoal'!$I$532:$AJ$532&amp;'Gastos com Pessoal'!$I$512:$AJ$512,0),10,1)),0)
+_xlfn.IFNA(SUM((AJ$3&gt;='Gastos com Pessoal'!$E$513:$E$522)*(AJ$3&lt;='Gastos com Pessoal'!$F$513:$F$522)*(IF('Gastos com Pessoal'!$M$513:$M$522&lt;=AJ$3,1,0))*OFFSET('Gastos com Pessoal'!$H$512,1,MATCH(2&amp;$B31,'Gastos com Pessoal'!$I$532:$AJ$532&amp;'Gastos com Pessoal'!$I$512:$AJ$512,0),10,1)),0)
+_xlfn.IFNA(SUM((AJ$3&gt;='Gastos com Pessoal'!$E$513:$E$522)*(AJ$3&lt;='Gastos com Pessoal'!$F$513:$F$522)*(IF('Gastos com Pessoal'!$S$513:$S$522&lt;=AJ$3,1,0))*OFFSET('Gastos com Pessoal'!$H$512,1,MATCH(3&amp;$B31,'Gastos com Pessoal'!$I$532:$AJ$532&amp;'Gastos com Pessoal'!$I$512:$AJ$512,0),10,1)),0)
+_xlfn.IFNA(SUM((AJ$3&gt;='Gastos com Pessoal'!$E$513:$E$522)*(AJ$3&lt;='Gastos com Pessoal'!$F$513:$F$522)*(IF('Gastos com Pessoal'!$Y$513:$Y$522&lt;=AJ$3,1,0))*OFFSET('Gastos com Pessoal'!$H$512,1,MATCH(4&amp;$B31,'Gastos com Pessoal'!$I$532:$AJ$532&amp;'Gastos com Pessoal'!$I$512:$AJ$512,0),10,1)),0)
+_xlfn.IFNA(SUM((AJ$3&gt;='Gastos com Pessoal'!$E$513:$E$522)*(AJ$3&lt;='Gastos com Pessoal'!$F$513:$F$522)*(IF('Gastos com Pessoal'!$AE$513:$AE$522&lt;=AJ$3,1,0))*OFFSET('Gastos com Pessoal'!$H$512,1,MATCH(5&amp;$B31,'Gastos com Pessoal'!$I$532:$AJ$532&amp;'Gastos com Pessoal'!$I$512:$AJ$512,0),10,1)),0)</f>
        <v>0</v>
      </c>
      <c r="AK31" s="32">
        <f t="array" aca="1" ref="AK31" ca="1">_xlfn.IFNA(SUM((AK$3&gt;='Gastos com Pessoal'!$E$7:$E$506)*(AK$3&lt;='Gastos com Pessoal'!$F$7:$F$506)*OFFSET('Encargos e Benefícios'!$D$5,1,MATCH($B31,'Encargos e Benefícios'!$E$5:$AB$5,0),500,1)),0)
+_xlfn.IFNA(SUM((AK$3&gt;='Gastos com Pessoal'!$E$513:$E$522)*(AK$3&lt;='Gastos com Pessoal'!$F$513:$F$522)*OFFSET('Encargos e Benefícios'!$D$511,1,MATCH($B31,'Encargos e Benefícios'!$E$511:$AB$511,0),10,1)),0)
+_xlfn.IFNA(SUM((AK$3&gt;='Gastos com Pessoal'!$E$7:$E$506)*(AK$3&lt;='Gastos com Pessoal'!$F$7:$F$506)*(IF('Gastos com Pessoal'!$G$7:$G$506&lt;=AK$3,1,0))*OFFSET('Gastos com Pessoal'!$H$6,1,MATCH(1&amp;$B31,'Gastos com Pessoal'!$I$532:$AJ$532&amp;'Gastos com Pessoal'!$I$6:$AJ$6,0),500,1)),0)
+_xlfn.IFNA(SUM((AK$3&gt;='Gastos com Pessoal'!$E$7:$E$506)*(AK$3&lt;='Gastos com Pessoal'!$F$7:$F$506)*(IF('Gastos com Pessoal'!$M$7:$M$506&lt;=AK$3,1,0))*OFFSET('Gastos com Pessoal'!$H$6,1,MATCH(2&amp;$B31,'Gastos com Pessoal'!$I$532:$AJ$532&amp;'Gastos com Pessoal'!$I$6:$AJ$6,0),500,1)),0)
+_xlfn.IFNA(SUM((AK$3&gt;='Gastos com Pessoal'!$E$7:$E$506)*(AK$3&lt;='Gastos com Pessoal'!$F$7:$F$506)*(IF('Gastos com Pessoal'!$S$7:$S$506&lt;=AK$3,1,0))*OFFSET('Gastos com Pessoal'!$H$6,1,MATCH(3&amp;$B31,'Gastos com Pessoal'!$I$532:$AJ$532&amp;'Gastos com Pessoal'!$I$6:$AJ$6,0),500,1)),0)
+_xlfn.IFNA(SUM((AK$3&gt;='Gastos com Pessoal'!$E$7:$E$506)*(AK$3&lt;='Gastos com Pessoal'!$F$7:$F$506)*(IF('Gastos com Pessoal'!$Y$7:$Y$506&lt;=AK$3,1,0))*OFFSET('Gastos com Pessoal'!$H$6,1,MATCH(4&amp;$B31,'Gastos com Pessoal'!$I$532:$AJ$532&amp;'Gastos com Pessoal'!$I$6:$AJ$6,0),500,1)),0)
+_xlfn.IFNA(SUM((AK$3&gt;='Gastos com Pessoal'!$E$7:$E$506)*(AK$3&lt;='Gastos com Pessoal'!$F$7:$F$506)*(IF('Gastos com Pessoal'!$AE$7:$AE$506&lt;=AK$3,1,0))*OFFSET('Gastos com Pessoal'!$H$6,1,MATCH(5&amp;$B31,'Gastos com Pessoal'!$I$532:$AJ$532&amp;'Gastos com Pessoal'!$I$6:$AJ$6,0),500,1)),0)
+_xlfn.IFNA(SUM((AK$3&gt;='Gastos com Pessoal'!$E$513:$E$522)*(AK$3&lt;='Gastos com Pessoal'!$F$513:$F$522)*(IF('Gastos com Pessoal'!$G$513:$G$522&lt;=AK$3,1,0))*OFFSET('Gastos com Pessoal'!$H$512,1,MATCH(1&amp;$B31,'Gastos com Pessoal'!$I$532:$AJ$532&amp;'Gastos com Pessoal'!$I$512:$AJ$512,0),10,1)),0)
+_xlfn.IFNA(SUM((AK$3&gt;='Gastos com Pessoal'!$E$513:$E$522)*(AK$3&lt;='Gastos com Pessoal'!$F$513:$F$522)*(IF('Gastos com Pessoal'!$M$513:$M$522&lt;=AK$3,1,0))*OFFSET('Gastos com Pessoal'!$H$512,1,MATCH(2&amp;$B31,'Gastos com Pessoal'!$I$532:$AJ$532&amp;'Gastos com Pessoal'!$I$512:$AJ$512,0),10,1)),0)
+_xlfn.IFNA(SUM((AK$3&gt;='Gastos com Pessoal'!$E$513:$E$522)*(AK$3&lt;='Gastos com Pessoal'!$F$513:$F$522)*(IF('Gastos com Pessoal'!$S$513:$S$522&lt;=AK$3,1,0))*OFFSET('Gastos com Pessoal'!$H$512,1,MATCH(3&amp;$B31,'Gastos com Pessoal'!$I$532:$AJ$532&amp;'Gastos com Pessoal'!$I$512:$AJ$512,0),10,1)),0)
+_xlfn.IFNA(SUM((AK$3&gt;='Gastos com Pessoal'!$E$513:$E$522)*(AK$3&lt;='Gastos com Pessoal'!$F$513:$F$522)*(IF('Gastos com Pessoal'!$Y$513:$Y$522&lt;=AK$3,1,0))*OFFSET('Gastos com Pessoal'!$H$512,1,MATCH(4&amp;$B31,'Gastos com Pessoal'!$I$532:$AJ$532&amp;'Gastos com Pessoal'!$I$512:$AJ$512,0),10,1)),0)
+_xlfn.IFNA(SUM((AK$3&gt;='Gastos com Pessoal'!$E$513:$E$522)*(AK$3&lt;='Gastos com Pessoal'!$F$513:$F$522)*(IF('Gastos com Pessoal'!$AE$513:$AE$522&lt;=AK$3,1,0))*OFFSET('Gastos com Pessoal'!$H$512,1,MATCH(5&amp;$B31,'Gastos com Pessoal'!$I$532:$AJ$532&amp;'Gastos com Pessoal'!$I$512:$AJ$512,0),10,1)),0)</f>
        <v>0</v>
      </c>
      <c r="AL31" s="32">
        <f t="array" aca="1" ref="AL31" ca="1">_xlfn.IFNA(SUM((AL$3&gt;='Gastos com Pessoal'!$E$7:$E$506)*(AL$3&lt;='Gastos com Pessoal'!$F$7:$F$506)*OFFSET('Encargos e Benefícios'!$D$5,1,MATCH($B31,'Encargos e Benefícios'!$E$5:$AB$5,0),500,1)),0)
+_xlfn.IFNA(SUM((AL$3&gt;='Gastos com Pessoal'!$E$513:$E$522)*(AL$3&lt;='Gastos com Pessoal'!$F$513:$F$522)*OFFSET('Encargos e Benefícios'!$D$511,1,MATCH($B31,'Encargos e Benefícios'!$E$511:$AB$511,0),10,1)),0)
+_xlfn.IFNA(SUM((AL$3&gt;='Gastos com Pessoal'!$E$7:$E$506)*(AL$3&lt;='Gastos com Pessoal'!$F$7:$F$506)*(IF('Gastos com Pessoal'!$G$7:$G$506&lt;=AL$3,1,0))*OFFSET('Gastos com Pessoal'!$H$6,1,MATCH(1&amp;$B31,'Gastos com Pessoal'!$I$532:$AJ$532&amp;'Gastos com Pessoal'!$I$6:$AJ$6,0),500,1)),0)
+_xlfn.IFNA(SUM((AL$3&gt;='Gastos com Pessoal'!$E$7:$E$506)*(AL$3&lt;='Gastos com Pessoal'!$F$7:$F$506)*(IF('Gastos com Pessoal'!$M$7:$M$506&lt;=AL$3,1,0))*OFFSET('Gastos com Pessoal'!$H$6,1,MATCH(2&amp;$B31,'Gastos com Pessoal'!$I$532:$AJ$532&amp;'Gastos com Pessoal'!$I$6:$AJ$6,0),500,1)),0)
+_xlfn.IFNA(SUM((AL$3&gt;='Gastos com Pessoal'!$E$7:$E$506)*(AL$3&lt;='Gastos com Pessoal'!$F$7:$F$506)*(IF('Gastos com Pessoal'!$S$7:$S$506&lt;=AL$3,1,0))*OFFSET('Gastos com Pessoal'!$H$6,1,MATCH(3&amp;$B31,'Gastos com Pessoal'!$I$532:$AJ$532&amp;'Gastos com Pessoal'!$I$6:$AJ$6,0),500,1)),0)
+_xlfn.IFNA(SUM((AL$3&gt;='Gastos com Pessoal'!$E$7:$E$506)*(AL$3&lt;='Gastos com Pessoal'!$F$7:$F$506)*(IF('Gastos com Pessoal'!$Y$7:$Y$506&lt;=AL$3,1,0))*OFFSET('Gastos com Pessoal'!$H$6,1,MATCH(4&amp;$B31,'Gastos com Pessoal'!$I$532:$AJ$532&amp;'Gastos com Pessoal'!$I$6:$AJ$6,0),500,1)),0)
+_xlfn.IFNA(SUM((AL$3&gt;='Gastos com Pessoal'!$E$7:$E$506)*(AL$3&lt;='Gastos com Pessoal'!$F$7:$F$506)*(IF('Gastos com Pessoal'!$AE$7:$AE$506&lt;=AL$3,1,0))*OFFSET('Gastos com Pessoal'!$H$6,1,MATCH(5&amp;$B31,'Gastos com Pessoal'!$I$532:$AJ$532&amp;'Gastos com Pessoal'!$I$6:$AJ$6,0),500,1)),0)
+_xlfn.IFNA(SUM((AL$3&gt;='Gastos com Pessoal'!$E$513:$E$522)*(AL$3&lt;='Gastos com Pessoal'!$F$513:$F$522)*(IF('Gastos com Pessoal'!$G$513:$G$522&lt;=AL$3,1,0))*OFFSET('Gastos com Pessoal'!$H$512,1,MATCH(1&amp;$B31,'Gastos com Pessoal'!$I$532:$AJ$532&amp;'Gastos com Pessoal'!$I$512:$AJ$512,0),10,1)),0)
+_xlfn.IFNA(SUM((AL$3&gt;='Gastos com Pessoal'!$E$513:$E$522)*(AL$3&lt;='Gastos com Pessoal'!$F$513:$F$522)*(IF('Gastos com Pessoal'!$M$513:$M$522&lt;=AL$3,1,0))*OFFSET('Gastos com Pessoal'!$H$512,1,MATCH(2&amp;$B31,'Gastos com Pessoal'!$I$532:$AJ$532&amp;'Gastos com Pessoal'!$I$512:$AJ$512,0),10,1)),0)
+_xlfn.IFNA(SUM((AL$3&gt;='Gastos com Pessoal'!$E$513:$E$522)*(AL$3&lt;='Gastos com Pessoal'!$F$513:$F$522)*(IF('Gastos com Pessoal'!$S$513:$S$522&lt;=AL$3,1,0))*OFFSET('Gastos com Pessoal'!$H$512,1,MATCH(3&amp;$B31,'Gastos com Pessoal'!$I$532:$AJ$532&amp;'Gastos com Pessoal'!$I$512:$AJ$512,0),10,1)),0)
+_xlfn.IFNA(SUM((AL$3&gt;='Gastos com Pessoal'!$E$513:$E$522)*(AL$3&lt;='Gastos com Pessoal'!$F$513:$F$522)*(IF('Gastos com Pessoal'!$Y$513:$Y$522&lt;=AL$3,1,0))*OFFSET('Gastos com Pessoal'!$H$512,1,MATCH(4&amp;$B31,'Gastos com Pessoal'!$I$532:$AJ$532&amp;'Gastos com Pessoal'!$I$512:$AJ$512,0),10,1)),0)
+_xlfn.IFNA(SUM((AL$3&gt;='Gastos com Pessoal'!$E$513:$E$522)*(AL$3&lt;='Gastos com Pessoal'!$F$513:$F$522)*(IF('Gastos com Pessoal'!$AE$513:$AE$522&lt;=AL$3,1,0))*OFFSET('Gastos com Pessoal'!$H$512,1,MATCH(5&amp;$B31,'Gastos com Pessoal'!$I$532:$AJ$532&amp;'Gastos com Pessoal'!$I$512:$AJ$512,0),10,1)),0)</f>
        <v>0</v>
      </c>
      <c r="AM31" s="32">
        <f t="array" aca="1" ref="AM31" ca="1">_xlfn.IFNA(SUM((AM$3&gt;='Gastos com Pessoal'!$E$7:$E$506)*(AM$3&lt;='Gastos com Pessoal'!$F$7:$F$506)*OFFSET('Encargos e Benefícios'!$D$5,1,MATCH($B31,'Encargos e Benefícios'!$E$5:$AB$5,0),500,1)),0)
+_xlfn.IFNA(SUM((AM$3&gt;='Gastos com Pessoal'!$E$513:$E$522)*(AM$3&lt;='Gastos com Pessoal'!$F$513:$F$522)*OFFSET('Encargos e Benefícios'!$D$511,1,MATCH($B31,'Encargos e Benefícios'!$E$511:$AB$511,0),10,1)),0)
+_xlfn.IFNA(SUM((AM$3&gt;='Gastos com Pessoal'!$E$7:$E$506)*(AM$3&lt;='Gastos com Pessoal'!$F$7:$F$506)*(IF('Gastos com Pessoal'!$G$7:$G$506&lt;=AM$3,1,0))*OFFSET('Gastos com Pessoal'!$H$6,1,MATCH(1&amp;$B31,'Gastos com Pessoal'!$I$532:$AJ$532&amp;'Gastos com Pessoal'!$I$6:$AJ$6,0),500,1)),0)
+_xlfn.IFNA(SUM((AM$3&gt;='Gastos com Pessoal'!$E$7:$E$506)*(AM$3&lt;='Gastos com Pessoal'!$F$7:$F$506)*(IF('Gastos com Pessoal'!$M$7:$M$506&lt;=AM$3,1,0))*OFFSET('Gastos com Pessoal'!$H$6,1,MATCH(2&amp;$B31,'Gastos com Pessoal'!$I$532:$AJ$532&amp;'Gastos com Pessoal'!$I$6:$AJ$6,0),500,1)),0)
+_xlfn.IFNA(SUM((AM$3&gt;='Gastos com Pessoal'!$E$7:$E$506)*(AM$3&lt;='Gastos com Pessoal'!$F$7:$F$506)*(IF('Gastos com Pessoal'!$S$7:$S$506&lt;=AM$3,1,0))*OFFSET('Gastos com Pessoal'!$H$6,1,MATCH(3&amp;$B31,'Gastos com Pessoal'!$I$532:$AJ$532&amp;'Gastos com Pessoal'!$I$6:$AJ$6,0),500,1)),0)
+_xlfn.IFNA(SUM((AM$3&gt;='Gastos com Pessoal'!$E$7:$E$506)*(AM$3&lt;='Gastos com Pessoal'!$F$7:$F$506)*(IF('Gastos com Pessoal'!$Y$7:$Y$506&lt;=AM$3,1,0))*OFFSET('Gastos com Pessoal'!$H$6,1,MATCH(4&amp;$B31,'Gastos com Pessoal'!$I$532:$AJ$532&amp;'Gastos com Pessoal'!$I$6:$AJ$6,0),500,1)),0)
+_xlfn.IFNA(SUM((AM$3&gt;='Gastos com Pessoal'!$E$7:$E$506)*(AM$3&lt;='Gastos com Pessoal'!$F$7:$F$506)*(IF('Gastos com Pessoal'!$AE$7:$AE$506&lt;=AM$3,1,0))*OFFSET('Gastos com Pessoal'!$H$6,1,MATCH(5&amp;$B31,'Gastos com Pessoal'!$I$532:$AJ$532&amp;'Gastos com Pessoal'!$I$6:$AJ$6,0),500,1)),0)
+_xlfn.IFNA(SUM((AM$3&gt;='Gastos com Pessoal'!$E$513:$E$522)*(AM$3&lt;='Gastos com Pessoal'!$F$513:$F$522)*(IF('Gastos com Pessoal'!$G$513:$G$522&lt;=AM$3,1,0))*OFFSET('Gastos com Pessoal'!$H$512,1,MATCH(1&amp;$B31,'Gastos com Pessoal'!$I$532:$AJ$532&amp;'Gastos com Pessoal'!$I$512:$AJ$512,0),10,1)),0)
+_xlfn.IFNA(SUM((AM$3&gt;='Gastos com Pessoal'!$E$513:$E$522)*(AM$3&lt;='Gastos com Pessoal'!$F$513:$F$522)*(IF('Gastos com Pessoal'!$M$513:$M$522&lt;=AM$3,1,0))*OFFSET('Gastos com Pessoal'!$H$512,1,MATCH(2&amp;$B31,'Gastos com Pessoal'!$I$532:$AJ$532&amp;'Gastos com Pessoal'!$I$512:$AJ$512,0),10,1)),0)
+_xlfn.IFNA(SUM((AM$3&gt;='Gastos com Pessoal'!$E$513:$E$522)*(AM$3&lt;='Gastos com Pessoal'!$F$513:$F$522)*(IF('Gastos com Pessoal'!$S$513:$S$522&lt;=AM$3,1,0))*OFFSET('Gastos com Pessoal'!$H$512,1,MATCH(3&amp;$B31,'Gastos com Pessoal'!$I$532:$AJ$532&amp;'Gastos com Pessoal'!$I$512:$AJ$512,0),10,1)),0)
+_xlfn.IFNA(SUM((AM$3&gt;='Gastos com Pessoal'!$E$513:$E$522)*(AM$3&lt;='Gastos com Pessoal'!$F$513:$F$522)*(IF('Gastos com Pessoal'!$Y$513:$Y$522&lt;=AM$3,1,0))*OFFSET('Gastos com Pessoal'!$H$512,1,MATCH(4&amp;$B31,'Gastos com Pessoal'!$I$532:$AJ$532&amp;'Gastos com Pessoal'!$I$512:$AJ$512,0),10,1)),0)
+_xlfn.IFNA(SUM((AM$3&gt;='Gastos com Pessoal'!$E$513:$E$522)*(AM$3&lt;='Gastos com Pessoal'!$F$513:$F$522)*(IF('Gastos com Pessoal'!$AE$513:$AE$522&lt;=AM$3,1,0))*OFFSET('Gastos com Pessoal'!$H$512,1,MATCH(5&amp;$B31,'Gastos com Pessoal'!$I$532:$AJ$532&amp;'Gastos com Pessoal'!$I$512:$AJ$512,0),10,1)),0)</f>
        <v>0</v>
      </c>
      <c r="AN31" s="32">
        <f t="array" aca="1" ref="AN31" ca="1">_xlfn.IFNA(SUM((AN$3&gt;='Gastos com Pessoal'!$E$7:$E$506)*(AN$3&lt;='Gastos com Pessoal'!$F$7:$F$506)*OFFSET('Encargos e Benefícios'!$D$5,1,MATCH($B31,'Encargos e Benefícios'!$E$5:$AB$5,0),500,1)),0)
+_xlfn.IFNA(SUM((AN$3&gt;='Gastos com Pessoal'!$E$513:$E$522)*(AN$3&lt;='Gastos com Pessoal'!$F$513:$F$522)*OFFSET('Encargos e Benefícios'!$D$511,1,MATCH($B31,'Encargos e Benefícios'!$E$511:$AB$511,0),10,1)),0)
+_xlfn.IFNA(SUM((AN$3&gt;='Gastos com Pessoal'!$E$7:$E$506)*(AN$3&lt;='Gastos com Pessoal'!$F$7:$F$506)*(IF('Gastos com Pessoal'!$G$7:$G$506&lt;=AN$3,1,0))*OFFSET('Gastos com Pessoal'!$H$6,1,MATCH(1&amp;$B31,'Gastos com Pessoal'!$I$532:$AJ$532&amp;'Gastos com Pessoal'!$I$6:$AJ$6,0),500,1)),0)
+_xlfn.IFNA(SUM((AN$3&gt;='Gastos com Pessoal'!$E$7:$E$506)*(AN$3&lt;='Gastos com Pessoal'!$F$7:$F$506)*(IF('Gastos com Pessoal'!$M$7:$M$506&lt;=AN$3,1,0))*OFFSET('Gastos com Pessoal'!$H$6,1,MATCH(2&amp;$B31,'Gastos com Pessoal'!$I$532:$AJ$532&amp;'Gastos com Pessoal'!$I$6:$AJ$6,0),500,1)),0)
+_xlfn.IFNA(SUM((AN$3&gt;='Gastos com Pessoal'!$E$7:$E$506)*(AN$3&lt;='Gastos com Pessoal'!$F$7:$F$506)*(IF('Gastos com Pessoal'!$S$7:$S$506&lt;=AN$3,1,0))*OFFSET('Gastos com Pessoal'!$H$6,1,MATCH(3&amp;$B31,'Gastos com Pessoal'!$I$532:$AJ$532&amp;'Gastos com Pessoal'!$I$6:$AJ$6,0),500,1)),0)
+_xlfn.IFNA(SUM((AN$3&gt;='Gastos com Pessoal'!$E$7:$E$506)*(AN$3&lt;='Gastos com Pessoal'!$F$7:$F$506)*(IF('Gastos com Pessoal'!$Y$7:$Y$506&lt;=AN$3,1,0))*OFFSET('Gastos com Pessoal'!$H$6,1,MATCH(4&amp;$B31,'Gastos com Pessoal'!$I$532:$AJ$532&amp;'Gastos com Pessoal'!$I$6:$AJ$6,0),500,1)),0)
+_xlfn.IFNA(SUM((AN$3&gt;='Gastos com Pessoal'!$E$7:$E$506)*(AN$3&lt;='Gastos com Pessoal'!$F$7:$F$506)*(IF('Gastos com Pessoal'!$AE$7:$AE$506&lt;=AN$3,1,0))*OFFSET('Gastos com Pessoal'!$H$6,1,MATCH(5&amp;$B31,'Gastos com Pessoal'!$I$532:$AJ$532&amp;'Gastos com Pessoal'!$I$6:$AJ$6,0),500,1)),0)
+_xlfn.IFNA(SUM((AN$3&gt;='Gastos com Pessoal'!$E$513:$E$522)*(AN$3&lt;='Gastos com Pessoal'!$F$513:$F$522)*(IF('Gastos com Pessoal'!$G$513:$G$522&lt;=AN$3,1,0))*OFFSET('Gastos com Pessoal'!$H$512,1,MATCH(1&amp;$B31,'Gastos com Pessoal'!$I$532:$AJ$532&amp;'Gastos com Pessoal'!$I$512:$AJ$512,0),10,1)),0)
+_xlfn.IFNA(SUM((AN$3&gt;='Gastos com Pessoal'!$E$513:$E$522)*(AN$3&lt;='Gastos com Pessoal'!$F$513:$F$522)*(IF('Gastos com Pessoal'!$M$513:$M$522&lt;=AN$3,1,0))*OFFSET('Gastos com Pessoal'!$H$512,1,MATCH(2&amp;$B31,'Gastos com Pessoal'!$I$532:$AJ$532&amp;'Gastos com Pessoal'!$I$512:$AJ$512,0),10,1)),0)
+_xlfn.IFNA(SUM((AN$3&gt;='Gastos com Pessoal'!$E$513:$E$522)*(AN$3&lt;='Gastos com Pessoal'!$F$513:$F$522)*(IF('Gastos com Pessoal'!$S$513:$S$522&lt;=AN$3,1,0))*OFFSET('Gastos com Pessoal'!$H$512,1,MATCH(3&amp;$B31,'Gastos com Pessoal'!$I$532:$AJ$532&amp;'Gastos com Pessoal'!$I$512:$AJ$512,0),10,1)),0)
+_xlfn.IFNA(SUM((AN$3&gt;='Gastos com Pessoal'!$E$513:$E$522)*(AN$3&lt;='Gastos com Pessoal'!$F$513:$F$522)*(IF('Gastos com Pessoal'!$Y$513:$Y$522&lt;=AN$3,1,0))*OFFSET('Gastos com Pessoal'!$H$512,1,MATCH(4&amp;$B31,'Gastos com Pessoal'!$I$532:$AJ$532&amp;'Gastos com Pessoal'!$I$512:$AJ$512,0),10,1)),0)
+_xlfn.IFNA(SUM((AN$3&gt;='Gastos com Pessoal'!$E$513:$E$522)*(AN$3&lt;='Gastos com Pessoal'!$F$513:$F$522)*(IF('Gastos com Pessoal'!$AE$513:$AE$522&lt;=AN$3,1,0))*OFFSET('Gastos com Pessoal'!$H$512,1,MATCH(5&amp;$B31,'Gastos com Pessoal'!$I$532:$AJ$532&amp;'Gastos com Pessoal'!$I$512:$AJ$512,0),10,1)),0)</f>
        <v>0</v>
      </c>
      <c r="AO31" s="32">
        <f t="array" aca="1" ref="AO31" ca="1">_xlfn.IFNA(SUM((AO$3&gt;='Gastos com Pessoal'!$E$7:$E$506)*(AO$3&lt;='Gastos com Pessoal'!$F$7:$F$506)*OFFSET('Encargos e Benefícios'!$D$5,1,MATCH($B31,'Encargos e Benefícios'!$E$5:$AB$5,0),500,1)),0)
+_xlfn.IFNA(SUM((AO$3&gt;='Gastos com Pessoal'!$E$513:$E$522)*(AO$3&lt;='Gastos com Pessoal'!$F$513:$F$522)*OFFSET('Encargos e Benefícios'!$D$511,1,MATCH($B31,'Encargos e Benefícios'!$E$511:$AB$511,0),10,1)),0)
+_xlfn.IFNA(SUM((AO$3&gt;='Gastos com Pessoal'!$E$7:$E$506)*(AO$3&lt;='Gastos com Pessoal'!$F$7:$F$506)*(IF('Gastos com Pessoal'!$G$7:$G$506&lt;=AO$3,1,0))*OFFSET('Gastos com Pessoal'!$H$6,1,MATCH(1&amp;$B31,'Gastos com Pessoal'!$I$532:$AJ$532&amp;'Gastos com Pessoal'!$I$6:$AJ$6,0),500,1)),0)
+_xlfn.IFNA(SUM((AO$3&gt;='Gastos com Pessoal'!$E$7:$E$506)*(AO$3&lt;='Gastos com Pessoal'!$F$7:$F$506)*(IF('Gastos com Pessoal'!$M$7:$M$506&lt;=AO$3,1,0))*OFFSET('Gastos com Pessoal'!$H$6,1,MATCH(2&amp;$B31,'Gastos com Pessoal'!$I$532:$AJ$532&amp;'Gastos com Pessoal'!$I$6:$AJ$6,0),500,1)),0)
+_xlfn.IFNA(SUM((AO$3&gt;='Gastos com Pessoal'!$E$7:$E$506)*(AO$3&lt;='Gastos com Pessoal'!$F$7:$F$506)*(IF('Gastos com Pessoal'!$S$7:$S$506&lt;=AO$3,1,0))*OFFSET('Gastos com Pessoal'!$H$6,1,MATCH(3&amp;$B31,'Gastos com Pessoal'!$I$532:$AJ$532&amp;'Gastos com Pessoal'!$I$6:$AJ$6,0),500,1)),0)
+_xlfn.IFNA(SUM((AO$3&gt;='Gastos com Pessoal'!$E$7:$E$506)*(AO$3&lt;='Gastos com Pessoal'!$F$7:$F$506)*(IF('Gastos com Pessoal'!$Y$7:$Y$506&lt;=AO$3,1,0))*OFFSET('Gastos com Pessoal'!$H$6,1,MATCH(4&amp;$B31,'Gastos com Pessoal'!$I$532:$AJ$532&amp;'Gastos com Pessoal'!$I$6:$AJ$6,0),500,1)),0)
+_xlfn.IFNA(SUM((AO$3&gt;='Gastos com Pessoal'!$E$7:$E$506)*(AO$3&lt;='Gastos com Pessoal'!$F$7:$F$506)*(IF('Gastos com Pessoal'!$AE$7:$AE$506&lt;=AO$3,1,0))*OFFSET('Gastos com Pessoal'!$H$6,1,MATCH(5&amp;$B31,'Gastos com Pessoal'!$I$532:$AJ$532&amp;'Gastos com Pessoal'!$I$6:$AJ$6,0),500,1)),0)
+_xlfn.IFNA(SUM((AO$3&gt;='Gastos com Pessoal'!$E$513:$E$522)*(AO$3&lt;='Gastos com Pessoal'!$F$513:$F$522)*(IF('Gastos com Pessoal'!$G$513:$G$522&lt;=AO$3,1,0))*OFFSET('Gastos com Pessoal'!$H$512,1,MATCH(1&amp;$B31,'Gastos com Pessoal'!$I$532:$AJ$532&amp;'Gastos com Pessoal'!$I$512:$AJ$512,0),10,1)),0)
+_xlfn.IFNA(SUM((AO$3&gt;='Gastos com Pessoal'!$E$513:$E$522)*(AO$3&lt;='Gastos com Pessoal'!$F$513:$F$522)*(IF('Gastos com Pessoal'!$M$513:$M$522&lt;=AO$3,1,0))*OFFSET('Gastos com Pessoal'!$H$512,1,MATCH(2&amp;$B31,'Gastos com Pessoal'!$I$532:$AJ$532&amp;'Gastos com Pessoal'!$I$512:$AJ$512,0),10,1)),0)
+_xlfn.IFNA(SUM((AO$3&gt;='Gastos com Pessoal'!$E$513:$E$522)*(AO$3&lt;='Gastos com Pessoal'!$F$513:$F$522)*(IF('Gastos com Pessoal'!$S$513:$S$522&lt;=AO$3,1,0))*OFFSET('Gastos com Pessoal'!$H$512,1,MATCH(3&amp;$B31,'Gastos com Pessoal'!$I$532:$AJ$532&amp;'Gastos com Pessoal'!$I$512:$AJ$512,0),10,1)),0)
+_xlfn.IFNA(SUM((AO$3&gt;='Gastos com Pessoal'!$E$513:$E$522)*(AO$3&lt;='Gastos com Pessoal'!$F$513:$F$522)*(IF('Gastos com Pessoal'!$Y$513:$Y$522&lt;=AO$3,1,0))*OFFSET('Gastos com Pessoal'!$H$512,1,MATCH(4&amp;$B31,'Gastos com Pessoal'!$I$532:$AJ$532&amp;'Gastos com Pessoal'!$I$512:$AJ$512,0),10,1)),0)
+_xlfn.IFNA(SUM((AO$3&gt;='Gastos com Pessoal'!$E$513:$E$522)*(AO$3&lt;='Gastos com Pessoal'!$F$513:$F$522)*(IF('Gastos com Pessoal'!$AE$513:$AE$522&lt;=AO$3,1,0))*OFFSET('Gastos com Pessoal'!$H$512,1,MATCH(5&amp;$B31,'Gastos com Pessoal'!$I$532:$AJ$532&amp;'Gastos com Pessoal'!$I$512:$AJ$512,0),10,1)),0)</f>
        <v>0</v>
      </c>
      <c r="AP31" s="32">
        <f t="array" aca="1" ref="AP31" ca="1">_xlfn.IFNA(SUM((AP$3&gt;='Gastos com Pessoal'!$E$7:$E$506)*(AP$3&lt;='Gastos com Pessoal'!$F$7:$F$506)*OFFSET('Encargos e Benefícios'!$D$5,1,MATCH($B31,'Encargos e Benefícios'!$E$5:$AB$5,0),500,1)),0)
+_xlfn.IFNA(SUM((AP$3&gt;='Gastos com Pessoal'!$E$513:$E$522)*(AP$3&lt;='Gastos com Pessoal'!$F$513:$F$522)*OFFSET('Encargos e Benefícios'!$D$511,1,MATCH($B31,'Encargos e Benefícios'!$E$511:$AB$511,0),10,1)),0)
+_xlfn.IFNA(SUM((AP$3&gt;='Gastos com Pessoal'!$E$7:$E$506)*(AP$3&lt;='Gastos com Pessoal'!$F$7:$F$506)*(IF('Gastos com Pessoal'!$G$7:$G$506&lt;=AP$3,1,0))*OFFSET('Gastos com Pessoal'!$H$6,1,MATCH(1&amp;$B31,'Gastos com Pessoal'!$I$532:$AJ$532&amp;'Gastos com Pessoal'!$I$6:$AJ$6,0),500,1)),0)
+_xlfn.IFNA(SUM((AP$3&gt;='Gastos com Pessoal'!$E$7:$E$506)*(AP$3&lt;='Gastos com Pessoal'!$F$7:$F$506)*(IF('Gastos com Pessoal'!$M$7:$M$506&lt;=AP$3,1,0))*OFFSET('Gastos com Pessoal'!$H$6,1,MATCH(2&amp;$B31,'Gastos com Pessoal'!$I$532:$AJ$532&amp;'Gastos com Pessoal'!$I$6:$AJ$6,0),500,1)),0)
+_xlfn.IFNA(SUM((AP$3&gt;='Gastos com Pessoal'!$E$7:$E$506)*(AP$3&lt;='Gastos com Pessoal'!$F$7:$F$506)*(IF('Gastos com Pessoal'!$S$7:$S$506&lt;=AP$3,1,0))*OFFSET('Gastos com Pessoal'!$H$6,1,MATCH(3&amp;$B31,'Gastos com Pessoal'!$I$532:$AJ$532&amp;'Gastos com Pessoal'!$I$6:$AJ$6,0),500,1)),0)
+_xlfn.IFNA(SUM((AP$3&gt;='Gastos com Pessoal'!$E$7:$E$506)*(AP$3&lt;='Gastos com Pessoal'!$F$7:$F$506)*(IF('Gastos com Pessoal'!$Y$7:$Y$506&lt;=AP$3,1,0))*OFFSET('Gastos com Pessoal'!$H$6,1,MATCH(4&amp;$B31,'Gastos com Pessoal'!$I$532:$AJ$532&amp;'Gastos com Pessoal'!$I$6:$AJ$6,0),500,1)),0)
+_xlfn.IFNA(SUM((AP$3&gt;='Gastos com Pessoal'!$E$7:$E$506)*(AP$3&lt;='Gastos com Pessoal'!$F$7:$F$506)*(IF('Gastos com Pessoal'!$AE$7:$AE$506&lt;=AP$3,1,0))*OFFSET('Gastos com Pessoal'!$H$6,1,MATCH(5&amp;$B31,'Gastos com Pessoal'!$I$532:$AJ$532&amp;'Gastos com Pessoal'!$I$6:$AJ$6,0),500,1)),0)
+_xlfn.IFNA(SUM((AP$3&gt;='Gastos com Pessoal'!$E$513:$E$522)*(AP$3&lt;='Gastos com Pessoal'!$F$513:$F$522)*(IF('Gastos com Pessoal'!$G$513:$G$522&lt;=AP$3,1,0))*OFFSET('Gastos com Pessoal'!$H$512,1,MATCH(1&amp;$B31,'Gastos com Pessoal'!$I$532:$AJ$532&amp;'Gastos com Pessoal'!$I$512:$AJ$512,0),10,1)),0)
+_xlfn.IFNA(SUM((AP$3&gt;='Gastos com Pessoal'!$E$513:$E$522)*(AP$3&lt;='Gastos com Pessoal'!$F$513:$F$522)*(IF('Gastos com Pessoal'!$M$513:$M$522&lt;=AP$3,1,0))*OFFSET('Gastos com Pessoal'!$H$512,1,MATCH(2&amp;$B31,'Gastos com Pessoal'!$I$532:$AJ$532&amp;'Gastos com Pessoal'!$I$512:$AJ$512,0),10,1)),0)
+_xlfn.IFNA(SUM((AP$3&gt;='Gastos com Pessoal'!$E$513:$E$522)*(AP$3&lt;='Gastos com Pessoal'!$F$513:$F$522)*(IF('Gastos com Pessoal'!$S$513:$S$522&lt;=AP$3,1,0))*OFFSET('Gastos com Pessoal'!$H$512,1,MATCH(3&amp;$B31,'Gastos com Pessoal'!$I$532:$AJ$532&amp;'Gastos com Pessoal'!$I$512:$AJ$512,0),10,1)),0)
+_xlfn.IFNA(SUM((AP$3&gt;='Gastos com Pessoal'!$E$513:$E$522)*(AP$3&lt;='Gastos com Pessoal'!$F$513:$F$522)*(IF('Gastos com Pessoal'!$Y$513:$Y$522&lt;=AP$3,1,0))*OFFSET('Gastos com Pessoal'!$H$512,1,MATCH(4&amp;$B31,'Gastos com Pessoal'!$I$532:$AJ$532&amp;'Gastos com Pessoal'!$I$512:$AJ$512,0),10,1)),0)
+_xlfn.IFNA(SUM((AP$3&gt;='Gastos com Pessoal'!$E$513:$E$522)*(AP$3&lt;='Gastos com Pessoal'!$F$513:$F$522)*(IF('Gastos com Pessoal'!$AE$513:$AE$522&lt;=AP$3,1,0))*OFFSET('Gastos com Pessoal'!$H$512,1,MATCH(5&amp;$B31,'Gastos com Pessoal'!$I$532:$AJ$532&amp;'Gastos com Pessoal'!$I$512:$AJ$512,0),10,1)),0)</f>
        <v>0</v>
      </c>
      <c r="AQ31" s="32">
        <f t="array" aca="1" ref="AQ31" ca="1">_xlfn.IFNA(SUM((AQ$3&gt;='Gastos com Pessoal'!$E$7:$E$506)*(AQ$3&lt;='Gastos com Pessoal'!$F$7:$F$506)*OFFSET('Encargos e Benefícios'!$D$5,1,MATCH($B31,'Encargos e Benefícios'!$E$5:$AB$5,0),500,1)),0)
+_xlfn.IFNA(SUM((AQ$3&gt;='Gastos com Pessoal'!$E$513:$E$522)*(AQ$3&lt;='Gastos com Pessoal'!$F$513:$F$522)*OFFSET('Encargos e Benefícios'!$D$511,1,MATCH($B31,'Encargos e Benefícios'!$E$511:$AB$511,0),10,1)),0)
+_xlfn.IFNA(SUM((AQ$3&gt;='Gastos com Pessoal'!$E$7:$E$506)*(AQ$3&lt;='Gastos com Pessoal'!$F$7:$F$506)*(IF('Gastos com Pessoal'!$G$7:$G$506&lt;=AQ$3,1,0))*OFFSET('Gastos com Pessoal'!$H$6,1,MATCH(1&amp;$B31,'Gastos com Pessoal'!$I$532:$AJ$532&amp;'Gastos com Pessoal'!$I$6:$AJ$6,0),500,1)),0)
+_xlfn.IFNA(SUM((AQ$3&gt;='Gastos com Pessoal'!$E$7:$E$506)*(AQ$3&lt;='Gastos com Pessoal'!$F$7:$F$506)*(IF('Gastos com Pessoal'!$M$7:$M$506&lt;=AQ$3,1,0))*OFFSET('Gastos com Pessoal'!$H$6,1,MATCH(2&amp;$B31,'Gastos com Pessoal'!$I$532:$AJ$532&amp;'Gastos com Pessoal'!$I$6:$AJ$6,0),500,1)),0)
+_xlfn.IFNA(SUM((AQ$3&gt;='Gastos com Pessoal'!$E$7:$E$506)*(AQ$3&lt;='Gastos com Pessoal'!$F$7:$F$506)*(IF('Gastos com Pessoal'!$S$7:$S$506&lt;=AQ$3,1,0))*OFFSET('Gastos com Pessoal'!$H$6,1,MATCH(3&amp;$B31,'Gastos com Pessoal'!$I$532:$AJ$532&amp;'Gastos com Pessoal'!$I$6:$AJ$6,0),500,1)),0)
+_xlfn.IFNA(SUM((AQ$3&gt;='Gastos com Pessoal'!$E$7:$E$506)*(AQ$3&lt;='Gastos com Pessoal'!$F$7:$F$506)*(IF('Gastos com Pessoal'!$Y$7:$Y$506&lt;=AQ$3,1,0))*OFFSET('Gastos com Pessoal'!$H$6,1,MATCH(4&amp;$B31,'Gastos com Pessoal'!$I$532:$AJ$532&amp;'Gastos com Pessoal'!$I$6:$AJ$6,0),500,1)),0)
+_xlfn.IFNA(SUM((AQ$3&gt;='Gastos com Pessoal'!$E$7:$E$506)*(AQ$3&lt;='Gastos com Pessoal'!$F$7:$F$506)*(IF('Gastos com Pessoal'!$AE$7:$AE$506&lt;=AQ$3,1,0))*OFFSET('Gastos com Pessoal'!$H$6,1,MATCH(5&amp;$B31,'Gastos com Pessoal'!$I$532:$AJ$532&amp;'Gastos com Pessoal'!$I$6:$AJ$6,0),500,1)),0)
+_xlfn.IFNA(SUM((AQ$3&gt;='Gastos com Pessoal'!$E$513:$E$522)*(AQ$3&lt;='Gastos com Pessoal'!$F$513:$F$522)*(IF('Gastos com Pessoal'!$G$513:$G$522&lt;=AQ$3,1,0))*OFFSET('Gastos com Pessoal'!$H$512,1,MATCH(1&amp;$B31,'Gastos com Pessoal'!$I$532:$AJ$532&amp;'Gastos com Pessoal'!$I$512:$AJ$512,0),10,1)),0)
+_xlfn.IFNA(SUM((AQ$3&gt;='Gastos com Pessoal'!$E$513:$E$522)*(AQ$3&lt;='Gastos com Pessoal'!$F$513:$F$522)*(IF('Gastos com Pessoal'!$M$513:$M$522&lt;=AQ$3,1,0))*OFFSET('Gastos com Pessoal'!$H$512,1,MATCH(2&amp;$B31,'Gastos com Pessoal'!$I$532:$AJ$532&amp;'Gastos com Pessoal'!$I$512:$AJ$512,0),10,1)),0)
+_xlfn.IFNA(SUM((AQ$3&gt;='Gastos com Pessoal'!$E$513:$E$522)*(AQ$3&lt;='Gastos com Pessoal'!$F$513:$F$522)*(IF('Gastos com Pessoal'!$S$513:$S$522&lt;=AQ$3,1,0))*OFFSET('Gastos com Pessoal'!$H$512,1,MATCH(3&amp;$B31,'Gastos com Pessoal'!$I$532:$AJ$532&amp;'Gastos com Pessoal'!$I$512:$AJ$512,0),10,1)),0)
+_xlfn.IFNA(SUM((AQ$3&gt;='Gastos com Pessoal'!$E$513:$E$522)*(AQ$3&lt;='Gastos com Pessoal'!$F$513:$F$522)*(IF('Gastos com Pessoal'!$Y$513:$Y$522&lt;=AQ$3,1,0))*OFFSET('Gastos com Pessoal'!$H$512,1,MATCH(4&amp;$B31,'Gastos com Pessoal'!$I$532:$AJ$532&amp;'Gastos com Pessoal'!$I$512:$AJ$512,0),10,1)),0)
+_xlfn.IFNA(SUM((AQ$3&gt;='Gastos com Pessoal'!$E$513:$E$522)*(AQ$3&lt;='Gastos com Pessoal'!$F$513:$F$522)*(IF('Gastos com Pessoal'!$AE$513:$AE$522&lt;=AQ$3,1,0))*OFFSET('Gastos com Pessoal'!$H$512,1,MATCH(5&amp;$B31,'Gastos com Pessoal'!$I$532:$AJ$532&amp;'Gastos com Pessoal'!$I$512:$AJ$512,0),10,1)),0)</f>
        <v>0</v>
      </c>
      <c r="AR31" s="32">
        <f t="array" aca="1" ref="AR31" ca="1">_xlfn.IFNA(SUM((AR$3&gt;='Gastos com Pessoal'!$E$7:$E$506)*(AR$3&lt;='Gastos com Pessoal'!$F$7:$F$506)*OFFSET('Encargos e Benefícios'!$D$5,1,MATCH($B31,'Encargos e Benefícios'!$E$5:$AB$5,0),500,1)),0)
+_xlfn.IFNA(SUM((AR$3&gt;='Gastos com Pessoal'!$E$513:$E$522)*(AR$3&lt;='Gastos com Pessoal'!$F$513:$F$522)*OFFSET('Encargos e Benefícios'!$D$511,1,MATCH($B31,'Encargos e Benefícios'!$E$511:$AB$511,0),10,1)),0)
+_xlfn.IFNA(SUM((AR$3&gt;='Gastos com Pessoal'!$E$7:$E$506)*(AR$3&lt;='Gastos com Pessoal'!$F$7:$F$506)*(IF('Gastos com Pessoal'!$G$7:$G$506&lt;=AR$3,1,0))*OFFSET('Gastos com Pessoal'!$H$6,1,MATCH(1&amp;$B31,'Gastos com Pessoal'!$I$532:$AJ$532&amp;'Gastos com Pessoal'!$I$6:$AJ$6,0),500,1)),0)
+_xlfn.IFNA(SUM((AR$3&gt;='Gastos com Pessoal'!$E$7:$E$506)*(AR$3&lt;='Gastos com Pessoal'!$F$7:$F$506)*(IF('Gastos com Pessoal'!$M$7:$M$506&lt;=AR$3,1,0))*OFFSET('Gastos com Pessoal'!$H$6,1,MATCH(2&amp;$B31,'Gastos com Pessoal'!$I$532:$AJ$532&amp;'Gastos com Pessoal'!$I$6:$AJ$6,0),500,1)),0)
+_xlfn.IFNA(SUM((AR$3&gt;='Gastos com Pessoal'!$E$7:$E$506)*(AR$3&lt;='Gastos com Pessoal'!$F$7:$F$506)*(IF('Gastos com Pessoal'!$S$7:$S$506&lt;=AR$3,1,0))*OFFSET('Gastos com Pessoal'!$H$6,1,MATCH(3&amp;$B31,'Gastos com Pessoal'!$I$532:$AJ$532&amp;'Gastos com Pessoal'!$I$6:$AJ$6,0),500,1)),0)
+_xlfn.IFNA(SUM((AR$3&gt;='Gastos com Pessoal'!$E$7:$E$506)*(AR$3&lt;='Gastos com Pessoal'!$F$7:$F$506)*(IF('Gastos com Pessoal'!$Y$7:$Y$506&lt;=AR$3,1,0))*OFFSET('Gastos com Pessoal'!$H$6,1,MATCH(4&amp;$B31,'Gastos com Pessoal'!$I$532:$AJ$532&amp;'Gastos com Pessoal'!$I$6:$AJ$6,0),500,1)),0)
+_xlfn.IFNA(SUM((AR$3&gt;='Gastos com Pessoal'!$E$7:$E$506)*(AR$3&lt;='Gastos com Pessoal'!$F$7:$F$506)*(IF('Gastos com Pessoal'!$AE$7:$AE$506&lt;=AR$3,1,0))*OFFSET('Gastos com Pessoal'!$H$6,1,MATCH(5&amp;$B31,'Gastos com Pessoal'!$I$532:$AJ$532&amp;'Gastos com Pessoal'!$I$6:$AJ$6,0),500,1)),0)
+_xlfn.IFNA(SUM((AR$3&gt;='Gastos com Pessoal'!$E$513:$E$522)*(AR$3&lt;='Gastos com Pessoal'!$F$513:$F$522)*(IF('Gastos com Pessoal'!$G$513:$G$522&lt;=AR$3,1,0))*OFFSET('Gastos com Pessoal'!$H$512,1,MATCH(1&amp;$B31,'Gastos com Pessoal'!$I$532:$AJ$532&amp;'Gastos com Pessoal'!$I$512:$AJ$512,0),10,1)),0)
+_xlfn.IFNA(SUM((AR$3&gt;='Gastos com Pessoal'!$E$513:$E$522)*(AR$3&lt;='Gastos com Pessoal'!$F$513:$F$522)*(IF('Gastos com Pessoal'!$M$513:$M$522&lt;=AR$3,1,0))*OFFSET('Gastos com Pessoal'!$H$512,1,MATCH(2&amp;$B31,'Gastos com Pessoal'!$I$532:$AJ$532&amp;'Gastos com Pessoal'!$I$512:$AJ$512,0),10,1)),0)
+_xlfn.IFNA(SUM((AR$3&gt;='Gastos com Pessoal'!$E$513:$E$522)*(AR$3&lt;='Gastos com Pessoal'!$F$513:$F$522)*(IF('Gastos com Pessoal'!$S$513:$S$522&lt;=AR$3,1,0))*OFFSET('Gastos com Pessoal'!$H$512,1,MATCH(3&amp;$B31,'Gastos com Pessoal'!$I$532:$AJ$532&amp;'Gastos com Pessoal'!$I$512:$AJ$512,0),10,1)),0)
+_xlfn.IFNA(SUM((AR$3&gt;='Gastos com Pessoal'!$E$513:$E$522)*(AR$3&lt;='Gastos com Pessoal'!$F$513:$F$522)*(IF('Gastos com Pessoal'!$Y$513:$Y$522&lt;=AR$3,1,0))*OFFSET('Gastos com Pessoal'!$H$512,1,MATCH(4&amp;$B31,'Gastos com Pessoal'!$I$532:$AJ$532&amp;'Gastos com Pessoal'!$I$512:$AJ$512,0),10,1)),0)
+_xlfn.IFNA(SUM((AR$3&gt;='Gastos com Pessoal'!$E$513:$E$522)*(AR$3&lt;='Gastos com Pessoal'!$F$513:$F$522)*(IF('Gastos com Pessoal'!$AE$513:$AE$522&lt;=AR$3,1,0))*OFFSET('Gastos com Pessoal'!$H$512,1,MATCH(5&amp;$B31,'Gastos com Pessoal'!$I$532:$AJ$532&amp;'Gastos com Pessoal'!$I$512:$AJ$512,0),10,1)),0)</f>
        <v>0</v>
      </c>
      <c r="AS31" s="32">
        <f t="array" aca="1" ref="AS31" ca="1">_xlfn.IFNA(SUM((AS$3&gt;='Gastos com Pessoal'!$E$7:$E$506)*(AS$3&lt;='Gastos com Pessoal'!$F$7:$F$506)*OFFSET('Encargos e Benefícios'!$D$5,1,MATCH($B31,'Encargos e Benefícios'!$E$5:$AB$5,0),500,1)),0)
+_xlfn.IFNA(SUM((AS$3&gt;='Gastos com Pessoal'!$E$513:$E$522)*(AS$3&lt;='Gastos com Pessoal'!$F$513:$F$522)*OFFSET('Encargos e Benefícios'!$D$511,1,MATCH($B31,'Encargos e Benefícios'!$E$511:$AB$511,0),10,1)),0)
+_xlfn.IFNA(SUM((AS$3&gt;='Gastos com Pessoal'!$E$7:$E$506)*(AS$3&lt;='Gastos com Pessoal'!$F$7:$F$506)*(IF('Gastos com Pessoal'!$G$7:$G$506&lt;=AS$3,1,0))*OFFSET('Gastos com Pessoal'!$H$6,1,MATCH(1&amp;$B31,'Gastos com Pessoal'!$I$532:$AJ$532&amp;'Gastos com Pessoal'!$I$6:$AJ$6,0),500,1)),0)
+_xlfn.IFNA(SUM((AS$3&gt;='Gastos com Pessoal'!$E$7:$E$506)*(AS$3&lt;='Gastos com Pessoal'!$F$7:$F$506)*(IF('Gastos com Pessoal'!$M$7:$M$506&lt;=AS$3,1,0))*OFFSET('Gastos com Pessoal'!$H$6,1,MATCH(2&amp;$B31,'Gastos com Pessoal'!$I$532:$AJ$532&amp;'Gastos com Pessoal'!$I$6:$AJ$6,0),500,1)),0)
+_xlfn.IFNA(SUM((AS$3&gt;='Gastos com Pessoal'!$E$7:$E$506)*(AS$3&lt;='Gastos com Pessoal'!$F$7:$F$506)*(IF('Gastos com Pessoal'!$S$7:$S$506&lt;=AS$3,1,0))*OFFSET('Gastos com Pessoal'!$H$6,1,MATCH(3&amp;$B31,'Gastos com Pessoal'!$I$532:$AJ$532&amp;'Gastos com Pessoal'!$I$6:$AJ$6,0),500,1)),0)
+_xlfn.IFNA(SUM((AS$3&gt;='Gastos com Pessoal'!$E$7:$E$506)*(AS$3&lt;='Gastos com Pessoal'!$F$7:$F$506)*(IF('Gastos com Pessoal'!$Y$7:$Y$506&lt;=AS$3,1,0))*OFFSET('Gastos com Pessoal'!$H$6,1,MATCH(4&amp;$B31,'Gastos com Pessoal'!$I$532:$AJ$532&amp;'Gastos com Pessoal'!$I$6:$AJ$6,0),500,1)),0)
+_xlfn.IFNA(SUM((AS$3&gt;='Gastos com Pessoal'!$E$7:$E$506)*(AS$3&lt;='Gastos com Pessoal'!$F$7:$F$506)*(IF('Gastos com Pessoal'!$AE$7:$AE$506&lt;=AS$3,1,0))*OFFSET('Gastos com Pessoal'!$H$6,1,MATCH(5&amp;$B31,'Gastos com Pessoal'!$I$532:$AJ$532&amp;'Gastos com Pessoal'!$I$6:$AJ$6,0),500,1)),0)
+_xlfn.IFNA(SUM((AS$3&gt;='Gastos com Pessoal'!$E$513:$E$522)*(AS$3&lt;='Gastos com Pessoal'!$F$513:$F$522)*(IF('Gastos com Pessoal'!$G$513:$G$522&lt;=AS$3,1,0))*OFFSET('Gastos com Pessoal'!$H$512,1,MATCH(1&amp;$B31,'Gastos com Pessoal'!$I$532:$AJ$532&amp;'Gastos com Pessoal'!$I$512:$AJ$512,0),10,1)),0)
+_xlfn.IFNA(SUM((AS$3&gt;='Gastos com Pessoal'!$E$513:$E$522)*(AS$3&lt;='Gastos com Pessoal'!$F$513:$F$522)*(IF('Gastos com Pessoal'!$M$513:$M$522&lt;=AS$3,1,0))*OFFSET('Gastos com Pessoal'!$H$512,1,MATCH(2&amp;$B31,'Gastos com Pessoal'!$I$532:$AJ$532&amp;'Gastos com Pessoal'!$I$512:$AJ$512,0),10,1)),0)
+_xlfn.IFNA(SUM((AS$3&gt;='Gastos com Pessoal'!$E$513:$E$522)*(AS$3&lt;='Gastos com Pessoal'!$F$513:$F$522)*(IF('Gastos com Pessoal'!$S$513:$S$522&lt;=AS$3,1,0))*OFFSET('Gastos com Pessoal'!$H$512,1,MATCH(3&amp;$B31,'Gastos com Pessoal'!$I$532:$AJ$532&amp;'Gastos com Pessoal'!$I$512:$AJ$512,0),10,1)),0)
+_xlfn.IFNA(SUM((AS$3&gt;='Gastos com Pessoal'!$E$513:$E$522)*(AS$3&lt;='Gastos com Pessoal'!$F$513:$F$522)*(IF('Gastos com Pessoal'!$Y$513:$Y$522&lt;=AS$3,1,0))*OFFSET('Gastos com Pessoal'!$H$512,1,MATCH(4&amp;$B31,'Gastos com Pessoal'!$I$532:$AJ$532&amp;'Gastos com Pessoal'!$I$512:$AJ$512,0),10,1)),0)
+_xlfn.IFNA(SUM((AS$3&gt;='Gastos com Pessoal'!$E$513:$E$522)*(AS$3&lt;='Gastos com Pessoal'!$F$513:$F$522)*(IF('Gastos com Pessoal'!$AE$513:$AE$522&lt;=AS$3,1,0))*OFFSET('Gastos com Pessoal'!$H$512,1,MATCH(5&amp;$B31,'Gastos com Pessoal'!$I$532:$AJ$532&amp;'Gastos com Pessoal'!$I$512:$AJ$512,0),10,1)),0)</f>
        <v>0</v>
      </c>
      <c r="AT31" s="32">
        <f t="array" aca="1" ref="AT31" ca="1">_xlfn.IFNA(SUM((AT$3&gt;='Gastos com Pessoal'!$E$7:$E$506)*(AT$3&lt;='Gastos com Pessoal'!$F$7:$F$506)*OFFSET('Encargos e Benefícios'!$D$5,1,MATCH($B31,'Encargos e Benefícios'!$E$5:$AB$5,0),500,1)),0)
+_xlfn.IFNA(SUM((AT$3&gt;='Gastos com Pessoal'!$E$513:$E$522)*(AT$3&lt;='Gastos com Pessoal'!$F$513:$F$522)*OFFSET('Encargos e Benefícios'!$D$511,1,MATCH($B31,'Encargos e Benefícios'!$E$511:$AB$511,0),10,1)),0)
+_xlfn.IFNA(SUM((AT$3&gt;='Gastos com Pessoal'!$E$7:$E$506)*(AT$3&lt;='Gastos com Pessoal'!$F$7:$F$506)*(IF('Gastos com Pessoal'!$G$7:$G$506&lt;=AT$3,1,0))*OFFSET('Gastos com Pessoal'!$H$6,1,MATCH(1&amp;$B31,'Gastos com Pessoal'!$I$532:$AJ$532&amp;'Gastos com Pessoal'!$I$6:$AJ$6,0),500,1)),0)
+_xlfn.IFNA(SUM((AT$3&gt;='Gastos com Pessoal'!$E$7:$E$506)*(AT$3&lt;='Gastos com Pessoal'!$F$7:$F$506)*(IF('Gastos com Pessoal'!$M$7:$M$506&lt;=AT$3,1,0))*OFFSET('Gastos com Pessoal'!$H$6,1,MATCH(2&amp;$B31,'Gastos com Pessoal'!$I$532:$AJ$532&amp;'Gastos com Pessoal'!$I$6:$AJ$6,0),500,1)),0)
+_xlfn.IFNA(SUM((AT$3&gt;='Gastos com Pessoal'!$E$7:$E$506)*(AT$3&lt;='Gastos com Pessoal'!$F$7:$F$506)*(IF('Gastos com Pessoal'!$S$7:$S$506&lt;=AT$3,1,0))*OFFSET('Gastos com Pessoal'!$H$6,1,MATCH(3&amp;$B31,'Gastos com Pessoal'!$I$532:$AJ$532&amp;'Gastos com Pessoal'!$I$6:$AJ$6,0),500,1)),0)
+_xlfn.IFNA(SUM((AT$3&gt;='Gastos com Pessoal'!$E$7:$E$506)*(AT$3&lt;='Gastos com Pessoal'!$F$7:$F$506)*(IF('Gastos com Pessoal'!$Y$7:$Y$506&lt;=AT$3,1,0))*OFFSET('Gastos com Pessoal'!$H$6,1,MATCH(4&amp;$B31,'Gastos com Pessoal'!$I$532:$AJ$532&amp;'Gastos com Pessoal'!$I$6:$AJ$6,0),500,1)),0)
+_xlfn.IFNA(SUM((AT$3&gt;='Gastos com Pessoal'!$E$7:$E$506)*(AT$3&lt;='Gastos com Pessoal'!$F$7:$F$506)*(IF('Gastos com Pessoal'!$AE$7:$AE$506&lt;=AT$3,1,0))*OFFSET('Gastos com Pessoal'!$H$6,1,MATCH(5&amp;$B31,'Gastos com Pessoal'!$I$532:$AJ$532&amp;'Gastos com Pessoal'!$I$6:$AJ$6,0),500,1)),0)
+_xlfn.IFNA(SUM((AT$3&gt;='Gastos com Pessoal'!$E$513:$E$522)*(AT$3&lt;='Gastos com Pessoal'!$F$513:$F$522)*(IF('Gastos com Pessoal'!$G$513:$G$522&lt;=AT$3,1,0))*OFFSET('Gastos com Pessoal'!$H$512,1,MATCH(1&amp;$B31,'Gastos com Pessoal'!$I$532:$AJ$532&amp;'Gastos com Pessoal'!$I$512:$AJ$512,0),10,1)),0)
+_xlfn.IFNA(SUM((AT$3&gt;='Gastos com Pessoal'!$E$513:$E$522)*(AT$3&lt;='Gastos com Pessoal'!$F$513:$F$522)*(IF('Gastos com Pessoal'!$M$513:$M$522&lt;=AT$3,1,0))*OFFSET('Gastos com Pessoal'!$H$512,1,MATCH(2&amp;$B31,'Gastos com Pessoal'!$I$532:$AJ$532&amp;'Gastos com Pessoal'!$I$512:$AJ$512,0),10,1)),0)
+_xlfn.IFNA(SUM((AT$3&gt;='Gastos com Pessoal'!$E$513:$E$522)*(AT$3&lt;='Gastos com Pessoal'!$F$513:$F$522)*(IF('Gastos com Pessoal'!$S$513:$S$522&lt;=AT$3,1,0))*OFFSET('Gastos com Pessoal'!$H$512,1,MATCH(3&amp;$B31,'Gastos com Pessoal'!$I$532:$AJ$532&amp;'Gastos com Pessoal'!$I$512:$AJ$512,0),10,1)),0)
+_xlfn.IFNA(SUM((AT$3&gt;='Gastos com Pessoal'!$E$513:$E$522)*(AT$3&lt;='Gastos com Pessoal'!$F$513:$F$522)*(IF('Gastos com Pessoal'!$Y$513:$Y$522&lt;=AT$3,1,0))*OFFSET('Gastos com Pessoal'!$H$512,1,MATCH(4&amp;$B31,'Gastos com Pessoal'!$I$532:$AJ$532&amp;'Gastos com Pessoal'!$I$512:$AJ$512,0),10,1)),0)
+_xlfn.IFNA(SUM((AT$3&gt;='Gastos com Pessoal'!$E$513:$E$522)*(AT$3&lt;='Gastos com Pessoal'!$F$513:$F$522)*(IF('Gastos com Pessoal'!$AE$513:$AE$522&lt;=AT$3,1,0))*OFFSET('Gastos com Pessoal'!$H$512,1,MATCH(5&amp;$B31,'Gastos com Pessoal'!$I$532:$AJ$532&amp;'Gastos com Pessoal'!$I$512:$AJ$512,0),10,1)),0)</f>
        <v>0</v>
      </c>
      <c r="AU31" s="32">
        <f t="array" aca="1" ref="AU31" ca="1">_xlfn.IFNA(SUM((AU$3&gt;='Gastos com Pessoal'!$E$7:$E$506)*(AU$3&lt;='Gastos com Pessoal'!$F$7:$F$506)*OFFSET('Encargos e Benefícios'!$D$5,1,MATCH($B31,'Encargos e Benefícios'!$E$5:$AB$5,0),500,1)),0)
+_xlfn.IFNA(SUM((AU$3&gt;='Gastos com Pessoal'!$E$513:$E$522)*(AU$3&lt;='Gastos com Pessoal'!$F$513:$F$522)*OFFSET('Encargos e Benefícios'!$D$511,1,MATCH($B31,'Encargos e Benefícios'!$E$511:$AB$511,0),10,1)),0)
+_xlfn.IFNA(SUM((AU$3&gt;='Gastos com Pessoal'!$E$7:$E$506)*(AU$3&lt;='Gastos com Pessoal'!$F$7:$F$506)*(IF('Gastos com Pessoal'!$G$7:$G$506&lt;=AU$3,1,0))*OFFSET('Gastos com Pessoal'!$H$6,1,MATCH(1&amp;$B31,'Gastos com Pessoal'!$I$532:$AJ$532&amp;'Gastos com Pessoal'!$I$6:$AJ$6,0),500,1)),0)
+_xlfn.IFNA(SUM((AU$3&gt;='Gastos com Pessoal'!$E$7:$E$506)*(AU$3&lt;='Gastos com Pessoal'!$F$7:$F$506)*(IF('Gastos com Pessoal'!$M$7:$M$506&lt;=AU$3,1,0))*OFFSET('Gastos com Pessoal'!$H$6,1,MATCH(2&amp;$B31,'Gastos com Pessoal'!$I$532:$AJ$532&amp;'Gastos com Pessoal'!$I$6:$AJ$6,0),500,1)),0)
+_xlfn.IFNA(SUM((AU$3&gt;='Gastos com Pessoal'!$E$7:$E$506)*(AU$3&lt;='Gastos com Pessoal'!$F$7:$F$506)*(IF('Gastos com Pessoal'!$S$7:$S$506&lt;=AU$3,1,0))*OFFSET('Gastos com Pessoal'!$H$6,1,MATCH(3&amp;$B31,'Gastos com Pessoal'!$I$532:$AJ$532&amp;'Gastos com Pessoal'!$I$6:$AJ$6,0),500,1)),0)
+_xlfn.IFNA(SUM((AU$3&gt;='Gastos com Pessoal'!$E$7:$E$506)*(AU$3&lt;='Gastos com Pessoal'!$F$7:$F$506)*(IF('Gastos com Pessoal'!$Y$7:$Y$506&lt;=AU$3,1,0))*OFFSET('Gastos com Pessoal'!$H$6,1,MATCH(4&amp;$B31,'Gastos com Pessoal'!$I$532:$AJ$532&amp;'Gastos com Pessoal'!$I$6:$AJ$6,0),500,1)),0)
+_xlfn.IFNA(SUM((AU$3&gt;='Gastos com Pessoal'!$E$7:$E$506)*(AU$3&lt;='Gastos com Pessoal'!$F$7:$F$506)*(IF('Gastos com Pessoal'!$AE$7:$AE$506&lt;=AU$3,1,0))*OFFSET('Gastos com Pessoal'!$H$6,1,MATCH(5&amp;$B31,'Gastos com Pessoal'!$I$532:$AJ$532&amp;'Gastos com Pessoal'!$I$6:$AJ$6,0),500,1)),0)
+_xlfn.IFNA(SUM((AU$3&gt;='Gastos com Pessoal'!$E$513:$E$522)*(AU$3&lt;='Gastos com Pessoal'!$F$513:$F$522)*(IF('Gastos com Pessoal'!$G$513:$G$522&lt;=AU$3,1,0))*OFFSET('Gastos com Pessoal'!$H$512,1,MATCH(1&amp;$B31,'Gastos com Pessoal'!$I$532:$AJ$532&amp;'Gastos com Pessoal'!$I$512:$AJ$512,0),10,1)),0)
+_xlfn.IFNA(SUM((AU$3&gt;='Gastos com Pessoal'!$E$513:$E$522)*(AU$3&lt;='Gastos com Pessoal'!$F$513:$F$522)*(IF('Gastos com Pessoal'!$M$513:$M$522&lt;=AU$3,1,0))*OFFSET('Gastos com Pessoal'!$H$512,1,MATCH(2&amp;$B31,'Gastos com Pessoal'!$I$532:$AJ$532&amp;'Gastos com Pessoal'!$I$512:$AJ$512,0),10,1)),0)
+_xlfn.IFNA(SUM((AU$3&gt;='Gastos com Pessoal'!$E$513:$E$522)*(AU$3&lt;='Gastos com Pessoal'!$F$513:$F$522)*(IF('Gastos com Pessoal'!$S$513:$S$522&lt;=AU$3,1,0))*OFFSET('Gastos com Pessoal'!$H$512,1,MATCH(3&amp;$B31,'Gastos com Pessoal'!$I$532:$AJ$532&amp;'Gastos com Pessoal'!$I$512:$AJ$512,0),10,1)),0)
+_xlfn.IFNA(SUM((AU$3&gt;='Gastos com Pessoal'!$E$513:$E$522)*(AU$3&lt;='Gastos com Pessoal'!$F$513:$F$522)*(IF('Gastos com Pessoal'!$Y$513:$Y$522&lt;=AU$3,1,0))*OFFSET('Gastos com Pessoal'!$H$512,1,MATCH(4&amp;$B31,'Gastos com Pessoal'!$I$532:$AJ$532&amp;'Gastos com Pessoal'!$I$512:$AJ$512,0),10,1)),0)
+_xlfn.IFNA(SUM((AU$3&gt;='Gastos com Pessoal'!$E$513:$E$522)*(AU$3&lt;='Gastos com Pessoal'!$F$513:$F$522)*(IF('Gastos com Pessoal'!$AE$513:$AE$522&lt;=AU$3,1,0))*OFFSET('Gastos com Pessoal'!$H$512,1,MATCH(5&amp;$B31,'Gastos com Pessoal'!$I$532:$AJ$532&amp;'Gastos com Pessoal'!$I$512:$AJ$512,0),10,1)),0)</f>
        <v>0</v>
      </c>
      <c r="AV31" s="32">
        <f t="array" aca="1" ref="AV31" ca="1">_xlfn.IFNA(SUM((AV$3&gt;='Gastos com Pessoal'!$E$7:$E$506)*(AV$3&lt;='Gastos com Pessoal'!$F$7:$F$506)*OFFSET('Encargos e Benefícios'!$D$5,1,MATCH($B31,'Encargos e Benefícios'!$E$5:$AB$5,0),500,1)),0)
+_xlfn.IFNA(SUM((AV$3&gt;='Gastos com Pessoal'!$E$513:$E$522)*(AV$3&lt;='Gastos com Pessoal'!$F$513:$F$522)*OFFSET('Encargos e Benefícios'!$D$511,1,MATCH($B31,'Encargos e Benefícios'!$E$511:$AB$511,0),10,1)),0)
+_xlfn.IFNA(SUM((AV$3&gt;='Gastos com Pessoal'!$E$7:$E$506)*(AV$3&lt;='Gastos com Pessoal'!$F$7:$F$506)*(IF('Gastos com Pessoal'!$G$7:$G$506&lt;=AV$3,1,0))*OFFSET('Gastos com Pessoal'!$H$6,1,MATCH(1&amp;$B31,'Gastos com Pessoal'!$I$532:$AJ$532&amp;'Gastos com Pessoal'!$I$6:$AJ$6,0),500,1)),0)
+_xlfn.IFNA(SUM((AV$3&gt;='Gastos com Pessoal'!$E$7:$E$506)*(AV$3&lt;='Gastos com Pessoal'!$F$7:$F$506)*(IF('Gastos com Pessoal'!$M$7:$M$506&lt;=AV$3,1,0))*OFFSET('Gastos com Pessoal'!$H$6,1,MATCH(2&amp;$B31,'Gastos com Pessoal'!$I$532:$AJ$532&amp;'Gastos com Pessoal'!$I$6:$AJ$6,0),500,1)),0)
+_xlfn.IFNA(SUM((AV$3&gt;='Gastos com Pessoal'!$E$7:$E$506)*(AV$3&lt;='Gastos com Pessoal'!$F$7:$F$506)*(IF('Gastos com Pessoal'!$S$7:$S$506&lt;=AV$3,1,0))*OFFSET('Gastos com Pessoal'!$H$6,1,MATCH(3&amp;$B31,'Gastos com Pessoal'!$I$532:$AJ$532&amp;'Gastos com Pessoal'!$I$6:$AJ$6,0),500,1)),0)
+_xlfn.IFNA(SUM((AV$3&gt;='Gastos com Pessoal'!$E$7:$E$506)*(AV$3&lt;='Gastos com Pessoal'!$F$7:$F$506)*(IF('Gastos com Pessoal'!$Y$7:$Y$506&lt;=AV$3,1,0))*OFFSET('Gastos com Pessoal'!$H$6,1,MATCH(4&amp;$B31,'Gastos com Pessoal'!$I$532:$AJ$532&amp;'Gastos com Pessoal'!$I$6:$AJ$6,0),500,1)),0)
+_xlfn.IFNA(SUM((AV$3&gt;='Gastos com Pessoal'!$E$7:$E$506)*(AV$3&lt;='Gastos com Pessoal'!$F$7:$F$506)*(IF('Gastos com Pessoal'!$AE$7:$AE$506&lt;=AV$3,1,0))*OFFSET('Gastos com Pessoal'!$H$6,1,MATCH(5&amp;$B31,'Gastos com Pessoal'!$I$532:$AJ$532&amp;'Gastos com Pessoal'!$I$6:$AJ$6,0),500,1)),0)
+_xlfn.IFNA(SUM((AV$3&gt;='Gastos com Pessoal'!$E$513:$E$522)*(AV$3&lt;='Gastos com Pessoal'!$F$513:$F$522)*(IF('Gastos com Pessoal'!$G$513:$G$522&lt;=AV$3,1,0))*OFFSET('Gastos com Pessoal'!$H$512,1,MATCH(1&amp;$B31,'Gastos com Pessoal'!$I$532:$AJ$532&amp;'Gastos com Pessoal'!$I$512:$AJ$512,0),10,1)),0)
+_xlfn.IFNA(SUM((AV$3&gt;='Gastos com Pessoal'!$E$513:$E$522)*(AV$3&lt;='Gastos com Pessoal'!$F$513:$F$522)*(IF('Gastos com Pessoal'!$M$513:$M$522&lt;=AV$3,1,0))*OFFSET('Gastos com Pessoal'!$H$512,1,MATCH(2&amp;$B31,'Gastos com Pessoal'!$I$532:$AJ$532&amp;'Gastos com Pessoal'!$I$512:$AJ$512,0),10,1)),0)
+_xlfn.IFNA(SUM((AV$3&gt;='Gastos com Pessoal'!$E$513:$E$522)*(AV$3&lt;='Gastos com Pessoal'!$F$513:$F$522)*(IF('Gastos com Pessoal'!$S$513:$S$522&lt;=AV$3,1,0))*OFFSET('Gastos com Pessoal'!$H$512,1,MATCH(3&amp;$B31,'Gastos com Pessoal'!$I$532:$AJ$532&amp;'Gastos com Pessoal'!$I$512:$AJ$512,0),10,1)),0)
+_xlfn.IFNA(SUM((AV$3&gt;='Gastos com Pessoal'!$E$513:$E$522)*(AV$3&lt;='Gastos com Pessoal'!$F$513:$F$522)*(IF('Gastos com Pessoal'!$Y$513:$Y$522&lt;=AV$3,1,0))*OFFSET('Gastos com Pessoal'!$H$512,1,MATCH(4&amp;$B31,'Gastos com Pessoal'!$I$532:$AJ$532&amp;'Gastos com Pessoal'!$I$512:$AJ$512,0),10,1)),0)
+_xlfn.IFNA(SUM((AV$3&gt;='Gastos com Pessoal'!$E$513:$E$522)*(AV$3&lt;='Gastos com Pessoal'!$F$513:$F$522)*(IF('Gastos com Pessoal'!$AE$513:$AE$522&lt;=AV$3,1,0))*OFFSET('Gastos com Pessoal'!$H$512,1,MATCH(5&amp;$B31,'Gastos com Pessoal'!$I$532:$AJ$532&amp;'Gastos com Pessoal'!$I$512:$AJ$512,0),10,1)),0)</f>
        <v>0</v>
      </c>
      <c r="AW31" s="32">
        <f t="array" aca="1" ref="AW31" ca="1">_xlfn.IFNA(SUM((AW$3&gt;='Gastos com Pessoal'!$E$7:$E$506)*(AW$3&lt;='Gastos com Pessoal'!$F$7:$F$506)*OFFSET('Encargos e Benefícios'!$D$5,1,MATCH($B31,'Encargos e Benefícios'!$E$5:$AB$5,0),500,1)),0)
+_xlfn.IFNA(SUM((AW$3&gt;='Gastos com Pessoal'!$E$513:$E$522)*(AW$3&lt;='Gastos com Pessoal'!$F$513:$F$522)*OFFSET('Encargos e Benefícios'!$D$511,1,MATCH($B31,'Encargos e Benefícios'!$E$511:$AB$511,0),10,1)),0)
+_xlfn.IFNA(SUM((AW$3&gt;='Gastos com Pessoal'!$E$7:$E$506)*(AW$3&lt;='Gastos com Pessoal'!$F$7:$F$506)*(IF('Gastos com Pessoal'!$G$7:$G$506&lt;=AW$3,1,0))*OFFSET('Gastos com Pessoal'!$H$6,1,MATCH(1&amp;$B31,'Gastos com Pessoal'!$I$532:$AJ$532&amp;'Gastos com Pessoal'!$I$6:$AJ$6,0),500,1)),0)
+_xlfn.IFNA(SUM((AW$3&gt;='Gastos com Pessoal'!$E$7:$E$506)*(AW$3&lt;='Gastos com Pessoal'!$F$7:$F$506)*(IF('Gastos com Pessoal'!$M$7:$M$506&lt;=AW$3,1,0))*OFFSET('Gastos com Pessoal'!$H$6,1,MATCH(2&amp;$B31,'Gastos com Pessoal'!$I$532:$AJ$532&amp;'Gastos com Pessoal'!$I$6:$AJ$6,0),500,1)),0)
+_xlfn.IFNA(SUM((AW$3&gt;='Gastos com Pessoal'!$E$7:$E$506)*(AW$3&lt;='Gastos com Pessoal'!$F$7:$F$506)*(IF('Gastos com Pessoal'!$S$7:$S$506&lt;=AW$3,1,0))*OFFSET('Gastos com Pessoal'!$H$6,1,MATCH(3&amp;$B31,'Gastos com Pessoal'!$I$532:$AJ$532&amp;'Gastos com Pessoal'!$I$6:$AJ$6,0),500,1)),0)
+_xlfn.IFNA(SUM((AW$3&gt;='Gastos com Pessoal'!$E$7:$E$506)*(AW$3&lt;='Gastos com Pessoal'!$F$7:$F$506)*(IF('Gastos com Pessoal'!$Y$7:$Y$506&lt;=AW$3,1,0))*OFFSET('Gastos com Pessoal'!$H$6,1,MATCH(4&amp;$B31,'Gastos com Pessoal'!$I$532:$AJ$532&amp;'Gastos com Pessoal'!$I$6:$AJ$6,0),500,1)),0)
+_xlfn.IFNA(SUM((AW$3&gt;='Gastos com Pessoal'!$E$7:$E$506)*(AW$3&lt;='Gastos com Pessoal'!$F$7:$F$506)*(IF('Gastos com Pessoal'!$AE$7:$AE$506&lt;=AW$3,1,0))*OFFSET('Gastos com Pessoal'!$H$6,1,MATCH(5&amp;$B31,'Gastos com Pessoal'!$I$532:$AJ$532&amp;'Gastos com Pessoal'!$I$6:$AJ$6,0),500,1)),0)
+_xlfn.IFNA(SUM((AW$3&gt;='Gastos com Pessoal'!$E$513:$E$522)*(AW$3&lt;='Gastos com Pessoal'!$F$513:$F$522)*(IF('Gastos com Pessoal'!$G$513:$G$522&lt;=AW$3,1,0))*OFFSET('Gastos com Pessoal'!$H$512,1,MATCH(1&amp;$B31,'Gastos com Pessoal'!$I$532:$AJ$532&amp;'Gastos com Pessoal'!$I$512:$AJ$512,0),10,1)),0)
+_xlfn.IFNA(SUM((AW$3&gt;='Gastos com Pessoal'!$E$513:$E$522)*(AW$3&lt;='Gastos com Pessoal'!$F$513:$F$522)*(IF('Gastos com Pessoal'!$M$513:$M$522&lt;=AW$3,1,0))*OFFSET('Gastos com Pessoal'!$H$512,1,MATCH(2&amp;$B31,'Gastos com Pessoal'!$I$532:$AJ$532&amp;'Gastos com Pessoal'!$I$512:$AJ$512,0),10,1)),0)
+_xlfn.IFNA(SUM((AW$3&gt;='Gastos com Pessoal'!$E$513:$E$522)*(AW$3&lt;='Gastos com Pessoal'!$F$513:$F$522)*(IF('Gastos com Pessoal'!$S$513:$S$522&lt;=AW$3,1,0))*OFFSET('Gastos com Pessoal'!$H$512,1,MATCH(3&amp;$B31,'Gastos com Pessoal'!$I$532:$AJ$532&amp;'Gastos com Pessoal'!$I$512:$AJ$512,0),10,1)),0)
+_xlfn.IFNA(SUM((AW$3&gt;='Gastos com Pessoal'!$E$513:$E$522)*(AW$3&lt;='Gastos com Pessoal'!$F$513:$F$522)*(IF('Gastos com Pessoal'!$Y$513:$Y$522&lt;=AW$3,1,0))*OFFSET('Gastos com Pessoal'!$H$512,1,MATCH(4&amp;$B31,'Gastos com Pessoal'!$I$532:$AJ$532&amp;'Gastos com Pessoal'!$I$512:$AJ$512,0),10,1)),0)
+_xlfn.IFNA(SUM((AW$3&gt;='Gastos com Pessoal'!$E$513:$E$522)*(AW$3&lt;='Gastos com Pessoal'!$F$513:$F$522)*(IF('Gastos com Pessoal'!$AE$513:$AE$522&lt;=AW$3,1,0))*OFFSET('Gastos com Pessoal'!$H$512,1,MATCH(5&amp;$B31,'Gastos com Pessoal'!$I$532:$AJ$532&amp;'Gastos com Pessoal'!$I$512:$AJ$512,0),10,1)),0)</f>
        <v>0</v>
      </c>
      <c r="AX31" s="32">
        <f t="array" aca="1" ref="AX31" ca="1">_xlfn.IFNA(SUM((AX$3&gt;='Gastos com Pessoal'!$E$7:$E$506)*(AX$3&lt;='Gastos com Pessoal'!$F$7:$F$506)*OFFSET('Encargos e Benefícios'!$D$5,1,MATCH($B31,'Encargos e Benefícios'!$E$5:$AB$5,0),500,1)),0)
+_xlfn.IFNA(SUM((AX$3&gt;='Gastos com Pessoal'!$E$513:$E$522)*(AX$3&lt;='Gastos com Pessoal'!$F$513:$F$522)*OFFSET('Encargos e Benefícios'!$D$511,1,MATCH($B31,'Encargos e Benefícios'!$E$511:$AB$511,0),10,1)),0)
+_xlfn.IFNA(SUM((AX$3&gt;='Gastos com Pessoal'!$E$7:$E$506)*(AX$3&lt;='Gastos com Pessoal'!$F$7:$F$506)*(IF('Gastos com Pessoal'!$G$7:$G$506&lt;=AX$3,1,0))*OFFSET('Gastos com Pessoal'!$H$6,1,MATCH(1&amp;$B31,'Gastos com Pessoal'!$I$532:$AJ$532&amp;'Gastos com Pessoal'!$I$6:$AJ$6,0),500,1)),0)
+_xlfn.IFNA(SUM((AX$3&gt;='Gastos com Pessoal'!$E$7:$E$506)*(AX$3&lt;='Gastos com Pessoal'!$F$7:$F$506)*(IF('Gastos com Pessoal'!$M$7:$M$506&lt;=AX$3,1,0))*OFFSET('Gastos com Pessoal'!$H$6,1,MATCH(2&amp;$B31,'Gastos com Pessoal'!$I$532:$AJ$532&amp;'Gastos com Pessoal'!$I$6:$AJ$6,0),500,1)),0)
+_xlfn.IFNA(SUM((AX$3&gt;='Gastos com Pessoal'!$E$7:$E$506)*(AX$3&lt;='Gastos com Pessoal'!$F$7:$F$506)*(IF('Gastos com Pessoal'!$S$7:$S$506&lt;=AX$3,1,0))*OFFSET('Gastos com Pessoal'!$H$6,1,MATCH(3&amp;$B31,'Gastos com Pessoal'!$I$532:$AJ$532&amp;'Gastos com Pessoal'!$I$6:$AJ$6,0),500,1)),0)
+_xlfn.IFNA(SUM((AX$3&gt;='Gastos com Pessoal'!$E$7:$E$506)*(AX$3&lt;='Gastos com Pessoal'!$F$7:$F$506)*(IF('Gastos com Pessoal'!$Y$7:$Y$506&lt;=AX$3,1,0))*OFFSET('Gastos com Pessoal'!$H$6,1,MATCH(4&amp;$B31,'Gastos com Pessoal'!$I$532:$AJ$532&amp;'Gastos com Pessoal'!$I$6:$AJ$6,0),500,1)),0)
+_xlfn.IFNA(SUM((AX$3&gt;='Gastos com Pessoal'!$E$7:$E$506)*(AX$3&lt;='Gastos com Pessoal'!$F$7:$F$506)*(IF('Gastos com Pessoal'!$AE$7:$AE$506&lt;=AX$3,1,0))*OFFSET('Gastos com Pessoal'!$H$6,1,MATCH(5&amp;$B31,'Gastos com Pessoal'!$I$532:$AJ$532&amp;'Gastos com Pessoal'!$I$6:$AJ$6,0),500,1)),0)
+_xlfn.IFNA(SUM((AX$3&gt;='Gastos com Pessoal'!$E$513:$E$522)*(AX$3&lt;='Gastos com Pessoal'!$F$513:$F$522)*(IF('Gastos com Pessoal'!$G$513:$G$522&lt;=AX$3,1,0))*OFFSET('Gastos com Pessoal'!$H$512,1,MATCH(1&amp;$B31,'Gastos com Pessoal'!$I$532:$AJ$532&amp;'Gastos com Pessoal'!$I$512:$AJ$512,0),10,1)),0)
+_xlfn.IFNA(SUM((AX$3&gt;='Gastos com Pessoal'!$E$513:$E$522)*(AX$3&lt;='Gastos com Pessoal'!$F$513:$F$522)*(IF('Gastos com Pessoal'!$M$513:$M$522&lt;=AX$3,1,0))*OFFSET('Gastos com Pessoal'!$H$512,1,MATCH(2&amp;$B31,'Gastos com Pessoal'!$I$532:$AJ$532&amp;'Gastos com Pessoal'!$I$512:$AJ$512,0),10,1)),0)
+_xlfn.IFNA(SUM((AX$3&gt;='Gastos com Pessoal'!$E$513:$E$522)*(AX$3&lt;='Gastos com Pessoal'!$F$513:$F$522)*(IF('Gastos com Pessoal'!$S$513:$S$522&lt;=AX$3,1,0))*OFFSET('Gastos com Pessoal'!$H$512,1,MATCH(3&amp;$B31,'Gastos com Pessoal'!$I$532:$AJ$532&amp;'Gastos com Pessoal'!$I$512:$AJ$512,0),10,1)),0)
+_xlfn.IFNA(SUM((AX$3&gt;='Gastos com Pessoal'!$E$513:$E$522)*(AX$3&lt;='Gastos com Pessoal'!$F$513:$F$522)*(IF('Gastos com Pessoal'!$Y$513:$Y$522&lt;=AX$3,1,0))*OFFSET('Gastos com Pessoal'!$H$512,1,MATCH(4&amp;$B31,'Gastos com Pessoal'!$I$532:$AJ$532&amp;'Gastos com Pessoal'!$I$512:$AJ$512,0),10,1)),0)
+_xlfn.IFNA(SUM((AX$3&gt;='Gastos com Pessoal'!$E$513:$E$522)*(AX$3&lt;='Gastos com Pessoal'!$F$513:$F$522)*(IF('Gastos com Pessoal'!$AE$513:$AE$522&lt;=AX$3,1,0))*OFFSET('Gastos com Pessoal'!$H$512,1,MATCH(5&amp;$B31,'Gastos com Pessoal'!$I$532:$AJ$532&amp;'Gastos com Pessoal'!$I$512:$AJ$512,0),10,1)),0)</f>
        <v>0</v>
      </c>
      <c r="AY31" s="32">
        <f t="array" aca="1" ref="AY31" ca="1">_xlfn.IFNA(SUM((AY$3&gt;='Gastos com Pessoal'!$E$7:$E$506)*(AY$3&lt;='Gastos com Pessoal'!$F$7:$F$506)*OFFSET('Encargos e Benefícios'!$D$5,1,MATCH($B31,'Encargos e Benefícios'!$E$5:$AB$5,0),500,1)),0)
+_xlfn.IFNA(SUM((AY$3&gt;='Gastos com Pessoal'!$E$513:$E$522)*(AY$3&lt;='Gastos com Pessoal'!$F$513:$F$522)*OFFSET('Encargos e Benefícios'!$D$511,1,MATCH($B31,'Encargos e Benefícios'!$E$511:$AB$511,0),10,1)),0)
+_xlfn.IFNA(SUM((AY$3&gt;='Gastos com Pessoal'!$E$7:$E$506)*(AY$3&lt;='Gastos com Pessoal'!$F$7:$F$506)*(IF('Gastos com Pessoal'!$G$7:$G$506&lt;=AY$3,1,0))*OFFSET('Gastos com Pessoal'!$H$6,1,MATCH(1&amp;$B31,'Gastos com Pessoal'!$I$532:$AJ$532&amp;'Gastos com Pessoal'!$I$6:$AJ$6,0),500,1)),0)
+_xlfn.IFNA(SUM((AY$3&gt;='Gastos com Pessoal'!$E$7:$E$506)*(AY$3&lt;='Gastos com Pessoal'!$F$7:$F$506)*(IF('Gastos com Pessoal'!$M$7:$M$506&lt;=AY$3,1,0))*OFFSET('Gastos com Pessoal'!$H$6,1,MATCH(2&amp;$B31,'Gastos com Pessoal'!$I$532:$AJ$532&amp;'Gastos com Pessoal'!$I$6:$AJ$6,0),500,1)),0)
+_xlfn.IFNA(SUM((AY$3&gt;='Gastos com Pessoal'!$E$7:$E$506)*(AY$3&lt;='Gastos com Pessoal'!$F$7:$F$506)*(IF('Gastos com Pessoal'!$S$7:$S$506&lt;=AY$3,1,0))*OFFSET('Gastos com Pessoal'!$H$6,1,MATCH(3&amp;$B31,'Gastos com Pessoal'!$I$532:$AJ$532&amp;'Gastos com Pessoal'!$I$6:$AJ$6,0),500,1)),0)
+_xlfn.IFNA(SUM((AY$3&gt;='Gastos com Pessoal'!$E$7:$E$506)*(AY$3&lt;='Gastos com Pessoal'!$F$7:$F$506)*(IF('Gastos com Pessoal'!$Y$7:$Y$506&lt;=AY$3,1,0))*OFFSET('Gastos com Pessoal'!$H$6,1,MATCH(4&amp;$B31,'Gastos com Pessoal'!$I$532:$AJ$532&amp;'Gastos com Pessoal'!$I$6:$AJ$6,0),500,1)),0)
+_xlfn.IFNA(SUM((AY$3&gt;='Gastos com Pessoal'!$E$7:$E$506)*(AY$3&lt;='Gastos com Pessoal'!$F$7:$F$506)*(IF('Gastos com Pessoal'!$AE$7:$AE$506&lt;=AY$3,1,0))*OFFSET('Gastos com Pessoal'!$H$6,1,MATCH(5&amp;$B31,'Gastos com Pessoal'!$I$532:$AJ$532&amp;'Gastos com Pessoal'!$I$6:$AJ$6,0),500,1)),0)
+_xlfn.IFNA(SUM((AY$3&gt;='Gastos com Pessoal'!$E$513:$E$522)*(AY$3&lt;='Gastos com Pessoal'!$F$513:$F$522)*(IF('Gastos com Pessoal'!$G$513:$G$522&lt;=AY$3,1,0))*OFFSET('Gastos com Pessoal'!$H$512,1,MATCH(1&amp;$B31,'Gastos com Pessoal'!$I$532:$AJ$532&amp;'Gastos com Pessoal'!$I$512:$AJ$512,0),10,1)),0)
+_xlfn.IFNA(SUM((AY$3&gt;='Gastos com Pessoal'!$E$513:$E$522)*(AY$3&lt;='Gastos com Pessoal'!$F$513:$F$522)*(IF('Gastos com Pessoal'!$M$513:$M$522&lt;=AY$3,1,0))*OFFSET('Gastos com Pessoal'!$H$512,1,MATCH(2&amp;$B31,'Gastos com Pessoal'!$I$532:$AJ$532&amp;'Gastos com Pessoal'!$I$512:$AJ$512,0),10,1)),0)
+_xlfn.IFNA(SUM((AY$3&gt;='Gastos com Pessoal'!$E$513:$E$522)*(AY$3&lt;='Gastos com Pessoal'!$F$513:$F$522)*(IF('Gastos com Pessoal'!$S$513:$S$522&lt;=AY$3,1,0))*OFFSET('Gastos com Pessoal'!$H$512,1,MATCH(3&amp;$B31,'Gastos com Pessoal'!$I$532:$AJ$532&amp;'Gastos com Pessoal'!$I$512:$AJ$512,0),10,1)),0)
+_xlfn.IFNA(SUM((AY$3&gt;='Gastos com Pessoal'!$E$513:$E$522)*(AY$3&lt;='Gastos com Pessoal'!$F$513:$F$522)*(IF('Gastos com Pessoal'!$Y$513:$Y$522&lt;=AY$3,1,0))*OFFSET('Gastos com Pessoal'!$H$512,1,MATCH(4&amp;$B31,'Gastos com Pessoal'!$I$532:$AJ$532&amp;'Gastos com Pessoal'!$I$512:$AJ$512,0),10,1)),0)
+_xlfn.IFNA(SUM((AY$3&gt;='Gastos com Pessoal'!$E$513:$E$522)*(AY$3&lt;='Gastos com Pessoal'!$F$513:$F$522)*(IF('Gastos com Pessoal'!$AE$513:$AE$522&lt;=AY$3,1,0))*OFFSET('Gastos com Pessoal'!$H$512,1,MATCH(5&amp;$B31,'Gastos com Pessoal'!$I$532:$AJ$532&amp;'Gastos com Pessoal'!$I$512:$AJ$512,0),10,1)),0)</f>
        <v>0</v>
      </c>
      <c r="AZ31" s="32">
        <f t="array" aca="1" ref="AZ31" ca="1">_xlfn.IFNA(SUM((AZ$3&gt;='Gastos com Pessoal'!$E$7:$E$506)*(AZ$3&lt;='Gastos com Pessoal'!$F$7:$F$506)*OFFSET('Encargos e Benefícios'!$D$5,1,MATCH($B31,'Encargos e Benefícios'!$E$5:$AB$5,0),500,1)),0)
+_xlfn.IFNA(SUM((AZ$3&gt;='Gastos com Pessoal'!$E$513:$E$522)*(AZ$3&lt;='Gastos com Pessoal'!$F$513:$F$522)*OFFSET('Encargos e Benefícios'!$D$511,1,MATCH($B31,'Encargos e Benefícios'!$E$511:$AB$511,0),10,1)),0)
+_xlfn.IFNA(SUM((AZ$3&gt;='Gastos com Pessoal'!$E$7:$E$506)*(AZ$3&lt;='Gastos com Pessoal'!$F$7:$F$506)*(IF('Gastos com Pessoal'!$G$7:$G$506&lt;=AZ$3,1,0))*OFFSET('Gastos com Pessoal'!$H$6,1,MATCH(1&amp;$B31,'Gastos com Pessoal'!$I$532:$AJ$532&amp;'Gastos com Pessoal'!$I$6:$AJ$6,0),500,1)),0)
+_xlfn.IFNA(SUM((AZ$3&gt;='Gastos com Pessoal'!$E$7:$E$506)*(AZ$3&lt;='Gastos com Pessoal'!$F$7:$F$506)*(IF('Gastos com Pessoal'!$M$7:$M$506&lt;=AZ$3,1,0))*OFFSET('Gastos com Pessoal'!$H$6,1,MATCH(2&amp;$B31,'Gastos com Pessoal'!$I$532:$AJ$532&amp;'Gastos com Pessoal'!$I$6:$AJ$6,0),500,1)),0)
+_xlfn.IFNA(SUM((AZ$3&gt;='Gastos com Pessoal'!$E$7:$E$506)*(AZ$3&lt;='Gastos com Pessoal'!$F$7:$F$506)*(IF('Gastos com Pessoal'!$S$7:$S$506&lt;=AZ$3,1,0))*OFFSET('Gastos com Pessoal'!$H$6,1,MATCH(3&amp;$B31,'Gastos com Pessoal'!$I$532:$AJ$532&amp;'Gastos com Pessoal'!$I$6:$AJ$6,0),500,1)),0)
+_xlfn.IFNA(SUM((AZ$3&gt;='Gastos com Pessoal'!$E$7:$E$506)*(AZ$3&lt;='Gastos com Pessoal'!$F$7:$F$506)*(IF('Gastos com Pessoal'!$Y$7:$Y$506&lt;=AZ$3,1,0))*OFFSET('Gastos com Pessoal'!$H$6,1,MATCH(4&amp;$B31,'Gastos com Pessoal'!$I$532:$AJ$532&amp;'Gastos com Pessoal'!$I$6:$AJ$6,0),500,1)),0)
+_xlfn.IFNA(SUM((AZ$3&gt;='Gastos com Pessoal'!$E$7:$E$506)*(AZ$3&lt;='Gastos com Pessoal'!$F$7:$F$506)*(IF('Gastos com Pessoal'!$AE$7:$AE$506&lt;=AZ$3,1,0))*OFFSET('Gastos com Pessoal'!$H$6,1,MATCH(5&amp;$B31,'Gastos com Pessoal'!$I$532:$AJ$532&amp;'Gastos com Pessoal'!$I$6:$AJ$6,0),500,1)),0)
+_xlfn.IFNA(SUM((AZ$3&gt;='Gastos com Pessoal'!$E$513:$E$522)*(AZ$3&lt;='Gastos com Pessoal'!$F$513:$F$522)*(IF('Gastos com Pessoal'!$G$513:$G$522&lt;=AZ$3,1,0))*OFFSET('Gastos com Pessoal'!$H$512,1,MATCH(1&amp;$B31,'Gastos com Pessoal'!$I$532:$AJ$532&amp;'Gastos com Pessoal'!$I$512:$AJ$512,0),10,1)),0)
+_xlfn.IFNA(SUM((AZ$3&gt;='Gastos com Pessoal'!$E$513:$E$522)*(AZ$3&lt;='Gastos com Pessoal'!$F$513:$F$522)*(IF('Gastos com Pessoal'!$M$513:$M$522&lt;=AZ$3,1,0))*OFFSET('Gastos com Pessoal'!$H$512,1,MATCH(2&amp;$B31,'Gastos com Pessoal'!$I$532:$AJ$532&amp;'Gastos com Pessoal'!$I$512:$AJ$512,0),10,1)),0)
+_xlfn.IFNA(SUM((AZ$3&gt;='Gastos com Pessoal'!$E$513:$E$522)*(AZ$3&lt;='Gastos com Pessoal'!$F$513:$F$522)*(IF('Gastos com Pessoal'!$S$513:$S$522&lt;=AZ$3,1,0))*OFFSET('Gastos com Pessoal'!$H$512,1,MATCH(3&amp;$B31,'Gastos com Pessoal'!$I$532:$AJ$532&amp;'Gastos com Pessoal'!$I$512:$AJ$512,0),10,1)),0)
+_xlfn.IFNA(SUM((AZ$3&gt;='Gastos com Pessoal'!$E$513:$E$522)*(AZ$3&lt;='Gastos com Pessoal'!$F$513:$F$522)*(IF('Gastos com Pessoal'!$Y$513:$Y$522&lt;=AZ$3,1,0))*OFFSET('Gastos com Pessoal'!$H$512,1,MATCH(4&amp;$B31,'Gastos com Pessoal'!$I$532:$AJ$532&amp;'Gastos com Pessoal'!$I$512:$AJ$512,0),10,1)),0)
+_xlfn.IFNA(SUM((AZ$3&gt;='Gastos com Pessoal'!$E$513:$E$522)*(AZ$3&lt;='Gastos com Pessoal'!$F$513:$F$522)*(IF('Gastos com Pessoal'!$AE$513:$AE$522&lt;=AZ$3,1,0))*OFFSET('Gastos com Pessoal'!$H$512,1,MATCH(5&amp;$B31,'Gastos com Pessoal'!$I$532:$AJ$532&amp;'Gastos com Pessoal'!$I$512:$AJ$512,0),10,1)),0)</f>
        <v>0</v>
      </c>
      <c r="BA31" s="32">
        <f t="array" aca="1" ref="BA31" ca="1">_xlfn.IFNA(SUM((BA$3&gt;='Gastos com Pessoal'!$E$7:$E$506)*(BA$3&lt;='Gastos com Pessoal'!$F$7:$F$506)*OFFSET('Encargos e Benefícios'!$D$5,1,MATCH($B31,'Encargos e Benefícios'!$E$5:$AB$5,0),500,1)),0)
+_xlfn.IFNA(SUM((BA$3&gt;='Gastos com Pessoal'!$E$513:$E$522)*(BA$3&lt;='Gastos com Pessoal'!$F$513:$F$522)*OFFSET('Encargos e Benefícios'!$D$511,1,MATCH($B31,'Encargos e Benefícios'!$E$511:$AB$511,0),10,1)),0)
+_xlfn.IFNA(SUM((BA$3&gt;='Gastos com Pessoal'!$E$7:$E$506)*(BA$3&lt;='Gastos com Pessoal'!$F$7:$F$506)*(IF('Gastos com Pessoal'!$G$7:$G$506&lt;=BA$3,1,0))*OFFSET('Gastos com Pessoal'!$H$6,1,MATCH(1&amp;$B31,'Gastos com Pessoal'!$I$532:$AJ$532&amp;'Gastos com Pessoal'!$I$6:$AJ$6,0),500,1)),0)
+_xlfn.IFNA(SUM((BA$3&gt;='Gastos com Pessoal'!$E$7:$E$506)*(BA$3&lt;='Gastos com Pessoal'!$F$7:$F$506)*(IF('Gastos com Pessoal'!$M$7:$M$506&lt;=BA$3,1,0))*OFFSET('Gastos com Pessoal'!$H$6,1,MATCH(2&amp;$B31,'Gastos com Pessoal'!$I$532:$AJ$532&amp;'Gastos com Pessoal'!$I$6:$AJ$6,0),500,1)),0)
+_xlfn.IFNA(SUM((BA$3&gt;='Gastos com Pessoal'!$E$7:$E$506)*(BA$3&lt;='Gastos com Pessoal'!$F$7:$F$506)*(IF('Gastos com Pessoal'!$S$7:$S$506&lt;=BA$3,1,0))*OFFSET('Gastos com Pessoal'!$H$6,1,MATCH(3&amp;$B31,'Gastos com Pessoal'!$I$532:$AJ$532&amp;'Gastos com Pessoal'!$I$6:$AJ$6,0),500,1)),0)
+_xlfn.IFNA(SUM((BA$3&gt;='Gastos com Pessoal'!$E$7:$E$506)*(BA$3&lt;='Gastos com Pessoal'!$F$7:$F$506)*(IF('Gastos com Pessoal'!$Y$7:$Y$506&lt;=BA$3,1,0))*OFFSET('Gastos com Pessoal'!$H$6,1,MATCH(4&amp;$B31,'Gastos com Pessoal'!$I$532:$AJ$532&amp;'Gastos com Pessoal'!$I$6:$AJ$6,0),500,1)),0)
+_xlfn.IFNA(SUM((BA$3&gt;='Gastos com Pessoal'!$E$7:$E$506)*(BA$3&lt;='Gastos com Pessoal'!$F$7:$F$506)*(IF('Gastos com Pessoal'!$AE$7:$AE$506&lt;=BA$3,1,0))*OFFSET('Gastos com Pessoal'!$H$6,1,MATCH(5&amp;$B31,'Gastos com Pessoal'!$I$532:$AJ$532&amp;'Gastos com Pessoal'!$I$6:$AJ$6,0),500,1)),0)
+_xlfn.IFNA(SUM((BA$3&gt;='Gastos com Pessoal'!$E$513:$E$522)*(BA$3&lt;='Gastos com Pessoal'!$F$513:$F$522)*(IF('Gastos com Pessoal'!$G$513:$G$522&lt;=BA$3,1,0))*OFFSET('Gastos com Pessoal'!$H$512,1,MATCH(1&amp;$B31,'Gastos com Pessoal'!$I$532:$AJ$532&amp;'Gastos com Pessoal'!$I$512:$AJ$512,0),10,1)),0)
+_xlfn.IFNA(SUM((BA$3&gt;='Gastos com Pessoal'!$E$513:$E$522)*(BA$3&lt;='Gastos com Pessoal'!$F$513:$F$522)*(IF('Gastos com Pessoal'!$M$513:$M$522&lt;=BA$3,1,0))*OFFSET('Gastos com Pessoal'!$H$512,1,MATCH(2&amp;$B31,'Gastos com Pessoal'!$I$532:$AJ$532&amp;'Gastos com Pessoal'!$I$512:$AJ$512,0),10,1)),0)
+_xlfn.IFNA(SUM((BA$3&gt;='Gastos com Pessoal'!$E$513:$E$522)*(BA$3&lt;='Gastos com Pessoal'!$F$513:$F$522)*(IF('Gastos com Pessoal'!$S$513:$S$522&lt;=BA$3,1,0))*OFFSET('Gastos com Pessoal'!$H$512,1,MATCH(3&amp;$B31,'Gastos com Pessoal'!$I$532:$AJ$532&amp;'Gastos com Pessoal'!$I$512:$AJ$512,0),10,1)),0)
+_xlfn.IFNA(SUM((BA$3&gt;='Gastos com Pessoal'!$E$513:$E$522)*(BA$3&lt;='Gastos com Pessoal'!$F$513:$F$522)*(IF('Gastos com Pessoal'!$Y$513:$Y$522&lt;=BA$3,1,0))*OFFSET('Gastos com Pessoal'!$H$512,1,MATCH(4&amp;$B31,'Gastos com Pessoal'!$I$532:$AJ$532&amp;'Gastos com Pessoal'!$I$512:$AJ$512,0),10,1)),0)
+_xlfn.IFNA(SUM((BA$3&gt;='Gastos com Pessoal'!$E$513:$E$522)*(BA$3&lt;='Gastos com Pessoal'!$F$513:$F$522)*(IF('Gastos com Pessoal'!$AE$513:$AE$522&lt;=BA$3,1,0))*OFFSET('Gastos com Pessoal'!$H$512,1,MATCH(5&amp;$B31,'Gastos com Pessoal'!$I$532:$AJ$532&amp;'Gastos com Pessoal'!$I$512:$AJ$512,0),10,1)),0)</f>
        <v>0</v>
      </c>
      <c r="BB31" s="32">
        <f t="array" aca="1" ref="BB31" ca="1">_xlfn.IFNA(SUM((BB$3&gt;='Gastos com Pessoal'!$E$7:$E$506)*(BB$3&lt;='Gastos com Pessoal'!$F$7:$F$506)*OFFSET('Encargos e Benefícios'!$D$5,1,MATCH($B31,'Encargos e Benefícios'!$E$5:$AB$5,0),500,1)),0)
+_xlfn.IFNA(SUM((BB$3&gt;='Gastos com Pessoal'!$E$513:$E$522)*(BB$3&lt;='Gastos com Pessoal'!$F$513:$F$522)*OFFSET('Encargos e Benefícios'!$D$511,1,MATCH($B31,'Encargos e Benefícios'!$E$511:$AB$511,0),10,1)),0)
+_xlfn.IFNA(SUM((BB$3&gt;='Gastos com Pessoal'!$E$7:$E$506)*(BB$3&lt;='Gastos com Pessoal'!$F$7:$F$506)*(IF('Gastos com Pessoal'!$G$7:$G$506&lt;=BB$3,1,0))*OFFSET('Gastos com Pessoal'!$H$6,1,MATCH(1&amp;$B31,'Gastos com Pessoal'!$I$532:$AJ$532&amp;'Gastos com Pessoal'!$I$6:$AJ$6,0),500,1)),0)
+_xlfn.IFNA(SUM((BB$3&gt;='Gastos com Pessoal'!$E$7:$E$506)*(BB$3&lt;='Gastos com Pessoal'!$F$7:$F$506)*(IF('Gastos com Pessoal'!$M$7:$M$506&lt;=BB$3,1,0))*OFFSET('Gastos com Pessoal'!$H$6,1,MATCH(2&amp;$B31,'Gastos com Pessoal'!$I$532:$AJ$532&amp;'Gastos com Pessoal'!$I$6:$AJ$6,0),500,1)),0)
+_xlfn.IFNA(SUM((BB$3&gt;='Gastos com Pessoal'!$E$7:$E$506)*(BB$3&lt;='Gastos com Pessoal'!$F$7:$F$506)*(IF('Gastos com Pessoal'!$S$7:$S$506&lt;=BB$3,1,0))*OFFSET('Gastos com Pessoal'!$H$6,1,MATCH(3&amp;$B31,'Gastos com Pessoal'!$I$532:$AJ$532&amp;'Gastos com Pessoal'!$I$6:$AJ$6,0),500,1)),0)
+_xlfn.IFNA(SUM((BB$3&gt;='Gastos com Pessoal'!$E$7:$E$506)*(BB$3&lt;='Gastos com Pessoal'!$F$7:$F$506)*(IF('Gastos com Pessoal'!$Y$7:$Y$506&lt;=BB$3,1,0))*OFFSET('Gastos com Pessoal'!$H$6,1,MATCH(4&amp;$B31,'Gastos com Pessoal'!$I$532:$AJ$532&amp;'Gastos com Pessoal'!$I$6:$AJ$6,0),500,1)),0)
+_xlfn.IFNA(SUM((BB$3&gt;='Gastos com Pessoal'!$E$7:$E$506)*(BB$3&lt;='Gastos com Pessoal'!$F$7:$F$506)*(IF('Gastos com Pessoal'!$AE$7:$AE$506&lt;=BB$3,1,0))*OFFSET('Gastos com Pessoal'!$H$6,1,MATCH(5&amp;$B31,'Gastos com Pessoal'!$I$532:$AJ$532&amp;'Gastos com Pessoal'!$I$6:$AJ$6,0),500,1)),0)
+_xlfn.IFNA(SUM((BB$3&gt;='Gastos com Pessoal'!$E$513:$E$522)*(BB$3&lt;='Gastos com Pessoal'!$F$513:$F$522)*(IF('Gastos com Pessoal'!$G$513:$G$522&lt;=BB$3,1,0))*OFFSET('Gastos com Pessoal'!$H$512,1,MATCH(1&amp;$B31,'Gastos com Pessoal'!$I$532:$AJ$532&amp;'Gastos com Pessoal'!$I$512:$AJ$512,0),10,1)),0)
+_xlfn.IFNA(SUM((BB$3&gt;='Gastos com Pessoal'!$E$513:$E$522)*(BB$3&lt;='Gastos com Pessoal'!$F$513:$F$522)*(IF('Gastos com Pessoal'!$M$513:$M$522&lt;=BB$3,1,0))*OFFSET('Gastos com Pessoal'!$H$512,1,MATCH(2&amp;$B31,'Gastos com Pessoal'!$I$532:$AJ$532&amp;'Gastos com Pessoal'!$I$512:$AJ$512,0),10,1)),0)
+_xlfn.IFNA(SUM((BB$3&gt;='Gastos com Pessoal'!$E$513:$E$522)*(BB$3&lt;='Gastos com Pessoal'!$F$513:$F$522)*(IF('Gastos com Pessoal'!$S$513:$S$522&lt;=BB$3,1,0))*OFFSET('Gastos com Pessoal'!$H$512,1,MATCH(3&amp;$B31,'Gastos com Pessoal'!$I$532:$AJ$532&amp;'Gastos com Pessoal'!$I$512:$AJ$512,0),10,1)),0)
+_xlfn.IFNA(SUM((BB$3&gt;='Gastos com Pessoal'!$E$513:$E$522)*(BB$3&lt;='Gastos com Pessoal'!$F$513:$F$522)*(IF('Gastos com Pessoal'!$Y$513:$Y$522&lt;=BB$3,1,0))*OFFSET('Gastos com Pessoal'!$H$512,1,MATCH(4&amp;$B31,'Gastos com Pessoal'!$I$532:$AJ$532&amp;'Gastos com Pessoal'!$I$512:$AJ$512,0),10,1)),0)
+_xlfn.IFNA(SUM((BB$3&gt;='Gastos com Pessoal'!$E$513:$E$522)*(BB$3&lt;='Gastos com Pessoal'!$F$513:$F$522)*(IF('Gastos com Pessoal'!$AE$513:$AE$522&lt;=BB$3,1,0))*OFFSET('Gastos com Pessoal'!$H$512,1,MATCH(5&amp;$B31,'Gastos com Pessoal'!$I$532:$AJ$532&amp;'Gastos com Pessoal'!$I$512:$AJ$512,0),10,1)),0)</f>
        <v>0</v>
      </c>
      <c r="BC31" s="32">
        <f t="array" aca="1" ref="BC31" ca="1">_xlfn.IFNA(SUM((BC$3&gt;='Gastos com Pessoal'!$E$7:$E$506)*(BC$3&lt;='Gastos com Pessoal'!$F$7:$F$506)*OFFSET('Encargos e Benefícios'!$D$5,1,MATCH($B31,'Encargos e Benefícios'!$E$5:$AB$5,0),500,1)),0)
+_xlfn.IFNA(SUM((BC$3&gt;='Gastos com Pessoal'!$E$513:$E$522)*(BC$3&lt;='Gastos com Pessoal'!$F$513:$F$522)*OFFSET('Encargos e Benefícios'!$D$511,1,MATCH($B31,'Encargos e Benefícios'!$E$511:$AB$511,0),10,1)),0)
+_xlfn.IFNA(SUM((BC$3&gt;='Gastos com Pessoal'!$E$7:$E$506)*(BC$3&lt;='Gastos com Pessoal'!$F$7:$F$506)*(IF('Gastos com Pessoal'!$G$7:$G$506&lt;=BC$3,1,0))*OFFSET('Gastos com Pessoal'!$H$6,1,MATCH(1&amp;$B31,'Gastos com Pessoal'!$I$532:$AJ$532&amp;'Gastos com Pessoal'!$I$6:$AJ$6,0),500,1)),0)
+_xlfn.IFNA(SUM((BC$3&gt;='Gastos com Pessoal'!$E$7:$E$506)*(BC$3&lt;='Gastos com Pessoal'!$F$7:$F$506)*(IF('Gastos com Pessoal'!$M$7:$M$506&lt;=BC$3,1,0))*OFFSET('Gastos com Pessoal'!$H$6,1,MATCH(2&amp;$B31,'Gastos com Pessoal'!$I$532:$AJ$532&amp;'Gastos com Pessoal'!$I$6:$AJ$6,0),500,1)),0)
+_xlfn.IFNA(SUM((BC$3&gt;='Gastos com Pessoal'!$E$7:$E$506)*(BC$3&lt;='Gastos com Pessoal'!$F$7:$F$506)*(IF('Gastos com Pessoal'!$S$7:$S$506&lt;=BC$3,1,0))*OFFSET('Gastos com Pessoal'!$H$6,1,MATCH(3&amp;$B31,'Gastos com Pessoal'!$I$532:$AJ$532&amp;'Gastos com Pessoal'!$I$6:$AJ$6,0),500,1)),0)
+_xlfn.IFNA(SUM((BC$3&gt;='Gastos com Pessoal'!$E$7:$E$506)*(BC$3&lt;='Gastos com Pessoal'!$F$7:$F$506)*(IF('Gastos com Pessoal'!$Y$7:$Y$506&lt;=BC$3,1,0))*OFFSET('Gastos com Pessoal'!$H$6,1,MATCH(4&amp;$B31,'Gastos com Pessoal'!$I$532:$AJ$532&amp;'Gastos com Pessoal'!$I$6:$AJ$6,0),500,1)),0)
+_xlfn.IFNA(SUM((BC$3&gt;='Gastos com Pessoal'!$E$7:$E$506)*(BC$3&lt;='Gastos com Pessoal'!$F$7:$F$506)*(IF('Gastos com Pessoal'!$AE$7:$AE$506&lt;=BC$3,1,0))*OFFSET('Gastos com Pessoal'!$H$6,1,MATCH(5&amp;$B31,'Gastos com Pessoal'!$I$532:$AJ$532&amp;'Gastos com Pessoal'!$I$6:$AJ$6,0),500,1)),0)
+_xlfn.IFNA(SUM((BC$3&gt;='Gastos com Pessoal'!$E$513:$E$522)*(BC$3&lt;='Gastos com Pessoal'!$F$513:$F$522)*(IF('Gastos com Pessoal'!$G$513:$G$522&lt;=BC$3,1,0))*OFFSET('Gastos com Pessoal'!$H$512,1,MATCH(1&amp;$B31,'Gastos com Pessoal'!$I$532:$AJ$532&amp;'Gastos com Pessoal'!$I$512:$AJ$512,0),10,1)),0)
+_xlfn.IFNA(SUM((BC$3&gt;='Gastos com Pessoal'!$E$513:$E$522)*(BC$3&lt;='Gastos com Pessoal'!$F$513:$F$522)*(IF('Gastos com Pessoal'!$M$513:$M$522&lt;=BC$3,1,0))*OFFSET('Gastos com Pessoal'!$H$512,1,MATCH(2&amp;$B31,'Gastos com Pessoal'!$I$532:$AJ$532&amp;'Gastos com Pessoal'!$I$512:$AJ$512,0),10,1)),0)
+_xlfn.IFNA(SUM((BC$3&gt;='Gastos com Pessoal'!$E$513:$E$522)*(BC$3&lt;='Gastos com Pessoal'!$F$513:$F$522)*(IF('Gastos com Pessoal'!$S$513:$S$522&lt;=BC$3,1,0))*OFFSET('Gastos com Pessoal'!$H$512,1,MATCH(3&amp;$B31,'Gastos com Pessoal'!$I$532:$AJ$532&amp;'Gastos com Pessoal'!$I$512:$AJ$512,0),10,1)),0)
+_xlfn.IFNA(SUM((BC$3&gt;='Gastos com Pessoal'!$E$513:$E$522)*(BC$3&lt;='Gastos com Pessoal'!$F$513:$F$522)*(IF('Gastos com Pessoal'!$Y$513:$Y$522&lt;=BC$3,1,0))*OFFSET('Gastos com Pessoal'!$H$512,1,MATCH(4&amp;$B31,'Gastos com Pessoal'!$I$532:$AJ$532&amp;'Gastos com Pessoal'!$I$512:$AJ$512,0),10,1)),0)
+_xlfn.IFNA(SUM((BC$3&gt;='Gastos com Pessoal'!$E$513:$E$522)*(BC$3&lt;='Gastos com Pessoal'!$F$513:$F$522)*(IF('Gastos com Pessoal'!$AE$513:$AE$522&lt;=BC$3,1,0))*OFFSET('Gastos com Pessoal'!$H$512,1,MATCH(5&amp;$B31,'Gastos com Pessoal'!$I$532:$AJ$532&amp;'Gastos com Pessoal'!$I$512:$AJ$512,0),10,1)),0)</f>
        <v>0</v>
      </c>
      <c r="BD31" s="32">
        <f t="array" aca="1" ref="BD31" ca="1">_xlfn.IFNA(SUM((BD$3&gt;='Gastos com Pessoal'!$E$7:$E$506)*(BD$3&lt;='Gastos com Pessoal'!$F$7:$F$506)*OFFSET('Encargos e Benefícios'!$D$5,1,MATCH($B31,'Encargos e Benefícios'!$E$5:$AB$5,0),500,1)),0)
+_xlfn.IFNA(SUM((BD$3&gt;='Gastos com Pessoal'!$E$513:$E$522)*(BD$3&lt;='Gastos com Pessoal'!$F$513:$F$522)*OFFSET('Encargos e Benefícios'!$D$511,1,MATCH($B31,'Encargos e Benefícios'!$E$511:$AB$511,0),10,1)),0)
+_xlfn.IFNA(SUM((BD$3&gt;='Gastos com Pessoal'!$E$7:$E$506)*(BD$3&lt;='Gastos com Pessoal'!$F$7:$F$506)*(IF('Gastos com Pessoal'!$G$7:$G$506&lt;=BD$3,1,0))*OFFSET('Gastos com Pessoal'!$H$6,1,MATCH(1&amp;$B31,'Gastos com Pessoal'!$I$532:$AJ$532&amp;'Gastos com Pessoal'!$I$6:$AJ$6,0),500,1)),0)
+_xlfn.IFNA(SUM((BD$3&gt;='Gastos com Pessoal'!$E$7:$E$506)*(BD$3&lt;='Gastos com Pessoal'!$F$7:$F$506)*(IF('Gastos com Pessoal'!$M$7:$M$506&lt;=BD$3,1,0))*OFFSET('Gastos com Pessoal'!$H$6,1,MATCH(2&amp;$B31,'Gastos com Pessoal'!$I$532:$AJ$532&amp;'Gastos com Pessoal'!$I$6:$AJ$6,0),500,1)),0)
+_xlfn.IFNA(SUM((BD$3&gt;='Gastos com Pessoal'!$E$7:$E$506)*(BD$3&lt;='Gastos com Pessoal'!$F$7:$F$506)*(IF('Gastos com Pessoal'!$S$7:$S$506&lt;=BD$3,1,0))*OFFSET('Gastos com Pessoal'!$H$6,1,MATCH(3&amp;$B31,'Gastos com Pessoal'!$I$532:$AJ$532&amp;'Gastos com Pessoal'!$I$6:$AJ$6,0),500,1)),0)
+_xlfn.IFNA(SUM((BD$3&gt;='Gastos com Pessoal'!$E$7:$E$506)*(BD$3&lt;='Gastos com Pessoal'!$F$7:$F$506)*(IF('Gastos com Pessoal'!$Y$7:$Y$506&lt;=BD$3,1,0))*OFFSET('Gastos com Pessoal'!$H$6,1,MATCH(4&amp;$B31,'Gastos com Pessoal'!$I$532:$AJ$532&amp;'Gastos com Pessoal'!$I$6:$AJ$6,0),500,1)),0)
+_xlfn.IFNA(SUM((BD$3&gt;='Gastos com Pessoal'!$E$7:$E$506)*(BD$3&lt;='Gastos com Pessoal'!$F$7:$F$506)*(IF('Gastos com Pessoal'!$AE$7:$AE$506&lt;=BD$3,1,0))*OFFSET('Gastos com Pessoal'!$H$6,1,MATCH(5&amp;$B31,'Gastos com Pessoal'!$I$532:$AJ$532&amp;'Gastos com Pessoal'!$I$6:$AJ$6,0),500,1)),0)
+_xlfn.IFNA(SUM((BD$3&gt;='Gastos com Pessoal'!$E$513:$E$522)*(BD$3&lt;='Gastos com Pessoal'!$F$513:$F$522)*(IF('Gastos com Pessoal'!$G$513:$G$522&lt;=BD$3,1,0))*OFFSET('Gastos com Pessoal'!$H$512,1,MATCH(1&amp;$B31,'Gastos com Pessoal'!$I$532:$AJ$532&amp;'Gastos com Pessoal'!$I$512:$AJ$512,0),10,1)),0)
+_xlfn.IFNA(SUM((BD$3&gt;='Gastos com Pessoal'!$E$513:$E$522)*(BD$3&lt;='Gastos com Pessoal'!$F$513:$F$522)*(IF('Gastos com Pessoal'!$M$513:$M$522&lt;=BD$3,1,0))*OFFSET('Gastos com Pessoal'!$H$512,1,MATCH(2&amp;$B31,'Gastos com Pessoal'!$I$532:$AJ$532&amp;'Gastos com Pessoal'!$I$512:$AJ$512,0),10,1)),0)
+_xlfn.IFNA(SUM((BD$3&gt;='Gastos com Pessoal'!$E$513:$E$522)*(BD$3&lt;='Gastos com Pessoal'!$F$513:$F$522)*(IF('Gastos com Pessoal'!$S$513:$S$522&lt;=BD$3,1,0))*OFFSET('Gastos com Pessoal'!$H$512,1,MATCH(3&amp;$B31,'Gastos com Pessoal'!$I$532:$AJ$532&amp;'Gastos com Pessoal'!$I$512:$AJ$512,0),10,1)),0)
+_xlfn.IFNA(SUM((BD$3&gt;='Gastos com Pessoal'!$E$513:$E$522)*(BD$3&lt;='Gastos com Pessoal'!$F$513:$F$522)*(IF('Gastos com Pessoal'!$Y$513:$Y$522&lt;=BD$3,1,0))*OFFSET('Gastos com Pessoal'!$H$512,1,MATCH(4&amp;$B31,'Gastos com Pessoal'!$I$532:$AJ$532&amp;'Gastos com Pessoal'!$I$512:$AJ$512,0),10,1)),0)
+_xlfn.IFNA(SUM((BD$3&gt;='Gastos com Pessoal'!$E$513:$E$522)*(BD$3&lt;='Gastos com Pessoal'!$F$513:$F$522)*(IF('Gastos com Pessoal'!$AE$513:$AE$522&lt;=BD$3,1,0))*OFFSET('Gastos com Pessoal'!$H$512,1,MATCH(5&amp;$B31,'Gastos com Pessoal'!$I$532:$AJ$532&amp;'Gastos com Pessoal'!$I$512:$AJ$512,0),10,1)),0)</f>
        <v>0</v>
      </c>
      <c r="BE31" s="32">
        <f t="array" aca="1" ref="BE31" ca="1">_xlfn.IFNA(SUM((BE$3&gt;='Gastos com Pessoal'!$E$7:$E$506)*(BE$3&lt;='Gastos com Pessoal'!$F$7:$F$506)*OFFSET('Encargos e Benefícios'!$D$5,1,MATCH($B31,'Encargos e Benefícios'!$E$5:$AB$5,0),500,1)),0)
+_xlfn.IFNA(SUM((BE$3&gt;='Gastos com Pessoal'!$E$513:$E$522)*(BE$3&lt;='Gastos com Pessoal'!$F$513:$F$522)*OFFSET('Encargos e Benefícios'!$D$511,1,MATCH($B31,'Encargos e Benefícios'!$E$511:$AB$511,0),10,1)),0)
+_xlfn.IFNA(SUM((BE$3&gt;='Gastos com Pessoal'!$E$7:$E$506)*(BE$3&lt;='Gastos com Pessoal'!$F$7:$F$506)*(IF('Gastos com Pessoal'!$G$7:$G$506&lt;=BE$3,1,0))*OFFSET('Gastos com Pessoal'!$H$6,1,MATCH(1&amp;$B31,'Gastos com Pessoal'!$I$532:$AJ$532&amp;'Gastos com Pessoal'!$I$6:$AJ$6,0),500,1)),0)
+_xlfn.IFNA(SUM((BE$3&gt;='Gastos com Pessoal'!$E$7:$E$506)*(BE$3&lt;='Gastos com Pessoal'!$F$7:$F$506)*(IF('Gastos com Pessoal'!$M$7:$M$506&lt;=BE$3,1,0))*OFFSET('Gastos com Pessoal'!$H$6,1,MATCH(2&amp;$B31,'Gastos com Pessoal'!$I$532:$AJ$532&amp;'Gastos com Pessoal'!$I$6:$AJ$6,0),500,1)),0)
+_xlfn.IFNA(SUM((BE$3&gt;='Gastos com Pessoal'!$E$7:$E$506)*(BE$3&lt;='Gastos com Pessoal'!$F$7:$F$506)*(IF('Gastos com Pessoal'!$S$7:$S$506&lt;=BE$3,1,0))*OFFSET('Gastos com Pessoal'!$H$6,1,MATCH(3&amp;$B31,'Gastos com Pessoal'!$I$532:$AJ$532&amp;'Gastos com Pessoal'!$I$6:$AJ$6,0),500,1)),0)
+_xlfn.IFNA(SUM((BE$3&gt;='Gastos com Pessoal'!$E$7:$E$506)*(BE$3&lt;='Gastos com Pessoal'!$F$7:$F$506)*(IF('Gastos com Pessoal'!$Y$7:$Y$506&lt;=BE$3,1,0))*OFFSET('Gastos com Pessoal'!$H$6,1,MATCH(4&amp;$B31,'Gastos com Pessoal'!$I$532:$AJ$532&amp;'Gastos com Pessoal'!$I$6:$AJ$6,0),500,1)),0)
+_xlfn.IFNA(SUM((BE$3&gt;='Gastos com Pessoal'!$E$7:$E$506)*(BE$3&lt;='Gastos com Pessoal'!$F$7:$F$506)*(IF('Gastos com Pessoal'!$AE$7:$AE$506&lt;=BE$3,1,0))*OFFSET('Gastos com Pessoal'!$H$6,1,MATCH(5&amp;$B31,'Gastos com Pessoal'!$I$532:$AJ$532&amp;'Gastos com Pessoal'!$I$6:$AJ$6,0),500,1)),0)
+_xlfn.IFNA(SUM((BE$3&gt;='Gastos com Pessoal'!$E$513:$E$522)*(BE$3&lt;='Gastos com Pessoal'!$F$513:$F$522)*(IF('Gastos com Pessoal'!$G$513:$G$522&lt;=BE$3,1,0))*OFFSET('Gastos com Pessoal'!$H$512,1,MATCH(1&amp;$B31,'Gastos com Pessoal'!$I$532:$AJ$532&amp;'Gastos com Pessoal'!$I$512:$AJ$512,0),10,1)),0)
+_xlfn.IFNA(SUM((BE$3&gt;='Gastos com Pessoal'!$E$513:$E$522)*(BE$3&lt;='Gastos com Pessoal'!$F$513:$F$522)*(IF('Gastos com Pessoal'!$M$513:$M$522&lt;=BE$3,1,0))*OFFSET('Gastos com Pessoal'!$H$512,1,MATCH(2&amp;$B31,'Gastos com Pessoal'!$I$532:$AJ$532&amp;'Gastos com Pessoal'!$I$512:$AJ$512,0),10,1)),0)
+_xlfn.IFNA(SUM((BE$3&gt;='Gastos com Pessoal'!$E$513:$E$522)*(BE$3&lt;='Gastos com Pessoal'!$F$513:$F$522)*(IF('Gastos com Pessoal'!$S$513:$S$522&lt;=BE$3,1,0))*OFFSET('Gastos com Pessoal'!$H$512,1,MATCH(3&amp;$B31,'Gastos com Pessoal'!$I$532:$AJ$532&amp;'Gastos com Pessoal'!$I$512:$AJ$512,0),10,1)),0)
+_xlfn.IFNA(SUM((BE$3&gt;='Gastos com Pessoal'!$E$513:$E$522)*(BE$3&lt;='Gastos com Pessoal'!$F$513:$F$522)*(IF('Gastos com Pessoal'!$Y$513:$Y$522&lt;=BE$3,1,0))*OFFSET('Gastos com Pessoal'!$H$512,1,MATCH(4&amp;$B31,'Gastos com Pessoal'!$I$532:$AJ$532&amp;'Gastos com Pessoal'!$I$512:$AJ$512,0),10,1)),0)
+_xlfn.IFNA(SUM((BE$3&gt;='Gastos com Pessoal'!$E$513:$E$522)*(BE$3&lt;='Gastos com Pessoal'!$F$513:$F$522)*(IF('Gastos com Pessoal'!$AE$513:$AE$522&lt;=BE$3,1,0))*OFFSET('Gastos com Pessoal'!$H$512,1,MATCH(5&amp;$B31,'Gastos com Pessoal'!$I$532:$AJ$532&amp;'Gastos com Pessoal'!$I$512:$AJ$512,0),10,1)),0)</f>
        <v>0</v>
      </c>
      <c r="BF31" s="32">
        <f t="array" aca="1" ref="BF31" ca="1">_xlfn.IFNA(SUM((BF$3&gt;='Gastos com Pessoal'!$E$7:$E$506)*(BF$3&lt;='Gastos com Pessoal'!$F$7:$F$506)*OFFSET('Encargos e Benefícios'!$D$5,1,MATCH($B31,'Encargos e Benefícios'!$E$5:$AB$5,0),500,1)),0)
+_xlfn.IFNA(SUM((BF$3&gt;='Gastos com Pessoal'!$E$513:$E$522)*(BF$3&lt;='Gastos com Pessoal'!$F$513:$F$522)*OFFSET('Encargos e Benefícios'!$D$511,1,MATCH($B31,'Encargos e Benefícios'!$E$511:$AB$511,0),10,1)),0)
+_xlfn.IFNA(SUM((BF$3&gt;='Gastos com Pessoal'!$E$7:$E$506)*(BF$3&lt;='Gastos com Pessoal'!$F$7:$F$506)*(IF('Gastos com Pessoal'!$G$7:$G$506&lt;=BF$3,1,0))*OFFSET('Gastos com Pessoal'!$H$6,1,MATCH(1&amp;$B31,'Gastos com Pessoal'!$I$532:$AJ$532&amp;'Gastos com Pessoal'!$I$6:$AJ$6,0),500,1)),0)
+_xlfn.IFNA(SUM((BF$3&gt;='Gastos com Pessoal'!$E$7:$E$506)*(BF$3&lt;='Gastos com Pessoal'!$F$7:$F$506)*(IF('Gastos com Pessoal'!$M$7:$M$506&lt;=BF$3,1,0))*OFFSET('Gastos com Pessoal'!$H$6,1,MATCH(2&amp;$B31,'Gastos com Pessoal'!$I$532:$AJ$532&amp;'Gastos com Pessoal'!$I$6:$AJ$6,0),500,1)),0)
+_xlfn.IFNA(SUM((BF$3&gt;='Gastos com Pessoal'!$E$7:$E$506)*(BF$3&lt;='Gastos com Pessoal'!$F$7:$F$506)*(IF('Gastos com Pessoal'!$S$7:$S$506&lt;=BF$3,1,0))*OFFSET('Gastos com Pessoal'!$H$6,1,MATCH(3&amp;$B31,'Gastos com Pessoal'!$I$532:$AJ$532&amp;'Gastos com Pessoal'!$I$6:$AJ$6,0),500,1)),0)
+_xlfn.IFNA(SUM((BF$3&gt;='Gastos com Pessoal'!$E$7:$E$506)*(BF$3&lt;='Gastos com Pessoal'!$F$7:$F$506)*(IF('Gastos com Pessoal'!$Y$7:$Y$506&lt;=BF$3,1,0))*OFFSET('Gastos com Pessoal'!$H$6,1,MATCH(4&amp;$B31,'Gastos com Pessoal'!$I$532:$AJ$532&amp;'Gastos com Pessoal'!$I$6:$AJ$6,0),500,1)),0)
+_xlfn.IFNA(SUM((BF$3&gt;='Gastos com Pessoal'!$E$7:$E$506)*(BF$3&lt;='Gastos com Pessoal'!$F$7:$F$506)*(IF('Gastos com Pessoal'!$AE$7:$AE$506&lt;=BF$3,1,0))*OFFSET('Gastos com Pessoal'!$H$6,1,MATCH(5&amp;$B31,'Gastos com Pessoal'!$I$532:$AJ$532&amp;'Gastos com Pessoal'!$I$6:$AJ$6,0),500,1)),0)
+_xlfn.IFNA(SUM((BF$3&gt;='Gastos com Pessoal'!$E$513:$E$522)*(BF$3&lt;='Gastos com Pessoal'!$F$513:$F$522)*(IF('Gastos com Pessoal'!$G$513:$G$522&lt;=BF$3,1,0))*OFFSET('Gastos com Pessoal'!$H$512,1,MATCH(1&amp;$B31,'Gastos com Pessoal'!$I$532:$AJ$532&amp;'Gastos com Pessoal'!$I$512:$AJ$512,0),10,1)),0)
+_xlfn.IFNA(SUM((BF$3&gt;='Gastos com Pessoal'!$E$513:$E$522)*(BF$3&lt;='Gastos com Pessoal'!$F$513:$F$522)*(IF('Gastos com Pessoal'!$M$513:$M$522&lt;=BF$3,1,0))*OFFSET('Gastos com Pessoal'!$H$512,1,MATCH(2&amp;$B31,'Gastos com Pessoal'!$I$532:$AJ$532&amp;'Gastos com Pessoal'!$I$512:$AJ$512,0),10,1)),0)
+_xlfn.IFNA(SUM((BF$3&gt;='Gastos com Pessoal'!$E$513:$E$522)*(BF$3&lt;='Gastos com Pessoal'!$F$513:$F$522)*(IF('Gastos com Pessoal'!$S$513:$S$522&lt;=BF$3,1,0))*OFFSET('Gastos com Pessoal'!$H$512,1,MATCH(3&amp;$B31,'Gastos com Pessoal'!$I$532:$AJ$532&amp;'Gastos com Pessoal'!$I$512:$AJ$512,0),10,1)),0)
+_xlfn.IFNA(SUM((BF$3&gt;='Gastos com Pessoal'!$E$513:$E$522)*(BF$3&lt;='Gastos com Pessoal'!$F$513:$F$522)*(IF('Gastos com Pessoal'!$Y$513:$Y$522&lt;=BF$3,1,0))*OFFSET('Gastos com Pessoal'!$H$512,1,MATCH(4&amp;$B31,'Gastos com Pessoal'!$I$532:$AJ$532&amp;'Gastos com Pessoal'!$I$512:$AJ$512,0),10,1)),0)
+_xlfn.IFNA(SUM((BF$3&gt;='Gastos com Pessoal'!$E$513:$E$522)*(BF$3&lt;='Gastos com Pessoal'!$F$513:$F$522)*(IF('Gastos com Pessoal'!$AE$513:$AE$522&lt;=BF$3,1,0))*OFFSET('Gastos com Pessoal'!$H$512,1,MATCH(5&amp;$B31,'Gastos com Pessoal'!$I$532:$AJ$532&amp;'Gastos com Pessoal'!$I$512:$AJ$512,0),10,1)),0)</f>
        <v>0</v>
      </c>
      <c r="BG31" s="32">
        <f t="array" aca="1" ref="BG31" ca="1">_xlfn.IFNA(SUM((BG$3&gt;='Gastos com Pessoal'!$E$7:$E$506)*(BG$3&lt;='Gastos com Pessoal'!$F$7:$F$506)*OFFSET('Encargos e Benefícios'!$D$5,1,MATCH($B31,'Encargos e Benefícios'!$E$5:$AB$5,0),500,1)),0)
+_xlfn.IFNA(SUM((BG$3&gt;='Gastos com Pessoal'!$E$513:$E$522)*(BG$3&lt;='Gastos com Pessoal'!$F$513:$F$522)*OFFSET('Encargos e Benefícios'!$D$511,1,MATCH($B31,'Encargos e Benefícios'!$E$511:$AB$511,0),10,1)),0)
+_xlfn.IFNA(SUM((BG$3&gt;='Gastos com Pessoal'!$E$7:$E$506)*(BG$3&lt;='Gastos com Pessoal'!$F$7:$F$506)*(IF('Gastos com Pessoal'!$G$7:$G$506&lt;=BG$3,1,0))*OFFSET('Gastos com Pessoal'!$H$6,1,MATCH(1&amp;$B31,'Gastos com Pessoal'!$I$532:$AJ$532&amp;'Gastos com Pessoal'!$I$6:$AJ$6,0),500,1)),0)
+_xlfn.IFNA(SUM((BG$3&gt;='Gastos com Pessoal'!$E$7:$E$506)*(BG$3&lt;='Gastos com Pessoal'!$F$7:$F$506)*(IF('Gastos com Pessoal'!$M$7:$M$506&lt;=BG$3,1,0))*OFFSET('Gastos com Pessoal'!$H$6,1,MATCH(2&amp;$B31,'Gastos com Pessoal'!$I$532:$AJ$532&amp;'Gastos com Pessoal'!$I$6:$AJ$6,0),500,1)),0)
+_xlfn.IFNA(SUM((BG$3&gt;='Gastos com Pessoal'!$E$7:$E$506)*(BG$3&lt;='Gastos com Pessoal'!$F$7:$F$506)*(IF('Gastos com Pessoal'!$S$7:$S$506&lt;=BG$3,1,0))*OFFSET('Gastos com Pessoal'!$H$6,1,MATCH(3&amp;$B31,'Gastos com Pessoal'!$I$532:$AJ$532&amp;'Gastos com Pessoal'!$I$6:$AJ$6,0),500,1)),0)
+_xlfn.IFNA(SUM((BG$3&gt;='Gastos com Pessoal'!$E$7:$E$506)*(BG$3&lt;='Gastos com Pessoal'!$F$7:$F$506)*(IF('Gastos com Pessoal'!$Y$7:$Y$506&lt;=BG$3,1,0))*OFFSET('Gastos com Pessoal'!$H$6,1,MATCH(4&amp;$B31,'Gastos com Pessoal'!$I$532:$AJ$532&amp;'Gastos com Pessoal'!$I$6:$AJ$6,0),500,1)),0)
+_xlfn.IFNA(SUM((BG$3&gt;='Gastos com Pessoal'!$E$7:$E$506)*(BG$3&lt;='Gastos com Pessoal'!$F$7:$F$506)*(IF('Gastos com Pessoal'!$AE$7:$AE$506&lt;=BG$3,1,0))*OFFSET('Gastos com Pessoal'!$H$6,1,MATCH(5&amp;$B31,'Gastos com Pessoal'!$I$532:$AJ$532&amp;'Gastos com Pessoal'!$I$6:$AJ$6,0),500,1)),0)
+_xlfn.IFNA(SUM((BG$3&gt;='Gastos com Pessoal'!$E$513:$E$522)*(BG$3&lt;='Gastos com Pessoal'!$F$513:$F$522)*(IF('Gastos com Pessoal'!$G$513:$G$522&lt;=BG$3,1,0))*OFFSET('Gastos com Pessoal'!$H$512,1,MATCH(1&amp;$B31,'Gastos com Pessoal'!$I$532:$AJ$532&amp;'Gastos com Pessoal'!$I$512:$AJ$512,0),10,1)),0)
+_xlfn.IFNA(SUM((BG$3&gt;='Gastos com Pessoal'!$E$513:$E$522)*(BG$3&lt;='Gastos com Pessoal'!$F$513:$F$522)*(IF('Gastos com Pessoal'!$M$513:$M$522&lt;=BG$3,1,0))*OFFSET('Gastos com Pessoal'!$H$512,1,MATCH(2&amp;$B31,'Gastos com Pessoal'!$I$532:$AJ$532&amp;'Gastos com Pessoal'!$I$512:$AJ$512,0),10,1)),0)
+_xlfn.IFNA(SUM((BG$3&gt;='Gastos com Pessoal'!$E$513:$E$522)*(BG$3&lt;='Gastos com Pessoal'!$F$513:$F$522)*(IF('Gastos com Pessoal'!$S$513:$S$522&lt;=BG$3,1,0))*OFFSET('Gastos com Pessoal'!$H$512,1,MATCH(3&amp;$B31,'Gastos com Pessoal'!$I$532:$AJ$532&amp;'Gastos com Pessoal'!$I$512:$AJ$512,0),10,1)),0)
+_xlfn.IFNA(SUM((BG$3&gt;='Gastos com Pessoal'!$E$513:$E$522)*(BG$3&lt;='Gastos com Pessoal'!$F$513:$F$522)*(IF('Gastos com Pessoal'!$Y$513:$Y$522&lt;=BG$3,1,0))*OFFSET('Gastos com Pessoal'!$H$512,1,MATCH(4&amp;$B31,'Gastos com Pessoal'!$I$532:$AJ$532&amp;'Gastos com Pessoal'!$I$512:$AJ$512,0),10,1)),0)
+_xlfn.IFNA(SUM((BG$3&gt;='Gastos com Pessoal'!$E$513:$E$522)*(BG$3&lt;='Gastos com Pessoal'!$F$513:$F$522)*(IF('Gastos com Pessoal'!$AE$513:$AE$522&lt;=BG$3,1,0))*OFFSET('Gastos com Pessoal'!$H$512,1,MATCH(5&amp;$B31,'Gastos com Pessoal'!$I$532:$AJ$532&amp;'Gastos com Pessoal'!$I$512:$AJ$512,0),10,1)),0)</f>
        <v>0</v>
      </c>
      <c r="BH31" s="32">
        <f t="array" aca="1" ref="BH31" ca="1">_xlfn.IFNA(SUM((BH$3&gt;='Gastos com Pessoal'!$E$7:$E$506)*(BH$3&lt;='Gastos com Pessoal'!$F$7:$F$506)*OFFSET('Encargos e Benefícios'!$D$5,1,MATCH($B31,'Encargos e Benefícios'!$E$5:$AB$5,0),500,1)),0)
+_xlfn.IFNA(SUM((BH$3&gt;='Gastos com Pessoal'!$E$513:$E$522)*(BH$3&lt;='Gastos com Pessoal'!$F$513:$F$522)*OFFSET('Encargos e Benefícios'!$D$511,1,MATCH($B31,'Encargos e Benefícios'!$E$511:$AB$511,0),10,1)),0)
+_xlfn.IFNA(SUM((BH$3&gt;='Gastos com Pessoal'!$E$7:$E$506)*(BH$3&lt;='Gastos com Pessoal'!$F$7:$F$506)*(IF('Gastos com Pessoal'!$G$7:$G$506&lt;=BH$3,1,0))*OFFSET('Gastos com Pessoal'!$H$6,1,MATCH(1&amp;$B31,'Gastos com Pessoal'!$I$532:$AJ$532&amp;'Gastos com Pessoal'!$I$6:$AJ$6,0),500,1)),0)
+_xlfn.IFNA(SUM((BH$3&gt;='Gastos com Pessoal'!$E$7:$E$506)*(BH$3&lt;='Gastos com Pessoal'!$F$7:$F$506)*(IF('Gastos com Pessoal'!$M$7:$M$506&lt;=BH$3,1,0))*OFFSET('Gastos com Pessoal'!$H$6,1,MATCH(2&amp;$B31,'Gastos com Pessoal'!$I$532:$AJ$532&amp;'Gastos com Pessoal'!$I$6:$AJ$6,0),500,1)),0)
+_xlfn.IFNA(SUM((BH$3&gt;='Gastos com Pessoal'!$E$7:$E$506)*(BH$3&lt;='Gastos com Pessoal'!$F$7:$F$506)*(IF('Gastos com Pessoal'!$S$7:$S$506&lt;=BH$3,1,0))*OFFSET('Gastos com Pessoal'!$H$6,1,MATCH(3&amp;$B31,'Gastos com Pessoal'!$I$532:$AJ$532&amp;'Gastos com Pessoal'!$I$6:$AJ$6,0),500,1)),0)
+_xlfn.IFNA(SUM((BH$3&gt;='Gastos com Pessoal'!$E$7:$E$506)*(BH$3&lt;='Gastos com Pessoal'!$F$7:$F$506)*(IF('Gastos com Pessoal'!$Y$7:$Y$506&lt;=BH$3,1,0))*OFFSET('Gastos com Pessoal'!$H$6,1,MATCH(4&amp;$B31,'Gastos com Pessoal'!$I$532:$AJ$532&amp;'Gastos com Pessoal'!$I$6:$AJ$6,0),500,1)),0)
+_xlfn.IFNA(SUM((BH$3&gt;='Gastos com Pessoal'!$E$7:$E$506)*(BH$3&lt;='Gastos com Pessoal'!$F$7:$F$506)*(IF('Gastos com Pessoal'!$AE$7:$AE$506&lt;=BH$3,1,0))*OFFSET('Gastos com Pessoal'!$H$6,1,MATCH(5&amp;$B31,'Gastos com Pessoal'!$I$532:$AJ$532&amp;'Gastos com Pessoal'!$I$6:$AJ$6,0),500,1)),0)
+_xlfn.IFNA(SUM((BH$3&gt;='Gastos com Pessoal'!$E$513:$E$522)*(BH$3&lt;='Gastos com Pessoal'!$F$513:$F$522)*(IF('Gastos com Pessoal'!$G$513:$G$522&lt;=BH$3,1,0))*OFFSET('Gastos com Pessoal'!$H$512,1,MATCH(1&amp;$B31,'Gastos com Pessoal'!$I$532:$AJ$532&amp;'Gastos com Pessoal'!$I$512:$AJ$512,0),10,1)),0)
+_xlfn.IFNA(SUM((BH$3&gt;='Gastos com Pessoal'!$E$513:$E$522)*(BH$3&lt;='Gastos com Pessoal'!$F$513:$F$522)*(IF('Gastos com Pessoal'!$M$513:$M$522&lt;=BH$3,1,0))*OFFSET('Gastos com Pessoal'!$H$512,1,MATCH(2&amp;$B31,'Gastos com Pessoal'!$I$532:$AJ$532&amp;'Gastos com Pessoal'!$I$512:$AJ$512,0),10,1)),0)
+_xlfn.IFNA(SUM((BH$3&gt;='Gastos com Pessoal'!$E$513:$E$522)*(BH$3&lt;='Gastos com Pessoal'!$F$513:$F$522)*(IF('Gastos com Pessoal'!$S$513:$S$522&lt;=BH$3,1,0))*OFFSET('Gastos com Pessoal'!$H$512,1,MATCH(3&amp;$B31,'Gastos com Pessoal'!$I$532:$AJ$532&amp;'Gastos com Pessoal'!$I$512:$AJ$512,0),10,1)),0)
+_xlfn.IFNA(SUM((BH$3&gt;='Gastos com Pessoal'!$E$513:$E$522)*(BH$3&lt;='Gastos com Pessoal'!$F$513:$F$522)*(IF('Gastos com Pessoal'!$Y$513:$Y$522&lt;=BH$3,1,0))*OFFSET('Gastos com Pessoal'!$H$512,1,MATCH(4&amp;$B31,'Gastos com Pessoal'!$I$532:$AJ$532&amp;'Gastos com Pessoal'!$I$512:$AJ$512,0),10,1)),0)
+_xlfn.IFNA(SUM((BH$3&gt;='Gastos com Pessoal'!$E$513:$E$522)*(BH$3&lt;='Gastos com Pessoal'!$F$513:$F$522)*(IF('Gastos com Pessoal'!$AE$513:$AE$522&lt;=BH$3,1,0))*OFFSET('Gastos com Pessoal'!$H$512,1,MATCH(5&amp;$B31,'Gastos com Pessoal'!$I$532:$AJ$532&amp;'Gastos com Pessoal'!$I$512:$AJ$512,0),10,1)),0)</f>
        <v>0</v>
      </c>
      <c r="BI31" s="32">
        <f t="array" aca="1" ref="BI31" ca="1">_xlfn.IFNA(SUM((BI$3&gt;='Gastos com Pessoal'!$E$7:$E$506)*(BI$3&lt;='Gastos com Pessoal'!$F$7:$F$506)*OFFSET('Encargos e Benefícios'!$D$5,1,MATCH($B31,'Encargos e Benefícios'!$E$5:$AB$5,0),500,1)),0)
+_xlfn.IFNA(SUM((BI$3&gt;='Gastos com Pessoal'!$E$513:$E$522)*(BI$3&lt;='Gastos com Pessoal'!$F$513:$F$522)*OFFSET('Encargos e Benefícios'!$D$511,1,MATCH($B31,'Encargos e Benefícios'!$E$511:$AB$511,0),10,1)),0)
+_xlfn.IFNA(SUM((BI$3&gt;='Gastos com Pessoal'!$E$7:$E$506)*(BI$3&lt;='Gastos com Pessoal'!$F$7:$F$506)*(IF('Gastos com Pessoal'!$G$7:$G$506&lt;=BI$3,1,0))*OFFSET('Gastos com Pessoal'!$H$6,1,MATCH(1&amp;$B31,'Gastos com Pessoal'!$I$532:$AJ$532&amp;'Gastos com Pessoal'!$I$6:$AJ$6,0),500,1)),0)
+_xlfn.IFNA(SUM((BI$3&gt;='Gastos com Pessoal'!$E$7:$E$506)*(BI$3&lt;='Gastos com Pessoal'!$F$7:$F$506)*(IF('Gastos com Pessoal'!$M$7:$M$506&lt;=BI$3,1,0))*OFFSET('Gastos com Pessoal'!$H$6,1,MATCH(2&amp;$B31,'Gastos com Pessoal'!$I$532:$AJ$532&amp;'Gastos com Pessoal'!$I$6:$AJ$6,0),500,1)),0)
+_xlfn.IFNA(SUM((BI$3&gt;='Gastos com Pessoal'!$E$7:$E$506)*(BI$3&lt;='Gastos com Pessoal'!$F$7:$F$506)*(IF('Gastos com Pessoal'!$S$7:$S$506&lt;=BI$3,1,0))*OFFSET('Gastos com Pessoal'!$H$6,1,MATCH(3&amp;$B31,'Gastos com Pessoal'!$I$532:$AJ$532&amp;'Gastos com Pessoal'!$I$6:$AJ$6,0),500,1)),0)
+_xlfn.IFNA(SUM((BI$3&gt;='Gastos com Pessoal'!$E$7:$E$506)*(BI$3&lt;='Gastos com Pessoal'!$F$7:$F$506)*(IF('Gastos com Pessoal'!$Y$7:$Y$506&lt;=BI$3,1,0))*OFFSET('Gastos com Pessoal'!$H$6,1,MATCH(4&amp;$B31,'Gastos com Pessoal'!$I$532:$AJ$532&amp;'Gastos com Pessoal'!$I$6:$AJ$6,0),500,1)),0)
+_xlfn.IFNA(SUM((BI$3&gt;='Gastos com Pessoal'!$E$7:$E$506)*(BI$3&lt;='Gastos com Pessoal'!$F$7:$F$506)*(IF('Gastos com Pessoal'!$AE$7:$AE$506&lt;=BI$3,1,0))*OFFSET('Gastos com Pessoal'!$H$6,1,MATCH(5&amp;$B31,'Gastos com Pessoal'!$I$532:$AJ$532&amp;'Gastos com Pessoal'!$I$6:$AJ$6,0),500,1)),0)
+_xlfn.IFNA(SUM((BI$3&gt;='Gastos com Pessoal'!$E$513:$E$522)*(BI$3&lt;='Gastos com Pessoal'!$F$513:$F$522)*(IF('Gastos com Pessoal'!$G$513:$G$522&lt;=BI$3,1,0))*OFFSET('Gastos com Pessoal'!$H$512,1,MATCH(1&amp;$B31,'Gastos com Pessoal'!$I$532:$AJ$532&amp;'Gastos com Pessoal'!$I$512:$AJ$512,0),10,1)),0)
+_xlfn.IFNA(SUM((BI$3&gt;='Gastos com Pessoal'!$E$513:$E$522)*(BI$3&lt;='Gastos com Pessoal'!$F$513:$F$522)*(IF('Gastos com Pessoal'!$M$513:$M$522&lt;=BI$3,1,0))*OFFSET('Gastos com Pessoal'!$H$512,1,MATCH(2&amp;$B31,'Gastos com Pessoal'!$I$532:$AJ$532&amp;'Gastos com Pessoal'!$I$512:$AJ$512,0),10,1)),0)
+_xlfn.IFNA(SUM((BI$3&gt;='Gastos com Pessoal'!$E$513:$E$522)*(BI$3&lt;='Gastos com Pessoal'!$F$513:$F$522)*(IF('Gastos com Pessoal'!$S$513:$S$522&lt;=BI$3,1,0))*OFFSET('Gastos com Pessoal'!$H$512,1,MATCH(3&amp;$B31,'Gastos com Pessoal'!$I$532:$AJ$532&amp;'Gastos com Pessoal'!$I$512:$AJ$512,0),10,1)),0)
+_xlfn.IFNA(SUM((BI$3&gt;='Gastos com Pessoal'!$E$513:$E$522)*(BI$3&lt;='Gastos com Pessoal'!$F$513:$F$522)*(IF('Gastos com Pessoal'!$Y$513:$Y$522&lt;=BI$3,1,0))*OFFSET('Gastos com Pessoal'!$H$512,1,MATCH(4&amp;$B31,'Gastos com Pessoal'!$I$532:$AJ$532&amp;'Gastos com Pessoal'!$I$512:$AJ$512,0),10,1)),0)
+_xlfn.IFNA(SUM((BI$3&gt;='Gastos com Pessoal'!$E$513:$E$522)*(BI$3&lt;='Gastos com Pessoal'!$F$513:$F$522)*(IF('Gastos com Pessoal'!$AE$513:$AE$522&lt;=BI$3,1,0))*OFFSET('Gastos com Pessoal'!$H$512,1,MATCH(5&amp;$B31,'Gastos com Pessoal'!$I$532:$AJ$532&amp;'Gastos com Pessoal'!$I$512:$AJ$512,0),10,1)),0)</f>
        <v>0</v>
      </c>
      <c r="BJ31" s="32">
        <f t="array" aca="1" ref="BJ31" ca="1">_xlfn.IFNA(SUM((BJ$3&gt;='Gastos com Pessoal'!$E$7:$E$506)*(BJ$3&lt;='Gastos com Pessoal'!$F$7:$F$506)*OFFSET('Encargos e Benefícios'!$D$5,1,MATCH($B31,'Encargos e Benefícios'!$E$5:$AB$5,0),500,1)),0)
+_xlfn.IFNA(SUM((BJ$3&gt;='Gastos com Pessoal'!$E$513:$E$522)*(BJ$3&lt;='Gastos com Pessoal'!$F$513:$F$522)*OFFSET('Encargos e Benefícios'!$D$511,1,MATCH($B31,'Encargos e Benefícios'!$E$511:$AB$511,0),10,1)),0)
+_xlfn.IFNA(SUM((BJ$3&gt;='Gastos com Pessoal'!$E$7:$E$506)*(BJ$3&lt;='Gastos com Pessoal'!$F$7:$F$506)*(IF('Gastos com Pessoal'!$G$7:$G$506&lt;=BJ$3,1,0))*OFFSET('Gastos com Pessoal'!$H$6,1,MATCH(1&amp;$B31,'Gastos com Pessoal'!$I$532:$AJ$532&amp;'Gastos com Pessoal'!$I$6:$AJ$6,0),500,1)),0)
+_xlfn.IFNA(SUM((BJ$3&gt;='Gastos com Pessoal'!$E$7:$E$506)*(BJ$3&lt;='Gastos com Pessoal'!$F$7:$F$506)*(IF('Gastos com Pessoal'!$M$7:$M$506&lt;=BJ$3,1,0))*OFFSET('Gastos com Pessoal'!$H$6,1,MATCH(2&amp;$B31,'Gastos com Pessoal'!$I$532:$AJ$532&amp;'Gastos com Pessoal'!$I$6:$AJ$6,0),500,1)),0)
+_xlfn.IFNA(SUM((BJ$3&gt;='Gastos com Pessoal'!$E$7:$E$506)*(BJ$3&lt;='Gastos com Pessoal'!$F$7:$F$506)*(IF('Gastos com Pessoal'!$S$7:$S$506&lt;=BJ$3,1,0))*OFFSET('Gastos com Pessoal'!$H$6,1,MATCH(3&amp;$B31,'Gastos com Pessoal'!$I$532:$AJ$532&amp;'Gastos com Pessoal'!$I$6:$AJ$6,0),500,1)),0)
+_xlfn.IFNA(SUM((BJ$3&gt;='Gastos com Pessoal'!$E$7:$E$506)*(BJ$3&lt;='Gastos com Pessoal'!$F$7:$F$506)*(IF('Gastos com Pessoal'!$Y$7:$Y$506&lt;=BJ$3,1,0))*OFFSET('Gastos com Pessoal'!$H$6,1,MATCH(4&amp;$B31,'Gastos com Pessoal'!$I$532:$AJ$532&amp;'Gastos com Pessoal'!$I$6:$AJ$6,0),500,1)),0)
+_xlfn.IFNA(SUM((BJ$3&gt;='Gastos com Pessoal'!$E$7:$E$506)*(BJ$3&lt;='Gastos com Pessoal'!$F$7:$F$506)*(IF('Gastos com Pessoal'!$AE$7:$AE$506&lt;=BJ$3,1,0))*OFFSET('Gastos com Pessoal'!$H$6,1,MATCH(5&amp;$B31,'Gastos com Pessoal'!$I$532:$AJ$532&amp;'Gastos com Pessoal'!$I$6:$AJ$6,0),500,1)),0)
+_xlfn.IFNA(SUM((BJ$3&gt;='Gastos com Pessoal'!$E$513:$E$522)*(BJ$3&lt;='Gastos com Pessoal'!$F$513:$F$522)*(IF('Gastos com Pessoal'!$G$513:$G$522&lt;=BJ$3,1,0))*OFFSET('Gastos com Pessoal'!$H$512,1,MATCH(1&amp;$B31,'Gastos com Pessoal'!$I$532:$AJ$532&amp;'Gastos com Pessoal'!$I$512:$AJ$512,0),10,1)),0)
+_xlfn.IFNA(SUM((BJ$3&gt;='Gastos com Pessoal'!$E$513:$E$522)*(BJ$3&lt;='Gastos com Pessoal'!$F$513:$F$522)*(IF('Gastos com Pessoal'!$M$513:$M$522&lt;=BJ$3,1,0))*OFFSET('Gastos com Pessoal'!$H$512,1,MATCH(2&amp;$B31,'Gastos com Pessoal'!$I$532:$AJ$532&amp;'Gastos com Pessoal'!$I$512:$AJ$512,0),10,1)),0)
+_xlfn.IFNA(SUM((BJ$3&gt;='Gastos com Pessoal'!$E$513:$E$522)*(BJ$3&lt;='Gastos com Pessoal'!$F$513:$F$522)*(IF('Gastos com Pessoal'!$S$513:$S$522&lt;=BJ$3,1,0))*OFFSET('Gastos com Pessoal'!$H$512,1,MATCH(3&amp;$B31,'Gastos com Pessoal'!$I$532:$AJ$532&amp;'Gastos com Pessoal'!$I$512:$AJ$512,0),10,1)),0)
+_xlfn.IFNA(SUM((BJ$3&gt;='Gastos com Pessoal'!$E$513:$E$522)*(BJ$3&lt;='Gastos com Pessoal'!$F$513:$F$522)*(IF('Gastos com Pessoal'!$Y$513:$Y$522&lt;=BJ$3,1,0))*OFFSET('Gastos com Pessoal'!$H$512,1,MATCH(4&amp;$B31,'Gastos com Pessoal'!$I$532:$AJ$532&amp;'Gastos com Pessoal'!$I$512:$AJ$512,0),10,1)),0)
+_xlfn.IFNA(SUM((BJ$3&gt;='Gastos com Pessoal'!$E$513:$E$522)*(BJ$3&lt;='Gastos com Pessoal'!$F$513:$F$522)*(IF('Gastos com Pessoal'!$AE$513:$AE$522&lt;=BJ$3,1,0))*OFFSET('Gastos com Pessoal'!$H$512,1,MATCH(5&amp;$B31,'Gastos com Pessoal'!$I$532:$AJ$532&amp;'Gastos com Pessoal'!$I$512:$AJ$512,0),10,1)),0)</f>
        <v>0</v>
      </c>
      <c r="BK31" s="71">
        <f ca="1">SUM(C31:BJ31)</f>
        <v>0</v>
      </c>
      <c r="BL31" s="76">
        <f ca="1">IF($BK$155=0,0,BK31/$BK$155)</f>
        <v>0</v>
      </c>
    </row>
    <row r="32" spans="1:64" s="49" customFormat="1" ht="23.25" customHeight="1" x14ac:dyDescent="0.2">
      <c r="A32" s="41"/>
      <c r="B32" s="42" t="s">
        <v>143</v>
      </c>
      <c r="C32" s="43">
        <f ca="1">SUBTOTAL(109,C30:C31)</f>
        <v>0</v>
      </c>
      <c r="D32" s="43">
        <f t="shared" ref="D32:BJ32" ca="1" si="14">SUBTOTAL(109,D30:D31)</f>
        <v>0</v>
      </c>
      <c r="E32" s="43">
        <f t="shared" ca="1" si="14"/>
        <v>0</v>
      </c>
      <c r="F32" s="43">
        <f t="shared" ca="1" si="14"/>
        <v>0</v>
      </c>
      <c r="G32" s="43">
        <f t="shared" ca="1" si="14"/>
        <v>0</v>
      </c>
      <c r="H32" s="43">
        <f t="shared" ca="1" si="14"/>
        <v>0</v>
      </c>
      <c r="I32" s="43">
        <f t="shared" ca="1" si="14"/>
        <v>0</v>
      </c>
      <c r="J32" s="43">
        <f t="shared" ca="1" si="14"/>
        <v>0</v>
      </c>
      <c r="K32" s="43">
        <f t="shared" ca="1" si="14"/>
        <v>0</v>
      </c>
      <c r="L32" s="43">
        <f t="shared" ca="1" si="14"/>
        <v>0</v>
      </c>
      <c r="M32" s="43">
        <f t="shared" ca="1" si="14"/>
        <v>0</v>
      </c>
      <c r="N32" s="43">
        <f t="shared" ca="1" si="14"/>
        <v>0</v>
      </c>
      <c r="O32" s="43">
        <f t="shared" ca="1" si="14"/>
        <v>0</v>
      </c>
      <c r="P32" s="43">
        <f t="shared" ca="1" si="14"/>
        <v>0</v>
      </c>
      <c r="Q32" s="43">
        <f t="shared" ca="1" si="14"/>
        <v>0</v>
      </c>
      <c r="R32" s="43">
        <f t="shared" ca="1" si="14"/>
        <v>0</v>
      </c>
      <c r="S32" s="43">
        <f t="shared" ca="1" si="14"/>
        <v>0</v>
      </c>
      <c r="T32" s="43">
        <f t="shared" ca="1" si="14"/>
        <v>0</v>
      </c>
      <c r="U32" s="43">
        <f t="shared" ca="1" si="14"/>
        <v>0</v>
      </c>
      <c r="V32" s="43">
        <f t="shared" ca="1" si="14"/>
        <v>0</v>
      </c>
      <c r="W32" s="43">
        <f t="shared" ca="1" si="14"/>
        <v>0</v>
      </c>
      <c r="X32" s="43">
        <f t="shared" ca="1" si="14"/>
        <v>0</v>
      </c>
      <c r="Y32" s="43">
        <f t="shared" ca="1" si="14"/>
        <v>0</v>
      </c>
      <c r="Z32" s="43">
        <f t="shared" ca="1" si="14"/>
        <v>0</v>
      </c>
      <c r="AA32" s="43">
        <f t="shared" ca="1" si="14"/>
        <v>0</v>
      </c>
      <c r="AB32" s="43">
        <f t="shared" ca="1" si="14"/>
        <v>0</v>
      </c>
      <c r="AC32" s="43">
        <f t="shared" ca="1" si="14"/>
        <v>0</v>
      </c>
      <c r="AD32" s="43">
        <f t="shared" ca="1" si="14"/>
        <v>0</v>
      </c>
      <c r="AE32" s="43">
        <f t="shared" ca="1" si="14"/>
        <v>0</v>
      </c>
      <c r="AF32" s="43">
        <f t="shared" ca="1" si="14"/>
        <v>0</v>
      </c>
      <c r="AG32" s="43">
        <f t="shared" ca="1" si="14"/>
        <v>0</v>
      </c>
      <c r="AH32" s="43">
        <f t="shared" ca="1" si="14"/>
        <v>0</v>
      </c>
      <c r="AI32" s="43">
        <f t="shared" ca="1" si="14"/>
        <v>0</v>
      </c>
      <c r="AJ32" s="43">
        <f t="shared" ca="1" si="14"/>
        <v>0</v>
      </c>
      <c r="AK32" s="43">
        <f t="shared" ca="1" si="14"/>
        <v>0</v>
      </c>
      <c r="AL32" s="43">
        <f t="shared" ca="1" si="14"/>
        <v>0</v>
      </c>
      <c r="AM32" s="43">
        <f t="shared" ca="1" si="14"/>
        <v>0</v>
      </c>
      <c r="AN32" s="43">
        <f t="shared" ca="1" si="14"/>
        <v>0</v>
      </c>
      <c r="AO32" s="43">
        <f t="shared" ca="1" si="14"/>
        <v>0</v>
      </c>
      <c r="AP32" s="43">
        <f t="shared" ca="1" si="14"/>
        <v>0</v>
      </c>
      <c r="AQ32" s="43">
        <f t="shared" ca="1" si="14"/>
        <v>0</v>
      </c>
      <c r="AR32" s="43">
        <f t="shared" ca="1" si="14"/>
        <v>0</v>
      </c>
      <c r="AS32" s="43">
        <f t="shared" ca="1" si="14"/>
        <v>0</v>
      </c>
      <c r="AT32" s="43">
        <f t="shared" ca="1" si="14"/>
        <v>0</v>
      </c>
      <c r="AU32" s="43">
        <f t="shared" ca="1" si="14"/>
        <v>0</v>
      </c>
      <c r="AV32" s="43">
        <f t="shared" ca="1" si="14"/>
        <v>0</v>
      </c>
      <c r="AW32" s="43">
        <f t="shared" ca="1" si="14"/>
        <v>0</v>
      </c>
      <c r="AX32" s="43">
        <f t="shared" ca="1" si="14"/>
        <v>0</v>
      </c>
      <c r="AY32" s="43">
        <f t="shared" ca="1" si="14"/>
        <v>0</v>
      </c>
      <c r="AZ32" s="43">
        <f t="shared" ca="1" si="14"/>
        <v>0</v>
      </c>
      <c r="BA32" s="43">
        <f t="shared" ca="1" si="14"/>
        <v>0</v>
      </c>
      <c r="BB32" s="43">
        <f t="shared" ca="1" si="14"/>
        <v>0</v>
      </c>
      <c r="BC32" s="43">
        <f t="shared" ca="1" si="14"/>
        <v>0</v>
      </c>
      <c r="BD32" s="43">
        <f t="shared" ca="1" si="14"/>
        <v>0</v>
      </c>
      <c r="BE32" s="43">
        <f t="shared" ca="1" si="14"/>
        <v>0</v>
      </c>
      <c r="BF32" s="43">
        <f t="shared" ca="1" si="14"/>
        <v>0</v>
      </c>
      <c r="BG32" s="43">
        <f t="shared" ca="1" si="14"/>
        <v>0</v>
      </c>
      <c r="BH32" s="43">
        <f t="shared" ca="1" si="14"/>
        <v>0</v>
      </c>
      <c r="BI32" s="43">
        <f t="shared" ca="1" si="14"/>
        <v>0</v>
      </c>
      <c r="BJ32" s="43">
        <f t="shared" ca="1" si="14"/>
        <v>0</v>
      </c>
      <c r="BK32" s="43">
        <f t="shared" ref="BK32" ca="1" si="15">SUBTOTAL(109,BK30:BK30)</f>
        <v>0</v>
      </c>
      <c r="BL32" s="60">
        <f ca="1">IF($BK$155=0,0,BK32/$BK$155)</f>
        <v>0</v>
      </c>
    </row>
    <row r="33" spans="1:64" s="49" customFormat="1" ht="23.25" customHeight="1" x14ac:dyDescent="0.2">
      <c r="A33" s="242" t="s">
        <v>85</v>
      </c>
      <c r="B33" s="259" t="s">
        <v>86</v>
      </c>
      <c r="C33" s="264"/>
      <c r="D33" s="264"/>
      <c r="E33" s="264"/>
      <c r="F33" s="264"/>
      <c r="G33" s="264"/>
      <c r="H33" s="264"/>
      <c r="I33" s="264"/>
      <c r="J33" s="264"/>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264"/>
      <c r="AO33" s="264"/>
      <c r="AP33" s="264"/>
      <c r="AQ33" s="264"/>
      <c r="AR33" s="264"/>
      <c r="AS33" s="264"/>
      <c r="AT33" s="264"/>
      <c r="AU33" s="264"/>
      <c r="AV33" s="264"/>
      <c r="AW33" s="264"/>
      <c r="AX33" s="264"/>
      <c r="AY33" s="264"/>
      <c r="AZ33" s="264"/>
      <c r="BA33" s="264"/>
      <c r="BB33" s="264"/>
      <c r="BC33" s="264"/>
      <c r="BD33" s="264"/>
      <c r="BE33" s="264"/>
      <c r="BF33" s="264"/>
      <c r="BG33" s="264"/>
      <c r="BH33" s="264"/>
      <c r="BI33" s="264"/>
      <c r="BJ33" s="264"/>
      <c r="BK33" s="262"/>
      <c r="BL33" s="263"/>
    </row>
    <row r="34" spans="1:64" s="49" customFormat="1" ht="23.25" customHeight="1" x14ac:dyDescent="0.2">
      <c r="A34" s="19" t="s">
        <v>144</v>
      </c>
      <c r="B34" s="12" t="s">
        <v>145</v>
      </c>
      <c r="C34" s="32">
        <f t="array" aca="1" ref="C34" ca="1">_xlfn.IFNA(SUM((C$3&gt;='Gastos com Pessoal'!$E$7:$E$506)*(C$3&lt;='Gastos com Pessoal'!$F$7:$F$506)*OFFSET('Encargos e Benefícios'!$D$5,1,MATCH($B34,'Encargos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235271.26627717499</v>
      </c>
      <c r="D34" s="32">
        <f t="array" aca="1" ref="D34" ca="1">_xlfn.IFNA(SUM((D$3&gt;='Gastos com Pessoal'!$E$7:$E$506)*(D$3&lt;='Gastos com Pessoal'!$F$7:$F$506)*OFFSET('Encargos e Benefícios'!$D$5,1,MATCH($B34,'Encargos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235271.26627717499</v>
      </c>
      <c r="E34" s="32">
        <f t="array" aca="1" ref="E34" ca="1">_xlfn.IFNA(SUM((E$3&gt;='Gastos com Pessoal'!$E$7:$E$506)*(E$3&lt;='Gastos com Pessoal'!$F$7:$F$506)*OFFSET('Encargos e Benefícios'!$D$5,1,MATCH($B34,'Encargos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235271.26627717499</v>
      </c>
      <c r="F34" s="32">
        <f t="array" aca="1" ref="F34" ca="1">_xlfn.IFNA(SUM((F$3&gt;='Gastos com Pessoal'!$E$7:$E$506)*(F$3&lt;='Gastos com Pessoal'!$F$7:$F$506)*OFFSET('Encargos e Benefícios'!$D$5,1,MATCH($B34,'Encargos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235271.26627717499</v>
      </c>
      <c r="G34" s="32">
        <f t="array" aca="1" ref="G34" ca="1">_xlfn.IFNA(SUM((G$3&gt;='Gastos com Pessoal'!$E$7:$E$506)*(G$3&lt;='Gastos com Pessoal'!$F$7:$F$506)*OFFSET('Encargos e Benefícios'!$D$5,1,MATCH($B34,'Encargos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235271.26627717499</v>
      </c>
      <c r="H34" s="32">
        <f t="array" aca="1" ref="H34" ca="1">_xlfn.IFNA(SUM((H$3&gt;='Gastos com Pessoal'!$E$7:$E$506)*(H$3&lt;='Gastos com Pessoal'!$F$7:$F$506)*OFFSET('Encargos e Benefícios'!$D$5,1,MATCH($B34,'Encargos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235271.26627717499</v>
      </c>
      <c r="I34" s="32">
        <f t="array" aca="1" ref="I34" ca="1">_xlfn.IFNA(SUM((I$3&gt;='Gastos com Pessoal'!$E$7:$E$506)*(I$3&lt;='Gastos com Pessoal'!$F$7:$F$506)*OFFSET('Encargos e Benefícios'!$D$5,1,MATCH($B34,'Encargos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235271.26627717499</v>
      </c>
      <c r="J34" s="32">
        <f t="array" aca="1" ref="J34" ca="1">_xlfn.IFNA(SUM((J$3&gt;='Gastos com Pessoal'!$E$7:$E$506)*(J$3&lt;='Gastos com Pessoal'!$F$7:$F$506)*OFFSET('Encargos e Benefícios'!$D$5,1,MATCH($B34,'Encargos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235271.26627717499</v>
      </c>
      <c r="K34" s="32">
        <f t="array" aca="1" ref="K34" ca="1">_xlfn.IFNA(SUM((K$3&gt;='Gastos com Pessoal'!$E$7:$E$506)*(K$3&lt;='Gastos com Pessoal'!$F$7:$F$506)*OFFSET('Encargos e Benefícios'!$D$5,1,MATCH($B34,'Encargos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235271.26627717499</v>
      </c>
      <c r="L34" s="32">
        <f t="array" aca="1" ref="L34" ca="1">_xlfn.IFNA(SUM((L$3&gt;='Gastos com Pessoal'!$E$7:$E$506)*(L$3&lt;='Gastos com Pessoal'!$F$7:$F$506)*OFFSET('Encargos e Benefícios'!$D$5,1,MATCH($B34,'Encargos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235271.26627717499</v>
      </c>
      <c r="M34" s="32">
        <f t="array" aca="1" ref="M34" ca="1">_xlfn.IFNA(SUM((M$3&gt;='Gastos com Pessoal'!$E$7:$E$506)*(M$3&lt;='Gastos com Pessoal'!$F$7:$F$506)*OFFSET('Encargos e Benefícios'!$D$5,1,MATCH($B34,'Encargos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235271.26627717499</v>
      </c>
      <c r="N34" s="32">
        <f t="array" aca="1" ref="N34" ca="1">_xlfn.IFNA(SUM((N$3&gt;='Gastos com Pessoal'!$E$7:$E$506)*(N$3&lt;='Gastos com Pessoal'!$F$7:$F$506)*OFFSET('Encargos e Benefícios'!$D$5,1,MATCH($B34,'Encargos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235271.26627717499</v>
      </c>
      <c r="O34" s="32">
        <f t="array" aca="1" ref="O34" ca="1">_xlfn.IFNA(SUM((O$3&gt;='Gastos com Pessoal'!$E$7:$E$506)*(O$3&lt;='Gastos com Pessoal'!$F$7:$F$506)*OFFSET('Encargos e Benefícios'!$D$5,1,MATCH($B34,'Encargos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241652.66703138538</v>
      </c>
      <c r="P34" s="32">
        <f t="array" aca="1" ref="P34" ca="1">_xlfn.IFNA(SUM((P$3&gt;='Gastos com Pessoal'!$E$7:$E$506)*(P$3&lt;='Gastos com Pessoal'!$F$7:$F$506)*OFFSET('Encargos e Benefícios'!$D$5,1,MATCH($B34,'Encargos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241652.66703138538</v>
      </c>
      <c r="Q34" s="32">
        <f t="array" aca="1" ref="Q34" ca="1">_xlfn.IFNA(SUM((Q$3&gt;='Gastos com Pessoal'!$E$7:$E$506)*(Q$3&lt;='Gastos com Pessoal'!$F$7:$F$506)*OFFSET('Encargos e Benefícios'!$D$5,1,MATCH($B34,'Encargos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241652.66703138538</v>
      </c>
      <c r="R34" s="32">
        <f t="array" aca="1" ref="R34" ca="1">_xlfn.IFNA(SUM((R$3&gt;='Gastos com Pessoal'!$E$7:$E$506)*(R$3&lt;='Gastos com Pessoal'!$F$7:$F$506)*OFFSET('Encargos e Benefícios'!$D$5,1,MATCH($B34,'Encargos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241652.66703138538</v>
      </c>
      <c r="S34" s="32">
        <f t="array" aca="1" ref="S34" ca="1">_xlfn.IFNA(SUM((S$3&gt;='Gastos com Pessoal'!$E$7:$E$506)*(S$3&lt;='Gastos com Pessoal'!$F$7:$F$506)*OFFSET('Encargos e Benefícios'!$D$5,1,MATCH($B34,'Encargos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241652.66703138538</v>
      </c>
      <c r="T34" s="32">
        <f t="array" aca="1" ref="T34" ca="1">_xlfn.IFNA(SUM((T$3&gt;='Gastos com Pessoal'!$E$7:$E$506)*(T$3&lt;='Gastos com Pessoal'!$F$7:$F$506)*OFFSET('Encargos e Benefícios'!$D$5,1,MATCH($B34,'Encargos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241652.66703138538</v>
      </c>
      <c r="U34" s="32">
        <f t="array" aca="1" ref="U34" ca="1">_xlfn.IFNA(SUM((U$3&gt;='Gastos com Pessoal'!$E$7:$E$506)*(U$3&lt;='Gastos com Pessoal'!$F$7:$F$506)*OFFSET('Encargos e Benefícios'!$D$5,1,MATCH($B34,'Encargos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241652.66703138538</v>
      </c>
      <c r="V34" s="32">
        <f t="array" aca="1" ref="V34" ca="1">_xlfn.IFNA(SUM((V$3&gt;='Gastos com Pessoal'!$E$7:$E$506)*(V$3&lt;='Gastos com Pessoal'!$F$7:$F$506)*OFFSET('Encargos e Benefícios'!$D$5,1,MATCH($B34,'Encargos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241652.66703138538</v>
      </c>
      <c r="W34" s="32">
        <f t="array" aca="1" ref="W34" ca="1">_xlfn.IFNA(SUM((W$3&gt;='Gastos com Pessoal'!$E$7:$E$506)*(W$3&lt;='Gastos com Pessoal'!$F$7:$F$506)*OFFSET('Encargos e Benefícios'!$D$5,1,MATCH($B34,'Encargos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241652.66703138538</v>
      </c>
      <c r="X34" s="32">
        <f t="array" aca="1" ref="X34" ca="1">_xlfn.IFNA(SUM((X$3&gt;='Gastos com Pessoal'!$E$7:$E$506)*(X$3&lt;='Gastos com Pessoal'!$F$7:$F$506)*OFFSET('Encargos e Benefícios'!$D$5,1,MATCH($B34,'Encargos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241652.66703138538</v>
      </c>
      <c r="Y34" s="32">
        <f t="array" aca="1" ref="Y34" ca="1">_xlfn.IFNA(SUM((Y$3&gt;='Gastos com Pessoal'!$E$7:$E$506)*(Y$3&lt;='Gastos com Pessoal'!$F$7:$F$506)*OFFSET('Encargos e Benefícios'!$D$5,1,MATCH($B34,'Encargos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241652.66703138538</v>
      </c>
      <c r="Z34" s="32">
        <f t="array" aca="1" ref="Z34" ca="1">_xlfn.IFNA(SUM((Z$3&gt;='Gastos com Pessoal'!$E$7:$E$506)*(Z$3&lt;='Gastos com Pessoal'!$F$7:$F$506)*OFFSET('Encargos e Benefícios'!$D$5,1,MATCH($B34,'Encargos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241652.66703138538</v>
      </c>
      <c r="AA34" s="32">
        <f t="array" aca="1" ref="AA34" ca="1">_xlfn.IFNA(SUM((AA$3&gt;='Gastos com Pessoal'!$E$7:$E$506)*(AA$3&lt;='Gastos com Pessoal'!$F$7:$F$506)*OFFSET('Encargos e Benefícios'!$D$5,1,MATCH($B34,'Encargos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251318.7737126408</v>
      </c>
      <c r="AB34" s="32">
        <f t="array" aca="1" ref="AB34" ca="1">_xlfn.IFNA(SUM((AB$3&gt;='Gastos com Pessoal'!$E$7:$E$506)*(AB$3&lt;='Gastos com Pessoal'!$F$7:$F$506)*OFFSET('Encargos e Benefícios'!$D$5,1,MATCH($B34,'Encargos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251318.7737126408</v>
      </c>
      <c r="AC34" s="32">
        <f t="array" aca="1" ref="AC34" ca="1">_xlfn.IFNA(SUM((AC$3&gt;='Gastos com Pessoal'!$E$7:$E$506)*(AC$3&lt;='Gastos com Pessoal'!$F$7:$F$506)*OFFSET('Encargos e Benefícios'!$D$5,1,MATCH($B34,'Encargos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251318.7737126408</v>
      </c>
      <c r="AD34" s="32">
        <f t="array" aca="1" ref="AD34" ca="1">_xlfn.IFNA(SUM((AD$3&gt;='Gastos com Pessoal'!$E$7:$E$506)*(AD$3&lt;='Gastos com Pessoal'!$F$7:$F$506)*OFFSET('Encargos e Benefícios'!$D$5,1,MATCH($B34,'Encargos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251318.7737126408</v>
      </c>
      <c r="AE34" s="32">
        <f t="array" aca="1" ref="AE34" ca="1">_xlfn.IFNA(SUM((AE$3&gt;='Gastos com Pessoal'!$E$7:$E$506)*(AE$3&lt;='Gastos com Pessoal'!$F$7:$F$506)*OFFSET('Encargos e Benefícios'!$D$5,1,MATCH($B34,'Encargos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251318.7737126408</v>
      </c>
      <c r="AF34" s="32">
        <f t="array" aca="1" ref="AF34" ca="1">_xlfn.IFNA(SUM((AF$3&gt;='Gastos com Pessoal'!$E$7:$E$506)*(AF$3&lt;='Gastos com Pessoal'!$F$7:$F$506)*OFFSET('Encargos e Benefícios'!$D$5,1,MATCH($B34,'Encargos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251318.7737126408</v>
      </c>
      <c r="AG34" s="32">
        <f t="array" aca="1" ref="AG34" ca="1">_xlfn.IFNA(SUM((AG$3&gt;='Gastos com Pessoal'!$E$7:$E$506)*(AG$3&lt;='Gastos com Pessoal'!$F$7:$F$506)*OFFSET('Encargos e Benefícios'!$D$5,1,MATCH($B34,'Encargos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251318.7737126408</v>
      </c>
      <c r="AH34" s="32">
        <f t="array" aca="1" ref="AH34" ca="1">_xlfn.IFNA(SUM((AH$3&gt;='Gastos com Pessoal'!$E$7:$E$506)*(AH$3&lt;='Gastos com Pessoal'!$F$7:$F$506)*OFFSET('Encargos e Benefícios'!$D$5,1,MATCH($B34,'Encargos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251318.7737126408</v>
      </c>
      <c r="AI34" s="32">
        <f t="array" aca="1" ref="AI34" ca="1">_xlfn.IFNA(SUM((AI$3&gt;='Gastos com Pessoal'!$E$7:$E$506)*(AI$3&lt;='Gastos com Pessoal'!$F$7:$F$506)*OFFSET('Encargos e Benefícios'!$D$5,1,MATCH($B34,'Encargos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251318.7737126408</v>
      </c>
      <c r="AJ34" s="32">
        <f t="array" aca="1" ref="AJ34" ca="1">_xlfn.IFNA(SUM((AJ$3&gt;='Gastos com Pessoal'!$E$7:$E$506)*(AJ$3&lt;='Gastos com Pessoal'!$F$7:$F$506)*OFFSET('Encargos e Benefícios'!$D$5,1,MATCH($B34,'Encargos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251318.7737126408</v>
      </c>
      <c r="AK34" s="32">
        <f t="array" aca="1" ref="AK34" ca="1">_xlfn.IFNA(SUM((AK$3&gt;='Gastos com Pessoal'!$E$7:$E$506)*(AK$3&lt;='Gastos com Pessoal'!$F$7:$F$506)*OFFSET('Encargos e Benefícios'!$D$5,1,MATCH($B34,'Encargos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251318.7737126408</v>
      </c>
      <c r="AL34" s="32">
        <f t="array" aca="1" ref="AL34" ca="1">_xlfn.IFNA(SUM((AL$3&gt;='Gastos com Pessoal'!$E$7:$E$506)*(AL$3&lt;='Gastos com Pessoal'!$F$7:$F$506)*OFFSET('Encargos e Benefícios'!$D$5,1,MATCH($B34,'Encargos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251318.7737126408</v>
      </c>
      <c r="AM34" s="32">
        <f t="array" aca="1" ref="AM34" ca="1">_xlfn.IFNA(SUM((AM$3&gt;='Gastos com Pessoal'!$E$7:$E$506)*(AM$3&lt;='Gastos com Pessoal'!$F$7:$F$506)*OFFSET('Encargos e Benefícios'!$D$5,1,MATCH($B34,'Encargos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34" s="32">
        <f t="array" aca="1" ref="AN34" ca="1">_xlfn.IFNA(SUM((AN$3&gt;='Gastos com Pessoal'!$E$7:$E$506)*(AN$3&lt;='Gastos com Pessoal'!$F$7:$F$506)*OFFSET('Encargos e Benefícios'!$D$5,1,MATCH($B34,'Encargos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34" s="32">
        <f t="array" aca="1" ref="AO34" ca="1">_xlfn.IFNA(SUM((AO$3&gt;='Gastos com Pessoal'!$E$7:$E$506)*(AO$3&lt;='Gastos com Pessoal'!$F$7:$F$506)*OFFSET('Encargos e Benefícios'!$D$5,1,MATCH($B34,'Encargos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34" s="32">
        <f t="array" aca="1" ref="AP34" ca="1">_xlfn.IFNA(SUM((AP$3&gt;='Gastos com Pessoal'!$E$7:$E$506)*(AP$3&lt;='Gastos com Pessoal'!$F$7:$F$506)*OFFSET('Encargos e Benefícios'!$D$5,1,MATCH($B34,'Encargos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34" s="32">
        <f t="array" aca="1" ref="AQ34" ca="1">_xlfn.IFNA(SUM((AQ$3&gt;='Gastos com Pessoal'!$E$7:$E$506)*(AQ$3&lt;='Gastos com Pessoal'!$F$7:$F$506)*OFFSET('Encargos e Benefícios'!$D$5,1,MATCH($B34,'Encargos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34" s="32">
        <f t="array" aca="1" ref="AR34" ca="1">_xlfn.IFNA(SUM((AR$3&gt;='Gastos com Pessoal'!$E$7:$E$506)*(AR$3&lt;='Gastos com Pessoal'!$F$7:$F$506)*OFFSET('Encargos e Benefícios'!$D$5,1,MATCH($B34,'Encargos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34" s="32">
        <f t="array" aca="1" ref="AS34" ca="1">_xlfn.IFNA(SUM((AS$3&gt;='Gastos com Pessoal'!$E$7:$E$506)*(AS$3&lt;='Gastos com Pessoal'!$F$7:$F$506)*OFFSET('Encargos e Benefícios'!$D$5,1,MATCH($B34,'Encargos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34" s="32">
        <f t="array" aca="1" ref="AT34" ca="1">_xlfn.IFNA(SUM((AT$3&gt;='Gastos com Pessoal'!$E$7:$E$506)*(AT$3&lt;='Gastos com Pessoal'!$F$7:$F$506)*OFFSET('Encargos e Benefícios'!$D$5,1,MATCH($B34,'Encargos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34" s="32">
        <f t="array" aca="1" ref="AU34" ca="1">_xlfn.IFNA(SUM((AU$3&gt;='Gastos com Pessoal'!$E$7:$E$506)*(AU$3&lt;='Gastos com Pessoal'!$F$7:$F$506)*OFFSET('Encargos e Benefícios'!$D$5,1,MATCH($B34,'Encargos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34" s="32">
        <f t="array" aca="1" ref="AV34" ca="1">_xlfn.IFNA(SUM((AV$3&gt;='Gastos com Pessoal'!$E$7:$E$506)*(AV$3&lt;='Gastos com Pessoal'!$F$7:$F$506)*OFFSET('Encargos e Benefícios'!$D$5,1,MATCH($B34,'Encargos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34" s="32">
        <f t="array" aca="1" ref="AW34" ca="1">_xlfn.IFNA(SUM((AW$3&gt;='Gastos com Pessoal'!$E$7:$E$506)*(AW$3&lt;='Gastos com Pessoal'!$F$7:$F$506)*OFFSET('Encargos e Benefícios'!$D$5,1,MATCH($B34,'Encargos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34" s="32">
        <f t="array" aca="1" ref="AX34" ca="1">_xlfn.IFNA(SUM((AX$3&gt;='Gastos com Pessoal'!$E$7:$E$506)*(AX$3&lt;='Gastos com Pessoal'!$F$7:$F$506)*OFFSET('Encargos e Benefícios'!$D$5,1,MATCH($B34,'Encargos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34" s="32">
        <f t="array" aca="1" ref="AY34" ca="1">_xlfn.IFNA(SUM((AY$3&gt;='Gastos com Pessoal'!$E$7:$E$506)*(AY$3&lt;='Gastos com Pessoal'!$F$7:$F$506)*OFFSET('Encargos e Benefícios'!$D$5,1,MATCH($B34,'Encargos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34" s="32">
        <f t="array" aca="1" ref="AZ34" ca="1">_xlfn.IFNA(SUM((AZ$3&gt;='Gastos com Pessoal'!$E$7:$E$506)*(AZ$3&lt;='Gastos com Pessoal'!$F$7:$F$506)*OFFSET('Encargos e Benefícios'!$D$5,1,MATCH($B34,'Encargos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34" s="32">
        <f t="array" aca="1" ref="BA34" ca="1">_xlfn.IFNA(SUM((BA$3&gt;='Gastos com Pessoal'!$E$7:$E$506)*(BA$3&lt;='Gastos com Pessoal'!$F$7:$F$506)*OFFSET('Encargos e Benefícios'!$D$5,1,MATCH($B34,'Encargos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34" s="32">
        <f t="array" aca="1" ref="BB34" ca="1">_xlfn.IFNA(SUM((BB$3&gt;='Gastos com Pessoal'!$E$7:$E$506)*(BB$3&lt;='Gastos com Pessoal'!$F$7:$F$506)*OFFSET('Encargos e Benefícios'!$D$5,1,MATCH($B34,'Encargos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34" s="32">
        <f t="array" aca="1" ref="BC34" ca="1">_xlfn.IFNA(SUM((BC$3&gt;='Gastos com Pessoal'!$E$7:$E$506)*(BC$3&lt;='Gastos com Pessoal'!$F$7:$F$506)*OFFSET('Encargos e Benefícios'!$D$5,1,MATCH($B34,'Encargos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34" s="32">
        <f t="array" aca="1" ref="BD34" ca="1">_xlfn.IFNA(SUM((BD$3&gt;='Gastos com Pessoal'!$E$7:$E$506)*(BD$3&lt;='Gastos com Pessoal'!$F$7:$F$506)*OFFSET('Encargos e Benefícios'!$D$5,1,MATCH($B34,'Encargos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34" s="32">
        <f t="array" aca="1" ref="BE34" ca="1">_xlfn.IFNA(SUM((BE$3&gt;='Gastos com Pessoal'!$E$7:$E$506)*(BE$3&lt;='Gastos com Pessoal'!$F$7:$F$506)*OFFSET('Encargos e Benefícios'!$D$5,1,MATCH($B34,'Encargos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34" s="32">
        <f t="array" aca="1" ref="BF34" ca="1">_xlfn.IFNA(SUM((BF$3&gt;='Gastos com Pessoal'!$E$7:$E$506)*(BF$3&lt;='Gastos com Pessoal'!$F$7:$F$506)*OFFSET('Encargos e Benefícios'!$D$5,1,MATCH($B34,'Encargos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34" s="32">
        <f t="array" aca="1" ref="BG34" ca="1">_xlfn.IFNA(SUM((BG$3&gt;='Gastos com Pessoal'!$E$7:$E$506)*(BG$3&lt;='Gastos com Pessoal'!$F$7:$F$506)*OFFSET('Encargos e Benefícios'!$D$5,1,MATCH($B34,'Encargos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34" s="32">
        <f t="array" aca="1" ref="BH34" ca="1">_xlfn.IFNA(SUM((BH$3&gt;='Gastos com Pessoal'!$E$7:$E$506)*(BH$3&lt;='Gastos com Pessoal'!$F$7:$F$506)*OFFSET('Encargos e Benefícios'!$D$5,1,MATCH($B34,'Encargos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34" s="32">
        <f t="array" aca="1" ref="BI34" ca="1">_xlfn.IFNA(SUM((BI$3&gt;='Gastos com Pessoal'!$E$7:$E$506)*(BI$3&lt;='Gastos com Pessoal'!$F$7:$F$506)*OFFSET('Encargos e Benefícios'!$D$5,1,MATCH($B34,'Encargos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34" s="32">
        <f t="array" aca="1" ref="BJ34" ca="1">_xlfn.IFNA(SUM((BJ$3&gt;='Gastos com Pessoal'!$E$7:$E$506)*(BJ$3&lt;='Gastos com Pessoal'!$F$7:$F$506)*OFFSET('Encargos e Benefícios'!$D$5,1,MATCH($B34,'Encargos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34" s="71">
        <f t="shared" ref="BK34:BK45" ca="1" si="16">SUM(C34:BJ34)</f>
        <v>8738912.4842544105</v>
      </c>
      <c r="BL34" s="76">
        <f t="shared" ref="BL34:BL46" ca="1" si="17">IF($BK$155=0,0,BK34/$BK$155)</f>
        <v>2.3836243931981822E-2</v>
      </c>
    </row>
    <row r="35" spans="1:64" s="49" customFormat="1" ht="23.25" customHeight="1" x14ac:dyDescent="0.2">
      <c r="A35" s="19" t="s">
        <v>146</v>
      </c>
      <c r="B35" s="12" t="s">
        <v>147</v>
      </c>
      <c r="C35" s="32">
        <f t="array" aca="1" ref="C35" ca="1">_xlfn.IFNA(SUM((C$3&gt;='Gastos com Pessoal'!$E$7:$E$506)*(C$3&lt;='Gastos com Pessoal'!$F$7:$F$506)*OFFSET('Encargos e Benefícios'!$D$5,1,MATCH($B35,'Encargos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35" s="32">
        <f t="array" aca="1" ref="D35" ca="1">_xlfn.IFNA(SUM((D$3&gt;='Gastos com Pessoal'!$E$7:$E$506)*(D$3&lt;='Gastos com Pessoal'!$F$7:$F$506)*OFFSET('Encargos e Benefícios'!$D$5,1,MATCH($B35,'Encargos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35" s="32">
        <f t="array" aca="1" ref="E35" ca="1">_xlfn.IFNA(SUM((E$3&gt;='Gastos com Pessoal'!$E$7:$E$506)*(E$3&lt;='Gastos com Pessoal'!$F$7:$F$506)*OFFSET('Encargos e Benefícios'!$D$5,1,MATCH($B35,'Encargos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35" s="32">
        <f t="array" aca="1" ref="F35" ca="1">_xlfn.IFNA(SUM((F$3&gt;='Gastos com Pessoal'!$E$7:$E$506)*(F$3&lt;='Gastos com Pessoal'!$F$7:$F$506)*OFFSET('Encargos e Benefícios'!$D$5,1,MATCH($B35,'Encargos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35" s="32">
        <f t="array" aca="1" ref="G35" ca="1">_xlfn.IFNA(SUM((G$3&gt;='Gastos com Pessoal'!$E$7:$E$506)*(G$3&lt;='Gastos com Pessoal'!$F$7:$F$506)*OFFSET('Encargos e Benefícios'!$D$5,1,MATCH($B35,'Encargos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35" s="32">
        <f t="array" aca="1" ref="H35" ca="1">_xlfn.IFNA(SUM((H$3&gt;='Gastos com Pessoal'!$E$7:$E$506)*(H$3&lt;='Gastos com Pessoal'!$F$7:$F$506)*OFFSET('Encargos e Benefícios'!$D$5,1,MATCH($B35,'Encargos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35" s="32">
        <f t="array" aca="1" ref="I35" ca="1">_xlfn.IFNA(SUM((I$3&gt;='Gastos com Pessoal'!$E$7:$E$506)*(I$3&lt;='Gastos com Pessoal'!$F$7:$F$506)*OFFSET('Encargos e Benefícios'!$D$5,1,MATCH($B35,'Encargos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35" s="32">
        <f t="array" aca="1" ref="J35" ca="1">_xlfn.IFNA(SUM((J$3&gt;='Gastos com Pessoal'!$E$7:$E$506)*(J$3&lt;='Gastos com Pessoal'!$F$7:$F$506)*OFFSET('Encargos e Benefícios'!$D$5,1,MATCH($B35,'Encargos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35" s="32">
        <f t="array" aca="1" ref="K35" ca="1">_xlfn.IFNA(SUM((K$3&gt;='Gastos com Pessoal'!$E$7:$E$506)*(K$3&lt;='Gastos com Pessoal'!$F$7:$F$506)*OFFSET('Encargos e Benefícios'!$D$5,1,MATCH($B35,'Encargos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35" s="32">
        <f t="array" aca="1" ref="L35" ca="1">_xlfn.IFNA(SUM((L$3&gt;='Gastos com Pessoal'!$E$7:$E$506)*(L$3&lt;='Gastos com Pessoal'!$F$7:$F$506)*OFFSET('Encargos e Benefícios'!$D$5,1,MATCH($B35,'Encargos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35" s="32">
        <f t="array" aca="1" ref="M35" ca="1">_xlfn.IFNA(SUM((M$3&gt;='Gastos com Pessoal'!$E$7:$E$506)*(M$3&lt;='Gastos com Pessoal'!$F$7:$F$506)*OFFSET('Encargos e Benefícios'!$D$5,1,MATCH($B35,'Encargos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35" s="32">
        <f t="array" aca="1" ref="N35" ca="1">_xlfn.IFNA(SUM((N$3&gt;='Gastos com Pessoal'!$E$7:$E$506)*(N$3&lt;='Gastos com Pessoal'!$F$7:$F$506)*OFFSET('Encargos e Benefícios'!$D$5,1,MATCH($B35,'Encargos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35" s="32">
        <f t="array" aca="1" ref="O35" ca="1">_xlfn.IFNA(SUM((O$3&gt;='Gastos com Pessoal'!$E$7:$E$506)*(O$3&lt;='Gastos com Pessoal'!$F$7:$F$506)*OFFSET('Encargos e Benefícios'!$D$5,1,MATCH($B35,'Encargos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35" s="32">
        <f t="array" aca="1" ref="P35" ca="1">_xlfn.IFNA(SUM((P$3&gt;='Gastos com Pessoal'!$E$7:$E$506)*(P$3&lt;='Gastos com Pessoal'!$F$7:$F$506)*OFFSET('Encargos e Benefícios'!$D$5,1,MATCH($B35,'Encargos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35" s="32">
        <f t="array" aca="1" ref="Q35" ca="1">_xlfn.IFNA(SUM((Q$3&gt;='Gastos com Pessoal'!$E$7:$E$506)*(Q$3&lt;='Gastos com Pessoal'!$F$7:$F$506)*OFFSET('Encargos e Benefícios'!$D$5,1,MATCH($B35,'Encargos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35" s="32">
        <f t="array" aca="1" ref="R35" ca="1">_xlfn.IFNA(SUM((R$3&gt;='Gastos com Pessoal'!$E$7:$E$506)*(R$3&lt;='Gastos com Pessoal'!$F$7:$F$506)*OFFSET('Encargos e Benefícios'!$D$5,1,MATCH($B35,'Encargos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35" s="32">
        <f t="array" aca="1" ref="S35" ca="1">_xlfn.IFNA(SUM((S$3&gt;='Gastos com Pessoal'!$E$7:$E$506)*(S$3&lt;='Gastos com Pessoal'!$F$7:$F$506)*OFFSET('Encargos e Benefícios'!$D$5,1,MATCH($B35,'Encargos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35" s="32">
        <f t="array" aca="1" ref="T35" ca="1">_xlfn.IFNA(SUM((T$3&gt;='Gastos com Pessoal'!$E$7:$E$506)*(T$3&lt;='Gastos com Pessoal'!$F$7:$F$506)*OFFSET('Encargos e Benefícios'!$D$5,1,MATCH($B35,'Encargos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35" s="32">
        <f t="array" aca="1" ref="U35" ca="1">_xlfn.IFNA(SUM((U$3&gt;='Gastos com Pessoal'!$E$7:$E$506)*(U$3&lt;='Gastos com Pessoal'!$F$7:$F$506)*OFFSET('Encargos e Benefícios'!$D$5,1,MATCH($B35,'Encargos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35" s="32">
        <f t="array" aca="1" ref="V35" ca="1">_xlfn.IFNA(SUM((V$3&gt;='Gastos com Pessoal'!$E$7:$E$506)*(V$3&lt;='Gastos com Pessoal'!$F$7:$F$506)*OFFSET('Encargos e Benefícios'!$D$5,1,MATCH($B35,'Encargos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35" s="32">
        <f t="array" aca="1" ref="W35" ca="1">_xlfn.IFNA(SUM((W$3&gt;='Gastos com Pessoal'!$E$7:$E$506)*(W$3&lt;='Gastos com Pessoal'!$F$7:$F$506)*OFFSET('Encargos e Benefícios'!$D$5,1,MATCH($B35,'Encargos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35" s="32">
        <f t="array" aca="1" ref="X35" ca="1">_xlfn.IFNA(SUM((X$3&gt;='Gastos com Pessoal'!$E$7:$E$506)*(X$3&lt;='Gastos com Pessoal'!$F$7:$F$506)*OFFSET('Encargos e Benefícios'!$D$5,1,MATCH($B35,'Encargos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35" s="32">
        <f t="array" aca="1" ref="Y35" ca="1">_xlfn.IFNA(SUM((Y$3&gt;='Gastos com Pessoal'!$E$7:$E$506)*(Y$3&lt;='Gastos com Pessoal'!$F$7:$F$506)*OFFSET('Encargos e Benefícios'!$D$5,1,MATCH($B35,'Encargos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35" s="32">
        <f t="array" aca="1" ref="Z35" ca="1">_xlfn.IFNA(SUM((Z$3&gt;='Gastos com Pessoal'!$E$7:$E$506)*(Z$3&lt;='Gastos com Pessoal'!$F$7:$F$506)*OFFSET('Encargos e Benefícios'!$D$5,1,MATCH($B35,'Encargos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35" s="32">
        <f t="array" aca="1" ref="AA35" ca="1">_xlfn.IFNA(SUM((AA$3&gt;='Gastos com Pessoal'!$E$7:$E$506)*(AA$3&lt;='Gastos com Pessoal'!$F$7:$F$506)*OFFSET('Encargos e Benefícios'!$D$5,1,MATCH($B35,'Encargos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35" s="32">
        <f t="array" aca="1" ref="AB35" ca="1">_xlfn.IFNA(SUM((AB$3&gt;='Gastos com Pessoal'!$E$7:$E$506)*(AB$3&lt;='Gastos com Pessoal'!$F$7:$F$506)*OFFSET('Encargos e Benefícios'!$D$5,1,MATCH($B35,'Encargos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35" s="32">
        <f t="array" aca="1" ref="AC35" ca="1">_xlfn.IFNA(SUM((AC$3&gt;='Gastos com Pessoal'!$E$7:$E$506)*(AC$3&lt;='Gastos com Pessoal'!$F$7:$F$506)*OFFSET('Encargos e Benefícios'!$D$5,1,MATCH($B35,'Encargos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35" s="32">
        <f t="array" aca="1" ref="AD35" ca="1">_xlfn.IFNA(SUM((AD$3&gt;='Gastos com Pessoal'!$E$7:$E$506)*(AD$3&lt;='Gastos com Pessoal'!$F$7:$F$506)*OFFSET('Encargos e Benefícios'!$D$5,1,MATCH($B35,'Encargos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35" s="32">
        <f t="array" aca="1" ref="AE35" ca="1">_xlfn.IFNA(SUM((AE$3&gt;='Gastos com Pessoal'!$E$7:$E$506)*(AE$3&lt;='Gastos com Pessoal'!$F$7:$F$506)*OFFSET('Encargos e Benefícios'!$D$5,1,MATCH($B35,'Encargos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35" s="32">
        <f t="array" aca="1" ref="AF35" ca="1">_xlfn.IFNA(SUM((AF$3&gt;='Gastos com Pessoal'!$E$7:$E$506)*(AF$3&lt;='Gastos com Pessoal'!$F$7:$F$506)*OFFSET('Encargos e Benefícios'!$D$5,1,MATCH($B35,'Encargos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35" s="32">
        <f t="array" aca="1" ref="AG35" ca="1">_xlfn.IFNA(SUM((AG$3&gt;='Gastos com Pessoal'!$E$7:$E$506)*(AG$3&lt;='Gastos com Pessoal'!$F$7:$F$506)*OFFSET('Encargos e Benefícios'!$D$5,1,MATCH($B35,'Encargos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35" s="32">
        <f t="array" aca="1" ref="AH35" ca="1">_xlfn.IFNA(SUM((AH$3&gt;='Gastos com Pessoal'!$E$7:$E$506)*(AH$3&lt;='Gastos com Pessoal'!$F$7:$F$506)*OFFSET('Encargos e Benefícios'!$D$5,1,MATCH($B35,'Encargos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35" s="32">
        <f t="array" aca="1" ref="AI35" ca="1">_xlfn.IFNA(SUM((AI$3&gt;='Gastos com Pessoal'!$E$7:$E$506)*(AI$3&lt;='Gastos com Pessoal'!$F$7:$F$506)*OFFSET('Encargos e Benefícios'!$D$5,1,MATCH($B35,'Encargos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35" s="32">
        <f t="array" aca="1" ref="AJ35" ca="1">_xlfn.IFNA(SUM((AJ$3&gt;='Gastos com Pessoal'!$E$7:$E$506)*(AJ$3&lt;='Gastos com Pessoal'!$F$7:$F$506)*OFFSET('Encargos e Benefícios'!$D$5,1,MATCH($B35,'Encargos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35" s="32">
        <f t="array" aca="1" ref="AK35" ca="1">_xlfn.IFNA(SUM((AK$3&gt;='Gastos com Pessoal'!$E$7:$E$506)*(AK$3&lt;='Gastos com Pessoal'!$F$7:$F$506)*OFFSET('Encargos e Benefícios'!$D$5,1,MATCH($B35,'Encargos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35" s="32">
        <f t="array" aca="1" ref="AL35" ca="1">_xlfn.IFNA(SUM((AL$3&gt;='Gastos com Pessoal'!$E$7:$E$506)*(AL$3&lt;='Gastos com Pessoal'!$F$7:$F$506)*OFFSET('Encargos e Benefícios'!$D$5,1,MATCH($B35,'Encargos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35" s="32">
        <f t="array" aca="1" ref="AM35" ca="1">_xlfn.IFNA(SUM((AM$3&gt;='Gastos com Pessoal'!$E$7:$E$506)*(AM$3&lt;='Gastos com Pessoal'!$F$7:$F$506)*OFFSET('Encargos e Benefícios'!$D$5,1,MATCH($B35,'Encargos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35" s="32">
        <f t="array" aca="1" ref="AN35" ca="1">_xlfn.IFNA(SUM((AN$3&gt;='Gastos com Pessoal'!$E$7:$E$506)*(AN$3&lt;='Gastos com Pessoal'!$F$7:$F$506)*OFFSET('Encargos e Benefícios'!$D$5,1,MATCH($B35,'Encargos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35" s="32">
        <f t="array" aca="1" ref="AO35" ca="1">_xlfn.IFNA(SUM((AO$3&gt;='Gastos com Pessoal'!$E$7:$E$506)*(AO$3&lt;='Gastos com Pessoal'!$F$7:$F$506)*OFFSET('Encargos e Benefícios'!$D$5,1,MATCH($B35,'Encargos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35" s="32">
        <f t="array" aca="1" ref="AP35" ca="1">_xlfn.IFNA(SUM((AP$3&gt;='Gastos com Pessoal'!$E$7:$E$506)*(AP$3&lt;='Gastos com Pessoal'!$F$7:$F$506)*OFFSET('Encargos e Benefícios'!$D$5,1,MATCH($B35,'Encargos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35" s="32">
        <f t="array" aca="1" ref="AQ35" ca="1">_xlfn.IFNA(SUM((AQ$3&gt;='Gastos com Pessoal'!$E$7:$E$506)*(AQ$3&lt;='Gastos com Pessoal'!$F$7:$F$506)*OFFSET('Encargos e Benefícios'!$D$5,1,MATCH($B35,'Encargos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35" s="32">
        <f t="array" aca="1" ref="AR35" ca="1">_xlfn.IFNA(SUM((AR$3&gt;='Gastos com Pessoal'!$E$7:$E$506)*(AR$3&lt;='Gastos com Pessoal'!$F$7:$F$506)*OFFSET('Encargos e Benefícios'!$D$5,1,MATCH($B35,'Encargos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35" s="32">
        <f t="array" aca="1" ref="AS35" ca="1">_xlfn.IFNA(SUM((AS$3&gt;='Gastos com Pessoal'!$E$7:$E$506)*(AS$3&lt;='Gastos com Pessoal'!$F$7:$F$506)*OFFSET('Encargos e Benefícios'!$D$5,1,MATCH($B35,'Encargos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35" s="32">
        <f t="array" aca="1" ref="AT35" ca="1">_xlfn.IFNA(SUM((AT$3&gt;='Gastos com Pessoal'!$E$7:$E$506)*(AT$3&lt;='Gastos com Pessoal'!$F$7:$F$506)*OFFSET('Encargos e Benefícios'!$D$5,1,MATCH($B35,'Encargos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35" s="32">
        <f t="array" aca="1" ref="AU35" ca="1">_xlfn.IFNA(SUM((AU$3&gt;='Gastos com Pessoal'!$E$7:$E$506)*(AU$3&lt;='Gastos com Pessoal'!$F$7:$F$506)*OFFSET('Encargos e Benefícios'!$D$5,1,MATCH($B35,'Encargos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35" s="32">
        <f t="array" aca="1" ref="AV35" ca="1">_xlfn.IFNA(SUM((AV$3&gt;='Gastos com Pessoal'!$E$7:$E$506)*(AV$3&lt;='Gastos com Pessoal'!$F$7:$F$506)*OFFSET('Encargos e Benefícios'!$D$5,1,MATCH($B35,'Encargos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35" s="32">
        <f t="array" aca="1" ref="AW35" ca="1">_xlfn.IFNA(SUM((AW$3&gt;='Gastos com Pessoal'!$E$7:$E$506)*(AW$3&lt;='Gastos com Pessoal'!$F$7:$F$506)*OFFSET('Encargos e Benefícios'!$D$5,1,MATCH($B35,'Encargos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35" s="32">
        <f t="array" aca="1" ref="AX35" ca="1">_xlfn.IFNA(SUM((AX$3&gt;='Gastos com Pessoal'!$E$7:$E$506)*(AX$3&lt;='Gastos com Pessoal'!$F$7:$F$506)*OFFSET('Encargos e Benefícios'!$D$5,1,MATCH($B35,'Encargos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35" s="32">
        <f t="array" aca="1" ref="AY35" ca="1">_xlfn.IFNA(SUM((AY$3&gt;='Gastos com Pessoal'!$E$7:$E$506)*(AY$3&lt;='Gastos com Pessoal'!$F$7:$F$506)*OFFSET('Encargos e Benefícios'!$D$5,1,MATCH($B35,'Encargos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35" s="32">
        <f t="array" aca="1" ref="AZ35" ca="1">_xlfn.IFNA(SUM((AZ$3&gt;='Gastos com Pessoal'!$E$7:$E$506)*(AZ$3&lt;='Gastos com Pessoal'!$F$7:$F$506)*OFFSET('Encargos e Benefícios'!$D$5,1,MATCH($B35,'Encargos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35" s="32">
        <f t="array" aca="1" ref="BA35" ca="1">_xlfn.IFNA(SUM((BA$3&gt;='Gastos com Pessoal'!$E$7:$E$506)*(BA$3&lt;='Gastos com Pessoal'!$F$7:$F$506)*OFFSET('Encargos e Benefícios'!$D$5,1,MATCH($B35,'Encargos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35" s="32">
        <f t="array" aca="1" ref="BB35" ca="1">_xlfn.IFNA(SUM((BB$3&gt;='Gastos com Pessoal'!$E$7:$E$506)*(BB$3&lt;='Gastos com Pessoal'!$F$7:$F$506)*OFFSET('Encargos e Benefícios'!$D$5,1,MATCH($B35,'Encargos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35" s="32">
        <f t="array" aca="1" ref="BC35" ca="1">_xlfn.IFNA(SUM((BC$3&gt;='Gastos com Pessoal'!$E$7:$E$506)*(BC$3&lt;='Gastos com Pessoal'!$F$7:$F$506)*OFFSET('Encargos e Benefícios'!$D$5,1,MATCH($B35,'Encargos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35" s="32">
        <f t="array" aca="1" ref="BD35" ca="1">_xlfn.IFNA(SUM((BD$3&gt;='Gastos com Pessoal'!$E$7:$E$506)*(BD$3&lt;='Gastos com Pessoal'!$F$7:$F$506)*OFFSET('Encargos e Benefícios'!$D$5,1,MATCH($B35,'Encargos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35" s="32">
        <f t="array" aca="1" ref="BE35" ca="1">_xlfn.IFNA(SUM((BE$3&gt;='Gastos com Pessoal'!$E$7:$E$506)*(BE$3&lt;='Gastos com Pessoal'!$F$7:$F$506)*OFFSET('Encargos e Benefícios'!$D$5,1,MATCH($B35,'Encargos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35" s="32">
        <f t="array" aca="1" ref="BF35" ca="1">_xlfn.IFNA(SUM((BF$3&gt;='Gastos com Pessoal'!$E$7:$E$506)*(BF$3&lt;='Gastos com Pessoal'!$F$7:$F$506)*OFFSET('Encargos e Benefícios'!$D$5,1,MATCH($B35,'Encargos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35" s="32">
        <f t="array" aca="1" ref="BG35" ca="1">_xlfn.IFNA(SUM((BG$3&gt;='Gastos com Pessoal'!$E$7:$E$506)*(BG$3&lt;='Gastos com Pessoal'!$F$7:$F$506)*OFFSET('Encargos e Benefícios'!$D$5,1,MATCH($B35,'Encargos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35" s="32">
        <f t="array" aca="1" ref="BH35" ca="1">_xlfn.IFNA(SUM((BH$3&gt;='Gastos com Pessoal'!$E$7:$E$506)*(BH$3&lt;='Gastos com Pessoal'!$F$7:$F$506)*OFFSET('Encargos e Benefícios'!$D$5,1,MATCH($B35,'Encargos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35" s="32">
        <f t="array" aca="1" ref="BI35" ca="1">_xlfn.IFNA(SUM((BI$3&gt;='Gastos com Pessoal'!$E$7:$E$506)*(BI$3&lt;='Gastos com Pessoal'!$F$7:$F$506)*OFFSET('Encargos e Benefícios'!$D$5,1,MATCH($B35,'Encargos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35" s="32">
        <f t="array" aca="1" ref="BJ35" ca="1">_xlfn.IFNA(SUM((BJ$3&gt;='Gastos com Pessoal'!$E$7:$E$506)*(BJ$3&lt;='Gastos com Pessoal'!$F$7:$F$506)*OFFSET('Encargos e Benefícios'!$D$5,1,MATCH($B35,'Encargos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35" s="71">
        <f t="shared" ca="1" si="16"/>
        <v>0</v>
      </c>
      <c r="BL35" s="76">
        <f t="shared" ca="1" si="17"/>
        <v>0</v>
      </c>
    </row>
    <row r="36" spans="1:64" s="49" customFormat="1" ht="23.25" customHeight="1" x14ac:dyDescent="0.2">
      <c r="A36" s="19" t="s">
        <v>148</v>
      </c>
      <c r="B36" s="12" t="s">
        <v>149</v>
      </c>
      <c r="C36" s="32">
        <f t="array" aca="1" ref="C36" ca="1">_xlfn.IFNA(SUM((C$3&gt;='Gastos com Pessoal'!$E$7:$E$506)*(C$3&lt;='Gastos com Pessoal'!$F$7:$F$506)*OFFSET('Encargos e Benefícios'!$D$5,1,MATCH($B36,'Encargos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433617.76674065489</v>
      </c>
      <c r="D36" s="32">
        <f t="array" aca="1" ref="D36" ca="1">_xlfn.IFNA(SUM((D$3&gt;='Gastos com Pessoal'!$E$7:$E$506)*(D$3&lt;='Gastos com Pessoal'!$F$7:$F$506)*OFFSET('Encargos e Benefícios'!$D$5,1,MATCH($B36,'Encargos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433617.76674065489</v>
      </c>
      <c r="E36" s="32">
        <f t="array" aca="1" ref="E36" ca="1">_xlfn.IFNA(SUM((E$3&gt;='Gastos com Pessoal'!$E$7:$E$506)*(E$3&lt;='Gastos com Pessoal'!$F$7:$F$506)*OFFSET('Encargos e Benefícios'!$D$5,1,MATCH($B36,'Encargos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433617.76674065489</v>
      </c>
      <c r="F36" s="32">
        <f t="array" aca="1" ref="F36" ca="1">_xlfn.IFNA(SUM((F$3&gt;='Gastos com Pessoal'!$E$7:$E$506)*(F$3&lt;='Gastos com Pessoal'!$F$7:$F$506)*OFFSET('Encargos e Benefícios'!$D$5,1,MATCH($B36,'Encargos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433617.76674065489</v>
      </c>
      <c r="G36" s="32">
        <f t="array" aca="1" ref="G36" ca="1">_xlfn.IFNA(SUM((G$3&gt;='Gastos com Pessoal'!$E$7:$E$506)*(G$3&lt;='Gastos com Pessoal'!$F$7:$F$506)*OFFSET('Encargos e Benefícios'!$D$5,1,MATCH($B36,'Encargos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433617.76674065489</v>
      </c>
      <c r="H36" s="32">
        <f t="array" aca="1" ref="H36" ca="1">_xlfn.IFNA(SUM((H$3&gt;='Gastos com Pessoal'!$E$7:$E$506)*(H$3&lt;='Gastos com Pessoal'!$F$7:$F$506)*OFFSET('Encargos e Benefícios'!$D$5,1,MATCH($B36,'Encargos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433617.76674065489</v>
      </c>
      <c r="I36" s="32">
        <f t="array" aca="1" ref="I36" ca="1">_xlfn.IFNA(SUM((I$3&gt;='Gastos com Pessoal'!$E$7:$E$506)*(I$3&lt;='Gastos com Pessoal'!$F$7:$F$506)*OFFSET('Encargos e Benefícios'!$D$5,1,MATCH($B36,'Encargos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433617.76674065489</v>
      </c>
      <c r="J36" s="32">
        <f t="array" aca="1" ref="J36" ca="1">_xlfn.IFNA(SUM((J$3&gt;='Gastos com Pessoal'!$E$7:$E$506)*(J$3&lt;='Gastos com Pessoal'!$F$7:$F$506)*OFFSET('Encargos e Benefícios'!$D$5,1,MATCH($B36,'Encargos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433617.76674065489</v>
      </c>
      <c r="K36" s="32">
        <f t="array" aca="1" ref="K36" ca="1">_xlfn.IFNA(SUM((K$3&gt;='Gastos com Pessoal'!$E$7:$E$506)*(K$3&lt;='Gastos com Pessoal'!$F$7:$F$506)*OFFSET('Encargos e Benefícios'!$D$5,1,MATCH($B36,'Encargos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433617.76674065489</v>
      </c>
      <c r="L36" s="32">
        <f t="array" aca="1" ref="L36" ca="1">_xlfn.IFNA(SUM((L$3&gt;='Gastos com Pessoal'!$E$7:$E$506)*(L$3&lt;='Gastos com Pessoal'!$F$7:$F$506)*OFFSET('Encargos e Benefícios'!$D$5,1,MATCH($B36,'Encargos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433617.76674065489</v>
      </c>
      <c r="M36" s="32">
        <f t="array" aca="1" ref="M36" ca="1">_xlfn.IFNA(SUM((M$3&gt;='Gastos com Pessoal'!$E$7:$E$506)*(M$3&lt;='Gastos com Pessoal'!$F$7:$F$506)*OFFSET('Encargos e Benefícios'!$D$5,1,MATCH($B36,'Encargos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433617.76674065489</v>
      </c>
      <c r="N36" s="32">
        <f t="array" aca="1" ref="N36" ca="1">_xlfn.IFNA(SUM((N$3&gt;='Gastos com Pessoal'!$E$7:$E$506)*(N$3&lt;='Gastos com Pessoal'!$F$7:$F$506)*OFFSET('Encargos e Benefícios'!$D$5,1,MATCH($B36,'Encargos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433617.76674065489</v>
      </c>
      <c r="O36" s="32">
        <f t="array" aca="1" ref="O36" ca="1">_xlfn.IFNA(SUM((O$3&gt;='Gastos com Pessoal'!$E$7:$E$506)*(O$3&lt;='Gastos com Pessoal'!$F$7:$F$506)*OFFSET('Encargos e Benefícios'!$D$5,1,MATCH($B36,'Encargos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445369.64683143195</v>
      </c>
      <c r="P36" s="32">
        <f t="array" aca="1" ref="P36" ca="1">_xlfn.IFNA(SUM((P$3&gt;='Gastos com Pessoal'!$E$7:$E$506)*(P$3&lt;='Gastos com Pessoal'!$F$7:$F$506)*OFFSET('Encargos e Benefícios'!$D$5,1,MATCH($B36,'Encargos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445369.64683143195</v>
      </c>
      <c r="Q36" s="32">
        <f t="array" aca="1" ref="Q36" ca="1">_xlfn.IFNA(SUM((Q$3&gt;='Gastos com Pessoal'!$E$7:$E$506)*(Q$3&lt;='Gastos com Pessoal'!$F$7:$F$506)*OFFSET('Encargos e Benefícios'!$D$5,1,MATCH($B36,'Encargos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445369.64683143195</v>
      </c>
      <c r="R36" s="32">
        <f t="array" aca="1" ref="R36" ca="1">_xlfn.IFNA(SUM((R$3&gt;='Gastos com Pessoal'!$E$7:$E$506)*(R$3&lt;='Gastos com Pessoal'!$F$7:$F$506)*OFFSET('Encargos e Benefícios'!$D$5,1,MATCH($B36,'Encargos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445369.64683143195</v>
      </c>
      <c r="S36" s="32">
        <f t="array" aca="1" ref="S36" ca="1">_xlfn.IFNA(SUM((S$3&gt;='Gastos com Pessoal'!$E$7:$E$506)*(S$3&lt;='Gastos com Pessoal'!$F$7:$F$506)*OFFSET('Encargos e Benefícios'!$D$5,1,MATCH($B36,'Encargos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445369.64683143195</v>
      </c>
      <c r="T36" s="32">
        <f t="array" aca="1" ref="T36" ca="1">_xlfn.IFNA(SUM((T$3&gt;='Gastos com Pessoal'!$E$7:$E$506)*(T$3&lt;='Gastos com Pessoal'!$F$7:$F$506)*OFFSET('Encargos e Benefícios'!$D$5,1,MATCH($B36,'Encargos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445369.64683143195</v>
      </c>
      <c r="U36" s="32">
        <f t="array" aca="1" ref="U36" ca="1">_xlfn.IFNA(SUM((U$3&gt;='Gastos com Pessoal'!$E$7:$E$506)*(U$3&lt;='Gastos com Pessoal'!$F$7:$F$506)*OFFSET('Encargos e Benefícios'!$D$5,1,MATCH($B36,'Encargos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445369.64683143195</v>
      </c>
      <c r="V36" s="32">
        <f t="array" aca="1" ref="V36" ca="1">_xlfn.IFNA(SUM((V$3&gt;='Gastos com Pessoal'!$E$7:$E$506)*(V$3&lt;='Gastos com Pessoal'!$F$7:$F$506)*OFFSET('Encargos e Benefícios'!$D$5,1,MATCH($B36,'Encargos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445369.64683143195</v>
      </c>
      <c r="W36" s="32">
        <f t="array" aca="1" ref="W36" ca="1">_xlfn.IFNA(SUM((W$3&gt;='Gastos com Pessoal'!$E$7:$E$506)*(W$3&lt;='Gastos com Pessoal'!$F$7:$F$506)*OFFSET('Encargos e Benefícios'!$D$5,1,MATCH($B36,'Encargos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445369.64683143195</v>
      </c>
      <c r="X36" s="32">
        <f t="array" aca="1" ref="X36" ca="1">_xlfn.IFNA(SUM((X$3&gt;='Gastos com Pessoal'!$E$7:$E$506)*(X$3&lt;='Gastos com Pessoal'!$F$7:$F$506)*OFFSET('Encargos e Benefícios'!$D$5,1,MATCH($B36,'Encargos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445369.64683143195</v>
      </c>
      <c r="Y36" s="32">
        <f t="array" aca="1" ref="Y36" ca="1">_xlfn.IFNA(SUM((Y$3&gt;='Gastos com Pessoal'!$E$7:$E$506)*(Y$3&lt;='Gastos com Pessoal'!$F$7:$F$506)*OFFSET('Encargos e Benefícios'!$D$5,1,MATCH($B36,'Encargos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445369.64683143195</v>
      </c>
      <c r="Z36" s="32">
        <f t="array" aca="1" ref="Z36" ca="1">_xlfn.IFNA(SUM((Z$3&gt;='Gastos com Pessoal'!$E$7:$E$506)*(Z$3&lt;='Gastos com Pessoal'!$F$7:$F$506)*OFFSET('Encargos e Benefícios'!$D$5,1,MATCH($B36,'Encargos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445369.64683143195</v>
      </c>
      <c r="AA36" s="32">
        <f t="array" aca="1" ref="AA36" ca="1">_xlfn.IFNA(SUM((AA$3&gt;='Gastos com Pessoal'!$E$7:$E$506)*(AA$3&lt;='Gastos com Pessoal'!$F$7:$F$506)*OFFSET('Encargos e Benefícios'!$D$5,1,MATCH($B36,'Encargos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463184.43270468927</v>
      </c>
      <c r="AB36" s="32">
        <f t="array" aca="1" ref="AB36" ca="1">_xlfn.IFNA(SUM((AB$3&gt;='Gastos com Pessoal'!$E$7:$E$506)*(AB$3&lt;='Gastos com Pessoal'!$F$7:$F$506)*OFFSET('Encargos e Benefícios'!$D$5,1,MATCH($B36,'Encargos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463184.43270468927</v>
      </c>
      <c r="AC36" s="32">
        <f t="array" aca="1" ref="AC36" ca="1">_xlfn.IFNA(SUM((AC$3&gt;='Gastos com Pessoal'!$E$7:$E$506)*(AC$3&lt;='Gastos com Pessoal'!$F$7:$F$506)*OFFSET('Encargos e Benefícios'!$D$5,1,MATCH($B36,'Encargos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463184.43270468927</v>
      </c>
      <c r="AD36" s="32">
        <f t="array" aca="1" ref="AD36" ca="1">_xlfn.IFNA(SUM((AD$3&gt;='Gastos com Pessoal'!$E$7:$E$506)*(AD$3&lt;='Gastos com Pessoal'!$F$7:$F$506)*OFFSET('Encargos e Benefícios'!$D$5,1,MATCH($B36,'Encargos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463184.43270468927</v>
      </c>
      <c r="AE36" s="32">
        <f t="array" aca="1" ref="AE36" ca="1">_xlfn.IFNA(SUM((AE$3&gt;='Gastos com Pessoal'!$E$7:$E$506)*(AE$3&lt;='Gastos com Pessoal'!$F$7:$F$506)*OFFSET('Encargos e Benefícios'!$D$5,1,MATCH($B36,'Encargos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463184.43270468927</v>
      </c>
      <c r="AF36" s="32">
        <f t="array" aca="1" ref="AF36" ca="1">_xlfn.IFNA(SUM((AF$3&gt;='Gastos com Pessoal'!$E$7:$E$506)*(AF$3&lt;='Gastos com Pessoal'!$F$7:$F$506)*OFFSET('Encargos e Benefícios'!$D$5,1,MATCH($B36,'Encargos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463184.43270468927</v>
      </c>
      <c r="AG36" s="32">
        <f t="array" aca="1" ref="AG36" ca="1">_xlfn.IFNA(SUM((AG$3&gt;='Gastos com Pessoal'!$E$7:$E$506)*(AG$3&lt;='Gastos com Pessoal'!$F$7:$F$506)*OFFSET('Encargos e Benefícios'!$D$5,1,MATCH($B36,'Encargos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463184.43270468927</v>
      </c>
      <c r="AH36" s="32">
        <f t="array" aca="1" ref="AH36" ca="1">_xlfn.IFNA(SUM((AH$3&gt;='Gastos com Pessoal'!$E$7:$E$506)*(AH$3&lt;='Gastos com Pessoal'!$F$7:$F$506)*OFFSET('Encargos e Benefícios'!$D$5,1,MATCH($B36,'Encargos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463184.43270468927</v>
      </c>
      <c r="AI36" s="32">
        <f t="array" aca="1" ref="AI36" ca="1">_xlfn.IFNA(SUM((AI$3&gt;='Gastos com Pessoal'!$E$7:$E$506)*(AI$3&lt;='Gastos com Pessoal'!$F$7:$F$506)*OFFSET('Encargos e Benefícios'!$D$5,1,MATCH($B36,'Encargos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463184.43270468927</v>
      </c>
      <c r="AJ36" s="32">
        <f t="array" aca="1" ref="AJ36" ca="1">_xlfn.IFNA(SUM((AJ$3&gt;='Gastos com Pessoal'!$E$7:$E$506)*(AJ$3&lt;='Gastos com Pessoal'!$F$7:$F$506)*OFFSET('Encargos e Benefícios'!$D$5,1,MATCH($B36,'Encargos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463184.43270468927</v>
      </c>
      <c r="AK36" s="32">
        <f t="array" aca="1" ref="AK36" ca="1">_xlfn.IFNA(SUM((AK$3&gt;='Gastos com Pessoal'!$E$7:$E$506)*(AK$3&lt;='Gastos com Pessoal'!$F$7:$F$506)*OFFSET('Encargos e Benefícios'!$D$5,1,MATCH($B36,'Encargos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463184.43270468927</v>
      </c>
      <c r="AL36" s="32">
        <f t="array" aca="1" ref="AL36" ca="1">_xlfn.IFNA(SUM((AL$3&gt;='Gastos com Pessoal'!$E$7:$E$506)*(AL$3&lt;='Gastos com Pessoal'!$F$7:$F$506)*OFFSET('Encargos e Benefícios'!$D$5,1,MATCH($B36,'Encargos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463184.43270468927</v>
      </c>
      <c r="AM36" s="32">
        <f t="array" aca="1" ref="AM36" ca="1">_xlfn.IFNA(SUM((AM$3&gt;='Gastos com Pessoal'!$E$7:$E$506)*(AM$3&lt;='Gastos com Pessoal'!$F$7:$F$506)*OFFSET('Encargos e Benefícios'!$D$5,1,MATCH($B36,'Encargos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36" s="32">
        <f t="array" aca="1" ref="AN36" ca="1">_xlfn.IFNA(SUM((AN$3&gt;='Gastos com Pessoal'!$E$7:$E$506)*(AN$3&lt;='Gastos com Pessoal'!$F$7:$F$506)*OFFSET('Encargos e Benefícios'!$D$5,1,MATCH($B36,'Encargos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36" s="32">
        <f t="array" aca="1" ref="AO36" ca="1">_xlfn.IFNA(SUM((AO$3&gt;='Gastos com Pessoal'!$E$7:$E$506)*(AO$3&lt;='Gastos com Pessoal'!$F$7:$F$506)*OFFSET('Encargos e Benefícios'!$D$5,1,MATCH($B36,'Encargos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36" s="32">
        <f t="array" aca="1" ref="AP36" ca="1">_xlfn.IFNA(SUM((AP$3&gt;='Gastos com Pessoal'!$E$7:$E$506)*(AP$3&lt;='Gastos com Pessoal'!$F$7:$F$506)*OFFSET('Encargos e Benefícios'!$D$5,1,MATCH($B36,'Encargos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36" s="32">
        <f t="array" aca="1" ref="AQ36" ca="1">_xlfn.IFNA(SUM((AQ$3&gt;='Gastos com Pessoal'!$E$7:$E$506)*(AQ$3&lt;='Gastos com Pessoal'!$F$7:$F$506)*OFFSET('Encargos e Benefícios'!$D$5,1,MATCH($B36,'Encargos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36" s="32">
        <f t="array" aca="1" ref="AR36" ca="1">_xlfn.IFNA(SUM((AR$3&gt;='Gastos com Pessoal'!$E$7:$E$506)*(AR$3&lt;='Gastos com Pessoal'!$F$7:$F$506)*OFFSET('Encargos e Benefícios'!$D$5,1,MATCH($B36,'Encargos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36" s="32">
        <f t="array" aca="1" ref="AS36" ca="1">_xlfn.IFNA(SUM((AS$3&gt;='Gastos com Pessoal'!$E$7:$E$506)*(AS$3&lt;='Gastos com Pessoal'!$F$7:$F$506)*OFFSET('Encargos e Benefícios'!$D$5,1,MATCH($B36,'Encargos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36" s="32">
        <f t="array" aca="1" ref="AT36" ca="1">_xlfn.IFNA(SUM((AT$3&gt;='Gastos com Pessoal'!$E$7:$E$506)*(AT$3&lt;='Gastos com Pessoal'!$F$7:$F$506)*OFFSET('Encargos e Benefícios'!$D$5,1,MATCH($B36,'Encargos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36" s="32">
        <f t="array" aca="1" ref="AU36" ca="1">_xlfn.IFNA(SUM((AU$3&gt;='Gastos com Pessoal'!$E$7:$E$506)*(AU$3&lt;='Gastos com Pessoal'!$F$7:$F$506)*OFFSET('Encargos e Benefícios'!$D$5,1,MATCH($B36,'Encargos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36" s="32">
        <f t="array" aca="1" ref="AV36" ca="1">_xlfn.IFNA(SUM((AV$3&gt;='Gastos com Pessoal'!$E$7:$E$506)*(AV$3&lt;='Gastos com Pessoal'!$F$7:$F$506)*OFFSET('Encargos e Benefícios'!$D$5,1,MATCH($B36,'Encargos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36" s="32">
        <f t="array" aca="1" ref="AW36" ca="1">_xlfn.IFNA(SUM((AW$3&gt;='Gastos com Pessoal'!$E$7:$E$506)*(AW$3&lt;='Gastos com Pessoal'!$F$7:$F$506)*OFFSET('Encargos e Benefícios'!$D$5,1,MATCH($B36,'Encargos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36" s="32">
        <f t="array" aca="1" ref="AX36" ca="1">_xlfn.IFNA(SUM((AX$3&gt;='Gastos com Pessoal'!$E$7:$E$506)*(AX$3&lt;='Gastos com Pessoal'!$F$7:$F$506)*OFFSET('Encargos e Benefícios'!$D$5,1,MATCH($B36,'Encargos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36" s="32">
        <f t="array" aca="1" ref="AY36" ca="1">_xlfn.IFNA(SUM((AY$3&gt;='Gastos com Pessoal'!$E$7:$E$506)*(AY$3&lt;='Gastos com Pessoal'!$F$7:$F$506)*OFFSET('Encargos e Benefícios'!$D$5,1,MATCH($B36,'Encargos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36" s="32">
        <f t="array" aca="1" ref="AZ36" ca="1">_xlfn.IFNA(SUM((AZ$3&gt;='Gastos com Pessoal'!$E$7:$E$506)*(AZ$3&lt;='Gastos com Pessoal'!$F$7:$F$506)*OFFSET('Encargos e Benefícios'!$D$5,1,MATCH($B36,'Encargos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36" s="32">
        <f t="array" aca="1" ref="BA36" ca="1">_xlfn.IFNA(SUM((BA$3&gt;='Gastos com Pessoal'!$E$7:$E$506)*(BA$3&lt;='Gastos com Pessoal'!$F$7:$F$506)*OFFSET('Encargos e Benefícios'!$D$5,1,MATCH($B36,'Encargos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36" s="32">
        <f t="array" aca="1" ref="BB36" ca="1">_xlfn.IFNA(SUM((BB$3&gt;='Gastos com Pessoal'!$E$7:$E$506)*(BB$3&lt;='Gastos com Pessoal'!$F$7:$F$506)*OFFSET('Encargos e Benefícios'!$D$5,1,MATCH($B36,'Encargos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36" s="32">
        <f t="array" aca="1" ref="BC36" ca="1">_xlfn.IFNA(SUM((BC$3&gt;='Gastos com Pessoal'!$E$7:$E$506)*(BC$3&lt;='Gastos com Pessoal'!$F$7:$F$506)*OFFSET('Encargos e Benefícios'!$D$5,1,MATCH($B36,'Encargos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36" s="32">
        <f t="array" aca="1" ref="BD36" ca="1">_xlfn.IFNA(SUM((BD$3&gt;='Gastos com Pessoal'!$E$7:$E$506)*(BD$3&lt;='Gastos com Pessoal'!$F$7:$F$506)*OFFSET('Encargos e Benefícios'!$D$5,1,MATCH($B36,'Encargos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36" s="32">
        <f t="array" aca="1" ref="BE36" ca="1">_xlfn.IFNA(SUM((BE$3&gt;='Gastos com Pessoal'!$E$7:$E$506)*(BE$3&lt;='Gastos com Pessoal'!$F$7:$F$506)*OFFSET('Encargos e Benefícios'!$D$5,1,MATCH($B36,'Encargos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36" s="32">
        <f t="array" aca="1" ref="BF36" ca="1">_xlfn.IFNA(SUM((BF$3&gt;='Gastos com Pessoal'!$E$7:$E$506)*(BF$3&lt;='Gastos com Pessoal'!$F$7:$F$506)*OFFSET('Encargos e Benefícios'!$D$5,1,MATCH($B36,'Encargos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36" s="32">
        <f t="array" aca="1" ref="BG36" ca="1">_xlfn.IFNA(SUM((BG$3&gt;='Gastos com Pessoal'!$E$7:$E$506)*(BG$3&lt;='Gastos com Pessoal'!$F$7:$F$506)*OFFSET('Encargos e Benefícios'!$D$5,1,MATCH($B36,'Encargos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36" s="32">
        <f t="array" aca="1" ref="BH36" ca="1">_xlfn.IFNA(SUM((BH$3&gt;='Gastos com Pessoal'!$E$7:$E$506)*(BH$3&lt;='Gastos com Pessoal'!$F$7:$F$506)*OFFSET('Encargos e Benefícios'!$D$5,1,MATCH($B36,'Encargos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36" s="32">
        <f t="array" aca="1" ref="BI36" ca="1">_xlfn.IFNA(SUM((BI$3&gt;='Gastos com Pessoal'!$E$7:$E$506)*(BI$3&lt;='Gastos com Pessoal'!$F$7:$F$506)*OFFSET('Encargos e Benefícios'!$D$5,1,MATCH($B36,'Encargos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36" s="32">
        <f t="array" aca="1" ref="BJ36" ca="1">_xlfn.IFNA(SUM((BJ$3&gt;='Gastos com Pessoal'!$E$7:$E$506)*(BJ$3&lt;='Gastos com Pessoal'!$F$7:$F$506)*OFFSET('Encargos e Benefícios'!$D$5,1,MATCH($B36,'Encargos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36" s="71">
        <f t="shared" ca="1" si="16"/>
        <v>16106062.155321315</v>
      </c>
      <c r="BL36" s="76">
        <f t="shared" ca="1" si="17"/>
        <v>4.393086977465642E-2</v>
      </c>
    </row>
    <row r="37" spans="1:64" s="49" customFormat="1" ht="23.25" customHeight="1" x14ac:dyDescent="0.2">
      <c r="A37" s="19" t="s">
        <v>150</v>
      </c>
      <c r="B37" s="12" t="s">
        <v>151</v>
      </c>
      <c r="C37" s="32">
        <f t="array" aca="1" ref="C37" ca="1">_xlfn.IFNA(SUM((C$3&gt;='Gastos com Pessoal'!$E$7:$E$506)*(C$3&lt;='Gastos com Pessoal'!$F$7:$F$506)*OFFSET('Encargos e Benefícios'!$D$5,1,MATCH($B37,'Encargos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173984.87886730547</v>
      </c>
      <c r="D37" s="32">
        <f t="array" aca="1" ref="D37" ca="1">_xlfn.IFNA(SUM((D$3&gt;='Gastos com Pessoal'!$E$7:$E$506)*(D$3&lt;='Gastos com Pessoal'!$F$7:$F$506)*OFFSET('Encargos e Benefícios'!$D$5,1,MATCH($B37,'Encargos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173984.87886730547</v>
      </c>
      <c r="E37" s="32">
        <f t="array" aca="1" ref="E37" ca="1">_xlfn.IFNA(SUM((E$3&gt;='Gastos com Pessoal'!$E$7:$E$506)*(E$3&lt;='Gastos com Pessoal'!$F$7:$F$506)*OFFSET('Encargos e Benefícios'!$D$5,1,MATCH($B37,'Encargos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173984.87886730547</v>
      </c>
      <c r="F37" s="32">
        <f t="array" aca="1" ref="F37" ca="1">_xlfn.IFNA(SUM((F$3&gt;='Gastos com Pessoal'!$E$7:$E$506)*(F$3&lt;='Gastos com Pessoal'!$F$7:$F$506)*OFFSET('Encargos e Benefícios'!$D$5,1,MATCH($B37,'Encargos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173984.87886730547</v>
      </c>
      <c r="G37" s="32">
        <f t="array" aca="1" ref="G37" ca="1">_xlfn.IFNA(SUM((G$3&gt;='Gastos com Pessoal'!$E$7:$E$506)*(G$3&lt;='Gastos com Pessoal'!$F$7:$F$506)*OFFSET('Encargos e Benefícios'!$D$5,1,MATCH($B37,'Encargos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173984.87886730547</v>
      </c>
      <c r="H37" s="32">
        <f t="array" aca="1" ref="H37" ca="1">_xlfn.IFNA(SUM((H$3&gt;='Gastos com Pessoal'!$E$7:$E$506)*(H$3&lt;='Gastos com Pessoal'!$F$7:$F$506)*OFFSET('Encargos e Benefícios'!$D$5,1,MATCH($B37,'Encargos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173984.87886730547</v>
      </c>
      <c r="I37" s="32">
        <f t="array" aca="1" ref="I37" ca="1">_xlfn.IFNA(SUM((I$3&gt;='Gastos com Pessoal'!$E$7:$E$506)*(I$3&lt;='Gastos com Pessoal'!$F$7:$F$506)*OFFSET('Encargos e Benefícios'!$D$5,1,MATCH($B37,'Encargos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173984.87886730547</v>
      </c>
      <c r="J37" s="32">
        <f t="array" aca="1" ref="J37" ca="1">_xlfn.IFNA(SUM((J$3&gt;='Gastos com Pessoal'!$E$7:$E$506)*(J$3&lt;='Gastos com Pessoal'!$F$7:$F$506)*OFFSET('Encargos e Benefícios'!$D$5,1,MATCH($B37,'Encargos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173984.87886730547</v>
      </c>
      <c r="K37" s="32">
        <f t="array" aca="1" ref="K37" ca="1">_xlfn.IFNA(SUM((K$3&gt;='Gastos com Pessoal'!$E$7:$E$506)*(K$3&lt;='Gastos com Pessoal'!$F$7:$F$506)*OFFSET('Encargos e Benefícios'!$D$5,1,MATCH($B37,'Encargos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173984.87886730547</v>
      </c>
      <c r="L37" s="32">
        <f t="array" aca="1" ref="L37" ca="1">_xlfn.IFNA(SUM((L$3&gt;='Gastos com Pessoal'!$E$7:$E$506)*(L$3&lt;='Gastos com Pessoal'!$F$7:$F$506)*OFFSET('Encargos e Benefícios'!$D$5,1,MATCH($B37,'Encargos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173984.87886730547</v>
      </c>
      <c r="M37" s="32">
        <f t="array" aca="1" ref="M37" ca="1">_xlfn.IFNA(SUM((M$3&gt;='Gastos com Pessoal'!$E$7:$E$506)*(M$3&lt;='Gastos com Pessoal'!$F$7:$F$506)*OFFSET('Encargos e Benefícios'!$D$5,1,MATCH($B37,'Encargos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173984.87886730547</v>
      </c>
      <c r="N37" s="32">
        <f t="array" aca="1" ref="N37" ca="1">_xlfn.IFNA(SUM((N$3&gt;='Gastos com Pessoal'!$E$7:$E$506)*(N$3&lt;='Gastos com Pessoal'!$F$7:$F$506)*OFFSET('Encargos e Benefícios'!$D$5,1,MATCH($B37,'Encargos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173984.87886730547</v>
      </c>
      <c r="O37" s="32">
        <f t="array" aca="1" ref="O37" ca="1">_xlfn.IFNA(SUM((O$3&gt;='Gastos com Pessoal'!$E$7:$E$506)*(O$3&lt;='Gastos com Pessoal'!$F$7:$F$506)*OFFSET('Encargos e Benefícios'!$D$5,1,MATCH($B37,'Encargos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178147.85873257314</v>
      </c>
      <c r="P37" s="32">
        <f t="array" aca="1" ref="P37" ca="1">_xlfn.IFNA(SUM((P$3&gt;='Gastos com Pessoal'!$E$7:$E$506)*(P$3&lt;='Gastos com Pessoal'!$F$7:$F$506)*OFFSET('Encargos e Benefícios'!$D$5,1,MATCH($B37,'Encargos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178147.85873257314</v>
      </c>
      <c r="Q37" s="32">
        <f t="array" aca="1" ref="Q37" ca="1">_xlfn.IFNA(SUM((Q$3&gt;='Gastos com Pessoal'!$E$7:$E$506)*(Q$3&lt;='Gastos com Pessoal'!$F$7:$F$506)*OFFSET('Encargos e Benefícios'!$D$5,1,MATCH($B37,'Encargos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178147.85873257314</v>
      </c>
      <c r="R37" s="32">
        <f t="array" aca="1" ref="R37" ca="1">_xlfn.IFNA(SUM((R$3&gt;='Gastos com Pessoal'!$E$7:$E$506)*(R$3&lt;='Gastos com Pessoal'!$F$7:$F$506)*OFFSET('Encargos e Benefícios'!$D$5,1,MATCH($B37,'Encargos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178147.85873257314</v>
      </c>
      <c r="S37" s="32">
        <f t="array" aca="1" ref="S37" ca="1">_xlfn.IFNA(SUM((S$3&gt;='Gastos com Pessoal'!$E$7:$E$506)*(S$3&lt;='Gastos com Pessoal'!$F$7:$F$506)*OFFSET('Encargos e Benefícios'!$D$5,1,MATCH($B37,'Encargos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178147.85873257314</v>
      </c>
      <c r="T37" s="32">
        <f t="array" aca="1" ref="T37" ca="1">_xlfn.IFNA(SUM((T$3&gt;='Gastos com Pessoal'!$E$7:$E$506)*(T$3&lt;='Gastos com Pessoal'!$F$7:$F$506)*OFFSET('Encargos e Benefícios'!$D$5,1,MATCH($B37,'Encargos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178147.85873257314</v>
      </c>
      <c r="U37" s="32">
        <f t="array" aca="1" ref="U37" ca="1">_xlfn.IFNA(SUM((U$3&gt;='Gastos com Pessoal'!$E$7:$E$506)*(U$3&lt;='Gastos com Pessoal'!$F$7:$F$506)*OFFSET('Encargos e Benefícios'!$D$5,1,MATCH($B37,'Encargos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178147.85873257314</v>
      </c>
      <c r="V37" s="32">
        <f t="array" aca="1" ref="V37" ca="1">_xlfn.IFNA(SUM((V$3&gt;='Gastos com Pessoal'!$E$7:$E$506)*(V$3&lt;='Gastos com Pessoal'!$F$7:$F$506)*OFFSET('Encargos e Benefícios'!$D$5,1,MATCH($B37,'Encargos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178147.85873257314</v>
      </c>
      <c r="W37" s="32">
        <f t="array" aca="1" ref="W37" ca="1">_xlfn.IFNA(SUM((W$3&gt;='Gastos com Pessoal'!$E$7:$E$506)*(W$3&lt;='Gastos com Pessoal'!$F$7:$F$506)*OFFSET('Encargos e Benefícios'!$D$5,1,MATCH($B37,'Encargos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178147.85873257314</v>
      </c>
      <c r="X37" s="32">
        <f t="array" aca="1" ref="X37" ca="1">_xlfn.IFNA(SUM((X$3&gt;='Gastos com Pessoal'!$E$7:$E$506)*(X$3&lt;='Gastos com Pessoal'!$F$7:$F$506)*OFFSET('Encargos e Benefícios'!$D$5,1,MATCH($B37,'Encargos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178147.85873257314</v>
      </c>
      <c r="Y37" s="32">
        <f t="array" aca="1" ref="Y37" ca="1">_xlfn.IFNA(SUM((Y$3&gt;='Gastos com Pessoal'!$E$7:$E$506)*(Y$3&lt;='Gastos com Pessoal'!$F$7:$F$506)*OFFSET('Encargos e Benefícios'!$D$5,1,MATCH($B37,'Encargos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178147.85873257314</v>
      </c>
      <c r="Z37" s="32">
        <f t="array" aca="1" ref="Z37" ca="1">_xlfn.IFNA(SUM((Z$3&gt;='Gastos com Pessoal'!$E$7:$E$506)*(Z$3&lt;='Gastos com Pessoal'!$F$7:$F$506)*OFFSET('Encargos e Benefícios'!$D$5,1,MATCH($B37,'Encargos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178147.85873257314</v>
      </c>
      <c r="AA37" s="32">
        <f t="array" aca="1" ref="AA37" ca="1">_xlfn.IFNA(SUM((AA$3&gt;='Gastos com Pessoal'!$E$7:$E$506)*(AA$3&lt;='Gastos com Pessoal'!$F$7:$F$506)*OFFSET('Encargos e Benefícios'!$D$5,1,MATCH($B37,'Encargos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185273.77308187608</v>
      </c>
      <c r="AB37" s="32">
        <f t="array" aca="1" ref="AB37" ca="1">_xlfn.IFNA(SUM((AB$3&gt;='Gastos com Pessoal'!$E$7:$E$506)*(AB$3&lt;='Gastos com Pessoal'!$F$7:$F$506)*OFFSET('Encargos e Benefícios'!$D$5,1,MATCH($B37,'Encargos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185273.77308187608</v>
      </c>
      <c r="AC37" s="32">
        <f t="array" aca="1" ref="AC37" ca="1">_xlfn.IFNA(SUM((AC$3&gt;='Gastos com Pessoal'!$E$7:$E$506)*(AC$3&lt;='Gastos com Pessoal'!$F$7:$F$506)*OFFSET('Encargos e Benefícios'!$D$5,1,MATCH($B37,'Encargos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185273.77308187608</v>
      </c>
      <c r="AD37" s="32">
        <f t="array" aca="1" ref="AD37" ca="1">_xlfn.IFNA(SUM((AD$3&gt;='Gastos com Pessoal'!$E$7:$E$506)*(AD$3&lt;='Gastos com Pessoal'!$F$7:$F$506)*OFFSET('Encargos e Benefícios'!$D$5,1,MATCH($B37,'Encargos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185273.77308187608</v>
      </c>
      <c r="AE37" s="32">
        <f t="array" aca="1" ref="AE37" ca="1">_xlfn.IFNA(SUM((AE$3&gt;='Gastos com Pessoal'!$E$7:$E$506)*(AE$3&lt;='Gastos com Pessoal'!$F$7:$F$506)*OFFSET('Encargos e Benefícios'!$D$5,1,MATCH($B37,'Encargos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185273.77308187608</v>
      </c>
      <c r="AF37" s="32">
        <f t="array" aca="1" ref="AF37" ca="1">_xlfn.IFNA(SUM((AF$3&gt;='Gastos com Pessoal'!$E$7:$E$506)*(AF$3&lt;='Gastos com Pessoal'!$F$7:$F$506)*OFFSET('Encargos e Benefícios'!$D$5,1,MATCH($B37,'Encargos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185273.77308187608</v>
      </c>
      <c r="AG37" s="32">
        <f t="array" aca="1" ref="AG37" ca="1">_xlfn.IFNA(SUM((AG$3&gt;='Gastos com Pessoal'!$E$7:$E$506)*(AG$3&lt;='Gastos com Pessoal'!$F$7:$F$506)*OFFSET('Encargos e Benefícios'!$D$5,1,MATCH($B37,'Encargos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185273.77308187608</v>
      </c>
      <c r="AH37" s="32">
        <f t="array" aca="1" ref="AH37" ca="1">_xlfn.IFNA(SUM((AH$3&gt;='Gastos com Pessoal'!$E$7:$E$506)*(AH$3&lt;='Gastos com Pessoal'!$F$7:$F$506)*OFFSET('Encargos e Benefícios'!$D$5,1,MATCH($B37,'Encargos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185273.77308187608</v>
      </c>
      <c r="AI37" s="32">
        <f t="array" aca="1" ref="AI37" ca="1">_xlfn.IFNA(SUM((AI$3&gt;='Gastos com Pessoal'!$E$7:$E$506)*(AI$3&lt;='Gastos com Pessoal'!$F$7:$F$506)*OFFSET('Encargos e Benefícios'!$D$5,1,MATCH($B37,'Encargos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185273.77308187608</v>
      </c>
      <c r="AJ37" s="32">
        <f t="array" aca="1" ref="AJ37" ca="1">_xlfn.IFNA(SUM((AJ$3&gt;='Gastos com Pessoal'!$E$7:$E$506)*(AJ$3&lt;='Gastos com Pessoal'!$F$7:$F$506)*OFFSET('Encargos e Benefícios'!$D$5,1,MATCH($B37,'Encargos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185273.77308187608</v>
      </c>
      <c r="AK37" s="32">
        <f t="array" aca="1" ref="AK37" ca="1">_xlfn.IFNA(SUM((AK$3&gt;='Gastos com Pessoal'!$E$7:$E$506)*(AK$3&lt;='Gastos com Pessoal'!$F$7:$F$506)*OFFSET('Encargos e Benefícios'!$D$5,1,MATCH($B37,'Encargos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185273.77308187608</v>
      </c>
      <c r="AL37" s="32">
        <f t="array" aca="1" ref="AL37" ca="1">_xlfn.IFNA(SUM((AL$3&gt;='Gastos com Pessoal'!$E$7:$E$506)*(AL$3&lt;='Gastos com Pessoal'!$F$7:$F$506)*OFFSET('Encargos e Benefícios'!$D$5,1,MATCH($B37,'Encargos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185273.77308187608</v>
      </c>
      <c r="AM37" s="32">
        <f t="array" aca="1" ref="AM37" ca="1">_xlfn.IFNA(SUM((AM$3&gt;='Gastos com Pessoal'!$E$7:$E$506)*(AM$3&lt;='Gastos com Pessoal'!$F$7:$F$506)*OFFSET('Encargos e Benefícios'!$D$5,1,MATCH($B37,'Encargos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37" s="32">
        <f t="array" aca="1" ref="AN37" ca="1">_xlfn.IFNA(SUM((AN$3&gt;='Gastos com Pessoal'!$E$7:$E$506)*(AN$3&lt;='Gastos com Pessoal'!$F$7:$F$506)*OFFSET('Encargos e Benefícios'!$D$5,1,MATCH($B37,'Encargos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37" s="32">
        <f t="array" aca="1" ref="AO37" ca="1">_xlfn.IFNA(SUM((AO$3&gt;='Gastos com Pessoal'!$E$7:$E$506)*(AO$3&lt;='Gastos com Pessoal'!$F$7:$F$506)*OFFSET('Encargos e Benefícios'!$D$5,1,MATCH($B37,'Encargos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37" s="32">
        <f t="array" aca="1" ref="AP37" ca="1">_xlfn.IFNA(SUM((AP$3&gt;='Gastos com Pessoal'!$E$7:$E$506)*(AP$3&lt;='Gastos com Pessoal'!$F$7:$F$506)*OFFSET('Encargos e Benefícios'!$D$5,1,MATCH($B37,'Encargos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37" s="32">
        <f t="array" aca="1" ref="AQ37" ca="1">_xlfn.IFNA(SUM((AQ$3&gt;='Gastos com Pessoal'!$E$7:$E$506)*(AQ$3&lt;='Gastos com Pessoal'!$F$7:$F$506)*OFFSET('Encargos e Benefícios'!$D$5,1,MATCH($B37,'Encargos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37" s="32">
        <f t="array" aca="1" ref="AR37" ca="1">_xlfn.IFNA(SUM((AR$3&gt;='Gastos com Pessoal'!$E$7:$E$506)*(AR$3&lt;='Gastos com Pessoal'!$F$7:$F$506)*OFFSET('Encargos e Benefícios'!$D$5,1,MATCH($B37,'Encargos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37" s="32">
        <f t="array" aca="1" ref="AS37" ca="1">_xlfn.IFNA(SUM((AS$3&gt;='Gastos com Pessoal'!$E$7:$E$506)*(AS$3&lt;='Gastos com Pessoal'!$F$7:$F$506)*OFFSET('Encargos e Benefícios'!$D$5,1,MATCH($B37,'Encargos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37" s="32">
        <f t="array" aca="1" ref="AT37" ca="1">_xlfn.IFNA(SUM((AT$3&gt;='Gastos com Pessoal'!$E$7:$E$506)*(AT$3&lt;='Gastos com Pessoal'!$F$7:$F$506)*OFFSET('Encargos e Benefícios'!$D$5,1,MATCH($B37,'Encargos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37" s="32">
        <f t="array" aca="1" ref="AU37" ca="1">_xlfn.IFNA(SUM((AU$3&gt;='Gastos com Pessoal'!$E$7:$E$506)*(AU$3&lt;='Gastos com Pessoal'!$F$7:$F$506)*OFFSET('Encargos e Benefícios'!$D$5,1,MATCH($B37,'Encargos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37" s="32">
        <f t="array" aca="1" ref="AV37" ca="1">_xlfn.IFNA(SUM((AV$3&gt;='Gastos com Pessoal'!$E$7:$E$506)*(AV$3&lt;='Gastos com Pessoal'!$F$7:$F$506)*OFFSET('Encargos e Benefícios'!$D$5,1,MATCH($B37,'Encargos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37" s="32">
        <f t="array" aca="1" ref="AW37" ca="1">_xlfn.IFNA(SUM((AW$3&gt;='Gastos com Pessoal'!$E$7:$E$506)*(AW$3&lt;='Gastos com Pessoal'!$F$7:$F$506)*OFFSET('Encargos e Benefícios'!$D$5,1,MATCH($B37,'Encargos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37" s="32">
        <f t="array" aca="1" ref="AX37" ca="1">_xlfn.IFNA(SUM((AX$3&gt;='Gastos com Pessoal'!$E$7:$E$506)*(AX$3&lt;='Gastos com Pessoal'!$F$7:$F$506)*OFFSET('Encargos e Benefícios'!$D$5,1,MATCH($B37,'Encargos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37" s="32">
        <f t="array" aca="1" ref="AY37" ca="1">_xlfn.IFNA(SUM((AY$3&gt;='Gastos com Pessoal'!$E$7:$E$506)*(AY$3&lt;='Gastos com Pessoal'!$F$7:$F$506)*OFFSET('Encargos e Benefícios'!$D$5,1,MATCH($B37,'Encargos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37" s="32">
        <f t="array" aca="1" ref="AZ37" ca="1">_xlfn.IFNA(SUM((AZ$3&gt;='Gastos com Pessoal'!$E$7:$E$506)*(AZ$3&lt;='Gastos com Pessoal'!$F$7:$F$506)*OFFSET('Encargos e Benefícios'!$D$5,1,MATCH($B37,'Encargos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37" s="32">
        <f t="array" aca="1" ref="BA37" ca="1">_xlfn.IFNA(SUM((BA$3&gt;='Gastos com Pessoal'!$E$7:$E$506)*(BA$3&lt;='Gastos com Pessoal'!$F$7:$F$506)*OFFSET('Encargos e Benefícios'!$D$5,1,MATCH($B37,'Encargos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37" s="32">
        <f t="array" aca="1" ref="BB37" ca="1">_xlfn.IFNA(SUM((BB$3&gt;='Gastos com Pessoal'!$E$7:$E$506)*(BB$3&lt;='Gastos com Pessoal'!$F$7:$F$506)*OFFSET('Encargos e Benefícios'!$D$5,1,MATCH($B37,'Encargos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37" s="32">
        <f t="array" aca="1" ref="BC37" ca="1">_xlfn.IFNA(SUM((BC$3&gt;='Gastos com Pessoal'!$E$7:$E$506)*(BC$3&lt;='Gastos com Pessoal'!$F$7:$F$506)*OFFSET('Encargos e Benefícios'!$D$5,1,MATCH($B37,'Encargos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37" s="32">
        <f t="array" aca="1" ref="BD37" ca="1">_xlfn.IFNA(SUM((BD$3&gt;='Gastos com Pessoal'!$E$7:$E$506)*(BD$3&lt;='Gastos com Pessoal'!$F$7:$F$506)*OFFSET('Encargos e Benefícios'!$D$5,1,MATCH($B37,'Encargos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37" s="32">
        <f t="array" aca="1" ref="BE37" ca="1">_xlfn.IFNA(SUM((BE$3&gt;='Gastos com Pessoal'!$E$7:$E$506)*(BE$3&lt;='Gastos com Pessoal'!$F$7:$F$506)*OFFSET('Encargos e Benefícios'!$D$5,1,MATCH($B37,'Encargos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37" s="32">
        <f t="array" aca="1" ref="BF37" ca="1">_xlfn.IFNA(SUM((BF$3&gt;='Gastos com Pessoal'!$E$7:$E$506)*(BF$3&lt;='Gastos com Pessoal'!$F$7:$F$506)*OFFSET('Encargos e Benefícios'!$D$5,1,MATCH($B37,'Encargos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37" s="32">
        <f t="array" aca="1" ref="BG37" ca="1">_xlfn.IFNA(SUM((BG$3&gt;='Gastos com Pessoal'!$E$7:$E$506)*(BG$3&lt;='Gastos com Pessoal'!$F$7:$F$506)*OFFSET('Encargos e Benefícios'!$D$5,1,MATCH($B37,'Encargos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37" s="32">
        <f t="array" aca="1" ref="BH37" ca="1">_xlfn.IFNA(SUM((BH$3&gt;='Gastos com Pessoal'!$E$7:$E$506)*(BH$3&lt;='Gastos com Pessoal'!$F$7:$F$506)*OFFSET('Encargos e Benefícios'!$D$5,1,MATCH($B37,'Encargos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37" s="32">
        <f t="array" aca="1" ref="BI37" ca="1">_xlfn.IFNA(SUM((BI$3&gt;='Gastos com Pessoal'!$E$7:$E$506)*(BI$3&lt;='Gastos com Pessoal'!$F$7:$F$506)*OFFSET('Encargos e Benefícios'!$D$5,1,MATCH($B37,'Encargos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37" s="32">
        <f t="array" aca="1" ref="BJ37" ca="1">_xlfn.IFNA(SUM((BJ$3&gt;='Gastos com Pessoal'!$E$7:$E$506)*(BJ$3&lt;='Gastos com Pessoal'!$F$7:$F$506)*OFFSET('Encargos e Benefícios'!$D$5,1,MATCH($B37,'Encargos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37" s="71">
        <f t="shared" ca="1" si="16"/>
        <v>6448878.1281810598</v>
      </c>
      <c r="BL37" s="76">
        <f t="shared" ca="1" si="17"/>
        <v>1.7589949828186312E-2</v>
      </c>
    </row>
    <row r="38" spans="1:64" s="49" customFormat="1" ht="23.25" customHeight="1" x14ac:dyDescent="0.2">
      <c r="A38" s="19" t="s">
        <v>152</v>
      </c>
      <c r="B38" s="12" t="s">
        <v>153</v>
      </c>
      <c r="C38" s="32">
        <f t="array" aca="1" ref="C38" ca="1">_xlfn.IFNA(SUM((C$3&gt;='Gastos com Pessoal'!$E$7:$E$506)*(C$3&lt;='Gastos com Pessoal'!$F$7:$F$506)*OFFSET('Encargos e Benefícios'!$D$5,1,MATCH($B38,'Encargos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383943.44508639316</v>
      </c>
      <c r="D38" s="32">
        <f t="array" aca="1" ref="D38" ca="1">_xlfn.IFNA(SUM((D$3&gt;='Gastos com Pessoal'!$E$7:$E$506)*(D$3&lt;='Gastos com Pessoal'!$F$7:$F$506)*OFFSET('Encargos e Benefícios'!$D$5,1,MATCH($B38,'Encargos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383943.44508639316</v>
      </c>
      <c r="E38" s="32">
        <f t="array" aca="1" ref="E38" ca="1">_xlfn.IFNA(SUM((E$3&gt;='Gastos com Pessoal'!$E$7:$E$506)*(E$3&lt;='Gastos com Pessoal'!$F$7:$F$506)*OFFSET('Encargos e Benefícios'!$D$5,1,MATCH($B38,'Encargos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383943.44508639316</v>
      </c>
      <c r="F38" s="32">
        <f t="array" aca="1" ref="F38" ca="1">_xlfn.IFNA(SUM((F$3&gt;='Gastos com Pessoal'!$E$7:$E$506)*(F$3&lt;='Gastos com Pessoal'!$F$7:$F$506)*OFFSET('Encargos e Benefícios'!$D$5,1,MATCH($B38,'Encargos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383943.44508639316</v>
      </c>
      <c r="G38" s="32">
        <f t="array" aca="1" ref="G38" ca="1">_xlfn.IFNA(SUM((G$3&gt;='Gastos com Pessoal'!$E$7:$E$506)*(G$3&lt;='Gastos com Pessoal'!$F$7:$F$506)*OFFSET('Encargos e Benefícios'!$D$5,1,MATCH($B38,'Encargos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383943.44508639316</v>
      </c>
      <c r="H38" s="32">
        <f t="array" aca="1" ref="H38" ca="1">_xlfn.IFNA(SUM((H$3&gt;='Gastos com Pessoal'!$E$7:$E$506)*(H$3&lt;='Gastos com Pessoal'!$F$7:$F$506)*OFFSET('Encargos e Benefícios'!$D$5,1,MATCH($B38,'Encargos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383943.44508639316</v>
      </c>
      <c r="I38" s="32">
        <f t="array" aca="1" ref="I38" ca="1">_xlfn.IFNA(SUM((I$3&gt;='Gastos com Pessoal'!$E$7:$E$506)*(I$3&lt;='Gastos com Pessoal'!$F$7:$F$506)*OFFSET('Encargos e Benefícios'!$D$5,1,MATCH($B38,'Encargos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383943.44508639316</v>
      </c>
      <c r="J38" s="32">
        <f t="array" aca="1" ref="J38" ca="1">_xlfn.IFNA(SUM((J$3&gt;='Gastos com Pessoal'!$E$7:$E$506)*(J$3&lt;='Gastos com Pessoal'!$F$7:$F$506)*OFFSET('Encargos e Benefícios'!$D$5,1,MATCH($B38,'Encargos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383943.44508639316</v>
      </c>
      <c r="K38" s="32">
        <f t="array" aca="1" ref="K38" ca="1">_xlfn.IFNA(SUM((K$3&gt;='Gastos com Pessoal'!$E$7:$E$506)*(K$3&lt;='Gastos com Pessoal'!$F$7:$F$506)*OFFSET('Encargos e Benefícios'!$D$5,1,MATCH($B38,'Encargos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383943.44508639316</v>
      </c>
      <c r="L38" s="32">
        <f t="array" aca="1" ref="L38" ca="1">_xlfn.IFNA(SUM((L$3&gt;='Gastos com Pessoal'!$E$7:$E$506)*(L$3&lt;='Gastos com Pessoal'!$F$7:$F$506)*OFFSET('Encargos e Benefícios'!$D$5,1,MATCH($B38,'Encargos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383943.44508639316</v>
      </c>
      <c r="M38" s="32">
        <f t="array" aca="1" ref="M38" ca="1">_xlfn.IFNA(SUM((M$3&gt;='Gastos com Pessoal'!$E$7:$E$506)*(M$3&lt;='Gastos com Pessoal'!$F$7:$F$506)*OFFSET('Encargos e Benefícios'!$D$5,1,MATCH($B38,'Encargos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383943.44508639316</v>
      </c>
      <c r="N38" s="32">
        <f t="array" aca="1" ref="N38" ca="1">_xlfn.IFNA(SUM((N$3&gt;='Gastos com Pessoal'!$E$7:$E$506)*(N$3&lt;='Gastos com Pessoal'!$F$7:$F$506)*OFFSET('Encargos e Benefícios'!$D$5,1,MATCH($B38,'Encargos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383943.44508639316</v>
      </c>
      <c r="O38" s="32">
        <f t="array" aca="1" ref="O38" ca="1">_xlfn.IFNA(SUM((O$3&gt;='Gastos com Pessoal'!$E$7:$E$506)*(O$3&lt;='Gastos com Pessoal'!$F$7:$F$506)*OFFSET('Encargos e Benefícios'!$D$5,1,MATCH($B38,'Encargos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394122.63605758117</v>
      </c>
      <c r="P38" s="32">
        <f t="array" aca="1" ref="P38" ca="1">_xlfn.IFNA(SUM((P$3&gt;='Gastos com Pessoal'!$E$7:$E$506)*(P$3&lt;='Gastos com Pessoal'!$F$7:$F$506)*OFFSET('Encargos e Benefícios'!$D$5,1,MATCH($B38,'Encargos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394122.63605758117</v>
      </c>
      <c r="Q38" s="32">
        <f t="array" aca="1" ref="Q38" ca="1">_xlfn.IFNA(SUM((Q$3&gt;='Gastos com Pessoal'!$E$7:$E$506)*(Q$3&lt;='Gastos com Pessoal'!$F$7:$F$506)*OFFSET('Encargos e Benefícios'!$D$5,1,MATCH($B38,'Encargos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394122.63605758117</v>
      </c>
      <c r="R38" s="32">
        <f t="array" aca="1" ref="R38" ca="1">_xlfn.IFNA(SUM((R$3&gt;='Gastos com Pessoal'!$E$7:$E$506)*(R$3&lt;='Gastos com Pessoal'!$F$7:$F$506)*OFFSET('Encargos e Benefícios'!$D$5,1,MATCH($B38,'Encargos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394122.63605758117</v>
      </c>
      <c r="S38" s="32">
        <f t="array" aca="1" ref="S38" ca="1">_xlfn.IFNA(SUM((S$3&gt;='Gastos com Pessoal'!$E$7:$E$506)*(S$3&lt;='Gastos com Pessoal'!$F$7:$F$506)*OFFSET('Encargos e Benefícios'!$D$5,1,MATCH($B38,'Encargos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394122.63605758117</v>
      </c>
      <c r="T38" s="32">
        <f t="array" aca="1" ref="T38" ca="1">_xlfn.IFNA(SUM((T$3&gt;='Gastos com Pessoal'!$E$7:$E$506)*(T$3&lt;='Gastos com Pessoal'!$F$7:$F$506)*OFFSET('Encargos e Benefícios'!$D$5,1,MATCH($B38,'Encargos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394122.63605758117</v>
      </c>
      <c r="U38" s="32">
        <f t="array" aca="1" ref="U38" ca="1">_xlfn.IFNA(SUM((U$3&gt;='Gastos com Pessoal'!$E$7:$E$506)*(U$3&lt;='Gastos com Pessoal'!$F$7:$F$506)*OFFSET('Encargos e Benefícios'!$D$5,1,MATCH($B38,'Encargos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394122.63605758117</v>
      </c>
      <c r="V38" s="32">
        <f t="array" aca="1" ref="V38" ca="1">_xlfn.IFNA(SUM((V$3&gt;='Gastos com Pessoal'!$E$7:$E$506)*(V$3&lt;='Gastos com Pessoal'!$F$7:$F$506)*OFFSET('Encargos e Benefícios'!$D$5,1,MATCH($B38,'Encargos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394122.63605758117</v>
      </c>
      <c r="W38" s="32">
        <f t="array" aca="1" ref="W38" ca="1">_xlfn.IFNA(SUM((W$3&gt;='Gastos com Pessoal'!$E$7:$E$506)*(W$3&lt;='Gastos com Pessoal'!$F$7:$F$506)*OFFSET('Encargos e Benefícios'!$D$5,1,MATCH($B38,'Encargos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394122.63605758117</v>
      </c>
      <c r="X38" s="32">
        <f t="array" aca="1" ref="X38" ca="1">_xlfn.IFNA(SUM((X$3&gt;='Gastos com Pessoal'!$E$7:$E$506)*(X$3&lt;='Gastos com Pessoal'!$F$7:$F$506)*OFFSET('Encargos e Benefícios'!$D$5,1,MATCH($B38,'Encargos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394122.63605758117</v>
      </c>
      <c r="Y38" s="32">
        <f t="array" aca="1" ref="Y38" ca="1">_xlfn.IFNA(SUM((Y$3&gt;='Gastos com Pessoal'!$E$7:$E$506)*(Y$3&lt;='Gastos com Pessoal'!$F$7:$F$506)*OFFSET('Encargos e Benefícios'!$D$5,1,MATCH($B38,'Encargos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394122.63605758117</v>
      </c>
      <c r="Z38" s="32">
        <f t="array" aca="1" ref="Z38" ca="1">_xlfn.IFNA(SUM((Z$3&gt;='Gastos com Pessoal'!$E$7:$E$506)*(Z$3&lt;='Gastos com Pessoal'!$F$7:$F$506)*OFFSET('Encargos e Benefícios'!$D$5,1,MATCH($B38,'Encargos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394122.63605758117</v>
      </c>
      <c r="AA38" s="32">
        <f t="array" aca="1" ref="AA38" ca="1">_xlfn.IFNA(SUM((AA$3&gt;='Gastos com Pessoal'!$E$7:$E$506)*(AA$3&lt;='Gastos com Pessoal'!$F$7:$F$506)*OFFSET('Encargos e Benefícios'!$D$5,1,MATCH($B38,'Encargos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409887.54149988445</v>
      </c>
      <c r="AB38" s="32">
        <f t="array" aca="1" ref="AB38" ca="1">_xlfn.IFNA(SUM((AB$3&gt;='Gastos com Pessoal'!$E$7:$E$506)*(AB$3&lt;='Gastos com Pessoal'!$F$7:$F$506)*OFFSET('Encargos e Benefícios'!$D$5,1,MATCH($B38,'Encargos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409887.54149988445</v>
      </c>
      <c r="AC38" s="32">
        <f t="array" aca="1" ref="AC38" ca="1">_xlfn.IFNA(SUM((AC$3&gt;='Gastos com Pessoal'!$E$7:$E$506)*(AC$3&lt;='Gastos com Pessoal'!$F$7:$F$506)*OFFSET('Encargos e Benefícios'!$D$5,1,MATCH($B38,'Encargos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409887.54149988445</v>
      </c>
      <c r="AD38" s="32">
        <f t="array" aca="1" ref="AD38" ca="1">_xlfn.IFNA(SUM((AD$3&gt;='Gastos com Pessoal'!$E$7:$E$506)*(AD$3&lt;='Gastos com Pessoal'!$F$7:$F$506)*OFFSET('Encargos e Benefícios'!$D$5,1,MATCH($B38,'Encargos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409887.54149988445</v>
      </c>
      <c r="AE38" s="32">
        <f t="array" aca="1" ref="AE38" ca="1">_xlfn.IFNA(SUM((AE$3&gt;='Gastos com Pessoal'!$E$7:$E$506)*(AE$3&lt;='Gastos com Pessoal'!$F$7:$F$506)*OFFSET('Encargos e Benefícios'!$D$5,1,MATCH($B38,'Encargos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409887.54149988445</v>
      </c>
      <c r="AF38" s="32">
        <f t="array" aca="1" ref="AF38" ca="1">_xlfn.IFNA(SUM((AF$3&gt;='Gastos com Pessoal'!$E$7:$E$506)*(AF$3&lt;='Gastos com Pessoal'!$F$7:$F$506)*OFFSET('Encargos e Benefícios'!$D$5,1,MATCH($B38,'Encargos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409887.54149988445</v>
      </c>
      <c r="AG38" s="32">
        <f t="array" aca="1" ref="AG38" ca="1">_xlfn.IFNA(SUM((AG$3&gt;='Gastos com Pessoal'!$E$7:$E$506)*(AG$3&lt;='Gastos com Pessoal'!$F$7:$F$506)*OFFSET('Encargos e Benefícios'!$D$5,1,MATCH($B38,'Encargos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409887.54149988445</v>
      </c>
      <c r="AH38" s="32">
        <f t="array" aca="1" ref="AH38" ca="1">_xlfn.IFNA(SUM((AH$3&gt;='Gastos com Pessoal'!$E$7:$E$506)*(AH$3&lt;='Gastos com Pessoal'!$F$7:$F$506)*OFFSET('Encargos e Benefícios'!$D$5,1,MATCH($B38,'Encargos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409887.54149988445</v>
      </c>
      <c r="AI38" s="32">
        <f t="array" aca="1" ref="AI38" ca="1">_xlfn.IFNA(SUM((AI$3&gt;='Gastos com Pessoal'!$E$7:$E$506)*(AI$3&lt;='Gastos com Pessoal'!$F$7:$F$506)*OFFSET('Encargos e Benefícios'!$D$5,1,MATCH($B38,'Encargos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409887.54149988445</v>
      </c>
      <c r="AJ38" s="32">
        <f t="array" aca="1" ref="AJ38" ca="1">_xlfn.IFNA(SUM((AJ$3&gt;='Gastos com Pessoal'!$E$7:$E$506)*(AJ$3&lt;='Gastos com Pessoal'!$F$7:$F$506)*OFFSET('Encargos e Benefícios'!$D$5,1,MATCH($B38,'Encargos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409887.54149988445</v>
      </c>
      <c r="AK38" s="32">
        <f t="array" aca="1" ref="AK38" ca="1">_xlfn.IFNA(SUM((AK$3&gt;='Gastos com Pessoal'!$E$7:$E$506)*(AK$3&lt;='Gastos com Pessoal'!$F$7:$F$506)*OFFSET('Encargos e Benefícios'!$D$5,1,MATCH($B38,'Encargos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409887.54149988445</v>
      </c>
      <c r="AL38" s="32">
        <f t="array" aca="1" ref="AL38" ca="1">_xlfn.IFNA(SUM((AL$3&gt;='Gastos com Pessoal'!$E$7:$E$506)*(AL$3&lt;='Gastos com Pessoal'!$F$7:$F$506)*OFFSET('Encargos e Benefícios'!$D$5,1,MATCH($B38,'Encargos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409887.54149988445</v>
      </c>
      <c r="AM38" s="32">
        <f t="array" aca="1" ref="AM38" ca="1">_xlfn.IFNA(SUM((AM$3&gt;='Gastos com Pessoal'!$E$7:$E$506)*(AM$3&lt;='Gastos com Pessoal'!$F$7:$F$506)*OFFSET('Encargos e Benefícios'!$D$5,1,MATCH($B38,'Encargos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38" s="32">
        <f t="array" aca="1" ref="AN38" ca="1">_xlfn.IFNA(SUM((AN$3&gt;='Gastos com Pessoal'!$E$7:$E$506)*(AN$3&lt;='Gastos com Pessoal'!$F$7:$F$506)*OFFSET('Encargos e Benefícios'!$D$5,1,MATCH($B38,'Encargos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38" s="32">
        <f t="array" aca="1" ref="AO38" ca="1">_xlfn.IFNA(SUM((AO$3&gt;='Gastos com Pessoal'!$E$7:$E$506)*(AO$3&lt;='Gastos com Pessoal'!$F$7:$F$506)*OFFSET('Encargos e Benefícios'!$D$5,1,MATCH($B38,'Encargos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38" s="32">
        <f t="array" aca="1" ref="AP38" ca="1">_xlfn.IFNA(SUM((AP$3&gt;='Gastos com Pessoal'!$E$7:$E$506)*(AP$3&lt;='Gastos com Pessoal'!$F$7:$F$506)*OFFSET('Encargos e Benefícios'!$D$5,1,MATCH($B38,'Encargos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38" s="32">
        <f t="array" aca="1" ref="AQ38" ca="1">_xlfn.IFNA(SUM((AQ$3&gt;='Gastos com Pessoal'!$E$7:$E$506)*(AQ$3&lt;='Gastos com Pessoal'!$F$7:$F$506)*OFFSET('Encargos e Benefícios'!$D$5,1,MATCH($B38,'Encargos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38" s="32">
        <f t="array" aca="1" ref="AR38" ca="1">_xlfn.IFNA(SUM((AR$3&gt;='Gastos com Pessoal'!$E$7:$E$506)*(AR$3&lt;='Gastos com Pessoal'!$F$7:$F$506)*OFFSET('Encargos e Benefícios'!$D$5,1,MATCH($B38,'Encargos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38" s="32">
        <f t="array" aca="1" ref="AS38" ca="1">_xlfn.IFNA(SUM((AS$3&gt;='Gastos com Pessoal'!$E$7:$E$506)*(AS$3&lt;='Gastos com Pessoal'!$F$7:$F$506)*OFFSET('Encargos e Benefícios'!$D$5,1,MATCH($B38,'Encargos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38" s="32">
        <f t="array" aca="1" ref="AT38" ca="1">_xlfn.IFNA(SUM((AT$3&gt;='Gastos com Pessoal'!$E$7:$E$506)*(AT$3&lt;='Gastos com Pessoal'!$F$7:$F$506)*OFFSET('Encargos e Benefícios'!$D$5,1,MATCH($B38,'Encargos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38" s="32">
        <f t="array" aca="1" ref="AU38" ca="1">_xlfn.IFNA(SUM((AU$3&gt;='Gastos com Pessoal'!$E$7:$E$506)*(AU$3&lt;='Gastos com Pessoal'!$F$7:$F$506)*OFFSET('Encargos e Benefícios'!$D$5,1,MATCH($B38,'Encargos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38" s="32">
        <f t="array" aca="1" ref="AV38" ca="1">_xlfn.IFNA(SUM((AV$3&gt;='Gastos com Pessoal'!$E$7:$E$506)*(AV$3&lt;='Gastos com Pessoal'!$F$7:$F$506)*OFFSET('Encargos e Benefícios'!$D$5,1,MATCH($B38,'Encargos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38" s="32">
        <f t="array" aca="1" ref="AW38" ca="1">_xlfn.IFNA(SUM((AW$3&gt;='Gastos com Pessoal'!$E$7:$E$506)*(AW$3&lt;='Gastos com Pessoal'!$F$7:$F$506)*OFFSET('Encargos e Benefícios'!$D$5,1,MATCH($B38,'Encargos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38" s="32">
        <f t="array" aca="1" ref="AX38" ca="1">_xlfn.IFNA(SUM((AX$3&gt;='Gastos com Pessoal'!$E$7:$E$506)*(AX$3&lt;='Gastos com Pessoal'!$F$7:$F$506)*OFFSET('Encargos e Benefícios'!$D$5,1,MATCH($B38,'Encargos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38" s="32">
        <f t="array" aca="1" ref="AY38" ca="1">_xlfn.IFNA(SUM((AY$3&gt;='Gastos com Pessoal'!$E$7:$E$506)*(AY$3&lt;='Gastos com Pessoal'!$F$7:$F$506)*OFFSET('Encargos e Benefícios'!$D$5,1,MATCH($B38,'Encargos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38" s="32">
        <f t="array" aca="1" ref="AZ38" ca="1">_xlfn.IFNA(SUM((AZ$3&gt;='Gastos com Pessoal'!$E$7:$E$506)*(AZ$3&lt;='Gastos com Pessoal'!$F$7:$F$506)*OFFSET('Encargos e Benefícios'!$D$5,1,MATCH($B38,'Encargos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38" s="32">
        <f t="array" aca="1" ref="BA38" ca="1">_xlfn.IFNA(SUM((BA$3&gt;='Gastos com Pessoal'!$E$7:$E$506)*(BA$3&lt;='Gastos com Pessoal'!$F$7:$F$506)*OFFSET('Encargos e Benefícios'!$D$5,1,MATCH($B38,'Encargos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38" s="32">
        <f t="array" aca="1" ref="BB38" ca="1">_xlfn.IFNA(SUM((BB$3&gt;='Gastos com Pessoal'!$E$7:$E$506)*(BB$3&lt;='Gastos com Pessoal'!$F$7:$F$506)*OFFSET('Encargos e Benefícios'!$D$5,1,MATCH($B38,'Encargos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38" s="32">
        <f t="array" aca="1" ref="BC38" ca="1">_xlfn.IFNA(SUM((BC$3&gt;='Gastos com Pessoal'!$E$7:$E$506)*(BC$3&lt;='Gastos com Pessoal'!$F$7:$F$506)*OFFSET('Encargos e Benefícios'!$D$5,1,MATCH($B38,'Encargos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38" s="32">
        <f t="array" aca="1" ref="BD38" ca="1">_xlfn.IFNA(SUM((BD$3&gt;='Gastos com Pessoal'!$E$7:$E$506)*(BD$3&lt;='Gastos com Pessoal'!$F$7:$F$506)*OFFSET('Encargos e Benefícios'!$D$5,1,MATCH($B38,'Encargos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38" s="32">
        <f t="array" aca="1" ref="BE38" ca="1">_xlfn.IFNA(SUM((BE$3&gt;='Gastos com Pessoal'!$E$7:$E$506)*(BE$3&lt;='Gastos com Pessoal'!$F$7:$F$506)*OFFSET('Encargos e Benefícios'!$D$5,1,MATCH($B38,'Encargos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38" s="32">
        <f t="array" aca="1" ref="BF38" ca="1">_xlfn.IFNA(SUM((BF$3&gt;='Gastos com Pessoal'!$E$7:$E$506)*(BF$3&lt;='Gastos com Pessoal'!$F$7:$F$506)*OFFSET('Encargos e Benefícios'!$D$5,1,MATCH($B38,'Encargos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38" s="32">
        <f t="array" aca="1" ref="BG38" ca="1">_xlfn.IFNA(SUM((BG$3&gt;='Gastos com Pessoal'!$E$7:$E$506)*(BG$3&lt;='Gastos com Pessoal'!$F$7:$F$506)*OFFSET('Encargos e Benefícios'!$D$5,1,MATCH($B38,'Encargos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38" s="32">
        <f t="array" aca="1" ref="BH38" ca="1">_xlfn.IFNA(SUM((BH$3&gt;='Gastos com Pessoal'!$E$7:$E$506)*(BH$3&lt;='Gastos com Pessoal'!$F$7:$F$506)*OFFSET('Encargos e Benefícios'!$D$5,1,MATCH($B38,'Encargos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38" s="32">
        <f t="array" aca="1" ref="BI38" ca="1">_xlfn.IFNA(SUM((BI$3&gt;='Gastos com Pessoal'!$E$7:$E$506)*(BI$3&lt;='Gastos com Pessoal'!$F$7:$F$506)*OFFSET('Encargos e Benefícios'!$D$5,1,MATCH($B38,'Encargos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38" s="32">
        <f t="array" aca="1" ref="BJ38" ca="1">_xlfn.IFNA(SUM((BJ$3&gt;='Gastos com Pessoal'!$E$7:$E$506)*(BJ$3&lt;='Gastos com Pessoal'!$F$7:$F$506)*OFFSET('Encargos e Benefícios'!$D$5,1,MATCH($B38,'Encargos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38" s="71">
        <f t="shared" ca="1" si="16"/>
        <v>14255443.471726308</v>
      </c>
      <c r="BL38" s="76">
        <f t="shared" ca="1" si="17"/>
        <v>3.8883125167220041E-2</v>
      </c>
    </row>
    <row r="39" spans="1:64" s="49" customFormat="1" ht="23.25" customHeight="1" x14ac:dyDescent="0.2">
      <c r="A39" s="19" t="s">
        <v>154</v>
      </c>
      <c r="B39" s="12" t="s">
        <v>155</v>
      </c>
      <c r="C39" s="32">
        <f t="array" aca="1" ref="C39" ca="1">_xlfn.IFNA(SUM((C$3&gt;='Gastos com Pessoal'!$E$7:$E$506)*(C$3&lt;='Gastos com Pessoal'!$F$7:$F$506)*OFFSET('Encargos e Benefícios'!$D$5,1,MATCH($B39,'Encargos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
+_xlfn.IFNA(SUM((C$3&gt;='Gastos com Pessoal'!$E$513:$E$522)*(C$3&lt;='Gastos com Pessoal'!$F$513:$F$522)*OFFSET('Encargos e Benefícios'!$D$511,1,MATCH($B39,'Encargos e Benefícios'!$F$511:$AB$511,0),10,1)
*(IF('Gastos com Pessoal'!$G$513:$G$522&lt;=C$3,('Gastos com Pessoal'!$H$513:$H$522)+1,1))
*(IF('Gastos com Pessoal'!$M$513:$M$522&lt;=C$3,('Gastos com Pessoal'!$N$513:$N$522)+1,1))
*(IF('Gastos com Pessoal'!$S$513:$S$522&lt;=C$3,('Gastos com Pessoal'!$T$513:$T$522)+1,1))
*(IF('Gastos com Pessoal'!$Y$513:$Y$522&lt;=C$3,('Gastos com Pessoal'!$Z$513:$Z$522)+1,1))
*(IF('Gastos com Pessoal'!$AE$513:$AE$522&lt;=C$3,('Gastos com Pessoal'!$AF$513:$AF$522)+1,1))),0)</f>
        <v>111210.77451358875</v>
      </c>
      <c r="D39" s="32">
        <f t="array" aca="1" ref="D39" ca="1">_xlfn.IFNA(SUM((D$3&gt;='Gastos com Pessoal'!$E$7:$E$506)*(D$3&lt;='Gastos com Pessoal'!$F$7:$F$506)*OFFSET('Encargos e Benefícios'!$D$5,1,MATCH($B39,'Encargos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
+_xlfn.IFNA(SUM((D$3&gt;='Gastos com Pessoal'!$E$513:$E$522)*(D$3&lt;='Gastos com Pessoal'!$F$513:$F$522)*OFFSET('Encargos e Benefícios'!$D$511,1,MATCH($B39,'Encargos e Benefícios'!$F$511:$AB$511,0),10,1)
*(IF('Gastos com Pessoal'!$G$513:$G$522&lt;=D$3,('Gastos com Pessoal'!$H$513:$H$522)+1,1))
*(IF('Gastos com Pessoal'!$M$513:$M$522&lt;=D$3,('Gastos com Pessoal'!$N$513:$N$522)+1,1))
*(IF('Gastos com Pessoal'!$S$513:$S$522&lt;=D$3,('Gastos com Pessoal'!$T$513:$T$522)+1,1))
*(IF('Gastos com Pessoal'!$Y$513:$Y$522&lt;=D$3,('Gastos com Pessoal'!$Z$513:$Z$522)+1,1))
*(IF('Gastos com Pessoal'!$AE$513:$AE$522&lt;=D$3,('Gastos com Pessoal'!$AF$513:$AF$522)+1,1))),0)</f>
        <v>111210.77451358875</v>
      </c>
      <c r="E39" s="32">
        <f t="array" aca="1" ref="E39" ca="1">_xlfn.IFNA(SUM((E$3&gt;='Gastos com Pessoal'!$E$7:$E$506)*(E$3&lt;='Gastos com Pessoal'!$F$7:$F$506)*OFFSET('Encargos e Benefícios'!$D$5,1,MATCH($B39,'Encargos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
+_xlfn.IFNA(SUM((E$3&gt;='Gastos com Pessoal'!$E$513:$E$522)*(E$3&lt;='Gastos com Pessoal'!$F$513:$F$522)*OFFSET('Encargos e Benefícios'!$D$511,1,MATCH($B39,'Encargos e Benefícios'!$F$511:$AB$511,0),10,1)
*(IF('Gastos com Pessoal'!$G$513:$G$522&lt;=E$3,('Gastos com Pessoal'!$H$513:$H$522)+1,1))
*(IF('Gastos com Pessoal'!$M$513:$M$522&lt;=E$3,('Gastos com Pessoal'!$N$513:$N$522)+1,1))
*(IF('Gastos com Pessoal'!$S$513:$S$522&lt;=E$3,('Gastos com Pessoal'!$T$513:$T$522)+1,1))
*(IF('Gastos com Pessoal'!$Y$513:$Y$522&lt;=E$3,('Gastos com Pessoal'!$Z$513:$Z$522)+1,1))
*(IF('Gastos com Pessoal'!$AE$513:$AE$522&lt;=E$3,('Gastos com Pessoal'!$AF$513:$AF$522)+1,1))),0)</f>
        <v>111210.77451358875</v>
      </c>
      <c r="F39" s="32">
        <f t="array" aca="1" ref="F39" ca="1">_xlfn.IFNA(SUM((F$3&gt;='Gastos com Pessoal'!$E$7:$E$506)*(F$3&lt;='Gastos com Pessoal'!$F$7:$F$506)*OFFSET('Encargos e Benefícios'!$D$5,1,MATCH($B39,'Encargos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
+_xlfn.IFNA(SUM((F$3&gt;='Gastos com Pessoal'!$E$513:$E$522)*(F$3&lt;='Gastos com Pessoal'!$F$513:$F$522)*OFFSET('Encargos e Benefícios'!$D$511,1,MATCH($B39,'Encargos e Benefícios'!$F$511:$AB$511,0),10,1)
*(IF('Gastos com Pessoal'!$G$513:$G$522&lt;=F$3,('Gastos com Pessoal'!$H$513:$H$522)+1,1))
*(IF('Gastos com Pessoal'!$M$513:$M$522&lt;=F$3,('Gastos com Pessoal'!$N$513:$N$522)+1,1))
*(IF('Gastos com Pessoal'!$S$513:$S$522&lt;=F$3,('Gastos com Pessoal'!$T$513:$T$522)+1,1))
*(IF('Gastos com Pessoal'!$Y$513:$Y$522&lt;=F$3,('Gastos com Pessoal'!$Z$513:$Z$522)+1,1))
*(IF('Gastos com Pessoal'!$AE$513:$AE$522&lt;=F$3,('Gastos com Pessoal'!$AF$513:$AF$522)+1,1))),0)</f>
        <v>111210.77451358875</v>
      </c>
      <c r="G39" s="32">
        <f t="array" aca="1" ref="G39" ca="1">_xlfn.IFNA(SUM((G$3&gt;='Gastos com Pessoal'!$E$7:$E$506)*(G$3&lt;='Gastos com Pessoal'!$F$7:$F$506)*OFFSET('Encargos e Benefícios'!$D$5,1,MATCH($B39,'Encargos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
+_xlfn.IFNA(SUM((G$3&gt;='Gastos com Pessoal'!$E$513:$E$522)*(G$3&lt;='Gastos com Pessoal'!$F$513:$F$522)*OFFSET('Encargos e Benefícios'!$D$511,1,MATCH($B39,'Encargos e Benefícios'!$F$511:$AB$511,0),10,1)
*(IF('Gastos com Pessoal'!$G$513:$G$522&lt;=G$3,('Gastos com Pessoal'!$H$513:$H$522)+1,1))
*(IF('Gastos com Pessoal'!$M$513:$M$522&lt;=G$3,('Gastos com Pessoal'!$N$513:$N$522)+1,1))
*(IF('Gastos com Pessoal'!$S$513:$S$522&lt;=G$3,('Gastos com Pessoal'!$T$513:$T$522)+1,1))
*(IF('Gastos com Pessoal'!$Y$513:$Y$522&lt;=G$3,('Gastos com Pessoal'!$Z$513:$Z$522)+1,1))
*(IF('Gastos com Pessoal'!$AE$513:$AE$522&lt;=G$3,('Gastos com Pessoal'!$AF$513:$AF$522)+1,1))),0)</f>
        <v>111210.77451358875</v>
      </c>
      <c r="H39" s="32">
        <f t="array" aca="1" ref="H39" ca="1">_xlfn.IFNA(SUM((H$3&gt;='Gastos com Pessoal'!$E$7:$E$506)*(H$3&lt;='Gastos com Pessoal'!$F$7:$F$506)*OFFSET('Encargos e Benefícios'!$D$5,1,MATCH($B39,'Encargos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
+_xlfn.IFNA(SUM((H$3&gt;='Gastos com Pessoal'!$E$513:$E$522)*(H$3&lt;='Gastos com Pessoal'!$F$513:$F$522)*OFFSET('Encargos e Benefícios'!$D$511,1,MATCH($B39,'Encargos e Benefícios'!$F$511:$AB$511,0),10,1)
*(IF('Gastos com Pessoal'!$G$513:$G$522&lt;=H$3,('Gastos com Pessoal'!$H$513:$H$522)+1,1))
*(IF('Gastos com Pessoal'!$M$513:$M$522&lt;=H$3,('Gastos com Pessoal'!$N$513:$N$522)+1,1))
*(IF('Gastos com Pessoal'!$S$513:$S$522&lt;=H$3,('Gastos com Pessoal'!$T$513:$T$522)+1,1))
*(IF('Gastos com Pessoal'!$Y$513:$Y$522&lt;=H$3,('Gastos com Pessoal'!$Z$513:$Z$522)+1,1))
*(IF('Gastos com Pessoal'!$AE$513:$AE$522&lt;=H$3,('Gastos com Pessoal'!$AF$513:$AF$522)+1,1))),0)</f>
        <v>111210.77451358875</v>
      </c>
      <c r="I39" s="32">
        <f t="array" aca="1" ref="I39" ca="1">_xlfn.IFNA(SUM((I$3&gt;='Gastos com Pessoal'!$E$7:$E$506)*(I$3&lt;='Gastos com Pessoal'!$F$7:$F$506)*OFFSET('Encargos e Benefícios'!$D$5,1,MATCH($B39,'Encargos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
+_xlfn.IFNA(SUM((I$3&gt;='Gastos com Pessoal'!$E$513:$E$522)*(I$3&lt;='Gastos com Pessoal'!$F$513:$F$522)*OFFSET('Encargos e Benefícios'!$D$511,1,MATCH($B39,'Encargos e Benefícios'!$F$511:$AB$511,0),10,1)
*(IF('Gastos com Pessoal'!$G$513:$G$522&lt;=I$3,('Gastos com Pessoal'!$H$513:$H$522)+1,1))
*(IF('Gastos com Pessoal'!$M$513:$M$522&lt;=I$3,('Gastos com Pessoal'!$N$513:$N$522)+1,1))
*(IF('Gastos com Pessoal'!$S$513:$S$522&lt;=I$3,('Gastos com Pessoal'!$T$513:$T$522)+1,1))
*(IF('Gastos com Pessoal'!$Y$513:$Y$522&lt;=I$3,('Gastos com Pessoal'!$Z$513:$Z$522)+1,1))
*(IF('Gastos com Pessoal'!$AE$513:$AE$522&lt;=I$3,('Gastos com Pessoal'!$AF$513:$AF$522)+1,1))),0)</f>
        <v>111210.77451358875</v>
      </c>
      <c r="J39" s="32">
        <f t="array" aca="1" ref="J39" ca="1">_xlfn.IFNA(SUM((J$3&gt;='Gastos com Pessoal'!$E$7:$E$506)*(J$3&lt;='Gastos com Pessoal'!$F$7:$F$506)*OFFSET('Encargos e Benefícios'!$D$5,1,MATCH($B39,'Encargos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
+_xlfn.IFNA(SUM((J$3&gt;='Gastos com Pessoal'!$E$513:$E$522)*(J$3&lt;='Gastos com Pessoal'!$F$513:$F$522)*OFFSET('Encargos e Benefícios'!$D$511,1,MATCH($B39,'Encargos e Benefícios'!$F$511:$AB$511,0),10,1)
*(IF('Gastos com Pessoal'!$G$513:$G$522&lt;=J$3,('Gastos com Pessoal'!$H$513:$H$522)+1,1))
*(IF('Gastos com Pessoal'!$M$513:$M$522&lt;=J$3,('Gastos com Pessoal'!$N$513:$N$522)+1,1))
*(IF('Gastos com Pessoal'!$S$513:$S$522&lt;=J$3,('Gastos com Pessoal'!$T$513:$T$522)+1,1))
*(IF('Gastos com Pessoal'!$Y$513:$Y$522&lt;=J$3,('Gastos com Pessoal'!$Z$513:$Z$522)+1,1))
*(IF('Gastos com Pessoal'!$AE$513:$AE$522&lt;=J$3,('Gastos com Pessoal'!$AF$513:$AF$522)+1,1))),0)</f>
        <v>111210.77451358875</v>
      </c>
      <c r="K39" s="32">
        <f t="array" aca="1" ref="K39" ca="1">_xlfn.IFNA(SUM((K$3&gt;='Gastos com Pessoal'!$E$7:$E$506)*(K$3&lt;='Gastos com Pessoal'!$F$7:$F$506)*OFFSET('Encargos e Benefícios'!$D$5,1,MATCH($B39,'Encargos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
+_xlfn.IFNA(SUM((K$3&gt;='Gastos com Pessoal'!$E$513:$E$522)*(K$3&lt;='Gastos com Pessoal'!$F$513:$F$522)*OFFSET('Encargos e Benefícios'!$D$511,1,MATCH($B39,'Encargos e Benefícios'!$F$511:$AB$511,0),10,1)
*(IF('Gastos com Pessoal'!$G$513:$G$522&lt;=K$3,('Gastos com Pessoal'!$H$513:$H$522)+1,1))
*(IF('Gastos com Pessoal'!$M$513:$M$522&lt;=K$3,('Gastos com Pessoal'!$N$513:$N$522)+1,1))
*(IF('Gastos com Pessoal'!$S$513:$S$522&lt;=K$3,('Gastos com Pessoal'!$T$513:$T$522)+1,1))
*(IF('Gastos com Pessoal'!$Y$513:$Y$522&lt;=K$3,('Gastos com Pessoal'!$Z$513:$Z$522)+1,1))
*(IF('Gastos com Pessoal'!$AE$513:$AE$522&lt;=K$3,('Gastos com Pessoal'!$AF$513:$AF$522)+1,1))),0)</f>
        <v>111210.77451358875</v>
      </c>
      <c r="L39" s="32">
        <f t="array" aca="1" ref="L39" ca="1">_xlfn.IFNA(SUM((L$3&gt;='Gastos com Pessoal'!$E$7:$E$506)*(L$3&lt;='Gastos com Pessoal'!$F$7:$F$506)*OFFSET('Encargos e Benefícios'!$D$5,1,MATCH($B39,'Encargos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
+_xlfn.IFNA(SUM((L$3&gt;='Gastos com Pessoal'!$E$513:$E$522)*(L$3&lt;='Gastos com Pessoal'!$F$513:$F$522)*OFFSET('Encargos e Benefícios'!$D$511,1,MATCH($B39,'Encargos e Benefícios'!$F$511:$AB$511,0),10,1)
*(IF('Gastos com Pessoal'!$G$513:$G$522&lt;=L$3,('Gastos com Pessoal'!$H$513:$H$522)+1,1))
*(IF('Gastos com Pessoal'!$M$513:$M$522&lt;=L$3,('Gastos com Pessoal'!$N$513:$N$522)+1,1))
*(IF('Gastos com Pessoal'!$S$513:$S$522&lt;=L$3,('Gastos com Pessoal'!$T$513:$T$522)+1,1))
*(IF('Gastos com Pessoal'!$Y$513:$Y$522&lt;=L$3,('Gastos com Pessoal'!$Z$513:$Z$522)+1,1))
*(IF('Gastos com Pessoal'!$AE$513:$AE$522&lt;=L$3,('Gastos com Pessoal'!$AF$513:$AF$522)+1,1))),0)</f>
        <v>111210.77451358875</v>
      </c>
      <c r="M39" s="32">
        <f t="array" aca="1" ref="M39" ca="1">_xlfn.IFNA(SUM((M$3&gt;='Gastos com Pessoal'!$E$7:$E$506)*(M$3&lt;='Gastos com Pessoal'!$F$7:$F$506)*OFFSET('Encargos e Benefícios'!$D$5,1,MATCH($B39,'Encargos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
+_xlfn.IFNA(SUM((M$3&gt;='Gastos com Pessoal'!$E$513:$E$522)*(M$3&lt;='Gastos com Pessoal'!$F$513:$F$522)*OFFSET('Encargos e Benefícios'!$D$511,1,MATCH($B39,'Encargos e Benefícios'!$F$511:$AB$511,0),10,1)
*(IF('Gastos com Pessoal'!$G$513:$G$522&lt;=M$3,('Gastos com Pessoal'!$H$513:$H$522)+1,1))
*(IF('Gastos com Pessoal'!$M$513:$M$522&lt;=M$3,('Gastos com Pessoal'!$N$513:$N$522)+1,1))
*(IF('Gastos com Pessoal'!$S$513:$S$522&lt;=M$3,('Gastos com Pessoal'!$T$513:$T$522)+1,1))
*(IF('Gastos com Pessoal'!$Y$513:$Y$522&lt;=M$3,('Gastos com Pessoal'!$Z$513:$Z$522)+1,1))
*(IF('Gastos com Pessoal'!$AE$513:$AE$522&lt;=M$3,('Gastos com Pessoal'!$AF$513:$AF$522)+1,1))),0)</f>
        <v>111210.77451358875</v>
      </c>
      <c r="N39" s="32">
        <f t="array" aca="1" ref="N39" ca="1">_xlfn.IFNA(SUM((N$3&gt;='Gastos com Pessoal'!$E$7:$E$506)*(N$3&lt;='Gastos com Pessoal'!$F$7:$F$506)*OFFSET('Encargos e Benefícios'!$D$5,1,MATCH($B39,'Encargos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
+_xlfn.IFNA(SUM((N$3&gt;='Gastos com Pessoal'!$E$513:$E$522)*(N$3&lt;='Gastos com Pessoal'!$F$513:$F$522)*OFFSET('Encargos e Benefícios'!$D$511,1,MATCH($B39,'Encargos e Benefícios'!$F$511:$AB$511,0),10,1)
*(IF('Gastos com Pessoal'!$G$513:$G$522&lt;=N$3,('Gastos com Pessoal'!$H$513:$H$522)+1,1))
*(IF('Gastos com Pessoal'!$M$513:$M$522&lt;=N$3,('Gastos com Pessoal'!$N$513:$N$522)+1,1))
*(IF('Gastos com Pessoal'!$S$513:$S$522&lt;=N$3,('Gastos com Pessoal'!$T$513:$T$522)+1,1))
*(IF('Gastos com Pessoal'!$Y$513:$Y$522&lt;=N$3,('Gastos com Pessoal'!$Z$513:$Z$522)+1,1))
*(IF('Gastos com Pessoal'!$AE$513:$AE$522&lt;=N$3,('Gastos com Pessoal'!$AF$513:$AF$522)+1,1))),0)</f>
        <v>111210.77451358875</v>
      </c>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f t="array" aca="1" ref="AM39" ca="1">_xlfn.IFNA(SUM((AM$3&gt;='Gastos com Pessoal'!$E$7:$E$506)*(AM$3&lt;='Gastos com Pessoal'!$F$7:$F$506)*OFFSET('Encargos e Benefícios'!$D$5,1,MATCH($B39,'Encargos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
+_xlfn.IFNA(SUM((AM$3&gt;='Gastos com Pessoal'!$E$513:$E$522)*(AM$3&lt;='Gastos com Pessoal'!$F$513:$F$522)*OFFSET('Encargos e Benefícios'!$D$511,1,MATCH($B39,'Encargos e Benefícios'!$F$511:$AB$511,0),10,1)
*(IF('Gastos com Pessoal'!$G$513:$G$522&lt;=AM$3,('Gastos com Pessoal'!$H$513:$H$522)+1,1))
*(IF('Gastos com Pessoal'!$M$513:$M$522&lt;=AM$3,('Gastos com Pessoal'!$N$513:$N$522)+1,1))
*(IF('Gastos com Pessoal'!$S$513:$S$522&lt;=AM$3,('Gastos com Pessoal'!$T$513:$T$522)+1,1))
*(IF('Gastos com Pessoal'!$Y$513:$Y$522&lt;=AM$3,('Gastos com Pessoal'!$Z$513:$Z$522)+1,1))
*(IF('Gastos com Pessoal'!$AE$513:$AE$522&lt;=AM$3,('Gastos com Pessoal'!$AF$513:$AF$522)+1,1))),0)</f>
        <v>0</v>
      </c>
      <c r="AN39" s="32">
        <f t="array" aca="1" ref="AN39" ca="1">_xlfn.IFNA(SUM((AN$3&gt;='Gastos com Pessoal'!$E$7:$E$506)*(AN$3&lt;='Gastos com Pessoal'!$F$7:$F$506)*OFFSET('Encargos e Benefícios'!$D$5,1,MATCH($B39,'Encargos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
+_xlfn.IFNA(SUM((AN$3&gt;='Gastos com Pessoal'!$E$513:$E$522)*(AN$3&lt;='Gastos com Pessoal'!$F$513:$F$522)*OFFSET('Encargos e Benefícios'!$D$511,1,MATCH($B39,'Encargos e Benefícios'!$F$511:$AB$511,0),10,1)
*(IF('Gastos com Pessoal'!$G$513:$G$522&lt;=AN$3,('Gastos com Pessoal'!$H$513:$H$522)+1,1))
*(IF('Gastos com Pessoal'!$M$513:$M$522&lt;=AN$3,('Gastos com Pessoal'!$N$513:$N$522)+1,1))
*(IF('Gastos com Pessoal'!$S$513:$S$522&lt;=AN$3,('Gastos com Pessoal'!$T$513:$T$522)+1,1))
*(IF('Gastos com Pessoal'!$Y$513:$Y$522&lt;=AN$3,('Gastos com Pessoal'!$Z$513:$Z$522)+1,1))
*(IF('Gastos com Pessoal'!$AE$513:$AE$522&lt;=AN$3,('Gastos com Pessoal'!$AF$513:$AF$522)+1,1))),0)</f>
        <v>0</v>
      </c>
      <c r="AO39" s="32">
        <f t="array" aca="1" ref="AO39" ca="1">_xlfn.IFNA(SUM((AO$3&gt;='Gastos com Pessoal'!$E$7:$E$506)*(AO$3&lt;='Gastos com Pessoal'!$F$7:$F$506)*OFFSET('Encargos e Benefícios'!$D$5,1,MATCH($B39,'Encargos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
+_xlfn.IFNA(SUM((AO$3&gt;='Gastos com Pessoal'!$E$513:$E$522)*(AO$3&lt;='Gastos com Pessoal'!$F$513:$F$522)*OFFSET('Encargos e Benefícios'!$D$511,1,MATCH($B39,'Encargos e Benefícios'!$F$511:$AB$511,0),10,1)
*(IF('Gastos com Pessoal'!$G$513:$G$522&lt;=AO$3,('Gastos com Pessoal'!$H$513:$H$522)+1,1))
*(IF('Gastos com Pessoal'!$M$513:$M$522&lt;=AO$3,('Gastos com Pessoal'!$N$513:$N$522)+1,1))
*(IF('Gastos com Pessoal'!$S$513:$S$522&lt;=AO$3,('Gastos com Pessoal'!$T$513:$T$522)+1,1))
*(IF('Gastos com Pessoal'!$Y$513:$Y$522&lt;=AO$3,('Gastos com Pessoal'!$Z$513:$Z$522)+1,1))
*(IF('Gastos com Pessoal'!$AE$513:$AE$522&lt;=AO$3,('Gastos com Pessoal'!$AF$513:$AF$522)+1,1))),0)</f>
        <v>0</v>
      </c>
      <c r="AP39" s="32">
        <f t="array" aca="1" ref="AP39" ca="1">_xlfn.IFNA(SUM((AP$3&gt;='Gastos com Pessoal'!$E$7:$E$506)*(AP$3&lt;='Gastos com Pessoal'!$F$7:$F$506)*OFFSET('Encargos e Benefícios'!$D$5,1,MATCH($B39,'Encargos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
+_xlfn.IFNA(SUM((AP$3&gt;='Gastos com Pessoal'!$E$513:$E$522)*(AP$3&lt;='Gastos com Pessoal'!$F$513:$F$522)*OFFSET('Encargos e Benefícios'!$D$511,1,MATCH($B39,'Encargos e Benefícios'!$F$511:$AB$511,0),10,1)
*(IF('Gastos com Pessoal'!$G$513:$G$522&lt;=AP$3,('Gastos com Pessoal'!$H$513:$H$522)+1,1))
*(IF('Gastos com Pessoal'!$M$513:$M$522&lt;=AP$3,('Gastos com Pessoal'!$N$513:$N$522)+1,1))
*(IF('Gastos com Pessoal'!$S$513:$S$522&lt;=AP$3,('Gastos com Pessoal'!$T$513:$T$522)+1,1))
*(IF('Gastos com Pessoal'!$Y$513:$Y$522&lt;=AP$3,('Gastos com Pessoal'!$Z$513:$Z$522)+1,1))
*(IF('Gastos com Pessoal'!$AE$513:$AE$522&lt;=AP$3,('Gastos com Pessoal'!$AF$513:$AF$522)+1,1))),0)</f>
        <v>0</v>
      </c>
      <c r="AQ39" s="32">
        <f t="array" aca="1" ref="AQ39" ca="1">_xlfn.IFNA(SUM((AQ$3&gt;='Gastos com Pessoal'!$E$7:$E$506)*(AQ$3&lt;='Gastos com Pessoal'!$F$7:$F$506)*OFFSET('Encargos e Benefícios'!$D$5,1,MATCH($B39,'Encargos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
+_xlfn.IFNA(SUM((AQ$3&gt;='Gastos com Pessoal'!$E$513:$E$522)*(AQ$3&lt;='Gastos com Pessoal'!$F$513:$F$522)*OFFSET('Encargos e Benefícios'!$D$511,1,MATCH($B39,'Encargos e Benefícios'!$F$511:$AB$511,0),10,1)
*(IF('Gastos com Pessoal'!$G$513:$G$522&lt;=AQ$3,('Gastos com Pessoal'!$H$513:$H$522)+1,1))
*(IF('Gastos com Pessoal'!$M$513:$M$522&lt;=AQ$3,('Gastos com Pessoal'!$N$513:$N$522)+1,1))
*(IF('Gastos com Pessoal'!$S$513:$S$522&lt;=AQ$3,('Gastos com Pessoal'!$T$513:$T$522)+1,1))
*(IF('Gastos com Pessoal'!$Y$513:$Y$522&lt;=AQ$3,('Gastos com Pessoal'!$Z$513:$Z$522)+1,1))
*(IF('Gastos com Pessoal'!$AE$513:$AE$522&lt;=AQ$3,('Gastos com Pessoal'!$AF$513:$AF$522)+1,1))),0)</f>
        <v>0</v>
      </c>
      <c r="AR39" s="32">
        <f t="array" aca="1" ref="AR39" ca="1">_xlfn.IFNA(SUM((AR$3&gt;='Gastos com Pessoal'!$E$7:$E$506)*(AR$3&lt;='Gastos com Pessoal'!$F$7:$F$506)*OFFSET('Encargos e Benefícios'!$D$5,1,MATCH($B39,'Encargos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
+_xlfn.IFNA(SUM((AR$3&gt;='Gastos com Pessoal'!$E$513:$E$522)*(AR$3&lt;='Gastos com Pessoal'!$F$513:$F$522)*OFFSET('Encargos e Benefícios'!$D$511,1,MATCH($B39,'Encargos e Benefícios'!$F$511:$AB$511,0),10,1)
*(IF('Gastos com Pessoal'!$G$513:$G$522&lt;=AR$3,('Gastos com Pessoal'!$H$513:$H$522)+1,1))
*(IF('Gastos com Pessoal'!$M$513:$M$522&lt;=AR$3,('Gastos com Pessoal'!$N$513:$N$522)+1,1))
*(IF('Gastos com Pessoal'!$S$513:$S$522&lt;=AR$3,('Gastos com Pessoal'!$T$513:$T$522)+1,1))
*(IF('Gastos com Pessoal'!$Y$513:$Y$522&lt;=AR$3,('Gastos com Pessoal'!$Z$513:$Z$522)+1,1))
*(IF('Gastos com Pessoal'!$AE$513:$AE$522&lt;=AR$3,('Gastos com Pessoal'!$AF$513:$AF$522)+1,1))),0)</f>
        <v>0</v>
      </c>
      <c r="AS39" s="32">
        <f t="array" aca="1" ref="AS39" ca="1">_xlfn.IFNA(SUM((AS$3&gt;='Gastos com Pessoal'!$E$7:$E$506)*(AS$3&lt;='Gastos com Pessoal'!$F$7:$F$506)*OFFSET('Encargos e Benefícios'!$D$5,1,MATCH($B39,'Encargos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
+_xlfn.IFNA(SUM((AS$3&gt;='Gastos com Pessoal'!$E$513:$E$522)*(AS$3&lt;='Gastos com Pessoal'!$F$513:$F$522)*OFFSET('Encargos e Benefícios'!$D$511,1,MATCH($B39,'Encargos e Benefícios'!$F$511:$AB$511,0),10,1)
*(IF('Gastos com Pessoal'!$G$513:$G$522&lt;=AS$3,('Gastos com Pessoal'!$H$513:$H$522)+1,1))
*(IF('Gastos com Pessoal'!$M$513:$M$522&lt;=AS$3,('Gastos com Pessoal'!$N$513:$N$522)+1,1))
*(IF('Gastos com Pessoal'!$S$513:$S$522&lt;=AS$3,('Gastos com Pessoal'!$T$513:$T$522)+1,1))
*(IF('Gastos com Pessoal'!$Y$513:$Y$522&lt;=AS$3,('Gastos com Pessoal'!$Z$513:$Z$522)+1,1))
*(IF('Gastos com Pessoal'!$AE$513:$AE$522&lt;=AS$3,('Gastos com Pessoal'!$AF$513:$AF$522)+1,1))),0)</f>
        <v>0</v>
      </c>
      <c r="AT39" s="32">
        <f t="array" aca="1" ref="AT39" ca="1">_xlfn.IFNA(SUM((AT$3&gt;='Gastos com Pessoal'!$E$7:$E$506)*(AT$3&lt;='Gastos com Pessoal'!$F$7:$F$506)*OFFSET('Encargos e Benefícios'!$D$5,1,MATCH($B39,'Encargos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
+_xlfn.IFNA(SUM((AT$3&gt;='Gastos com Pessoal'!$E$513:$E$522)*(AT$3&lt;='Gastos com Pessoal'!$F$513:$F$522)*OFFSET('Encargos e Benefícios'!$D$511,1,MATCH($B39,'Encargos e Benefícios'!$F$511:$AB$511,0),10,1)
*(IF('Gastos com Pessoal'!$G$513:$G$522&lt;=AT$3,('Gastos com Pessoal'!$H$513:$H$522)+1,1))
*(IF('Gastos com Pessoal'!$M$513:$M$522&lt;=AT$3,('Gastos com Pessoal'!$N$513:$N$522)+1,1))
*(IF('Gastos com Pessoal'!$S$513:$S$522&lt;=AT$3,('Gastos com Pessoal'!$T$513:$T$522)+1,1))
*(IF('Gastos com Pessoal'!$Y$513:$Y$522&lt;=AT$3,('Gastos com Pessoal'!$Z$513:$Z$522)+1,1))
*(IF('Gastos com Pessoal'!$AE$513:$AE$522&lt;=AT$3,('Gastos com Pessoal'!$AF$513:$AF$522)+1,1))),0)</f>
        <v>0</v>
      </c>
      <c r="AU39" s="32">
        <f t="array" aca="1" ref="AU39" ca="1">_xlfn.IFNA(SUM((AU$3&gt;='Gastos com Pessoal'!$E$7:$E$506)*(AU$3&lt;='Gastos com Pessoal'!$F$7:$F$506)*OFFSET('Encargos e Benefícios'!$D$5,1,MATCH($B39,'Encargos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
+_xlfn.IFNA(SUM((AU$3&gt;='Gastos com Pessoal'!$E$513:$E$522)*(AU$3&lt;='Gastos com Pessoal'!$F$513:$F$522)*OFFSET('Encargos e Benefícios'!$D$511,1,MATCH($B39,'Encargos e Benefícios'!$F$511:$AB$511,0),10,1)
*(IF('Gastos com Pessoal'!$G$513:$G$522&lt;=AU$3,('Gastos com Pessoal'!$H$513:$H$522)+1,1))
*(IF('Gastos com Pessoal'!$M$513:$M$522&lt;=AU$3,('Gastos com Pessoal'!$N$513:$N$522)+1,1))
*(IF('Gastos com Pessoal'!$S$513:$S$522&lt;=AU$3,('Gastos com Pessoal'!$T$513:$T$522)+1,1))
*(IF('Gastos com Pessoal'!$Y$513:$Y$522&lt;=AU$3,('Gastos com Pessoal'!$Z$513:$Z$522)+1,1))
*(IF('Gastos com Pessoal'!$AE$513:$AE$522&lt;=AU$3,('Gastos com Pessoal'!$AF$513:$AF$522)+1,1))),0)</f>
        <v>0</v>
      </c>
      <c r="AV39" s="32">
        <f t="array" aca="1" ref="AV39" ca="1">_xlfn.IFNA(SUM((AV$3&gt;='Gastos com Pessoal'!$E$7:$E$506)*(AV$3&lt;='Gastos com Pessoal'!$F$7:$F$506)*OFFSET('Encargos e Benefícios'!$D$5,1,MATCH($B39,'Encargos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
+_xlfn.IFNA(SUM((AV$3&gt;='Gastos com Pessoal'!$E$513:$E$522)*(AV$3&lt;='Gastos com Pessoal'!$F$513:$F$522)*OFFSET('Encargos e Benefícios'!$D$511,1,MATCH($B39,'Encargos e Benefícios'!$F$511:$AB$511,0),10,1)
*(IF('Gastos com Pessoal'!$G$513:$G$522&lt;=AV$3,('Gastos com Pessoal'!$H$513:$H$522)+1,1))
*(IF('Gastos com Pessoal'!$M$513:$M$522&lt;=AV$3,('Gastos com Pessoal'!$N$513:$N$522)+1,1))
*(IF('Gastos com Pessoal'!$S$513:$S$522&lt;=AV$3,('Gastos com Pessoal'!$T$513:$T$522)+1,1))
*(IF('Gastos com Pessoal'!$Y$513:$Y$522&lt;=AV$3,('Gastos com Pessoal'!$Z$513:$Z$522)+1,1))
*(IF('Gastos com Pessoal'!$AE$513:$AE$522&lt;=AV$3,('Gastos com Pessoal'!$AF$513:$AF$522)+1,1))),0)</f>
        <v>0</v>
      </c>
      <c r="AW39" s="32">
        <f t="array" aca="1" ref="AW39" ca="1">_xlfn.IFNA(SUM((AW$3&gt;='Gastos com Pessoal'!$E$7:$E$506)*(AW$3&lt;='Gastos com Pessoal'!$F$7:$F$506)*OFFSET('Encargos e Benefícios'!$D$5,1,MATCH($B39,'Encargos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
+_xlfn.IFNA(SUM((AW$3&gt;='Gastos com Pessoal'!$E$513:$E$522)*(AW$3&lt;='Gastos com Pessoal'!$F$513:$F$522)*OFFSET('Encargos e Benefícios'!$D$511,1,MATCH($B39,'Encargos e Benefícios'!$F$511:$AB$511,0),10,1)
*(IF('Gastos com Pessoal'!$G$513:$G$522&lt;=AW$3,('Gastos com Pessoal'!$H$513:$H$522)+1,1))
*(IF('Gastos com Pessoal'!$M$513:$M$522&lt;=AW$3,('Gastos com Pessoal'!$N$513:$N$522)+1,1))
*(IF('Gastos com Pessoal'!$S$513:$S$522&lt;=AW$3,('Gastos com Pessoal'!$T$513:$T$522)+1,1))
*(IF('Gastos com Pessoal'!$Y$513:$Y$522&lt;=AW$3,('Gastos com Pessoal'!$Z$513:$Z$522)+1,1))
*(IF('Gastos com Pessoal'!$AE$513:$AE$522&lt;=AW$3,('Gastos com Pessoal'!$AF$513:$AF$522)+1,1))),0)</f>
        <v>0</v>
      </c>
      <c r="AX39" s="32">
        <f t="array" aca="1" ref="AX39" ca="1">_xlfn.IFNA(SUM((AX$3&gt;='Gastos com Pessoal'!$E$7:$E$506)*(AX$3&lt;='Gastos com Pessoal'!$F$7:$F$506)*OFFSET('Encargos e Benefícios'!$D$5,1,MATCH($B39,'Encargos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
+_xlfn.IFNA(SUM((AX$3&gt;='Gastos com Pessoal'!$E$513:$E$522)*(AX$3&lt;='Gastos com Pessoal'!$F$513:$F$522)*OFFSET('Encargos e Benefícios'!$D$511,1,MATCH($B39,'Encargos e Benefícios'!$F$511:$AB$511,0),10,1)
*(IF('Gastos com Pessoal'!$G$513:$G$522&lt;=AX$3,('Gastos com Pessoal'!$H$513:$H$522)+1,1))
*(IF('Gastos com Pessoal'!$M$513:$M$522&lt;=AX$3,('Gastos com Pessoal'!$N$513:$N$522)+1,1))
*(IF('Gastos com Pessoal'!$S$513:$S$522&lt;=AX$3,('Gastos com Pessoal'!$T$513:$T$522)+1,1))
*(IF('Gastos com Pessoal'!$Y$513:$Y$522&lt;=AX$3,('Gastos com Pessoal'!$Z$513:$Z$522)+1,1))
*(IF('Gastos com Pessoal'!$AE$513:$AE$522&lt;=AX$3,('Gastos com Pessoal'!$AF$513:$AF$522)+1,1))),0)</f>
        <v>0</v>
      </c>
      <c r="AY39" s="32">
        <f t="array" aca="1" ref="AY39" ca="1">_xlfn.IFNA(SUM((AY$3&gt;='Gastos com Pessoal'!$E$7:$E$506)*(AY$3&lt;='Gastos com Pessoal'!$F$7:$F$506)*OFFSET('Encargos e Benefícios'!$D$5,1,MATCH($B39,'Encargos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
+_xlfn.IFNA(SUM((AY$3&gt;='Gastos com Pessoal'!$E$513:$E$522)*(AY$3&lt;='Gastos com Pessoal'!$F$513:$F$522)*OFFSET('Encargos e Benefícios'!$D$511,1,MATCH($B39,'Encargos e Benefícios'!$F$511:$AB$511,0),10,1)
*(IF('Gastos com Pessoal'!$G$513:$G$522&lt;=AY$3,('Gastos com Pessoal'!$H$513:$H$522)+1,1))
*(IF('Gastos com Pessoal'!$M$513:$M$522&lt;=AY$3,('Gastos com Pessoal'!$N$513:$N$522)+1,1))
*(IF('Gastos com Pessoal'!$S$513:$S$522&lt;=AY$3,('Gastos com Pessoal'!$T$513:$T$522)+1,1))
*(IF('Gastos com Pessoal'!$Y$513:$Y$522&lt;=AY$3,('Gastos com Pessoal'!$Z$513:$Z$522)+1,1))
*(IF('Gastos com Pessoal'!$AE$513:$AE$522&lt;=AY$3,('Gastos com Pessoal'!$AF$513:$AF$522)+1,1))),0)</f>
        <v>0</v>
      </c>
      <c r="AZ39" s="32">
        <f t="array" aca="1" ref="AZ39" ca="1">_xlfn.IFNA(SUM((AZ$3&gt;='Gastos com Pessoal'!$E$7:$E$506)*(AZ$3&lt;='Gastos com Pessoal'!$F$7:$F$506)*OFFSET('Encargos e Benefícios'!$D$5,1,MATCH($B39,'Encargos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
+_xlfn.IFNA(SUM((AZ$3&gt;='Gastos com Pessoal'!$E$513:$E$522)*(AZ$3&lt;='Gastos com Pessoal'!$F$513:$F$522)*OFFSET('Encargos e Benefícios'!$D$511,1,MATCH($B39,'Encargos e Benefícios'!$F$511:$AB$511,0),10,1)
*(IF('Gastos com Pessoal'!$G$513:$G$522&lt;=AZ$3,('Gastos com Pessoal'!$H$513:$H$522)+1,1))
*(IF('Gastos com Pessoal'!$M$513:$M$522&lt;=AZ$3,('Gastos com Pessoal'!$N$513:$N$522)+1,1))
*(IF('Gastos com Pessoal'!$S$513:$S$522&lt;=AZ$3,('Gastos com Pessoal'!$T$513:$T$522)+1,1))
*(IF('Gastos com Pessoal'!$Y$513:$Y$522&lt;=AZ$3,('Gastos com Pessoal'!$Z$513:$Z$522)+1,1))
*(IF('Gastos com Pessoal'!$AE$513:$AE$522&lt;=AZ$3,('Gastos com Pessoal'!$AF$513:$AF$522)+1,1))),0)</f>
        <v>0</v>
      </c>
      <c r="BA39" s="32">
        <f t="array" aca="1" ref="BA39" ca="1">_xlfn.IFNA(SUM((BA$3&gt;='Gastos com Pessoal'!$E$7:$E$506)*(BA$3&lt;='Gastos com Pessoal'!$F$7:$F$506)*OFFSET('Encargos e Benefícios'!$D$5,1,MATCH($B39,'Encargos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
+_xlfn.IFNA(SUM((BA$3&gt;='Gastos com Pessoal'!$E$513:$E$522)*(BA$3&lt;='Gastos com Pessoal'!$F$513:$F$522)*OFFSET('Encargos e Benefícios'!$D$511,1,MATCH($B39,'Encargos e Benefícios'!$F$511:$AB$511,0),10,1)
*(IF('Gastos com Pessoal'!$G$513:$G$522&lt;=BA$3,('Gastos com Pessoal'!$H$513:$H$522)+1,1))
*(IF('Gastos com Pessoal'!$M$513:$M$522&lt;=BA$3,('Gastos com Pessoal'!$N$513:$N$522)+1,1))
*(IF('Gastos com Pessoal'!$S$513:$S$522&lt;=BA$3,('Gastos com Pessoal'!$T$513:$T$522)+1,1))
*(IF('Gastos com Pessoal'!$Y$513:$Y$522&lt;=BA$3,('Gastos com Pessoal'!$Z$513:$Z$522)+1,1))
*(IF('Gastos com Pessoal'!$AE$513:$AE$522&lt;=BA$3,('Gastos com Pessoal'!$AF$513:$AF$522)+1,1))),0)</f>
        <v>0</v>
      </c>
      <c r="BB39" s="32">
        <f t="array" aca="1" ref="BB39" ca="1">_xlfn.IFNA(SUM((BB$3&gt;='Gastos com Pessoal'!$E$7:$E$506)*(BB$3&lt;='Gastos com Pessoal'!$F$7:$F$506)*OFFSET('Encargos e Benefícios'!$D$5,1,MATCH($B39,'Encargos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
+_xlfn.IFNA(SUM((BB$3&gt;='Gastos com Pessoal'!$E$513:$E$522)*(BB$3&lt;='Gastos com Pessoal'!$F$513:$F$522)*OFFSET('Encargos e Benefícios'!$D$511,1,MATCH($B39,'Encargos e Benefícios'!$F$511:$AB$511,0),10,1)
*(IF('Gastos com Pessoal'!$G$513:$G$522&lt;=BB$3,('Gastos com Pessoal'!$H$513:$H$522)+1,1))
*(IF('Gastos com Pessoal'!$M$513:$M$522&lt;=BB$3,('Gastos com Pessoal'!$N$513:$N$522)+1,1))
*(IF('Gastos com Pessoal'!$S$513:$S$522&lt;=BB$3,('Gastos com Pessoal'!$T$513:$T$522)+1,1))
*(IF('Gastos com Pessoal'!$Y$513:$Y$522&lt;=BB$3,('Gastos com Pessoal'!$Z$513:$Z$522)+1,1))
*(IF('Gastos com Pessoal'!$AE$513:$AE$522&lt;=BB$3,('Gastos com Pessoal'!$AF$513:$AF$522)+1,1))),0)</f>
        <v>0</v>
      </c>
      <c r="BC39" s="32">
        <f t="array" aca="1" ref="BC39" ca="1">_xlfn.IFNA(SUM((BC$3&gt;='Gastos com Pessoal'!$E$7:$E$506)*(BC$3&lt;='Gastos com Pessoal'!$F$7:$F$506)*OFFSET('Encargos e Benefícios'!$D$5,1,MATCH($B39,'Encargos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
+_xlfn.IFNA(SUM((BC$3&gt;='Gastos com Pessoal'!$E$513:$E$522)*(BC$3&lt;='Gastos com Pessoal'!$F$513:$F$522)*OFFSET('Encargos e Benefícios'!$D$511,1,MATCH($B39,'Encargos e Benefícios'!$F$511:$AB$511,0),10,1)
*(IF('Gastos com Pessoal'!$G$513:$G$522&lt;=BC$3,('Gastos com Pessoal'!$H$513:$H$522)+1,1))
*(IF('Gastos com Pessoal'!$M$513:$M$522&lt;=BC$3,('Gastos com Pessoal'!$N$513:$N$522)+1,1))
*(IF('Gastos com Pessoal'!$S$513:$S$522&lt;=BC$3,('Gastos com Pessoal'!$T$513:$T$522)+1,1))
*(IF('Gastos com Pessoal'!$Y$513:$Y$522&lt;=BC$3,('Gastos com Pessoal'!$Z$513:$Z$522)+1,1))
*(IF('Gastos com Pessoal'!$AE$513:$AE$522&lt;=BC$3,('Gastos com Pessoal'!$AF$513:$AF$522)+1,1))),0)</f>
        <v>0</v>
      </c>
      <c r="BD39" s="32">
        <f t="array" aca="1" ref="BD39" ca="1">_xlfn.IFNA(SUM((BD$3&gt;='Gastos com Pessoal'!$E$7:$E$506)*(BD$3&lt;='Gastos com Pessoal'!$F$7:$F$506)*OFFSET('Encargos e Benefícios'!$D$5,1,MATCH($B39,'Encargos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
+_xlfn.IFNA(SUM((BD$3&gt;='Gastos com Pessoal'!$E$513:$E$522)*(BD$3&lt;='Gastos com Pessoal'!$F$513:$F$522)*OFFSET('Encargos e Benefícios'!$D$511,1,MATCH($B39,'Encargos e Benefícios'!$F$511:$AB$511,0),10,1)
*(IF('Gastos com Pessoal'!$G$513:$G$522&lt;=BD$3,('Gastos com Pessoal'!$H$513:$H$522)+1,1))
*(IF('Gastos com Pessoal'!$M$513:$M$522&lt;=BD$3,('Gastos com Pessoal'!$N$513:$N$522)+1,1))
*(IF('Gastos com Pessoal'!$S$513:$S$522&lt;=BD$3,('Gastos com Pessoal'!$T$513:$T$522)+1,1))
*(IF('Gastos com Pessoal'!$Y$513:$Y$522&lt;=BD$3,('Gastos com Pessoal'!$Z$513:$Z$522)+1,1))
*(IF('Gastos com Pessoal'!$AE$513:$AE$522&lt;=BD$3,('Gastos com Pessoal'!$AF$513:$AF$522)+1,1))),0)</f>
        <v>0</v>
      </c>
      <c r="BE39" s="32">
        <f t="array" aca="1" ref="BE39" ca="1">_xlfn.IFNA(SUM((BE$3&gt;='Gastos com Pessoal'!$E$7:$E$506)*(BE$3&lt;='Gastos com Pessoal'!$F$7:$F$506)*OFFSET('Encargos e Benefícios'!$D$5,1,MATCH($B39,'Encargos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
+_xlfn.IFNA(SUM((BE$3&gt;='Gastos com Pessoal'!$E$513:$E$522)*(BE$3&lt;='Gastos com Pessoal'!$F$513:$F$522)*OFFSET('Encargos e Benefícios'!$D$511,1,MATCH($B39,'Encargos e Benefícios'!$F$511:$AB$511,0),10,1)
*(IF('Gastos com Pessoal'!$G$513:$G$522&lt;=BE$3,('Gastos com Pessoal'!$H$513:$H$522)+1,1))
*(IF('Gastos com Pessoal'!$M$513:$M$522&lt;=BE$3,('Gastos com Pessoal'!$N$513:$N$522)+1,1))
*(IF('Gastos com Pessoal'!$S$513:$S$522&lt;=BE$3,('Gastos com Pessoal'!$T$513:$T$522)+1,1))
*(IF('Gastos com Pessoal'!$Y$513:$Y$522&lt;=BE$3,('Gastos com Pessoal'!$Z$513:$Z$522)+1,1))
*(IF('Gastos com Pessoal'!$AE$513:$AE$522&lt;=BE$3,('Gastos com Pessoal'!$AF$513:$AF$522)+1,1))),0)</f>
        <v>0</v>
      </c>
      <c r="BF39" s="32">
        <f t="array" aca="1" ref="BF39" ca="1">_xlfn.IFNA(SUM((BF$3&gt;='Gastos com Pessoal'!$E$7:$E$506)*(BF$3&lt;='Gastos com Pessoal'!$F$7:$F$506)*OFFSET('Encargos e Benefícios'!$D$5,1,MATCH($B39,'Encargos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
+_xlfn.IFNA(SUM((BF$3&gt;='Gastos com Pessoal'!$E$513:$E$522)*(BF$3&lt;='Gastos com Pessoal'!$F$513:$F$522)*OFFSET('Encargos e Benefícios'!$D$511,1,MATCH($B39,'Encargos e Benefícios'!$F$511:$AB$511,0),10,1)
*(IF('Gastos com Pessoal'!$G$513:$G$522&lt;=BF$3,('Gastos com Pessoal'!$H$513:$H$522)+1,1))
*(IF('Gastos com Pessoal'!$M$513:$M$522&lt;=BF$3,('Gastos com Pessoal'!$N$513:$N$522)+1,1))
*(IF('Gastos com Pessoal'!$S$513:$S$522&lt;=BF$3,('Gastos com Pessoal'!$T$513:$T$522)+1,1))
*(IF('Gastos com Pessoal'!$Y$513:$Y$522&lt;=BF$3,('Gastos com Pessoal'!$Z$513:$Z$522)+1,1))
*(IF('Gastos com Pessoal'!$AE$513:$AE$522&lt;=BF$3,('Gastos com Pessoal'!$AF$513:$AF$522)+1,1))),0)</f>
        <v>0</v>
      </c>
      <c r="BG39" s="32">
        <f t="array" aca="1" ref="BG39" ca="1">_xlfn.IFNA(SUM((BG$3&gt;='Gastos com Pessoal'!$E$7:$E$506)*(BG$3&lt;='Gastos com Pessoal'!$F$7:$F$506)*OFFSET('Encargos e Benefícios'!$D$5,1,MATCH($B39,'Encargos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
+_xlfn.IFNA(SUM((BG$3&gt;='Gastos com Pessoal'!$E$513:$E$522)*(BG$3&lt;='Gastos com Pessoal'!$F$513:$F$522)*OFFSET('Encargos e Benefícios'!$D$511,1,MATCH($B39,'Encargos e Benefícios'!$F$511:$AB$511,0),10,1)
*(IF('Gastos com Pessoal'!$G$513:$G$522&lt;=BG$3,('Gastos com Pessoal'!$H$513:$H$522)+1,1))
*(IF('Gastos com Pessoal'!$M$513:$M$522&lt;=BG$3,('Gastos com Pessoal'!$N$513:$N$522)+1,1))
*(IF('Gastos com Pessoal'!$S$513:$S$522&lt;=BG$3,('Gastos com Pessoal'!$T$513:$T$522)+1,1))
*(IF('Gastos com Pessoal'!$Y$513:$Y$522&lt;=BG$3,('Gastos com Pessoal'!$Z$513:$Z$522)+1,1))
*(IF('Gastos com Pessoal'!$AE$513:$AE$522&lt;=BG$3,('Gastos com Pessoal'!$AF$513:$AF$522)+1,1))),0)</f>
        <v>0</v>
      </c>
      <c r="BH39" s="32">
        <f t="array" aca="1" ref="BH39" ca="1">_xlfn.IFNA(SUM((BH$3&gt;='Gastos com Pessoal'!$E$7:$E$506)*(BH$3&lt;='Gastos com Pessoal'!$F$7:$F$506)*OFFSET('Encargos e Benefícios'!$D$5,1,MATCH($B39,'Encargos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
+_xlfn.IFNA(SUM((BH$3&gt;='Gastos com Pessoal'!$E$513:$E$522)*(BH$3&lt;='Gastos com Pessoal'!$F$513:$F$522)*OFFSET('Encargos e Benefícios'!$D$511,1,MATCH($B39,'Encargos e Benefícios'!$F$511:$AB$511,0),10,1)
*(IF('Gastos com Pessoal'!$G$513:$G$522&lt;=BH$3,('Gastos com Pessoal'!$H$513:$H$522)+1,1))
*(IF('Gastos com Pessoal'!$M$513:$M$522&lt;=BH$3,('Gastos com Pessoal'!$N$513:$N$522)+1,1))
*(IF('Gastos com Pessoal'!$S$513:$S$522&lt;=BH$3,('Gastos com Pessoal'!$T$513:$T$522)+1,1))
*(IF('Gastos com Pessoal'!$Y$513:$Y$522&lt;=BH$3,('Gastos com Pessoal'!$Z$513:$Z$522)+1,1))
*(IF('Gastos com Pessoal'!$AE$513:$AE$522&lt;=BH$3,('Gastos com Pessoal'!$AF$513:$AF$522)+1,1))),0)</f>
        <v>0</v>
      </c>
      <c r="BI39" s="32">
        <f t="array" aca="1" ref="BI39" ca="1">_xlfn.IFNA(SUM((BI$3&gt;='Gastos com Pessoal'!$E$7:$E$506)*(BI$3&lt;='Gastos com Pessoal'!$F$7:$F$506)*OFFSET('Encargos e Benefícios'!$D$5,1,MATCH($B39,'Encargos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
+_xlfn.IFNA(SUM((BI$3&gt;='Gastos com Pessoal'!$E$513:$E$522)*(BI$3&lt;='Gastos com Pessoal'!$F$513:$F$522)*OFFSET('Encargos e Benefícios'!$D$511,1,MATCH($B39,'Encargos e Benefícios'!$F$511:$AB$511,0),10,1)
*(IF('Gastos com Pessoal'!$G$513:$G$522&lt;=BI$3,('Gastos com Pessoal'!$H$513:$H$522)+1,1))
*(IF('Gastos com Pessoal'!$M$513:$M$522&lt;=BI$3,('Gastos com Pessoal'!$N$513:$N$522)+1,1))
*(IF('Gastos com Pessoal'!$S$513:$S$522&lt;=BI$3,('Gastos com Pessoal'!$T$513:$T$522)+1,1))
*(IF('Gastos com Pessoal'!$Y$513:$Y$522&lt;=BI$3,('Gastos com Pessoal'!$Z$513:$Z$522)+1,1))
*(IF('Gastos com Pessoal'!$AE$513:$AE$522&lt;=BI$3,('Gastos com Pessoal'!$AF$513:$AF$522)+1,1))),0)</f>
        <v>0</v>
      </c>
      <c r="BJ39" s="32">
        <f t="array" aca="1" ref="BJ39" ca="1">_xlfn.IFNA(SUM((BJ$3&gt;='Gastos com Pessoal'!$E$7:$E$506)*(BJ$3&lt;='Gastos com Pessoal'!$F$7:$F$506)*OFFSET('Encargos e Benefícios'!$D$5,1,MATCH($B39,'Encargos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
+_xlfn.IFNA(SUM((BJ$3&gt;='Gastos com Pessoal'!$E$513:$E$522)*(BJ$3&lt;='Gastos com Pessoal'!$F$513:$F$522)*OFFSET('Encargos e Benefícios'!$D$511,1,MATCH($B39,'Encargos e Benefícios'!$F$511:$AB$511,0),10,1)
*(IF('Gastos com Pessoal'!$G$513:$G$522&lt;=BJ$3,('Gastos com Pessoal'!$H$513:$H$522)+1,1))
*(IF('Gastos com Pessoal'!$M$513:$M$522&lt;=BJ$3,('Gastos com Pessoal'!$N$513:$N$522)+1,1))
*(IF('Gastos com Pessoal'!$S$513:$S$522&lt;=BJ$3,('Gastos com Pessoal'!$T$513:$T$522)+1,1))
*(IF('Gastos com Pessoal'!$Y$513:$Y$522&lt;=BJ$3,('Gastos com Pessoal'!$Z$513:$Z$522)+1,1))
*(IF('Gastos com Pessoal'!$AE$513:$AE$522&lt;=BJ$3,('Gastos com Pessoal'!$AF$513:$AF$522)+1,1))),0)</f>
        <v>0</v>
      </c>
      <c r="BK39" s="71">
        <f t="shared" ca="1" si="16"/>
        <v>1334529.294163065</v>
      </c>
      <c r="BL39" s="76">
        <f t="shared" ca="1" si="17"/>
        <v>3.6400600014431122E-3</v>
      </c>
    </row>
    <row r="40" spans="1:64" s="49" customFormat="1" ht="23.25" customHeight="1" x14ac:dyDescent="0.2">
      <c r="A40" s="19" t="s">
        <v>156</v>
      </c>
      <c r="B40" s="12" t="s">
        <v>157</v>
      </c>
      <c r="C40" s="32">
        <f t="array" aca="1" ref="C40" ca="1">_xlfn.IFNA(SUM((C$3&gt;='Gastos com Pessoal'!$E$7:$E$506)*(C$3&lt;='Gastos com Pessoal'!$F$7:$F$506)*OFFSET('Encargos e Benefícios'!$D$5,1,MATCH($B40,'Encargos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126321.35771076319</v>
      </c>
      <c r="D40" s="32">
        <f t="array" aca="1" ref="D40" ca="1">_xlfn.IFNA(SUM((D$3&gt;='Gastos com Pessoal'!$E$7:$E$506)*(D$3&lt;='Gastos com Pessoal'!$F$7:$F$506)*OFFSET('Encargos e Benefícios'!$D$5,1,MATCH($B40,'Encargos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126321.35771076319</v>
      </c>
      <c r="E40" s="32">
        <f t="array" aca="1" ref="E40" ca="1">_xlfn.IFNA(SUM((E$3&gt;='Gastos com Pessoal'!$E$7:$E$506)*(E$3&lt;='Gastos com Pessoal'!$F$7:$F$506)*OFFSET('Encargos e Benefícios'!$D$5,1,MATCH($B40,'Encargos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126321.35771076319</v>
      </c>
      <c r="F40" s="32">
        <f t="array" aca="1" ref="F40" ca="1">_xlfn.IFNA(SUM((F$3&gt;='Gastos com Pessoal'!$E$7:$E$506)*(F$3&lt;='Gastos com Pessoal'!$F$7:$F$506)*OFFSET('Encargos e Benefícios'!$D$5,1,MATCH($B40,'Encargos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126321.35771076319</v>
      </c>
      <c r="G40" s="32">
        <f t="array" aca="1" ref="G40" ca="1">_xlfn.IFNA(SUM((G$3&gt;='Gastos com Pessoal'!$E$7:$E$506)*(G$3&lt;='Gastos com Pessoal'!$F$7:$F$506)*OFFSET('Encargos e Benefícios'!$D$5,1,MATCH($B40,'Encargos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126321.35771076319</v>
      </c>
      <c r="H40" s="32">
        <f t="array" aca="1" ref="H40" ca="1">_xlfn.IFNA(SUM((H$3&gt;='Gastos com Pessoal'!$E$7:$E$506)*(H$3&lt;='Gastos com Pessoal'!$F$7:$F$506)*OFFSET('Encargos e Benefícios'!$D$5,1,MATCH($B40,'Encargos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126321.35771076319</v>
      </c>
      <c r="I40" s="32">
        <f t="array" aca="1" ref="I40" ca="1">_xlfn.IFNA(SUM((I$3&gt;='Gastos com Pessoal'!$E$7:$E$506)*(I$3&lt;='Gastos com Pessoal'!$F$7:$F$506)*OFFSET('Encargos e Benefícios'!$D$5,1,MATCH($B40,'Encargos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126321.35771076319</v>
      </c>
      <c r="J40" s="32">
        <f t="array" aca="1" ref="J40" ca="1">_xlfn.IFNA(SUM((J$3&gt;='Gastos com Pessoal'!$E$7:$E$506)*(J$3&lt;='Gastos com Pessoal'!$F$7:$F$506)*OFFSET('Encargos e Benefícios'!$D$5,1,MATCH($B40,'Encargos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126321.35771076319</v>
      </c>
      <c r="K40" s="32">
        <f t="array" aca="1" ref="K40" ca="1">_xlfn.IFNA(SUM((K$3&gt;='Gastos com Pessoal'!$E$7:$E$506)*(K$3&lt;='Gastos com Pessoal'!$F$7:$F$506)*OFFSET('Encargos e Benefícios'!$D$5,1,MATCH($B40,'Encargos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126321.35771076319</v>
      </c>
      <c r="L40" s="32">
        <f t="array" aca="1" ref="L40" ca="1">_xlfn.IFNA(SUM((L$3&gt;='Gastos com Pessoal'!$E$7:$E$506)*(L$3&lt;='Gastos com Pessoal'!$F$7:$F$506)*OFFSET('Encargos e Benefícios'!$D$5,1,MATCH($B40,'Encargos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126321.35771076319</v>
      </c>
      <c r="M40" s="32">
        <f t="array" aca="1" ref="M40" ca="1">_xlfn.IFNA(SUM((M$3&gt;='Gastos com Pessoal'!$E$7:$E$506)*(M$3&lt;='Gastos com Pessoal'!$F$7:$F$506)*OFFSET('Encargos e Benefícios'!$D$5,1,MATCH($B40,'Encargos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126321.35771076319</v>
      </c>
      <c r="N40" s="32">
        <f t="array" aca="1" ref="N40" ca="1">_xlfn.IFNA(SUM((N$3&gt;='Gastos com Pessoal'!$E$7:$E$506)*(N$3&lt;='Gastos com Pessoal'!$F$7:$F$506)*OFFSET('Encargos e Benefícios'!$D$5,1,MATCH($B40,'Encargos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126321.35771076319</v>
      </c>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f t="array" aca="1" ref="AM40" ca="1">_xlfn.IFNA(SUM((AM$3&gt;='Gastos com Pessoal'!$E$7:$E$506)*(AM$3&lt;='Gastos com Pessoal'!$F$7:$F$506)*OFFSET('Encargos e Benefícios'!$D$5,1,MATCH($B40,'Encargos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40" s="32">
        <f t="array" aca="1" ref="AN40" ca="1">_xlfn.IFNA(SUM((AN$3&gt;='Gastos com Pessoal'!$E$7:$E$506)*(AN$3&lt;='Gastos com Pessoal'!$F$7:$F$506)*OFFSET('Encargos e Benefícios'!$D$5,1,MATCH($B40,'Encargos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40" s="32">
        <f t="array" aca="1" ref="AO40" ca="1">_xlfn.IFNA(SUM((AO$3&gt;='Gastos com Pessoal'!$E$7:$E$506)*(AO$3&lt;='Gastos com Pessoal'!$F$7:$F$506)*OFFSET('Encargos e Benefícios'!$D$5,1,MATCH($B40,'Encargos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40" s="32">
        <f t="array" aca="1" ref="AP40" ca="1">_xlfn.IFNA(SUM((AP$3&gt;='Gastos com Pessoal'!$E$7:$E$506)*(AP$3&lt;='Gastos com Pessoal'!$F$7:$F$506)*OFFSET('Encargos e Benefícios'!$D$5,1,MATCH($B40,'Encargos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40" s="32">
        <f t="array" aca="1" ref="AQ40" ca="1">_xlfn.IFNA(SUM((AQ$3&gt;='Gastos com Pessoal'!$E$7:$E$506)*(AQ$3&lt;='Gastos com Pessoal'!$F$7:$F$506)*OFFSET('Encargos e Benefícios'!$D$5,1,MATCH($B40,'Encargos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40" s="32">
        <f t="array" aca="1" ref="AR40" ca="1">_xlfn.IFNA(SUM((AR$3&gt;='Gastos com Pessoal'!$E$7:$E$506)*(AR$3&lt;='Gastos com Pessoal'!$F$7:$F$506)*OFFSET('Encargos e Benefícios'!$D$5,1,MATCH($B40,'Encargos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40" s="32">
        <f t="array" aca="1" ref="AS40" ca="1">_xlfn.IFNA(SUM((AS$3&gt;='Gastos com Pessoal'!$E$7:$E$506)*(AS$3&lt;='Gastos com Pessoal'!$F$7:$F$506)*OFFSET('Encargos e Benefícios'!$D$5,1,MATCH($B40,'Encargos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40" s="32">
        <f t="array" aca="1" ref="AT40" ca="1">_xlfn.IFNA(SUM((AT$3&gt;='Gastos com Pessoal'!$E$7:$E$506)*(AT$3&lt;='Gastos com Pessoal'!$F$7:$F$506)*OFFSET('Encargos e Benefícios'!$D$5,1,MATCH($B40,'Encargos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40" s="32">
        <f t="array" aca="1" ref="AU40" ca="1">_xlfn.IFNA(SUM((AU$3&gt;='Gastos com Pessoal'!$E$7:$E$506)*(AU$3&lt;='Gastos com Pessoal'!$F$7:$F$506)*OFFSET('Encargos e Benefícios'!$D$5,1,MATCH($B40,'Encargos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40" s="32">
        <f t="array" aca="1" ref="AV40" ca="1">_xlfn.IFNA(SUM((AV$3&gt;='Gastos com Pessoal'!$E$7:$E$506)*(AV$3&lt;='Gastos com Pessoal'!$F$7:$F$506)*OFFSET('Encargos e Benefícios'!$D$5,1,MATCH($B40,'Encargos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40" s="32">
        <f t="array" aca="1" ref="AW40" ca="1">_xlfn.IFNA(SUM((AW$3&gt;='Gastos com Pessoal'!$E$7:$E$506)*(AW$3&lt;='Gastos com Pessoal'!$F$7:$F$506)*OFFSET('Encargos e Benefícios'!$D$5,1,MATCH($B40,'Encargos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40" s="32">
        <f t="array" aca="1" ref="AX40" ca="1">_xlfn.IFNA(SUM((AX$3&gt;='Gastos com Pessoal'!$E$7:$E$506)*(AX$3&lt;='Gastos com Pessoal'!$F$7:$F$506)*OFFSET('Encargos e Benefícios'!$D$5,1,MATCH($B40,'Encargos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40" s="32">
        <f t="array" aca="1" ref="AY40" ca="1">_xlfn.IFNA(SUM((AY$3&gt;='Gastos com Pessoal'!$E$7:$E$506)*(AY$3&lt;='Gastos com Pessoal'!$F$7:$F$506)*OFFSET('Encargos e Benefícios'!$D$5,1,MATCH($B40,'Encargos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40" s="32">
        <f t="array" aca="1" ref="AZ40" ca="1">_xlfn.IFNA(SUM((AZ$3&gt;='Gastos com Pessoal'!$E$7:$E$506)*(AZ$3&lt;='Gastos com Pessoal'!$F$7:$F$506)*OFFSET('Encargos e Benefícios'!$D$5,1,MATCH($B40,'Encargos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40" s="32">
        <f t="array" aca="1" ref="BA40" ca="1">_xlfn.IFNA(SUM((BA$3&gt;='Gastos com Pessoal'!$E$7:$E$506)*(BA$3&lt;='Gastos com Pessoal'!$F$7:$F$506)*OFFSET('Encargos e Benefícios'!$D$5,1,MATCH($B40,'Encargos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40" s="32">
        <f t="array" aca="1" ref="BB40" ca="1">_xlfn.IFNA(SUM((BB$3&gt;='Gastos com Pessoal'!$E$7:$E$506)*(BB$3&lt;='Gastos com Pessoal'!$F$7:$F$506)*OFFSET('Encargos e Benefícios'!$D$5,1,MATCH($B40,'Encargos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40" s="32">
        <f t="array" aca="1" ref="BC40" ca="1">_xlfn.IFNA(SUM((BC$3&gt;='Gastos com Pessoal'!$E$7:$E$506)*(BC$3&lt;='Gastos com Pessoal'!$F$7:$F$506)*OFFSET('Encargos e Benefícios'!$D$5,1,MATCH($B40,'Encargos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40" s="32">
        <f t="array" aca="1" ref="BD40" ca="1">_xlfn.IFNA(SUM((BD$3&gt;='Gastos com Pessoal'!$E$7:$E$506)*(BD$3&lt;='Gastos com Pessoal'!$F$7:$F$506)*OFFSET('Encargos e Benefícios'!$D$5,1,MATCH($B40,'Encargos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40" s="32">
        <f t="array" aca="1" ref="BE40" ca="1">_xlfn.IFNA(SUM((BE$3&gt;='Gastos com Pessoal'!$E$7:$E$506)*(BE$3&lt;='Gastos com Pessoal'!$F$7:$F$506)*OFFSET('Encargos e Benefícios'!$D$5,1,MATCH($B40,'Encargos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40" s="32">
        <f t="array" aca="1" ref="BF40" ca="1">_xlfn.IFNA(SUM((BF$3&gt;='Gastos com Pessoal'!$E$7:$E$506)*(BF$3&lt;='Gastos com Pessoal'!$F$7:$F$506)*OFFSET('Encargos e Benefícios'!$D$5,1,MATCH($B40,'Encargos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40" s="32">
        <f t="array" aca="1" ref="BG40" ca="1">_xlfn.IFNA(SUM((BG$3&gt;='Gastos com Pessoal'!$E$7:$E$506)*(BG$3&lt;='Gastos com Pessoal'!$F$7:$F$506)*OFFSET('Encargos e Benefícios'!$D$5,1,MATCH($B40,'Encargos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40" s="32">
        <f t="array" aca="1" ref="BH40" ca="1">_xlfn.IFNA(SUM((BH$3&gt;='Gastos com Pessoal'!$E$7:$E$506)*(BH$3&lt;='Gastos com Pessoal'!$F$7:$F$506)*OFFSET('Encargos e Benefícios'!$D$5,1,MATCH($B40,'Encargos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40" s="32">
        <f t="array" aca="1" ref="BI40" ca="1">_xlfn.IFNA(SUM((BI$3&gt;='Gastos com Pessoal'!$E$7:$E$506)*(BI$3&lt;='Gastos com Pessoal'!$F$7:$F$506)*OFFSET('Encargos e Benefícios'!$D$5,1,MATCH($B40,'Encargos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40" s="32">
        <f t="array" aca="1" ref="BJ40" ca="1">_xlfn.IFNA(SUM((BJ$3&gt;='Gastos com Pessoal'!$E$7:$E$506)*(BJ$3&lt;='Gastos com Pessoal'!$F$7:$F$506)*OFFSET('Encargos e Benefícios'!$D$5,1,MATCH($B40,'Encargos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40" s="71">
        <f t="shared" ca="1" si="16"/>
        <v>1515856.2925291581</v>
      </c>
      <c r="BL40" s="76">
        <f t="shared" ca="1" si="17"/>
        <v>4.1346472366735635E-3</v>
      </c>
    </row>
    <row r="41" spans="1:64" s="49" customFormat="1" ht="23.25" customHeight="1" x14ac:dyDescent="0.2">
      <c r="A41" s="19" t="s">
        <v>158</v>
      </c>
      <c r="B41" s="12" t="s">
        <v>159</v>
      </c>
      <c r="C41" s="32">
        <f t="array" aca="1" ref="C41" ca="1">_xlfn.IFNA(SUM((C$3&gt;='Gastos com Pessoal'!$E$7:$E$506)*(C$3&lt;='Gastos com Pessoal'!$F$7:$F$506)*OFFSET('Encargos e Benefícios'!$D$5,1,MATCH($B41,'Encargos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191971.72254319658</v>
      </c>
      <c r="D41" s="32">
        <f t="array" aca="1" ref="D41" ca="1">_xlfn.IFNA(SUM((D$3&gt;='Gastos com Pessoal'!$E$7:$E$506)*(D$3&lt;='Gastos com Pessoal'!$F$7:$F$506)*OFFSET('Encargos e Benefícios'!$D$5,1,MATCH($B41,'Encargos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191971.72254319658</v>
      </c>
      <c r="E41" s="32">
        <f t="array" aca="1" ref="E41" ca="1">_xlfn.IFNA(SUM((E$3&gt;='Gastos com Pessoal'!$E$7:$E$506)*(E$3&lt;='Gastos com Pessoal'!$F$7:$F$506)*OFFSET('Encargos e Benefícios'!$D$5,1,MATCH($B41,'Encargos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191971.72254319658</v>
      </c>
      <c r="F41" s="32">
        <f t="array" aca="1" ref="F41" ca="1">_xlfn.IFNA(SUM((F$3&gt;='Gastos com Pessoal'!$E$7:$E$506)*(F$3&lt;='Gastos com Pessoal'!$F$7:$F$506)*OFFSET('Encargos e Benefícios'!$D$5,1,MATCH($B41,'Encargos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191971.72254319658</v>
      </c>
      <c r="G41" s="32">
        <f t="array" aca="1" ref="G41" ca="1">_xlfn.IFNA(SUM((G$3&gt;='Gastos com Pessoal'!$E$7:$E$506)*(G$3&lt;='Gastos com Pessoal'!$F$7:$F$506)*OFFSET('Encargos e Benefícios'!$D$5,1,MATCH($B41,'Encargos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191971.72254319658</v>
      </c>
      <c r="H41" s="32">
        <f t="array" aca="1" ref="H41" ca="1">_xlfn.IFNA(SUM((H$3&gt;='Gastos com Pessoal'!$E$7:$E$506)*(H$3&lt;='Gastos com Pessoal'!$F$7:$F$506)*OFFSET('Encargos e Benefícios'!$D$5,1,MATCH($B41,'Encargos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191971.72254319658</v>
      </c>
      <c r="I41" s="32">
        <f t="array" aca="1" ref="I41" ca="1">_xlfn.IFNA(SUM((I$3&gt;='Gastos com Pessoal'!$E$7:$E$506)*(I$3&lt;='Gastos com Pessoal'!$F$7:$F$506)*OFFSET('Encargos e Benefícios'!$D$5,1,MATCH($B41,'Encargos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191971.72254319658</v>
      </c>
      <c r="J41" s="32">
        <f t="array" aca="1" ref="J41" ca="1">_xlfn.IFNA(SUM((J$3&gt;='Gastos com Pessoal'!$E$7:$E$506)*(J$3&lt;='Gastos com Pessoal'!$F$7:$F$506)*OFFSET('Encargos e Benefícios'!$D$5,1,MATCH($B41,'Encargos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191971.72254319658</v>
      </c>
      <c r="K41" s="32">
        <f t="array" aca="1" ref="K41" ca="1">_xlfn.IFNA(SUM((K$3&gt;='Gastos com Pessoal'!$E$7:$E$506)*(K$3&lt;='Gastos com Pessoal'!$F$7:$F$506)*OFFSET('Encargos e Benefícios'!$D$5,1,MATCH($B41,'Encargos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191971.72254319658</v>
      </c>
      <c r="L41" s="32">
        <f t="array" aca="1" ref="L41" ca="1">_xlfn.IFNA(SUM((L$3&gt;='Gastos com Pessoal'!$E$7:$E$506)*(L$3&lt;='Gastos com Pessoal'!$F$7:$F$506)*OFFSET('Encargos e Benefícios'!$D$5,1,MATCH($B41,'Encargos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191971.72254319658</v>
      </c>
      <c r="M41" s="32">
        <f t="array" aca="1" ref="M41" ca="1">_xlfn.IFNA(SUM((M$3&gt;='Gastos com Pessoal'!$E$7:$E$506)*(M$3&lt;='Gastos com Pessoal'!$F$7:$F$506)*OFFSET('Encargos e Benefícios'!$D$5,1,MATCH($B41,'Encargos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191971.72254319658</v>
      </c>
      <c r="N41" s="32">
        <f t="array" aca="1" ref="N41" ca="1">_xlfn.IFNA(SUM((N$3&gt;='Gastos com Pessoal'!$E$7:$E$506)*(N$3&lt;='Gastos com Pessoal'!$F$7:$F$506)*OFFSET('Encargos e Benefícios'!$D$5,1,MATCH($B41,'Encargos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191971.72254319658</v>
      </c>
      <c r="O41" s="32">
        <f t="array" aca="1" ref="O41" ca="1">_xlfn.IFNA(SUM((O$3&gt;='Gastos com Pessoal'!$E$7:$E$506)*(O$3&lt;='Gastos com Pessoal'!$F$7:$F$506)*OFFSET('Encargos e Benefícios'!$D$5,1,MATCH($B41,'Encargos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197061.31802879059</v>
      </c>
      <c r="P41" s="32">
        <f t="array" aca="1" ref="P41" ca="1">_xlfn.IFNA(SUM((P$3&gt;='Gastos com Pessoal'!$E$7:$E$506)*(P$3&lt;='Gastos com Pessoal'!$F$7:$F$506)*OFFSET('Encargos e Benefícios'!$D$5,1,MATCH($B41,'Encargos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197061.31802879059</v>
      </c>
      <c r="Q41" s="32">
        <f t="array" aca="1" ref="Q41" ca="1">_xlfn.IFNA(SUM((Q$3&gt;='Gastos com Pessoal'!$E$7:$E$506)*(Q$3&lt;='Gastos com Pessoal'!$F$7:$F$506)*OFFSET('Encargos e Benefícios'!$D$5,1,MATCH($B41,'Encargos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197061.31802879059</v>
      </c>
      <c r="R41" s="32">
        <f t="array" aca="1" ref="R41" ca="1">_xlfn.IFNA(SUM((R$3&gt;='Gastos com Pessoal'!$E$7:$E$506)*(R$3&lt;='Gastos com Pessoal'!$F$7:$F$506)*OFFSET('Encargos e Benefícios'!$D$5,1,MATCH($B41,'Encargos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197061.31802879059</v>
      </c>
      <c r="S41" s="32">
        <f t="array" aca="1" ref="S41" ca="1">_xlfn.IFNA(SUM((S$3&gt;='Gastos com Pessoal'!$E$7:$E$506)*(S$3&lt;='Gastos com Pessoal'!$F$7:$F$506)*OFFSET('Encargos e Benefícios'!$D$5,1,MATCH($B41,'Encargos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197061.31802879059</v>
      </c>
      <c r="T41" s="32">
        <f t="array" aca="1" ref="T41" ca="1">_xlfn.IFNA(SUM((T$3&gt;='Gastos com Pessoal'!$E$7:$E$506)*(T$3&lt;='Gastos com Pessoal'!$F$7:$F$506)*OFFSET('Encargos e Benefícios'!$D$5,1,MATCH($B41,'Encargos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197061.31802879059</v>
      </c>
      <c r="U41" s="32">
        <f t="array" aca="1" ref="U41" ca="1">_xlfn.IFNA(SUM((U$3&gt;='Gastos com Pessoal'!$E$7:$E$506)*(U$3&lt;='Gastos com Pessoal'!$F$7:$F$506)*OFFSET('Encargos e Benefícios'!$D$5,1,MATCH($B41,'Encargos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197061.31802879059</v>
      </c>
      <c r="V41" s="32">
        <f t="array" aca="1" ref="V41" ca="1">_xlfn.IFNA(SUM((V$3&gt;='Gastos com Pessoal'!$E$7:$E$506)*(V$3&lt;='Gastos com Pessoal'!$F$7:$F$506)*OFFSET('Encargos e Benefícios'!$D$5,1,MATCH($B41,'Encargos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197061.31802879059</v>
      </c>
      <c r="W41" s="32">
        <f t="array" aca="1" ref="W41" ca="1">_xlfn.IFNA(SUM((W$3&gt;='Gastos com Pessoal'!$E$7:$E$506)*(W$3&lt;='Gastos com Pessoal'!$F$7:$F$506)*OFFSET('Encargos e Benefícios'!$D$5,1,MATCH($B41,'Encargos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197061.31802879059</v>
      </c>
      <c r="X41" s="32">
        <f t="array" aca="1" ref="X41" ca="1">_xlfn.IFNA(SUM((X$3&gt;='Gastos com Pessoal'!$E$7:$E$506)*(X$3&lt;='Gastos com Pessoal'!$F$7:$F$506)*OFFSET('Encargos e Benefícios'!$D$5,1,MATCH($B41,'Encargos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197061.31802879059</v>
      </c>
      <c r="Y41" s="32">
        <f t="array" aca="1" ref="Y41" ca="1">_xlfn.IFNA(SUM((Y$3&gt;='Gastos com Pessoal'!$E$7:$E$506)*(Y$3&lt;='Gastos com Pessoal'!$F$7:$F$506)*OFFSET('Encargos e Benefícios'!$D$5,1,MATCH($B41,'Encargos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197061.31802879059</v>
      </c>
      <c r="Z41" s="32">
        <f t="array" aca="1" ref="Z41" ca="1">_xlfn.IFNA(SUM((Z$3&gt;='Gastos com Pessoal'!$E$7:$E$506)*(Z$3&lt;='Gastos com Pessoal'!$F$7:$F$506)*OFFSET('Encargos e Benefícios'!$D$5,1,MATCH($B41,'Encargos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197061.31802879059</v>
      </c>
      <c r="AA41" s="32">
        <f t="array" aca="1" ref="AA41" ca="1">_xlfn.IFNA(SUM((AA$3&gt;='Gastos com Pessoal'!$E$7:$E$506)*(AA$3&lt;='Gastos com Pessoal'!$F$7:$F$506)*OFFSET('Encargos e Benefícios'!$D$5,1,MATCH($B41,'Encargos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204943.77074994222</v>
      </c>
      <c r="AB41" s="32">
        <f t="array" aca="1" ref="AB41" ca="1">_xlfn.IFNA(SUM((AB$3&gt;='Gastos com Pessoal'!$E$7:$E$506)*(AB$3&lt;='Gastos com Pessoal'!$F$7:$F$506)*OFFSET('Encargos e Benefícios'!$D$5,1,MATCH($B41,'Encargos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204943.77074994222</v>
      </c>
      <c r="AC41" s="32">
        <f t="array" aca="1" ref="AC41" ca="1">_xlfn.IFNA(SUM((AC$3&gt;='Gastos com Pessoal'!$E$7:$E$506)*(AC$3&lt;='Gastos com Pessoal'!$F$7:$F$506)*OFFSET('Encargos e Benefícios'!$D$5,1,MATCH($B41,'Encargos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204943.77074994222</v>
      </c>
      <c r="AD41" s="32">
        <f t="array" aca="1" ref="AD41" ca="1">_xlfn.IFNA(SUM((AD$3&gt;='Gastos com Pessoal'!$E$7:$E$506)*(AD$3&lt;='Gastos com Pessoal'!$F$7:$F$506)*OFFSET('Encargos e Benefícios'!$D$5,1,MATCH($B41,'Encargos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204943.77074994222</v>
      </c>
      <c r="AE41" s="32">
        <f t="array" aca="1" ref="AE41" ca="1">_xlfn.IFNA(SUM((AE$3&gt;='Gastos com Pessoal'!$E$7:$E$506)*(AE$3&lt;='Gastos com Pessoal'!$F$7:$F$506)*OFFSET('Encargos e Benefícios'!$D$5,1,MATCH($B41,'Encargos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204943.77074994222</v>
      </c>
      <c r="AF41" s="32">
        <f t="array" aca="1" ref="AF41" ca="1">_xlfn.IFNA(SUM((AF$3&gt;='Gastos com Pessoal'!$E$7:$E$506)*(AF$3&lt;='Gastos com Pessoal'!$F$7:$F$506)*OFFSET('Encargos e Benefícios'!$D$5,1,MATCH($B41,'Encargos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204943.77074994222</v>
      </c>
      <c r="AG41" s="32">
        <f t="array" aca="1" ref="AG41" ca="1">_xlfn.IFNA(SUM((AG$3&gt;='Gastos com Pessoal'!$E$7:$E$506)*(AG$3&lt;='Gastos com Pessoal'!$F$7:$F$506)*OFFSET('Encargos e Benefícios'!$D$5,1,MATCH($B41,'Encargos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204943.77074994222</v>
      </c>
      <c r="AH41" s="32">
        <f t="array" aca="1" ref="AH41" ca="1">_xlfn.IFNA(SUM((AH$3&gt;='Gastos com Pessoal'!$E$7:$E$506)*(AH$3&lt;='Gastos com Pessoal'!$F$7:$F$506)*OFFSET('Encargos e Benefícios'!$D$5,1,MATCH($B41,'Encargos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204943.77074994222</v>
      </c>
      <c r="AI41" s="32">
        <f t="array" aca="1" ref="AI41" ca="1">_xlfn.IFNA(SUM((AI$3&gt;='Gastos com Pessoal'!$E$7:$E$506)*(AI$3&lt;='Gastos com Pessoal'!$F$7:$F$506)*OFFSET('Encargos e Benefícios'!$D$5,1,MATCH($B41,'Encargos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204943.77074994222</v>
      </c>
      <c r="AJ41" s="32">
        <f t="array" aca="1" ref="AJ41" ca="1">_xlfn.IFNA(SUM((AJ$3&gt;='Gastos com Pessoal'!$E$7:$E$506)*(AJ$3&lt;='Gastos com Pessoal'!$F$7:$F$506)*OFFSET('Encargos e Benefícios'!$D$5,1,MATCH($B41,'Encargos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204943.77074994222</v>
      </c>
      <c r="AK41" s="32">
        <f t="array" aca="1" ref="AK41" ca="1">_xlfn.IFNA(SUM((AK$3&gt;='Gastos com Pessoal'!$E$7:$E$506)*(AK$3&lt;='Gastos com Pessoal'!$F$7:$F$506)*OFFSET('Encargos e Benefícios'!$D$5,1,MATCH($B41,'Encargos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204943.77074994222</v>
      </c>
      <c r="AL41" s="32">
        <f t="array" aca="1" ref="AL41" ca="1">_xlfn.IFNA(SUM((AL$3&gt;='Gastos com Pessoal'!$E$7:$E$506)*(AL$3&lt;='Gastos com Pessoal'!$F$7:$F$506)*OFFSET('Encargos e Benefícios'!$D$5,1,MATCH($B41,'Encargos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204943.77074994222</v>
      </c>
      <c r="AM41" s="32">
        <f t="array" aca="1" ref="AM41" ca="1">_xlfn.IFNA(SUM((AM$3&gt;='Gastos com Pessoal'!$E$7:$E$506)*(AM$3&lt;='Gastos com Pessoal'!$F$7:$F$506)*OFFSET('Encargos e Benefícios'!$D$5,1,MATCH($B41,'Encargos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41" s="32">
        <f t="array" aca="1" ref="AN41" ca="1">_xlfn.IFNA(SUM((AN$3&gt;='Gastos com Pessoal'!$E$7:$E$506)*(AN$3&lt;='Gastos com Pessoal'!$F$7:$F$506)*OFFSET('Encargos e Benefícios'!$D$5,1,MATCH($B41,'Encargos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41" s="32">
        <f t="array" aca="1" ref="AO41" ca="1">_xlfn.IFNA(SUM((AO$3&gt;='Gastos com Pessoal'!$E$7:$E$506)*(AO$3&lt;='Gastos com Pessoal'!$F$7:$F$506)*OFFSET('Encargos e Benefícios'!$D$5,1,MATCH($B41,'Encargos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41" s="32">
        <f t="array" aca="1" ref="AP41" ca="1">_xlfn.IFNA(SUM((AP$3&gt;='Gastos com Pessoal'!$E$7:$E$506)*(AP$3&lt;='Gastos com Pessoal'!$F$7:$F$506)*OFFSET('Encargos e Benefícios'!$D$5,1,MATCH($B41,'Encargos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41" s="32">
        <f t="array" aca="1" ref="AQ41" ca="1">_xlfn.IFNA(SUM((AQ$3&gt;='Gastos com Pessoal'!$E$7:$E$506)*(AQ$3&lt;='Gastos com Pessoal'!$F$7:$F$506)*OFFSET('Encargos e Benefícios'!$D$5,1,MATCH($B41,'Encargos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41" s="32">
        <f t="array" aca="1" ref="AR41" ca="1">_xlfn.IFNA(SUM((AR$3&gt;='Gastos com Pessoal'!$E$7:$E$506)*(AR$3&lt;='Gastos com Pessoal'!$F$7:$F$506)*OFFSET('Encargos e Benefícios'!$D$5,1,MATCH($B41,'Encargos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41" s="32">
        <f t="array" aca="1" ref="AS41" ca="1">_xlfn.IFNA(SUM((AS$3&gt;='Gastos com Pessoal'!$E$7:$E$506)*(AS$3&lt;='Gastos com Pessoal'!$F$7:$F$506)*OFFSET('Encargos e Benefícios'!$D$5,1,MATCH($B41,'Encargos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41" s="32">
        <f t="array" aca="1" ref="AT41" ca="1">_xlfn.IFNA(SUM((AT$3&gt;='Gastos com Pessoal'!$E$7:$E$506)*(AT$3&lt;='Gastos com Pessoal'!$F$7:$F$506)*OFFSET('Encargos e Benefícios'!$D$5,1,MATCH($B41,'Encargos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41" s="32">
        <f t="array" aca="1" ref="AU41" ca="1">_xlfn.IFNA(SUM((AU$3&gt;='Gastos com Pessoal'!$E$7:$E$506)*(AU$3&lt;='Gastos com Pessoal'!$F$7:$F$506)*OFFSET('Encargos e Benefícios'!$D$5,1,MATCH($B41,'Encargos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41" s="32">
        <f t="array" aca="1" ref="AV41" ca="1">_xlfn.IFNA(SUM((AV$3&gt;='Gastos com Pessoal'!$E$7:$E$506)*(AV$3&lt;='Gastos com Pessoal'!$F$7:$F$506)*OFFSET('Encargos e Benefícios'!$D$5,1,MATCH($B41,'Encargos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41" s="32">
        <f t="array" aca="1" ref="AW41" ca="1">_xlfn.IFNA(SUM((AW$3&gt;='Gastos com Pessoal'!$E$7:$E$506)*(AW$3&lt;='Gastos com Pessoal'!$F$7:$F$506)*OFFSET('Encargos e Benefícios'!$D$5,1,MATCH($B41,'Encargos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41" s="32">
        <f t="array" aca="1" ref="AX41" ca="1">_xlfn.IFNA(SUM((AX$3&gt;='Gastos com Pessoal'!$E$7:$E$506)*(AX$3&lt;='Gastos com Pessoal'!$F$7:$F$506)*OFFSET('Encargos e Benefícios'!$D$5,1,MATCH($B41,'Encargos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41" s="32">
        <f t="array" aca="1" ref="AY41" ca="1">_xlfn.IFNA(SUM((AY$3&gt;='Gastos com Pessoal'!$E$7:$E$506)*(AY$3&lt;='Gastos com Pessoal'!$F$7:$F$506)*OFFSET('Encargos e Benefícios'!$D$5,1,MATCH($B41,'Encargos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41" s="32">
        <f t="array" aca="1" ref="AZ41" ca="1">_xlfn.IFNA(SUM((AZ$3&gt;='Gastos com Pessoal'!$E$7:$E$506)*(AZ$3&lt;='Gastos com Pessoal'!$F$7:$F$506)*OFFSET('Encargos e Benefícios'!$D$5,1,MATCH($B41,'Encargos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41" s="32">
        <f t="array" aca="1" ref="BA41" ca="1">_xlfn.IFNA(SUM((BA$3&gt;='Gastos com Pessoal'!$E$7:$E$506)*(BA$3&lt;='Gastos com Pessoal'!$F$7:$F$506)*OFFSET('Encargos e Benefícios'!$D$5,1,MATCH($B41,'Encargos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41" s="32">
        <f t="array" aca="1" ref="BB41" ca="1">_xlfn.IFNA(SUM((BB$3&gt;='Gastos com Pessoal'!$E$7:$E$506)*(BB$3&lt;='Gastos com Pessoal'!$F$7:$F$506)*OFFSET('Encargos e Benefícios'!$D$5,1,MATCH($B41,'Encargos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41" s="32">
        <f t="array" aca="1" ref="BC41" ca="1">_xlfn.IFNA(SUM((BC$3&gt;='Gastos com Pessoal'!$E$7:$E$506)*(BC$3&lt;='Gastos com Pessoal'!$F$7:$F$506)*OFFSET('Encargos e Benefícios'!$D$5,1,MATCH($B41,'Encargos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41" s="32">
        <f t="array" aca="1" ref="BD41" ca="1">_xlfn.IFNA(SUM((BD$3&gt;='Gastos com Pessoal'!$E$7:$E$506)*(BD$3&lt;='Gastos com Pessoal'!$F$7:$F$506)*OFFSET('Encargos e Benefícios'!$D$5,1,MATCH($B41,'Encargos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41" s="32">
        <f t="array" aca="1" ref="BE41" ca="1">_xlfn.IFNA(SUM((BE$3&gt;='Gastos com Pessoal'!$E$7:$E$506)*(BE$3&lt;='Gastos com Pessoal'!$F$7:$F$506)*OFFSET('Encargos e Benefícios'!$D$5,1,MATCH($B41,'Encargos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41" s="32">
        <f t="array" aca="1" ref="BF41" ca="1">_xlfn.IFNA(SUM((BF$3&gt;='Gastos com Pessoal'!$E$7:$E$506)*(BF$3&lt;='Gastos com Pessoal'!$F$7:$F$506)*OFFSET('Encargos e Benefícios'!$D$5,1,MATCH($B41,'Encargos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41" s="32">
        <f t="array" aca="1" ref="BG41" ca="1">_xlfn.IFNA(SUM((BG$3&gt;='Gastos com Pessoal'!$E$7:$E$506)*(BG$3&lt;='Gastos com Pessoal'!$F$7:$F$506)*OFFSET('Encargos e Benefícios'!$D$5,1,MATCH($B41,'Encargos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41" s="32">
        <f t="array" aca="1" ref="BH41" ca="1">_xlfn.IFNA(SUM((BH$3&gt;='Gastos com Pessoal'!$E$7:$E$506)*(BH$3&lt;='Gastos com Pessoal'!$F$7:$F$506)*OFFSET('Encargos e Benefícios'!$D$5,1,MATCH($B41,'Encargos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41" s="32">
        <f t="array" aca="1" ref="BI41" ca="1">_xlfn.IFNA(SUM((BI$3&gt;='Gastos com Pessoal'!$E$7:$E$506)*(BI$3&lt;='Gastos com Pessoal'!$F$7:$F$506)*OFFSET('Encargos e Benefícios'!$D$5,1,MATCH($B41,'Encargos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41" s="32">
        <f t="array" aca="1" ref="BJ41" ca="1">_xlfn.IFNA(SUM((BJ$3&gt;='Gastos com Pessoal'!$E$7:$E$506)*(BJ$3&lt;='Gastos com Pessoal'!$F$7:$F$506)*OFFSET('Encargos e Benefícios'!$D$5,1,MATCH($B41,'Encargos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41" s="71">
        <f t="shared" ca="1" si="16"/>
        <v>7127721.7358631538</v>
      </c>
      <c r="BL41" s="76">
        <f t="shared" ca="1" si="17"/>
        <v>1.944156258361002E-2</v>
      </c>
    </row>
    <row r="42" spans="1:64" s="49" customFormat="1" ht="23.25" customHeight="1" x14ac:dyDescent="0.2">
      <c r="A42" s="19" t="s">
        <v>160</v>
      </c>
      <c r="B42" s="12" t="s">
        <v>161</v>
      </c>
      <c r="C42" s="32">
        <v>15000</v>
      </c>
      <c r="D42" s="32">
        <v>15000</v>
      </c>
      <c r="E42" s="32">
        <v>15000</v>
      </c>
      <c r="F42" s="32">
        <v>15000</v>
      </c>
      <c r="G42" s="32">
        <v>15000</v>
      </c>
      <c r="H42" s="32">
        <v>15000</v>
      </c>
      <c r="I42" s="32">
        <v>15000</v>
      </c>
      <c r="J42" s="32">
        <v>15000</v>
      </c>
      <c r="K42" s="32">
        <v>15000</v>
      </c>
      <c r="L42" s="32">
        <v>15000</v>
      </c>
      <c r="M42" s="32">
        <v>15000</v>
      </c>
      <c r="N42" s="32">
        <v>15000</v>
      </c>
      <c r="O42" s="32">
        <v>15000</v>
      </c>
      <c r="P42" s="32">
        <v>15000</v>
      </c>
      <c r="Q42" s="32">
        <v>15000</v>
      </c>
      <c r="R42" s="32">
        <v>15000</v>
      </c>
      <c r="S42" s="32">
        <v>15000</v>
      </c>
      <c r="T42" s="32">
        <v>15000</v>
      </c>
      <c r="U42" s="32">
        <v>15000</v>
      </c>
      <c r="V42" s="32">
        <v>15000</v>
      </c>
      <c r="W42" s="32">
        <v>15000</v>
      </c>
      <c r="X42" s="32">
        <v>15000</v>
      </c>
      <c r="Y42" s="32">
        <v>15000</v>
      </c>
      <c r="Z42" s="32">
        <v>15000</v>
      </c>
      <c r="AA42" s="32">
        <v>15000</v>
      </c>
      <c r="AB42" s="32">
        <v>15000</v>
      </c>
      <c r="AC42" s="32">
        <v>15000</v>
      </c>
      <c r="AD42" s="32">
        <v>15000</v>
      </c>
      <c r="AE42" s="32">
        <v>15000</v>
      </c>
      <c r="AF42" s="32">
        <v>15000</v>
      </c>
      <c r="AG42" s="32">
        <v>15000</v>
      </c>
      <c r="AH42" s="32">
        <v>15000</v>
      </c>
      <c r="AI42" s="32">
        <v>15000</v>
      </c>
      <c r="AJ42" s="32">
        <v>15000</v>
      </c>
      <c r="AK42" s="32">
        <v>15000</v>
      </c>
      <c r="AL42" s="32">
        <v>15000</v>
      </c>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71">
        <f t="shared" si="16"/>
        <v>540000</v>
      </c>
      <c r="BL42" s="76">
        <f t="shared" ca="1" si="17"/>
        <v>1.4729031497296616E-3</v>
      </c>
    </row>
    <row r="43" spans="1:64" s="49" customFormat="1" ht="23.25" customHeight="1" x14ac:dyDescent="0.2">
      <c r="A43" s="19" t="s">
        <v>162</v>
      </c>
      <c r="B43" s="12" t="s">
        <v>163</v>
      </c>
      <c r="C43" s="32">
        <v>0</v>
      </c>
      <c r="D43" s="32">
        <v>0</v>
      </c>
      <c r="E43" s="32">
        <v>0</v>
      </c>
      <c r="F43" s="32">
        <v>0</v>
      </c>
      <c r="G43" s="32">
        <v>0</v>
      </c>
      <c r="H43" s="32">
        <v>0</v>
      </c>
      <c r="I43" s="32">
        <v>0</v>
      </c>
      <c r="J43" s="32">
        <v>0</v>
      </c>
      <c r="K43" s="32">
        <v>0</v>
      </c>
      <c r="L43" s="32">
        <v>0</v>
      </c>
      <c r="M43" s="32">
        <v>0</v>
      </c>
      <c r="N43" s="32">
        <v>0</v>
      </c>
      <c r="O43" s="32">
        <v>0</v>
      </c>
      <c r="P43" s="32">
        <v>0</v>
      </c>
      <c r="Q43" s="32">
        <v>0</v>
      </c>
      <c r="R43" s="32">
        <v>0</v>
      </c>
      <c r="S43" s="32">
        <v>0</v>
      </c>
      <c r="T43" s="32">
        <v>0</v>
      </c>
      <c r="U43" s="32">
        <v>0</v>
      </c>
      <c r="V43" s="32">
        <v>0</v>
      </c>
      <c r="W43" s="32">
        <v>0</v>
      </c>
      <c r="X43" s="32">
        <v>0</v>
      </c>
      <c r="Y43" s="32">
        <v>0</v>
      </c>
      <c r="Z43" s="32">
        <v>0</v>
      </c>
      <c r="AA43" s="32">
        <v>0</v>
      </c>
      <c r="AB43" s="32">
        <v>0</v>
      </c>
      <c r="AC43" s="32">
        <v>0</v>
      </c>
      <c r="AD43" s="32">
        <v>0</v>
      </c>
      <c r="AE43" s="32">
        <v>0</v>
      </c>
      <c r="AF43" s="32">
        <v>0</v>
      </c>
      <c r="AG43" s="32">
        <v>0</v>
      </c>
      <c r="AH43" s="32">
        <v>0</v>
      </c>
      <c r="AI43" s="32">
        <v>0</v>
      </c>
      <c r="AJ43" s="32">
        <v>0</v>
      </c>
      <c r="AK43" s="32">
        <v>0</v>
      </c>
      <c r="AL43" s="32">
        <v>0</v>
      </c>
      <c r="AM43" s="32">
        <v>0</v>
      </c>
      <c r="AN43" s="32">
        <v>0</v>
      </c>
      <c r="AO43" s="32">
        <v>0</v>
      </c>
      <c r="AP43" s="32">
        <v>0</v>
      </c>
      <c r="AQ43" s="32">
        <v>0</v>
      </c>
      <c r="AR43" s="32">
        <v>0</v>
      </c>
      <c r="AS43" s="32">
        <v>0</v>
      </c>
      <c r="AT43" s="32">
        <v>0</v>
      </c>
      <c r="AU43" s="32">
        <v>0</v>
      </c>
      <c r="AV43" s="32">
        <v>0</v>
      </c>
      <c r="AW43" s="32">
        <v>0</v>
      </c>
      <c r="AX43" s="32">
        <v>0</v>
      </c>
      <c r="AY43" s="32">
        <v>0</v>
      </c>
      <c r="AZ43" s="32">
        <v>0</v>
      </c>
      <c r="BA43" s="32">
        <v>0</v>
      </c>
      <c r="BB43" s="32">
        <v>0</v>
      </c>
      <c r="BC43" s="32">
        <v>0</v>
      </c>
      <c r="BD43" s="32">
        <v>0</v>
      </c>
      <c r="BE43" s="32">
        <v>0</v>
      </c>
      <c r="BF43" s="32">
        <v>0</v>
      </c>
      <c r="BG43" s="32">
        <v>0</v>
      </c>
      <c r="BH43" s="32">
        <v>0</v>
      </c>
      <c r="BI43" s="32">
        <v>0</v>
      </c>
      <c r="BJ43" s="32">
        <v>0</v>
      </c>
      <c r="BK43" s="71">
        <f t="shared" si="16"/>
        <v>0</v>
      </c>
      <c r="BL43" s="76">
        <f t="shared" ca="1" si="17"/>
        <v>0</v>
      </c>
    </row>
    <row r="44" spans="1:64" s="49" customFormat="1" ht="23.25" customHeight="1" x14ac:dyDescent="0.2">
      <c r="A44" s="19" t="s">
        <v>164</v>
      </c>
      <c r="B44" s="12" t="s">
        <v>165</v>
      </c>
      <c r="C44" s="32">
        <v>0</v>
      </c>
      <c r="D44" s="32">
        <v>0</v>
      </c>
      <c r="E44" s="32">
        <v>0</v>
      </c>
      <c r="F44" s="32">
        <v>0</v>
      </c>
      <c r="G44" s="32">
        <v>0</v>
      </c>
      <c r="H44" s="32">
        <v>0</v>
      </c>
      <c r="I44" s="32">
        <v>0</v>
      </c>
      <c r="J44" s="32">
        <v>0</v>
      </c>
      <c r="K44" s="32">
        <v>0</v>
      </c>
      <c r="L44" s="32">
        <v>0</v>
      </c>
      <c r="M44" s="32">
        <v>0</v>
      </c>
      <c r="N44" s="32">
        <v>0</v>
      </c>
      <c r="O44" s="32">
        <v>0</v>
      </c>
      <c r="P44" s="32">
        <v>0</v>
      </c>
      <c r="Q44" s="32">
        <v>0</v>
      </c>
      <c r="R44" s="32">
        <v>0</v>
      </c>
      <c r="S44" s="32">
        <v>0</v>
      </c>
      <c r="T44" s="32">
        <v>0</v>
      </c>
      <c r="U44" s="32">
        <v>0</v>
      </c>
      <c r="V44" s="32">
        <v>0</v>
      </c>
      <c r="W44" s="32">
        <v>0</v>
      </c>
      <c r="X44" s="32">
        <v>0</v>
      </c>
      <c r="Y44" s="32">
        <v>0</v>
      </c>
      <c r="Z44" s="32">
        <v>0</v>
      </c>
      <c r="AA44" s="32">
        <v>0</v>
      </c>
      <c r="AB44" s="32">
        <v>0</v>
      </c>
      <c r="AC44" s="32">
        <v>0</v>
      </c>
      <c r="AD44" s="32">
        <v>0</v>
      </c>
      <c r="AE44" s="32">
        <v>0</v>
      </c>
      <c r="AF44" s="32">
        <v>0</v>
      </c>
      <c r="AG44" s="32">
        <v>0</v>
      </c>
      <c r="AH44" s="32">
        <v>0</v>
      </c>
      <c r="AI44" s="32">
        <v>0</v>
      </c>
      <c r="AJ44" s="32">
        <v>0</v>
      </c>
      <c r="AK44" s="32">
        <v>0</v>
      </c>
      <c r="AL44" s="32">
        <v>0</v>
      </c>
      <c r="AM44" s="32">
        <v>0</v>
      </c>
      <c r="AN44" s="32">
        <v>0</v>
      </c>
      <c r="AO44" s="32">
        <v>0</v>
      </c>
      <c r="AP44" s="32">
        <v>0</v>
      </c>
      <c r="AQ44" s="32">
        <v>0</v>
      </c>
      <c r="AR44" s="32">
        <v>0</v>
      </c>
      <c r="AS44" s="32">
        <v>0</v>
      </c>
      <c r="AT44" s="32">
        <v>0</v>
      </c>
      <c r="AU44" s="32">
        <v>0</v>
      </c>
      <c r="AV44" s="32">
        <v>0</v>
      </c>
      <c r="AW44" s="32">
        <v>0</v>
      </c>
      <c r="AX44" s="32">
        <v>0</v>
      </c>
      <c r="AY44" s="32">
        <v>0</v>
      </c>
      <c r="AZ44" s="32">
        <v>0</v>
      </c>
      <c r="BA44" s="32">
        <v>0</v>
      </c>
      <c r="BB44" s="32">
        <v>0</v>
      </c>
      <c r="BC44" s="32">
        <v>0</v>
      </c>
      <c r="BD44" s="32">
        <v>0</v>
      </c>
      <c r="BE44" s="32">
        <v>0</v>
      </c>
      <c r="BF44" s="32">
        <v>0</v>
      </c>
      <c r="BG44" s="32">
        <v>0</v>
      </c>
      <c r="BH44" s="32">
        <v>0</v>
      </c>
      <c r="BI44" s="32">
        <v>0</v>
      </c>
      <c r="BJ44" s="32">
        <v>0</v>
      </c>
      <c r="BK44" s="71">
        <f t="shared" si="16"/>
        <v>0</v>
      </c>
      <c r="BL44" s="76">
        <f t="shared" ca="1" si="17"/>
        <v>0</v>
      </c>
    </row>
    <row r="45" spans="1:64" s="49" customFormat="1" ht="23.25" customHeight="1" x14ac:dyDescent="0.2">
      <c r="A45" s="19" t="s">
        <v>166</v>
      </c>
      <c r="B45" s="20" t="s">
        <v>167</v>
      </c>
      <c r="C45" s="32">
        <f t="array" aca="1" ref="C45" ca="1">_xlfn.IFNA(SUM((C$3&gt;='Gastos com Pessoal'!$E$7:$E$506)*(C$3&lt;='Gastos com Pessoal'!$F$7:$F$506)*OFFSET('Encargos e Benefícios'!$D$5,1,MATCH($B45,'Encargos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45" s="32">
        <f t="array" aca="1" ref="D45" ca="1">_xlfn.IFNA(SUM((D$3&gt;='Gastos com Pessoal'!$E$7:$E$506)*(D$3&lt;='Gastos com Pessoal'!$F$7:$F$506)*OFFSET('Encargos e Benefícios'!$D$5,1,MATCH($B45,'Encargos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45" s="32">
        <f t="array" aca="1" ref="E45" ca="1">_xlfn.IFNA(SUM((E$3&gt;='Gastos com Pessoal'!$E$7:$E$506)*(E$3&lt;='Gastos com Pessoal'!$F$7:$F$506)*OFFSET('Encargos e Benefícios'!$D$5,1,MATCH($B45,'Encargos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45" s="32">
        <f t="array" aca="1" ref="F45" ca="1">_xlfn.IFNA(SUM((F$3&gt;='Gastos com Pessoal'!$E$7:$E$506)*(F$3&lt;='Gastos com Pessoal'!$F$7:$F$506)*OFFSET('Encargos e Benefícios'!$D$5,1,MATCH($B45,'Encargos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45" s="32">
        <f t="array" aca="1" ref="G45" ca="1">_xlfn.IFNA(SUM((G$3&gt;='Gastos com Pessoal'!$E$7:$E$506)*(G$3&lt;='Gastos com Pessoal'!$F$7:$F$506)*OFFSET('Encargos e Benefícios'!$D$5,1,MATCH($B45,'Encargos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45" s="32">
        <f t="array" aca="1" ref="H45" ca="1">_xlfn.IFNA(SUM((H$3&gt;='Gastos com Pessoal'!$E$7:$E$506)*(H$3&lt;='Gastos com Pessoal'!$F$7:$F$506)*OFFSET('Encargos e Benefícios'!$D$5,1,MATCH($B45,'Encargos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45" s="32">
        <f t="array" aca="1" ref="I45" ca="1">_xlfn.IFNA(SUM((I$3&gt;='Gastos com Pessoal'!$E$7:$E$506)*(I$3&lt;='Gastos com Pessoal'!$F$7:$F$506)*OFFSET('Encargos e Benefícios'!$D$5,1,MATCH($B45,'Encargos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45" s="32">
        <f t="array" aca="1" ref="J45" ca="1">_xlfn.IFNA(SUM((J$3&gt;='Gastos com Pessoal'!$E$7:$E$506)*(J$3&lt;='Gastos com Pessoal'!$F$7:$F$506)*OFFSET('Encargos e Benefícios'!$D$5,1,MATCH($B45,'Encargos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45" s="32">
        <f t="array" aca="1" ref="K45" ca="1">_xlfn.IFNA(SUM((K$3&gt;='Gastos com Pessoal'!$E$7:$E$506)*(K$3&lt;='Gastos com Pessoal'!$F$7:$F$506)*OFFSET('Encargos e Benefícios'!$D$5,1,MATCH($B45,'Encargos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45" s="32">
        <f t="array" aca="1" ref="L45" ca="1">_xlfn.IFNA(SUM((L$3&gt;='Gastos com Pessoal'!$E$7:$E$506)*(L$3&lt;='Gastos com Pessoal'!$F$7:$F$506)*OFFSET('Encargos e Benefícios'!$D$5,1,MATCH($B45,'Encargos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45" s="32">
        <f t="array" aca="1" ref="M45" ca="1">_xlfn.IFNA(SUM((M$3&gt;='Gastos com Pessoal'!$E$7:$E$506)*(M$3&lt;='Gastos com Pessoal'!$F$7:$F$506)*OFFSET('Encargos e Benefícios'!$D$5,1,MATCH($B45,'Encargos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45" s="32">
        <f t="array" aca="1" ref="N45" ca="1">_xlfn.IFNA(SUM((N$3&gt;='Gastos com Pessoal'!$E$7:$E$506)*(N$3&lt;='Gastos com Pessoal'!$F$7:$F$506)*OFFSET('Encargos e Benefícios'!$D$5,1,MATCH($B45,'Encargos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45" s="32">
        <f t="array" aca="1" ref="O45" ca="1">_xlfn.IFNA(SUM((O$3&gt;='Gastos com Pessoal'!$E$7:$E$506)*(O$3&lt;='Gastos com Pessoal'!$F$7:$F$506)*OFFSET('Encargos e Benefícios'!$D$5,1,MATCH($B45,'Encargos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45" s="32">
        <f t="array" aca="1" ref="P45" ca="1">_xlfn.IFNA(SUM((P$3&gt;='Gastos com Pessoal'!$E$7:$E$506)*(P$3&lt;='Gastos com Pessoal'!$F$7:$F$506)*OFFSET('Encargos e Benefícios'!$D$5,1,MATCH($B45,'Encargos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45" s="32">
        <f t="array" aca="1" ref="Q45" ca="1">_xlfn.IFNA(SUM((Q$3&gt;='Gastos com Pessoal'!$E$7:$E$506)*(Q$3&lt;='Gastos com Pessoal'!$F$7:$F$506)*OFFSET('Encargos e Benefícios'!$D$5,1,MATCH($B45,'Encargos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45" s="32">
        <f t="array" aca="1" ref="R45" ca="1">_xlfn.IFNA(SUM((R$3&gt;='Gastos com Pessoal'!$E$7:$E$506)*(R$3&lt;='Gastos com Pessoal'!$F$7:$F$506)*OFFSET('Encargos e Benefícios'!$D$5,1,MATCH($B45,'Encargos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45" s="32">
        <f t="array" aca="1" ref="S45" ca="1">_xlfn.IFNA(SUM((S$3&gt;='Gastos com Pessoal'!$E$7:$E$506)*(S$3&lt;='Gastos com Pessoal'!$F$7:$F$506)*OFFSET('Encargos e Benefícios'!$D$5,1,MATCH($B45,'Encargos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45" s="32">
        <f t="array" aca="1" ref="T45" ca="1">_xlfn.IFNA(SUM((T$3&gt;='Gastos com Pessoal'!$E$7:$E$506)*(T$3&lt;='Gastos com Pessoal'!$F$7:$F$506)*OFFSET('Encargos e Benefícios'!$D$5,1,MATCH($B45,'Encargos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45" s="32">
        <f t="array" aca="1" ref="U45" ca="1">_xlfn.IFNA(SUM((U$3&gt;='Gastos com Pessoal'!$E$7:$E$506)*(U$3&lt;='Gastos com Pessoal'!$F$7:$F$506)*OFFSET('Encargos e Benefícios'!$D$5,1,MATCH($B45,'Encargos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45" s="32">
        <f t="array" aca="1" ref="V45" ca="1">_xlfn.IFNA(SUM((V$3&gt;='Gastos com Pessoal'!$E$7:$E$506)*(V$3&lt;='Gastos com Pessoal'!$F$7:$F$506)*OFFSET('Encargos e Benefícios'!$D$5,1,MATCH($B45,'Encargos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45" s="32">
        <f t="array" aca="1" ref="W45" ca="1">_xlfn.IFNA(SUM((W$3&gt;='Gastos com Pessoal'!$E$7:$E$506)*(W$3&lt;='Gastos com Pessoal'!$F$7:$F$506)*OFFSET('Encargos e Benefícios'!$D$5,1,MATCH($B45,'Encargos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45" s="32">
        <f t="array" aca="1" ref="X45" ca="1">_xlfn.IFNA(SUM((X$3&gt;='Gastos com Pessoal'!$E$7:$E$506)*(X$3&lt;='Gastos com Pessoal'!$F$7:$F$506)*OFFSET('Encargos e Benefícios'!$D$5,1,MATCH($B45,'Encargos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45" s="32">
        <f t="array" aca="1" ref="Y45" ca="1">_xlfn.IFNA(SUM((Y$3&gt;='Gastos com Pessoal'!$E$7:$E$506)*(Y$3&lt;='Gastos com Pessoal'!$F$7:$F$506)*OFFSET('Encargos e Benefícios'!$D$5,1,MATCH($B45,'Encargos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45" s="32">
        <f t="array" aca="1" ref="Z45" ca="1">_xlfn.IFNA(SUM((Z$3&gt;='Gastos com Pessoal'!$E$7:$E$506)*(Z$3&lt;='Gastos com Pessoal'!$F$7:$F$506)*OFFSET('Encargos e Benefícios'!$D$5,1,MATCH($B45,'Encargos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45" s="32">
        <f t="array" aca="1" ref="AA45" ca="1">_xlfn.IFNA(SUM((AA$3&gt;='Gastos com Pessoal'!$E$7:$E$506)*(AA$3&lt;='Gastos com Pessoal'!$F$7:$F$506)*OFFSET('Encargos e Benefícios'!$D$5,1,MATCH($B45,'Encargos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45" s="32">
        <f t="array" aca="1" ref="AB45" ca="1">_xlfn.IFNA(SUM((AB$3&gt;='Gastos com Pessoal'!$E$7:$E$506)*(AB$3&lt;='Gastos com Pessoal'!$F$7:$F$506)*OFFSET('Encargos e Benefícios'!$D$5,1,MATCH($B45,'Encargos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45" s="32">
        <f t="array" aca="1" ref="AC45" ca="1">_xlfn.IFNA(SUM((AC$3&gt;='Gastos com Pessoal'!$E$7:$E$506)*(AC$3&lt;='Gastos com Pessoal'!$F$7:$F$506)*OFFSET('Encargos e Benefícios'!$D$5,1,MATCH($B45,'Encargos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45" s="32">
        <f t="array" aca="1" ref="AD45" ca="1">_xlfn.IFNA(SUM((AD$3&gt;='Gastos com Pessoal'!$E$7:$E$506)*(AD$3&lt;='Gastos com Pessoal'!$F$7:$F$506)*OFFSET('Encargos e Benefícios'!$D$5,1,MATCH($B45,'Encargos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45" s="32">
        <f t="array" aca="1" ref="AE45" ca="1">_xlfn.IFNA(SUM((AE$3&gt;='Gastos com Pessoal'!$E$7:$E$506)*(AE$3&lt;='Gastos com Pessoal'!$F$7:$F$506)*OFFSET('Encargos e Benefícios'!$D$5,1,MATCH($B45,'Encargos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45" s="32">
        <f t="array" aca="1" ref="AF45" ca="1">_xlfn.IFNA(SUM((AF$3&gt;='Gastos com Pessoal'!$E$7:$E$506)*(AF$3&lt;='Gastos com Pessoal'!$F$7:$F$506)*OFFSET('Encargos e Benefícios'!$D$5,1,MATCH($B45,'Encargos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45" s="32">
        <f t="array" aca="1" ref="AG45" ca="1">_xlfn.IFNA(SUM((AG$3&gt;='Gastos com Pessoal'!$E$7:$E$506)*(AG$3&lt;='Gastos com Pessoal'!$F$7:$F$506)*OFFSET('Encargos e Benefícios'!$D$5,1,MATCH($B45,'Encargos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45" s="32">
        <f t="array" aca="1" ref="AH45" ca="1">_xlfn.IFNA(SUM((AH$3&gt;='Gastos com Pessoal'!$E$7:$E$506)*(AH$3&lt;='Gastos com Pessoal'!$F$7:$F$506)*OFFSET('Encargos e Benefícios'!$D$5,1,MATCH($B45,'Encargos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45" s="32">
        <f t="array" aca="1" ref="AI45" ca="1">_xlfn.IFNA(SUM((AI$3&gt;='Gastos com Pessoal'!$E$7:$E$506)*(AI$3&lt;='Gastos com Pessoal'!$F$7:$F$506)*OFFSET('Encargos e Benefícios'!$D$5,1,MATCH($B45,'Encargos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45" s="32">
        <f t="array" aca="1" ref="AJ45" ca="1">_xlfn.IFNA(SUM((AJ$3&gt;='Gastos com Pessoal'!$E$7:$E$506)*(AJ$3&lt;='Gastos com Pessoal'!$F$7:$F$506)*OFFSET('Encargos e Benefícios'!$D$5,1,MATCH($B45,'Encargos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45" s="32">
        <f t="array" aca="1" ref="AK45" ca="1">_xlfn.IFNA(SUM((AK$3&gt;='Gastos com Pessoal'!$E$7:$E$506)*(AK$3&lt;='Gastos com Pessoal'!$F$7:$F$506)*OFFSET('Encargos e Benefícios'!$D$5,1,MATCH($B45,'Encargos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45" s="32">
        <f t="array" aca="1" ref="AL45" ca="1">_xlfn.IFNA(SUM((AL$3&gt;='Gastos com Pessoal'!$E$7:$E$506)*(AL$3&lt;='Gastos com Pessoal'!$F$7:$F$506)*OFFSET('Encargos e Benefícios'!$D$5,1,MATCH($B45,'Encargos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45" s="32">
        <f t="array" aca="1" ref="AM45" ca="1">_xlfn.IFNA(SUM((AM$3&gt;='Gastos com Pessoal'!$E$7:$E$506)*(AM$3&lt;='Gastos com Pessoal'!$F$7:$F$506)*OFFSET('Encargos e Benefícios'!$D$5,1,MATCH($B45,'Encargos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45" s="32">
        <f t="array" aca="1" ref="AN45" ca="1">_xlfn.IFNA(SUM((AN$3&gt;='Gastos com Pessoal'!$E$7:$E$506)*(AN$3&lt;='Gastos com Pessoal'!$F$7:$F$506)*OFFSET('Encargos e Benefícios'!$D$5,1,MATCH($B45,'Encargos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45" s="32">
        <f t="array" aca="1" ref="AO45" ca="1">_xlfn.IFNA(SUM((AO$3&gt;='Gastos com Pessoal'!$E$7:$E$506)*(AO$3&lt;='Gastos com Pessoal'!$F$7:$F$506)*OFFSET('Encargos e Benefícios'!$D$5,1,MATCH($B45,'Encargos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45" s="32">
        <f t="array" aca="1" ref="AP45" ca="1">_xlfn.IFNA(SUM((AP$3&gt;='Gastos com Pessoal'!$E$7:$E$506)*(AP$3&lt;='Gastos com Pessoal'!$F$7:$F$506)*OFFSET('Encargos e Benefícios'!$D$5,1,MATCH($B45,'Encargos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45" s="32">
        <f t="array" aca="1" ref="AQ45" ca="1">_xlfn.IFNA(SUM((AQ$3&gt;='Gastos com Pessoal'!$E$7:$E$506)*(AQ$3&lt;='Gastos com Pessoal'!$F$7:$F$506)*OFFSET('Encargos e Benefícios'!$D$5,1,MATCH($B45,'Encargos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45" s="32">
        <f t="array" aca="1" ref="AR45" ca="1">_xlfn.IFNA(SUM((AR$3&gt;='Gastos com Pessoal'!$E$7:$E$506)*(AR$3&lt;='Gastos com Pessoal'!$F$7:$F$506)*OFFSET('Encargos e Benefícios'!$D$5,1,MATCH($B45,'Encargos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45" s="32">
        <f t="array" aca="1" ref="AS45" ca="1">_xlfn.IFNA(SUM((AS$3&gt;='Gastos com Pessoal'!$E$7:$E$506)*(AS$3&lt;='Gastos com Pessoal'!$F$7:$F$506)*OFFSET('Encargos e Benefícios'!$D$5,1,MATCH($B45,'Encargos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45" s="32">
        <f t="array" aca="1" ref="AT45" ca="1">_xlfn.IFNA(SUM((AT$3&gt;='Gastos com Pessoal'!$E$7:$E$506)*(AT$3&lt;='Gastos com Pessoal'!$F$7:$F$506)*OFFSET('Encargos e Benefícios'!$D$5,1,MATCH($B45,'Encargos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45" s="32">
        <f t="array" aca="1" ref="AU45" ca="1">_xlfn.IFNA(SUM((AU$3&gt;='Gastos com Pessoal'!$E$7:$E$506)*(AU$3&lt;='Gastos com Pessoal'!$F$7:$F$506)*OFFSET('Encargos e Benefícios'!$D$5,1,MATCH($B45,'Encargos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45" s="32">
        <f t="array" aca="1" ref="AV45" ca="1">_xlfn.IFNA(SUM((AV$3&gt;='Gastos com Pessoal'!$E$7:$E$506)*(AV$3&lt;='Gastos com Pessoal'!$F$7:$F$506)*OFFSET('Encargos e Benefícios'!$D$5,1,MATCH($B45,'Encargos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45" s="32">
        <f t="array" aca="1" ref="AW45" ca="1">_xlfn.IFNA(SUM((AW$3&gt;='Gastos com Pessoal'!$E$7:$E$506)*(AW$3&lt;='Gastos com Pessoal'!$F$7:$F$506)*OFFSET('Encargos e Benefícios'!$D$5,1,MATCH($B45,'Encargos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45" s="32">
        <f t="array" aca="1" ref="AX45" ca="1">_xlfn.IFNA(SUM((AX$3&gt;='Gastos com Pessoal'!$E$7:$E$506)*(AX$3&lt;='Gastos com Pessoal'!$F$7:$F$506)*OFFSET('Encargos e Benefícios'!$D$5,1,MATCH($B45,'Encargos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45" s="32">
        <f t="array" aca="1" ref="AY45" ca="1">_xlfn.IFNA(SUM((AY$3&gt;='Gastos com Pessoal'!$E$7:$E$506)*(AY$3&lt;='Gastos com Pessoal'!$F$7:$F$506)*OFFSET('Encargos e Benefícios'!$D$5,1,MATCH($B45,'Encargos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45" s="32">
        <f t="array" aca="1" ref="AZ45" ca="1">_xlfn.IFNA(SUM((AZ$3&gt;='Gastos com Pessoal'!$E$7:$E$506)*(AZ$3&lt;='Gastos com Pessoal'!$F$7:$F$506)*OFFSET('Encargos e Benefícios'!$D$5,1,MATCH($B45,'Encargos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45" s="32">
        <f t="array" aca="1" ref="BA45" ca="1">_xlfn.IFNA(SUM((BA$3&gt;='Gastos com Pessoal'!$E$7:$E$506)*(BA$3&lt;='Gastos com Pessoal'!$F$7:$F$506)*OFFSET('Encargos e Benefícios'!$D$5,1,MATCH($B45,'Encargos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45" s="32">
        <f t="array" aca="1" ref="BB45" ca="1">_xlfn.IFNA(SUM((BB$3&gt;='Gastos com Pessoal'!$E$7:$E$506)*(BB$3&lt;='Gastos com Pessoal'!$F$7:$F$506)*OFFSET('Encargos e Benefícios'!$D$5,1,MATCH($B45,'Encargos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45" s="32">
        <f t="array" aca="1" ref="BC45" ca="1">_xlfn.IFNA(SUM((BC$3&gt;='Gastos com Pessoal'!$E$7:$E$506)*(BC$3&lt;='Gastos com Pessoal'!$F$7:$F$506)*OFFSET('Encargos e Benefícios'!$D$5,1,MATCH($B45,'Encargos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45" s="32">
        <f t="array" aca="1" ref="BD45" ca="1">_xlfn.IFNA(SUM((BD$3&gt;='Gastos com Pessoal'!$E$7:$E$506)*(BD$3&lt;='Gastos com Pessoal'!$F$7:$F$506)*OFFSET('Encargos e Benefícios'!$D$5,1,MATCH($B45,'Encargos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45" s="32">
        <f t="array" aca="1" ref="BE45" ca="1">_xlfn.IFNA(SUM((BE$3&gt;='Gastos com Pessoal'!$E$7:$E$506)*(BE$3&lt;='Gastos com Pessoal'!$F$7:$F$506)*OFFSET('Encargos e Benefícios'!$D$5,1,MATCH($B45,'Encargos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45" s="32">
        <f t="array" aca="1" ref="BF45" ca="1">_xlfn.IFNA(SUM((BF$3&gt;='Gastos com Pessoal'!$E$7:$E$506)*(BF$3&lt;='Gastos com Pessoal'!$F$7:$F$506)*OFFSET('Encargos e Benefícios'!$D$5,1,MATCH($B45,'Encargos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45" s="32">
        <f t="array" aca="1" ref="BG45" ca="1">_xlfn.IFNA(SUM((BG$3&gt;='Gastos com Pessoal'!$E$7:$E$506)*(BG$3&lt;='Gastos com Pessoal'!$F$7:$F$506)*OFFSET('Encargos e Benefícios'!$D$5,1,MATCH($B45,'Encargos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45" s="32">
        <f t="array" aca="1" ref="BH45" ca="1">_xlfn.IFNA(SUM((BH$3&gt;='Gastos com Pessoal'!$E$7:$E$506)*(BH$3&lt;='Gastos com Pessoal'!$F$7:$F$506)*OFFSET('Encargos e Benefícios'!$D$5,1,MATCH($B45,'Encargos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45" s="32">
        <f t="array" aca="1" ref="BI45" ca="1">_xlfn.IFNA(SUM((BI$3&gt;='Gastos com Pessoal'!$E$7:$E$506)*(BI$3&lt;='Gastos com Pessoal'!$F$7:$F$506)*OFFSET('Encargos e Benefícios'!$D$5,1,MATCH($B45,'Encargos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45" s="32">
        <f t="array" aca="1" ref="BJ45" ca="1">_xlfn.IFNA(SUM((BJ$3&gt;='Gastos com Pessoal'!$E$7:$E$506)*(BJ$3&lt;='Gastos com Pessoal'!$F$7:$F$506)*OFFSET('Encargos e Benefícios'!$D$5,1,MATCH($B45,'Encargos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45" s="71">
        <f t="shared" ca="1" si="16"/>
        <v>0</v>
      </c>
      <c r="BL45" s="76">
        <f t="shared" ca="1" si="17"/>
        <v>0</v>
      </c>
    </row>
    <row r="46" spans="1:64" s="49" customFormat="1" ht="23.25" customHeight="1" x14ac:dyDescent="0.2">
      <c r="A46" s="41"/>
      <c r="B46" s="42" t="s">
        <v>168</v>
      </c>
      <c r="C46" s="55">
        <f t="shared" ref="C46:AH46" ca="1" si="18">SUBTOTAL(109,C34:C45)</f>
        <v>1671321.2117390768</v>
      </c>
      <c r="D46" s="55">
        <f t="shared" ca="1" si="18"/>
        <v>1671321.2117390768</v>
      </c>
      <c r="E46" s="55">
        <f t="shared" ca="1" si="18"/>
        <v>1671321.2117390768</v>
      </c>
      <c r="F46" s="55">
        <f t="shared" ca="1" si="18"/>
        <v>1671321.2117390768</v>
      </c>
      <c r="G46" s="55">
        <f t="shared" ca="1" si="18"/>
        <v>1671321.2117390768</v>
      </c>
      <c r="H46" s="55">
        <f t="shared" ca="1" si="18"/>
        <v>1671321.2117390768</v>
      </c>
      <c r="I46" s="55">
        <f t="shared" ca="1" si="18"/>
        <v>1671321.2117390768</v>
      </c>
      <c r="J46" s="55">
        <f t="shared" ca="1" si="18"/>
        <v>1671321.2117390768</v>
      </c>
      <c r="K46" s="55">
        <f t="shared" ca="1" si="18"/>
        <v>1671321.2117390768</v>
      </c>
      <c r="L46" s="55">
        <f t="shared" ca="1" si="18"/>
        <v>1671321.2117390768</v>
      </c>
      <c r="M46" s="55">
        <f t="shared" ca="1" si="18"/>
        <v>1671321.2117390768</v>
      </c>
      <c r="N46" s="55">
        <f t="shared" ca="1" si="18"/>
        <v>1671321.2117390768</v>
      </c>
      <c r="O46" s="55">
        <f t="shared" ca="1" si="18"/>
        <v>1471354.1266817623</v>
      </c>
      <c r="P46" s="55">
        <f t="shared" ca="1" si="18"/>
        <v>1471354.1266817623</v>
      </c>
      <c r="Q46" s="55">
        <f t="shared" ca="1" si="18"/>
        <v>1471354.1266817623</v>
      </c>
      <c r="R46" s="55">
        <f t="shared" ca="1" si="18"/>
        <v>1471354.1266817623</v>
      </c>
      <c r="S46" s="55">
        <f t="shared" ca="1" si="18"/>
        <v>1471354.1266817623</v>
      </c>
      <c r="T46" s="55">
        <f t="shared" ca="1" si="18"/>
        <v>1471354.1266817623</v>
      </c>
      <c r="U46" s="55">
        <f t="shared" ca="1" si="18"/>
        <v>1471354.1266817623</v>
      </c>
      <c r="V46" s="55">
        <f t="shared" ca="1" si="18"/>
        <v>1471354.1266817623</v>
      </c>
      <c r="W46" s="55">
        <f t="shared" ca="1" si="18"/>
        <v>1471354.1266817623</v>
      </c>
      <c r="X46" s="55">
        <f t="shared" ca="1" si="18"/>
        <v>1471354.1266817623</v>
      </c>
      <c r="Y46" s="55">
        <f t="shared" ca="1" si="18"/>
        <v>1471354.1266817623</v>
      </c>
      <c r="Z46" s="55">
        <f t="shared" ca="1" si="18"/>
        <v>1471354.1266817623</v>
      </c>
      <c r="AA46" s="55">
        <f t="shared" ca="1" si="18"/>
        <v>1529608.2917490329</v>
      </c>
      <c r="AB46" s="55">
        <f t="shared" ca="1" si="18"/>
        <v>1529608.2917490329</v>
      </c>
      <c r="AC46" s="55">
        <f t="shared" ca="1" si="18"/>
        <v>1529608.2917490329</v>
      </c>
      <c r="AD46" s="55">
        <f t="shared" ca="1" si="18"/>
        <v>1529608.2917490329</v>
      </c>
      <c r="AE46" s="55">
        <f t="shared" ca="1" si="18"/>
        <v>1529608.2917490329</v>
      </c>
      <c r="AF46" s="55">
        <f t="shared" ca="1" si="18"/>
        <v>1529608.2917490329</v>
      </c>
      <c r="AG46" s="55">
        <f t="shared" ca="1" si="18"/>
        <v>1529608.2917490329</v>
      </c>
      <c r="AH46" s="55">
        <f t="shared" ca="1" si="18"/>
        <v>1529608.2917490329</v>
      </c>
      <c r="AI46" s="55">
        <f t="shared" ref="AI46:BK46" ca="1" si="19">SUBTOTAL(109,AI34:AI45)</f>
        <v>1529608.2917490329</v>
      </c>
      <c r="AJ46" s="55">
        <f t="shared" ca="1" si="19"/>
        <v>1529608.2917490329</v>
      </c>
      <c r="AK46" s="55">
        <f t="shared" ca="1" si="19"/>
        <v>1529608.2917490329</v>
      </c>
      <c r="AL46" s="55">
        <f t="shared" ca="1" si="19"/>
        <v>1529608.2917490329</v>
      </c>
      <c r="AM46" s="55">
        <f t="shared" ca="1" si="19"/>
        <v>0</v>
      </c>
      <c r="AN46" s="55">
        <f t="shared" ca="1" si="19"/>
        <v>0</v>
      </c>
      <c r="AO46" s="55">
        <f t="shared" ca="1" si="19"/>
        <v>0</v>
      </c>
      <c r="AP46" s="55">
        <f t="shared" ca="1" si="19"/>
        <v>0</v>
      </c>
      <c r="AQ46" s="55">
        <f t="shared" ca="1" si="19"/>
        <v>0</v>
      </c>
      <c r="AR46" s="55">
        <f t="shared" ca="1" si="19"/>
        <v>0</v>
      </c>
      <c r="AS46" s="55">
        <f t="shared" ca="1" si="19"/>
        <v>0</v>
      </c>
      <c r="AT46" s="55">
        <f t="shared" ca="1" si="19"/>
        <v>0</v>
      </c>
      <c r="AU46" s="55">
        <f t="shared" ca="1" si="19"/>
        <v>0</v>
      </c>
      <c r="AV46" s="55">
        <f t="shared" ca="1" si="19"/>
        <v>0</v>
      </c>
      <c r="AW46" s="55">
        <f t="shared" ca="1" si="19"/>
        <v>0</v>
      </c>
      <c r="AX46" s="55">
        <f t="shared" ca="1" si="19"/>
        <v>0</v>
      </c>
      <c r="AY46" s="55">
        <f t="shared" ca="1" si="19"/>
        <v>0</v>
      </c>
      <c r="AZ46" s="55">
        <f t="shared" ca="1" si="19"/>
        <v>0</v>
      </c>
      <c r="BA46" s="55">
        <f t="shared" ca="1" si="19"/>
        <v>0</v>
      </c>
      <c r="BB46" s="55">
        <f t="shared" ca="1" si="19"/>
        <v>0</v>
      </c>
      <c r="BC46" s="55">
        <f t="shared" ca="1" si="19"/>
        <v>0</v>
      </c>
      <c r="BD46" s="55">
        <f t="shared" ca="1" si="19"/>
        <v>0</v>
      </c>
      <c r="BE46" s="55">
        <f t="shared" ca="1" si="19"/>
        <v>0</v>
      </c>
      <c r="BF46" s="55">
        <f t="shared" ca="1" si="19"/>
        <v>0</v>
      </c>
      <c r="BG46" s="55">
        <f t="shared" ca="1" si="19"/>
        <v>0</v>
      </c>
      <c r="BH46" s="55">
        <f t="shared" ca="1" si="19"/>
        <v>0</v>
      </c>
      <c r="BI46" s="55">
        <f t="shared" ca="1" si="19"/>
        <v>0</v>
      </c>
      <c r="BJ46" s="55">
        <f t="shared" ca="1" si="19"/>
        <v>0</v>
      </c>
      <c r="BK46" s="55">
        <f t="shared" ca="1" si="19"/>
        <v>56067403.562038474</v>
      </c>
      <c r="BL46" s="61">
        <f t="shared" ca="1" si="17"/>
        <v>0.15292936167350096</v>
      </c>
    </row>
    <row r="47" spans="1:64" s="49" customFormat="1" ht="23.25" customHeight="1" x14ac:dyDescent="0.2">
      <c r="A47" s="242" t="s">
        <v>87</v>
      </c>
      <c r="B47" s="259" t="s">
        <v>88</v>
      </c>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c r="AS47" s="265"/>
      <c r="AT47" s="265"/>
      <c r="AU47" s="265"/>
      <c r="AV47" s="265"/>
      <c r="AW47" s="265"/>
      <c r="AX47" s="265"/>
      <c r="AY47" s="265"/>
      <c r="AZ47" s="265"/>
      <c r="BA47" s="265"/>
      <c r="BB47" s="265"/>
      <c r="BC47" s="265"/>
      <c r="BD47" s="265"/>
      <c r="BE47" s="265"/>
      <c r="BF47" s="265"/>
      <c r="BG47" s="265"/>
      <c r="BH47" s="265"/>
      <c r="BI47" s="265"/>
      <c r="BJ47" s="265"/>
      <c r="BK47" s="256"/>
      <c r="BL47" s="257"/>
    </row>
    <row r="48" spans="1:64" s="49" customFormat="1" ht="23.25" customHeight="1" x14ac:dyDescent="0.2">
      <c r="A48" s="18" t="s">
        <v>169</v>
      </c>
      <c r="B48" s="12" t="s">
        <v>170</v>
      </c>
      <c r="C48" s="32">
        <f t="array" aca="1" ref="C48" ca="1">_xlfn.IFNA(SUM((C$3&gt;='Gastos com Pessoal'!$E$7:$E$506)*(C$3&lt;='Gastos com Pessoal'!$F$7:$F$506)*OFFSET('Encargos e Benefícios'!$D$5,1,MATCH($B48,'Encargos e Benefícios'!$E$5:$AB$5,0),500,1)),0)
+_xlfn.IFNA(SUM((C$3&gt;='Gastos com Pessoal'!$E$513:$E$522)*(C$3&lt;='Gastos com Pessoal'!$F$513:$F$522)*OFFSET('Encargos e Benefícios'!$D$511,1,MATCH($B48,'Encargos e Benefícios'!$E$511:$AB$511,0),10,1)),0)
+_xlfn.IFNA(SUM((C$3&gt;='Gastos com Pessoal'!$E$7:$E$506)*(C$3&lt;='Gastos com Pessoal'!$F$7:$F$506)*(IF('Gastos com Pessoal'!$G$7:$G$506&lt;=C$3,1,0))*OFFSET('Gastos com Pessoal'!$H$6,1,MATCH(1&amp;$B48,'Gastos com Pessoal'!$I$532:$AJ$532&amp;'Gastos com Pessoal'!$I$6:$AJ$6,0),500,1)),0)
+_xlfn.IFNA(SUM((C$3&gt;='Gastos com Pessoal'!$E$7:$E$506)*(C$3&lt;='Gastos com Pessoal'!$F$7:$F$506)*(IF('Gastos com Pessoal'!$M$7:$M$506&lt;=C$3,1,0))*OFFSET('Gastos com Pessoal'!$H$6,1,MATCH(2&amp;$B48,'Gastos com Pessoal'!$I$532:$AJ$532&amp;'Gastos com Pessoal'!$I$6:$AJ$6,0),500,1)),0)
+_xlfn.IFNA(SUM((C$3&gt;='Gastos com Pessoal'!$E$7:$E$506)*(C$3&lt;='Gastos com Pessoal'!$F$7:$F$506)*(IF('Gastos com Pessoal'!$S$7:$S$506&lt;=C$3,1,0))*OFFSET('Gastos com Pessoal'!$H$6,1,MATCH(3&amp;$B48,'Gastos com Pessoal'!$I$532:$AJ$532&amp;'Gastos com Pessoal'!$I$6:$AJ$6,0),500,1)),0)
+_xlfn.IFNA(SUM((C$3&gt;='Gastos com Pessoal'!$E$7:$E$506)*(C$3&lt;='Gastos com Pessoal'!$F$7:$F$506)*(IF('Gastos com Pessoal'!$Y$7:$Y$506&lt;=C$3,1,0))*OFFSET('Gastos com Pessoal'!$H$6,1,MATCH(4&amp;$B48,'Gastos com Pessoal'!$I$532:$AJ$532&amp;'Gastos com Pessoal'!$I$6:$AJ$6,0),500,1)),0)
+_xlfn.IFNA(SUM((C$3&gt;='Gastos com Pessoal'!$E$7:$E$506)*(C$3&lt;='Gastos com Pessoal'!$F$7:$F$506)*(IF('Gastos com Pessoal'!$AE$7:$AE$506&lt;=C$3,1,0))*OFFSET('Gastos com Pessoal'!$H$6,1,MATCH(5&amp;$B48,'Gastos com Pessoal'!$I$532:$AJ$532&amp;'Gastos com Pessoal'!$I$6:$AJ$6,0),500,1)),0)
+_xlfn.IFNA(SUM((C$3&gt;='Gastos com Pessoal'!$E$513:$E$522)*(C$3&lt;='Gastos com Pessoal'!$F$513:$F$522)*(IF('Gastos com Pessoal'!$G$513:$G$522&lt;=C$3,1,0))*OFFSET('Gastos com Pessoal'!$H$512,1,MATCH(1&amp;$B48,'Gastos com Pessoal'!$I$532:$AJ$532&amp;'Gastos com Pessoal'!$I$512:$AJ$512,0),10,1)),0)
+_xlfn.IFNA(SUM((C$3&gt;='Gastos com Pessoal'!$E$513:$E$522)*(C$3&lt;='Gastos com Pessoal'!$F$513:$F$522)*(IF('Gastos com Pessoal'!$M$513:$M$522&lt;=C$3,1,0))*OFFSET('Gastos com Pessoal'!$H$512,1,MATCH(2&amp;$B48,'Gastos com Pessoal'!$I$532:$AJ$532&amp;'Gastos com Pessoal'!$I$512:$AJ$512,0),10,1)),0)
+_xlfn.IFNA(SUM((C$3&gt;='Gastos com Pessoal'!$E$513:$E$522)*(C$3&lt;='Gastos com Pessoal'!$F$513:$F$522)*(IF('Gastos com Pessoal'!$S$513:$S$522&lt;=C$3,1,0))*OFFSET('Gastos com Pessoal'!$H$512,1,MATCH(3&amp;$B48,'Gastos com Pessoal'!$I$532:$AJ$532&amp;'Gastos com Pessoal'!$I$512:$AJ$512,0),10,1)),0)
+_xlfn.IFNA(SUM((C$3&gt;='Gastos com Pessoal'!$E$513:$E$522)*(C$3&lt;='Gastos com Pessoal'!$F$513:$F$522)*(IF('Gastos com Pessoal'!$Y$513:$Y$522&lt;=C$3,1,0))*OFFSET('Gastos com Pessoal'!$H$512,1,MATCH(4&amp;$B48,'Gastos com Pessoal'!$I$532:$AJ$532&amp;'Gastos com Pessoal'!$I$512:$AJ$512,0),10,1)),0)
+_xlfn.IFNA(SUM((C$3&gt;='Gastos com Pessoal'!$E$513:$E$522)*(C$3&lt;='Gastos com Pessoal'!$F$513:$F$522)*(IF('Gastos com Pessoal'!$AE$513:$AE$522&lt;=C$3,1,0))*OFFSET('Gastos com Pessoal'!$H$512,1,MATCH(5&amp;$B48,'Gastos com Pessoal'!$I$532:$AJ$532&amp;'Gastos com Pessoal'!$I$512:$AJ$512,0),10,1)),0)</f>
        <v>247305.59903957622</v>
      </c>
      <c r="D48" s="32">
        <f t="array" aca="1" ref="D48" ca="1">_xlfn.IFNA(SUM((D$3&gt;='Gastos com Pessoal'!$E$7:$E$506)*(D$3&lt;='Gastos com Pessoal'!$F$7:$F$506)*OFFSET('Encargos e Benefícios'!$D$5,1,MATCH($B48,'Encargos e Benefícios'!$E$5:$AB$5,0),500,1)),0)
+_xlfn.IFNA(SUM((D$3&gt;='Gastos com Pessoal'!$E$513:$E$522)*(D$3&lt;='Gastos com Pessoal'!$F$513:$F$522)*OFFSET('Encargos e Benefícios'!$D$511,1,MATCH($B48,'Encargos e Benefícios'!$E$511:$AB$511,0),10,1)),0)
+_xlfn.IFNA(SUM((D$3&gt;='Gastos com Pessoal'!$E$7:$E$506)*(D$3&lt;='Gastos com Pessoal'!$F$7:$F$506)*(IF('Gastos com Pessoal'!$G$7:$G$506&lt;=D$3,1,0))*OFFSET('Gastos com Pessoal'!$H$6,1,MATCH(1&amp;$B48,'Gastos com Pessoal'!$I$532:$AJ$532&amp;'Gastos com Pessoal'!$I$6:$AJ$6,0),500,1)),0)
+_xlfn.IFNA(SUM((D$3&gt;='Gastos com Pessoal'!$E$7:$E$506)*(D$3&lt;='Gastos com Pessoal'!$F$7:$F$506)*(IF('Gastos com Pessoal'!$M$7:$M$506&lt;=D$3,1,0))*OFFSET('Gastos com Pessoal'!$H$6,1,MATCH(2&amp;$B48,'Gastos com Pessoal'!$I$532:$AJ$532&amp;'Gastos com Pessoal'!$I$6:$AJ$6,0),500,1)),0)
+_xlfn.IFNA(SUM((D$3&gt;='Gastos com Pessoal'!$E$7:$E$506)*(D$3&lt;='Gastos com Pessoal'!$F$7:$F$506)*(IF('Gastos com Pessoal'!$S$7:$S$506&lt;=D$3,1,0))*OFFSET('Gastos com Pessoal'!$H$6,1,MATCH(3&amp;$B48,'Gastos com Pessoal'!$I$532:$AJ$532&amp;'Gastos com Pessoal'!$I$6:$AJ$6,0),500,1)),0)
+_xlfn.IFNA(SUM((D$3&gt;='Gastos com Pessoal'!$E$7:$E$506)*(D$3&lt;='Gastos com Pessoal'!$F$7:$F$506)*(IF('Gastos com Pessoal'!$Y$7:$Y$506&lt;=D$3,1,0))*OFFSET('Gastos com Pessoal'!$H$6,1,MATCH(4&amp;$B48,'Gastos com Pessoal'!$I$532:$AJ$532&amp;'Gastos com Pessoal'!$I$6:$AJ$6,0),500,1)),0)
+_xlfn.IFNA(SUM((D$3&gt;='Gastos com Pessoal'!$E$7:$E$506)*(D$3&lt;='Gastos com Pessoal'!$F$7:$F$506)*(IF('Gastos com Pessoal'!$AE$7:$AE$506&lt;=D$3,1,0))*OFFSET('Gastos com Pessoal'!$H$6,1,MATCH(5&amp;$B48,'Gastos com Pessoal'!$I$532:$AJ$532&amp;'Gastos com Pessoal'!$I$6:$AJ$6,0),500,1)),0)
+_xlfn.IFNA(SUM((D$3&gt;='Gastos com Pessoal'!$E$513:$E$522)*(D$3&lt;='Gastos com Pessoal'!$F$513:$F$522)*(IF('Gastos com Pessoal'!$G$513:$G$522&lt;=D$3,1,0))*OFFSET('Gastos com Pessoal'!$H$512,1,MATCH(1&amp;$B48,'Gastos com Pessoal'!$I$532:$AJ$532&amp;'Gastos com Pessoal'!$I$512:$AJ$512,0),10,1)),0)
+_xlfn.IFNA(SUM((D$3&gt;='Gastos com Pessoal'!$E$513:$E$522)*(D$3&lt;='Gastos com Pessoal'!$F$513:$F$522)*(IF('Gastos com Pessoal'!$M$513:$M$522&lt;=D$3,1,0))*OFFSET('Gastos com Pessoal'!$H$512,1,MATCH(2&amp;$B48,'Gastos com Pessoal'!$I$532:$AJ$532&amp;'Gastos com Pessoal'!$I$512:$AJ$512,0),10,1)),0)
+_xlfn.IFNA(SUM((D$3&gt;='Gastos com Pessoal'!$E$513:$E$522)*(D$3&lt;='Gastos com Pessoal'!$F$513:$F$522)*(IF('Gastos com Pessoal'!$S$513:$S$522&lt;=D$3,1,0))*OFFSET('Gastos com Pessoal'!$H$512,1,MATCH(3&amp;$B48,'Gastos com Pessoal'!$I$532:$AJ$532&amp;'Gastos com Pessoal'!$I$512:$AJ$512,0),10,1)),0)
+_xlfn.IFNA(SUM((D$3&gt;='Gastos com Pessoal'!$E$513:$E$522)*(D$3&lt;='Gastos com Pessoal'!$F$513:$F$522)*(IF('Gastos com Pessoal'!$Y$513:$Y$522&lt;=D$3,1,0))*OFFSET('Gastos com Pessoal'!$H$512,1,MATCH(4&amp;$B48,'Gastos com Pessoal'!$I$532:$AJ$532&amp;'Gastos com Pessoal'!$I$512:$AJ$512,0),10,1)),0)
+_xlfn.IFNA(SUM((D$3&gt;='Gastos com Pessoal'!$E$513:$E$522)*(D$3&lt;='Gastos com Pessoal'!$F$513:$F$522)*(IF('Gastos com Pessoal'!$AE$513:$AE$522&lt;=D$3,1,0))*OFFSET('Gastos com Pessoal'!$H$512,1,MATCH(5&amp;$B48,'Gastos com Pessoal'!$I$532:$AJ$532&amp;'Gastos com Pessoal'!$I$512:$AJ$512,0),10,1)),0)</f>
        <v>247305.59903957622</v>
      </c>
      <c r="E48" s="32">
        <f t="array" aca="1" ref="E48" ca="1">_xlfn.IFNA(SUM((E$3&gt;='Gastos com Pessoal'!$E$7:$E$506)*(E$3&lt;='Gastos com Pessoal'!$F$7:$F$506)*OFFSET('Encargos e Benefícios'!$D$5,1,MATCH($B48,'Encargos e Benefícios'!$E$5:$AB$5,0),500,1)),0)
+_xlfn.IFNA(SUM((E$3&gt;='Gastos com Pessoal'!$E$513:$E$522)*(E$3&lt;='Gastos com Pessoal'!$F$513:$F$522)*OFFSET('Encargos e Benefícios'!$D$511,1,MATCH($B48,'Encargos e Benefícios'!$E$511:$AB$511,0),10,1)),0)
+_xlfn.IFNA(SUM((E$3&gt;='Gastos com Pessoal'!$E$7:$E$506)*(E$3&lt;='Gastos com Pessoal'!$F$7:$F$506)*(IF('Gastos com Pessoal'!$G$7:$G$506&lt;=E$3,1,0))*OFFSET('Gastos com Pessoal'!$H$6,1,MATCH(1&amp;$B48,'Gastos com Pessoal'!$I$532:$AJ$532&amp;'Gastos com Pessoal'!$I$6:$AJ$6,0),500,1)),0)
+_xlfn.IFNA(SUM((E$3&gt;='Gastos com Pessoal'!$E$7:$E$506)*(E$3&lt;='Gastos com Pessoal'!$F$7:$F$506)*(IF('Gastos com Pessoal'!$M$7:$M$506&lt;=E$3,1,0))*OFFSET('Gastos com Pessoal'!$H$6,1,MATCH(2&amp;$B48,'Gastos com Pessoal'!$I$532:$AJ$532&amp;'Gastos com Pessoal'!$I$6:$AJ$6,0),500,1)),0)
+_xlfn.IFNA(SUM((E$3&gt;='Gastos com Pessoal'!$E$7:$E$506)*(E$3&lt;='Gastos com Pessoal'!$F$7:$F$506)*(IF('Gastos com Pessoal'!$S$7:$S$506&lt;=E$3,1,0))*OFFSET('Gastos com Pessoal'!$H$6,1,MATCH(3&amp;$B48,'Gastos com Pessoal'!$I$532:$AJ$532&amp;'Gastos com Pessoal'!$I$6:$AJ$6,0),500,1)),0)
+_xlfn.IFNA(SUM((E$3&gt;='Gastos com Pessoal'!$E$7:$E$506)*(E$3&lt;='Gastos com Pessoal'!$F$7:$F$506)*(IF('Gastos com Pessoal'!$Y$7:$Y$506&lt;=E$3,1,0))*OFFSET('Gastos com Pessoal'!$H$6,1,MATCH(4&amp;$B48,'Gastos com Pessoal'!$I$532:$AJ$532&amp;'Gastos com Pessoal'!$I$6:$AJ$6,0),500,1)),0)
+_xlfn.IFNA(SUM((E$3&gt;='Gastos com Pessoal'!$E$7:$E$506)*(E$3&lt;='Gastos com Pessoal'!$F$7:$F$506)*(IF('Gastos com Pessoal'!$AE$7:$AE$506&lt;=E$3,1,0))*OFFSET('Gastos com Pessoal'!$H$6,1,MATCH(5&amp;$B48,'Gastos com Pessoal'!$I$532:$AJ$532&amp;'Gastos com Pessoal'!$I$6:$AJ$6,0),500,1)),0)
+_xlfn.IFNA(SUM((E$3&gt;='Gastos com Pessoal'!$E$513:$E$522)*(E$3&lt;='Gastos com Pessoal'!$F$513:$F$522)*(IF('Gastos com Pessoal'!$G$513:$G$522&lt;=E$3,1,0))*OFFSET('Gastos com Pessoal'!$H$512,1,MATCH(1&amp;$B48,'Gastos com Pessoal'!$I$532:$AJ$532&amp;'Gastos com Pessoal'!$I$512:$AJ$512,0),10,1)),0)
+_xlfn.IFNA(SUM((E$3&gt;='Gastos com Pessoal'!$E$513:$E$522)*(E$3&lt;='Gastos com Pessoal'!$F$513:$F$522)*(IF('Gastos com Pessoal'!$M$513:$M$522&lt;=E$3,1,0))*OFFSET('Gastos com Pessoal'!$H$512,1,MATCH(2&amp;$B48,'Gastos com Pessoal'!$I$532:$AJ$532&amp;'Gastos com Pessoal'!$I$512:$AJ$512,0),10,1)),0)
+_xlfn.IFNA(SUM((E$3&gt;='Gastos com Pessoal'!$E$513:$E$522)*(E$3&lt;='Gastos com Pessoal'!$F$513:$F$522)*(IF('Gastos com Pessoal'!$S$513:$S$522&lt;=E$3,1,0))*OFFSET('Gastos com Pessoal'!$H$512,1,MATCH(3&amp;$B48,'Gastos com Pessoal'!$I$532:$AJ$532&amp;'Gastos com Pessoal'!$I$512:$AJ$512,0),10,1)),0)
+_xlfn.IFNA(SUM((E$3&gt;='Gastos com Pessoal'!$E$513:$E$522)*(E$3&lt;='Gastos com Pessoal'!$F$513:$F$522)*(IF('Gastos com Pessoal'!$Y$513:$Y$522&lt;=E$3,1,0))*OFFSET('Gastos com Pessoal'!$H$512,1,MATCH(4&amp;$B48,'Gastos com Pessoal'!$I$532:$AJ$532&amp;'Gastos com Pessoal'!$I$512:$AJ$512,0),10,1)),0)
+_xlfn.IFNA(SUM((E$3&gt;='Gastos com Pessoal'!$E$513:$E$522)*(E$3&lt;='Gastos com Pessoal'!$F$513:$F$522)*(IF('Gastos com Pessoal'!$AE$513:$AE$522&lt;=E$3,1,0))*OFFSET('Gastos com Pessoal'!$H$512,1,MATCH(5&amp;$B48,'Gastos com Pessoal'!$I$532:$AJ$532&amp;'Gastos com Pessoal'!$I$512:$AJ$512,0),10,1)),0)</f>
        <v>247305.59903957622</v>
      </c>
      <c r="F48" s="32">
        <f t="array" aca="1" ref="F48" ca="1">_xlfn.IFNA(SUM((F$3&gt;='Gastos com Pessoal'!$E$7:$E$506)*(F$3&lt;='Gastos com Pessoal'!$F$7:$F$506)*OFFSET('Encargos e Benefícios'!$D$5,1,MATCH($B48,'Encargos e Benefícios'!$E$5:$AB$5,0),500,1)),0)
+_xlfn.IFNA(SUM((F$3&gt;='Gastos com Pessoal'!$E$513:$E$522)*(F$3&lt;='Gastos com Pessoal'!$F$513:$F$522)*OFFSET('Encargos e Benefícios'!$D$511,1,MATCH($B48,'Encargos e Benefícios'!$E$511:$AB$511,0),10,1)),0)
+_xlfn.IFNA(SUM((F$3&gt;='Gastos com Pessoal'!$E$7:$E$506)*(F$3&lt;='Gastos com Pessoal'!$F$7:$F$506)*(IF('Gastos com Pessoal'!$G$7:$G$506&lt;=F$3,1,0))*OFFSET('Gastos com Pessoal'!$H$6,1,MATCH(1&amp;$B48,'Gastos com Pessoal'!$I$532:$AJ$532&amp;'Gastos com Pessoal'!$I$6:$AJ$6,0),500,1)),0)
+_xlfn.IFNA(SUM((F$3&gt;='Gastos com Pessoal'!$E$7:$E$506)*(F$3&lt;='Gastos com Pessoal'!$F$7:$F$506)*(IF('Gastos com Pessoal'!$M$7:$M$506&lt;=F$3,1,0))*OFFSET('Gastos com Pessoal'!$H$6,1,MATCH(2&amp;$B48,'Gastos com Pessoal'!$I$532:$AJ$532&amp;'Gastos com Pessoal'!$I$6:$AJ$6,0),500,1)),0)
+_xlfn.IFNA(SUM((F$3&gt;='Gastos com Pessoal'!$E$7:$E$506)*(F$3&lt;='Gastos com Pessoal'!$F$7:$F$506)*(IF('Gastos com Pessoal'!$S$7:$S$506&lt;=F$3,1,0))*OFFSET('Gastos com Pessoal'!$H$6,1,MATCH(3&amp;$B48,'Gastos com Pessoal'!$I$532:$AJ$532&amp;'Gastos com Pessoal'!$I$6:$AJ$6,0),500,1)),0)
+_xlfn.IFNA(SUM((F$3&gt;='Gastos com Pessoal'!$E$7:$E$506)*(F$3&lt;='Gastos com Pessoal'!$F$7:$F$506)*(IF('Gastos com Pessoal'!$Y$7:$Y$506&lt;=F$3,1,0))*OFFSET('Gastos com Pessoal'!$H$6,1,MATCH(4&amp;$B48,'Gastos com Pessoal'!$I$532:$AJ$532&amp;'Gastos com Pessoal'!$I$6:$AJ$6,0),500,1)),0)
+_xlfn.IFNA(SUM((F$3&gt;='Gastos com Pessoal'!$E$7:$E$506)*(F$3&lt;='Gastos com Pessoal'!$F$7:$F$506)*(IF('Gastos com Pessoal'!$AE$7:$AE$506&lt;=F$3,1,0))*OFFSET('Gastos com Pessoal'!$H$6,1,MATCH(5&amp;$B48,'Gastos com Pessoal'!$I$532:$AJ$532&amp;'Gastos com Pessoal'!$I$6:$AJ$6,0),500,1)),0)
+_xlfn.IFNA(SUM((F$3&gt;='Gastos com Pessoal'!$E$513:$E$522)*(F$3&lt;='Gastos com Pessoal'!$F$513:$F$522)*(IF('Gastos com Pessoal'!$G$513:$G$522&lt;=F$3,1,0))*OFFSET('Gastos com Pessoal'!$H$512,1,MATCH(1&amp;$B48,'Gastos com Pessoal'!$I$532:$AJ$532&amp;'Gastos com Pessoal'!$I$512:$AJ$512,0),10,1)),0)
+_xlfn.IFNA(SUM((F$3&gt;='Gastos com Pessoal'!$E$513:$E$522)*(F$3&lt;='Gastos com Pessoal'!$F$513:$F$522)*(IF('Gastos com Pessoal'!$M$513:$M$522&lt;=F$3,1,0))*OFFSET('Gastos com Pessoal'!$H$512,1,MATCH(2&amp;$B48,'Gastos com Pessoal'!$I$532:$AJ$532&amp;'Gastos com Pessoal'!$I$512:$AJ$512,0),10,1)),0)
+_xlfn.IFNA(SUM((F$3&gt;='Gastos com Pessoal'!$E$513:$E$522)*(F$3&lt;='Gastos com Pessoal'!$F$513:$F$522)*(IF('Gastos com Pessoal'!$S$513:$S$522&lt;=F$3,1,0))*OFFSET('Gastos com Pessoal'!$H$512,1,MATCH(3&amp;$B48,'Gastos com Pessoal'!$I$532:$AJ$532&amp;'Gastos com Pessoal'!$I$512:$AJ$512,0),10,1)),0)
+_xlfn.IFNA(SUM((F$3&gt;='Gastos com Pessoal'!$E$513:$E$522)*(F$3&lt;='Gastos com Pessoal'!$F$513:$F$522)*(IF('Gastos com Pessoal'!$Y$513:$Y$522&lt;=F$3,1,0))*OFFSET('Gastos com Pessoal'!$H$512,1,MATCH(4&amp;$B48,'Gastos com Pessoal'!$I$532:$AJ$532&amp;'Gastos com Pessoal'!$I$512:$AJ$512,0),10,1)),0)
+_xlfn.IFNA(SUM((F$3&gt;='Gastos com Pessoal'!$E$513:$E$522)*(F$3&lt;='Gastos com Pessoal'!$F$513:$F$522)*(IF('Gastos com Pessoal'!$AE$513:$AE$522&lt;=F$3,1,0))*OFFSET('Gastos com Pessoal'!$H$512,1,MATCH(5&amp;$B48,'Gastos com Pessoal'!$I$532:$AJ$532&amp;'Gastos com Pessoal'!$I$512:$AJ$512,0),10,1)),0)</f>
        <v>247305.59903957622</v>
      </c>
      <c r="G48" s="32">
        <f t="array" aca="1" ref="G48" ca="1">_xlfn.IFNA(SUM((G$3&gt;='Gastos com Pessoal'!$E$7:$E$506)*(G$3&lt;='Gastos com Pessoal'!$F$7:$F$506)*OFFSET('Encargos e Benefícios'!$D$5,1,MATCH($B48,'Encargos e Benefícios'!$E$5:$AB$5,0),500,1)),0)
+_xlfn.IFNA(SUM((G$3&gt;='Gastos com Pessoal'!$E$513:$E$522)*(G$3&lt;='Gastos com Pessoal'!$F$513:$F$522)*OFFSET('Encargos e Benefícios'!$D$511,1,MATCH($B48,'Encargos e Benefícios'!$E$511:$AB$511,0),10,1)),0)
+_xlfn.IFNA(SUM((G$3&gt;='Gastos com Pessoal'!$E$7:$E$506)*(G$3&lt;='Gastos com Pessoal'!$F$7:$F$506)*(IF('Gastos com Pessoal'!$G$7:$G$506&lt;=G$3,1,0))*OFFSET('Gastos com Pessoal'!$H$6,1,MATCH(1&amp;$B48,'Gastos com Pessoal'!$I$532:$AJ$532&amp;'Gastos com Pessoal'!$I$6:$AJ$6,0),500,1)),0)
+_xlfn.IFNA(SUM((G$3&gt;='Gastos com Pessoal'!$E$7:$E$506)*(G$3&lt;='Gastos com Pessoal'!$F$7:$F$506)*(IF('Gastos com Pessoal'!$M$7:$M$506&lt;=G$3,1,0))*OFFSET('Gastos com Pessoal'!$H$6,1,MATCH(2&amp;$B48,'Gastos com Pessoal'!$I$532:$AJ$532&amp;'Gastos com Pessoal'!$I$6:$AJ$6,0),500,1)),0)
+_xlfn.IFNA(SUM((G$3&gt;='Gastos com Pessoal'!$E$7:$E$506)*(G$3&lt;='Gastos com Pessoal'!$F$7:$F$506)*(IF('Gastos com Pessoal'!$S$7:$S$506&lt;=G$3,1,0))*OFFSET('Gastos com Pessoal'!$H$6,1,MATCH(3&amp;$B48,'Gastos com Pessoal'!$I$532:$AJ$532&amp;'Gastos com Pessoal'!$I$6:$AJ$6,0),500,1)),0)
+_xlfn.IFNA(SUM((G$3&gt;='Gastos com Pessoal'!$E$7:$E$506)*(G$3&lt;='Gastos com Pessoal'!$F$7:$F$506)*(IF('Gastos com Pessoal'!$Y$7:$Y$506&lt;=G$3,1,0))*OFFSET('Gastos com Pessoal'!$H$6,1,MATCH(4&amp;$B48,'Gastos com Pessoal'!$I$532:$AJ$532&amp;'Gastos com Pessoal'!$I$6:$AJ$6,0),500,1)),0)
+_xlfn.IFNA(SUM((G$3&gt;='Gastos com Pessoal'!$E$7:$E$506)*(G$3&lt;='Gastos com Pessoal'!$F$7:$F$506)*(IF('Gastos com Pessoal'!$AE$7:$AE$506&lt;=G$3,1,0))*OFFSET('Gastos com Pessoal'!$H$6,1,MATCH(5&amp;$B48,'Gastos com Pessoal'!$I$532:$AJ$532&amp;'Gastos com Pessoal'!$I$6:$AJ$6,0),500,1)),0)
+_xlfn.IFNA(SUM((G$3&gt;='Gastos com Pessoal'!$E$513:$E$522)*(G$3&lt;='Gastos com Pessoal'!$F$513:$F$522)*(IF('Gastos com Pessoal'!$G$513:$G$522&lt;=G$3,1,0))*OFFSET('Gastos com Pessoal'!$H$512,1,MATCH(1&amp;$B48,'Gastos com Pessoal'!$I$532:$AJ$532&amp;'Gastos com Pessoal'!$I$512:$AJ$512,0),10,1)),0)
+_xlfn.IFNA(SUM((G$3&gt;='Gastos com Pessoal'!$E$513:$E$522)*(G$3&lt;='Gastos com Pessoal'!$F$513:$F$522)*(IF('Gastos com Pessoal'!$M$513:$M$522&lt;=G$3,1,0))*OFFSET('Gastos com Pessoal'!$H$512,1,MATCH(2&amp;$B48,'Gastos com Pessoal'!$I$532:$AJ$532&amp;'Gastos com Pessoal'!$I$512:$AJ$512,0),10,1)),0)
+_xlfn.IFNA(SUM((G$3&gt;='Gastos com Pessoal'!$E$513:$E$522)*(G$3&lt;='Gastos com Pessoal'!$F$513:$F$522)*(IF('Gastos com Pessoal'!$S$513:$S$522&lt;=G$3,1,0))*OFFSET('Gastos com Pessoal'!$H$512,1,MATCH(3&amp;$B48,'Gastos com Pessoal'!$I$532:$AJ$532&amp;'Gastos com Pessoal'!$I$512:$AJ$512,0),10,1)),0)
+_xlfn.IFNA(SUM((G$3&gt;='Gastos com Pessoal'!$E$513:$E$522)*(G$3&lt;='Gastos com Pessoal'!$F$513:$F$522)*(IF('Gastos com Pessoal'!$Y$513:$Y$522&lt;=G$3,1,0))*OFFSET('Gastos com Pessoal'!$H$512,1,MATCH(4&amp;$B48,'Gastos com Pessoal'!$I$532:$AJ$532&amp;'Gastos com Pessoal'!$I$512:$AJ$512,0),10,1)),0)
+_xlfn.IFNA(SUM((G$3&gt;='Gastos com Pessoal'!$E$513:$E$522)*(G$3&lt;='Gastos com Pessoal'!$F$513:$F$522)*(IF('Gastos com Pessoal'!$AE$513:$AE$522&lt;=G$3,1,0))*OFFSET('Gastos com Pessoal'!$H$512,1,MATCH(5&amp;$B48,'Gastos com Pessoal'!$I$532:$AJ$532&amp;'Gastos com Pessoal'!$I$512:$AJ$512,0),10,1)),0)</f>
        <v>247305.59903957622</v>
      </c>
      <c r="H48" s="32">
        <f t="array" aca="1" ref="H48" ca="1">_xlfn.IFNA(SUM((H$3&gt;='Gastos com Pessoal'!$E$7:$E$506)*(H$3&lt;='Gastos com Pessoal'!$F$7:$F$506)*OFFSET('Encargos e Benefícios'!$D$5,1,MATCH($B48,'Encargos e Benefícios'!$E$5:$AB$5,0),500,1)),0)
+_xlfn.IFNA(SUM((H$3&gt;='Gastos com Pessoal'!$E$513:$E$522)*(H$3&lt;='Gastos com Pessoal'!$F$513:$F$522)*OFFSET('Encargos e Benefícios'!$D$511,1,MATCH($B48,'Encargos e Benefícios'!$E$511:$AB$511,0),10,1)),0)
+_xlfn.IFNA(SUM((H$3&gt;='Gastos com Pessoal'!$E$7:$E$506)*(H$3&lt;='Gastos com Pessoal'!$F$7:$F$506)*(IF('Gastos com Pessoal'!$G$7:$G$506&lt;=H$3,1,0))*OFFSET('Gastos com Pessoal'!$H$6,1,MATCH(1&amp;$B48,'Gastos com Pessoal'!$I$532:$AJ$532&amp;'Gastos com Pessoal'!$I$6:$AJ$6,0),500,1)),0)
+_xlfn.IFNA(SUM((H$3&gt;='Gastos com Pessoal'!$E$7:$E$506)*(H$3&lt;='Gastos com Pessoal'!$F$7:$F$506)*(IF('Gastos com Pessoal'!$M$7:$M$506&lt;=H$3,1,0))*OFFSET('Gastos com Pessoal'!$H$6,1,MATCH(2&amp;$B48,'Gastos com Pessoal'!$I$532:$AJ$532&amp;'Gastos com Pessoal'!$I$6:$AJ$6,0),500,1)),0)
+_xlfn.IFNA(SUM((H$3&gt;='Gastos com Pessoal'!$E$7:$E$506)*(H$3&lt;='Gastos com Pessoal'!$F$7:$F$506)*(IF('Gastos com Pessoal'!$S$7:$S$506&lt;=H$3,1,0))*OFFSET('Gastos com Pessoal'!$H$6,1,MATCH(3&amp;$B48,'Gastos com Pessoal'!$I$532:$AJ$532&amp;'Gastos com Pessoal'!$I$6:$AJ$6,0),500,1)),0)
+_xlfn.IFNA(SUM((H$3&gt;='Gastos com Pessoal'!$E$7:$E$506)*(H$3&lt;='Gastos com Pessoal'!$F$7:$F$506)*(IF('Gastos com Pessoal'!$Y$7:$Y$506&lt;=H$3,1,0))*OFFSET('Gastos com Pessoal'!$H$6,1,MATCH(4&amp;$B48,'Gastos com Pessoal'!$I$532:$AJ$532&amp;'Gastos com Pessoal'!$I$6:$AJ$6,0),500,1)),0)
+_xlfn.IFNA(SUM((H$3&gt;='Gastos com Pessoal'!$E$7:$E$506)*(H$3&lt;='Gastos com Pessoal'!$F$7:$F$506)*(IF('Gastos com Pessoal'!$AE$7:$AE$506&lt;=H$3,1,0))*OFFSET('Gastos com Pessoal'!$H$6,1,MATCH(5&amp;$B48,'Gastos com Pessoal'!$I$532:$AJ$532&amp;'Gastos com Pessoal'!$I$6:$AJ$6,0),500,1)),0)
+_xlfn.IFNA(SUM((H$3&gt;='Gastos com Pessoal'!$E$513:$E$522)*(H$3&lt;='Gastos com Pessoal'!$F$513:$F$522)*(IF('Gastos com Pessoal'!$G$513:$G$522&lt;=H$3,1,0))*OFFSET('Gastos com Pessoal'!$H$512,1,MATCH(1&amp;$B48,'Gastos com Pessoal'!$I$532:$AJ$532&amp;'Gastos com Pessoal'!$I$512:$AJ$512,0),10,1)),0)
+_xlfn.IFNA(SUM((H$3&gt;='Gastos com Pessoal'!$E$513:$E$522)*(H$3&lt;='Gastos com Pessoal'!$F$513:$F$522)*(IF('Gastos com Pessoal'!$M$513:$M$522&lt;=H$3,1,0))*OFFSET('Gastos com Pessoal'!$H$512,1,MATCH(2&amp;$B48,'Gastos com Pessoal'!$I$532:$AJ$532&amp;'Gastos com Pessoal'!$I$512:$AJ$512,0),10,1)),0)
+_xlfn.IFNA(SUM((H$3&gt;='Gastos com Pessoal'!$E$513:$E$522)*(H$3&lt;='Gastos com Pessoal'!$F$513:$F$522)*(IF('Gastos com Pessoal'!$S$513:$S$522&lt;=H$3,1,0))*OFFSET('Gastos com Pessoal'!$H$512,1,MATCH(3&amp;$B48,'Gastos com Pessoal'!$I$532:$AJ$532&amp;'Gastos com Pessoal'!$I$512:$AJ$512,0),10,1)),0)
+_xlfn.IFNA(SUM((H$3&gt;='Gastos com Pessoal'!$E$513:$E$522)*(H$3&lt;='Gastos com Pessoal'!$F$513:$F$522)*(IF('Gastos com Pessoal'!$Y$513:$Y$522&lt;=H$3,1,0))*OFFSET('Gastos com Pessoal'!$H$512,1,MATCH(4&amp;$B48,'Gastos com Pessoal'!$I$532:$AJ$532&amp;'Gastos com Pessoal'!$I$512:$AJ$512,0),10,1)),0)
+_xlfn.IFNA(SUM((H$3&gt;='Gastos com Pessoal'!$E$513:$E$522)*(H$3&lt;='Gastos com Pessoal'!$F$513:$F$522)*(IF('Gastos com Pessoal'!$AE$513:$AE$522&lt;=H$3,1,0))*OFFSET('Gastos com Pessoal'!$H$512,1,MATCH(5&amp;$B48,'Gastos com Pessoal'!$I$532:$AJ$532&amp;'Gastos com Pessoal'!$I$512:$AJ$512,0),10,1)),0)</f>
        <v>247305.59903957622</v>
      </c>
      <c r="I48" s="32">
        <f t="array" aca="1" ref="I48" ca="1">_xlfn.IFNA(SUM((I$3&gt;='Gastos com Pessoal'!$E$7:$E$506)*(I$3&lt;='Gastos com Pessoal'!$F$7:$F$506)*OFFSET('Encargos e Benefícios'!$D$5,1,MATCH($B48,'Encargos e Benefícios'!$E$5:$AB$5,0),500,1)),0)
+_xlfn.IFNA(SUM((I$3&gt;='Gastos com Pessoal'!$E$513:$E$522)*(I$3&lt;='Gastos com Pessoal'!$F$513:$F$522)*OFFSET('Encargos e Benefícios'!$D$511,1,MATCH($B48,'Encargos e Benefícios'!$E$511:$AB$511,0),10,1)),0)
+_xlfn.IFNA(SUM((I$3&gt;='Gastos com Pessoal'!$E$7:$E$506)*(I$3&lt;='Gastos com Pessoal'!$F$7:$F$506)*(IF('Gastos com Pessoal'!$G$7:$G$506&lt;=I$3,1,0))*OFFSET('Gastos com Pessoal'!$H$6,1,MATCH(1&amp;$B48,'Gastos com Pessoal'!$I$532:$AJ$532&amp;'Gastos com Pessoal'!$I$6:$AJ$6,0),500,1)),0)
+_xlfn.IFNA(SUM((I$3&gt;='Gastos com Pessoal'!$E$7:$E$506)*(I$3&lt;='Gastos com Pessoal'!$F$7:$F$506)*(IF('Gastos com Pessoal'!$M$7:$M$506&lt;=I$3,1,0))*OFFSET('Gastos com Pessoal'!$H$6,1,MATCH(2&amp;$B48,'Gastos com Pessoal'!$I$532:$AJ$532&amp;'Gastos com Pessoal'!$I$6:$AJ$6,0),500,1)),0)
+_xlfn.IFNA(SUM((I$3&gt;='Gastos com Pessoal'!$E$7:$E$506)*(I$3&lt;='Gastos com Pessoal'!$F$7:$F$506)*(IF('Gastos com Pessoal'!$S$7:$S$506&lt;=I$3,1,0))*OFFSET('Gastos com Pessoal'!$H$6,1,MATCH(3&amp;$B48,'Gastos com Pessoal'!$I$532:$AJ$532&amp;'Gastos com Pessoal'!$I$6:$AJ$6,0),500,1)),0)
+_xlfn.IFNA(SUM((I$3&gt;='Gastos com Pessoal'!$E$7:$E$506)*(I$3&lt;='Gastos com Pessoal'!$F$7:$F$506)*(IF('Gastos com Pessoal'!$Y$7:$Y$506&lt;=I$3,1,0))*OFFSET('Gastos com Pessoal'!$H$6,1,MATCH(4&amp;$B48,'Gastos com Pessoal'!$I$532:$AJ$532&amp;'Gastos com Pessoal'!$I$6:$AJ$6,0),500,1)),0)
+_xlfn.IFNA(SUM((I$3&gt;='Gastos com Pessoal'!$E$7:$E$506)*(I$3&lt;='Gastos com Pessoal'!$F$7:$F$506)*(IF('Gastos com Pessoal'!$AE$7:$AE$506&lt;=I$3,1,0))*OFFSET('Gastos com Pessoal'!$H$6,1,MATCH(5&amp;$B48,'Gastos com Pessoal'!$I$532:$AJ$532&amp;'Gastos com Pessoal'!$I$6:$AJ$6,0),500,1)),0)
+_xlfn.IFNA(SUM((I$3&gt;='Gastos com Pessoal'!$E$513:$E$522)*(I$3&lt;='Gastos com Pessoal'!$F$513:$F$522)*(IF('Gastos com Pessoal'!$G$513:$G$522&lt;=I$3,1,0))*OFFSET('Gastos com Pessoal'!$H$512,1,MATCH(1&amp;$B48,'Gastos com Pessoal'!$I$532:$AJ$532&amp;'Gastos com Pessoal'!$I$512:$AJ$512,0),10,1)),0)
+_xlfn.IFNA(SUM((I$3&gt;='Gastos com Pessoal'!$E$513:$E$522)*(I$3&lt;='Gastos com Pessoal'!$F$513:$F$522)*(IF('Gastos com Pessoal'!$M$513:$M$522&lt;=I$3,1,0))*OFFSET('Gastos com Pessoal'!$H$512,1,MATCH(2&amp;$B48,'Gastos com Pessoal'!$I$532:$AJ$532&amp;'Gastos com Pessoal'!$I$512:$AJ$512,0),10,1)),0)
+_xlfn.IFNA(SUM((I$3&gt;='Gastos com Pessoal'!$E$513:$E$522)*(I$3&lt;='Gastos com Pessoal'!$F$513:$F$522)*(IF('Gastos com Pessoal'!$S$513:$S$522&lt;=I$3,1,0))*OFFSET('Gastos com Pessoal'!$H$512,1,MATCH(3&amp;$B48,'Gastos com Pessoal'!$I$532:$AJ$532&amp;'Gastos com Pessoal'!$I$512:$AJ$512,0),10,1)),0)
+_xlfn.IFNA(SUM((I$3&gt;='Gastos com Pessoal'!$E$513:$E$522)*(I$3&lt;='Gastos com Pessoal'!$F$513:$F$522)*(IF('Gastos com Pessoal'!$Y$513:$Y$522&lt;=I$3,1,0))*OFFSET('Gastos com Pessoal'!$H$512,1,MATCH(4&amp;$B48,'Gastos com Pessoal'!$I$532:$AJ$532&amp;'Gastos com Pessoal'!$I$512:$AJ$512,0),10,1)),0)
+_xlfn.IFNA(SUM((I$3&gt;='Gastos com Pessoal'!$E$513:$E$522)*(I$3&lt;='Gastos com Pessoal'!$F$513:$F$522)*(IF('Gastos com Pessoal'!$AE$513:$AE$522&lt;=I$3,1,0))*OFFSET('Gastos com Pessoal'!$H$512,1,MATCH(5&amp;$B48,'Gastos com Pessoal'!$I$532:$AJ$532&amp;'Gastos com Pessoal'!$I$512:$AJ$512,0),10,1)),0)</f>
        <v>247305.59903957622</v>
      </c>
      <c r="J48" s="32">
        <f t="array" aca="1" ref="J48" ca="1">_xlfn.IFNA(SUM((J$3&gt;='Gastos com Pessoal'!$E$7:$E$506)*(J$3&lt;='Gastos com Pessoal'!$F$7:$F$506)*OFFSET('Encargos e Benefícios'!$D$5,1,MATCH($B48,'Encargos e Benefícios'!$E$5:$AB$5,0),500,1)),0)
+_xlfn.IFNA(SUM((J$3&gt;='Gastos com Pessoal'!$E$513:$E$522)*(J$3&lt;='Gastos com Pessoal'!$F$513:$F$522)*OFFSET('Encargos e Benefícios'!$D$511,1,MATCH($B48,'Encargos e Benefícios'!$E$511:$AB$511,0),10,1)),0)
+_xlfn.IFNA(SUM((J$3&gt;='Gastos com Pessoal'!$E$7:$E$506)*(J$3&lt;='Gastos com Pessoal'!$F$7:$F$506)*(IF('Gastos com Pessoal'!$G$7:$G$506&lt;=J$3,1,0))*OFFSET('Gastos com Pessoal'!$H$6,1,MATCH(1&amp;$B48,'Gastos com Pessoal'!$I$532:$AJ$532&amp;'Gastos com Pessoal'!$I$6:$AJ$6,0),500,1)),0)
+_xlfn.IFNA(SUM((J$3&gt;='Gastos com Pessoal'!$E$7:$E$506)*(J$3&lt;='Gastos com Pessoal'!$F$7:$F$506)*(IF('Gastos com Pessoal'!$M$7:$M$506&lt;=J$3,1,0))*OFFSET('Gastos com Pessoal'!$H$6,1,MATCH(2&amp;$B48,'Gastos com Pessoal'!$I$532:$AJ$532&amp;'Gastos com Pessoal'!$I$6:$AJ$6,0),500,1)),0)
+_xlfn.IFNA(SUM((J$3&gt;='Gastos com Pessoal'!$E$7:$E$506)*(J$3&lt;='Gastos com Pessoal'!$F$7:$F$506)*(IF('Gastos com Pessoal'!$S$7:$S$506&lt;=J$3,1,0))*OFFSET('Gastos com Pessoal'!$H$6,1,MATCH(3&amp;$B48,'Gastos com Pessoal'!$I$532:$AJ$532&amp;'Gastos com Pessoal'!$I$6:$AJ$6,0),500,1)),0)
+_xlfn.IFNA(SUM((J$3&gt;='Gastos com Pessoal'!$E$7:$E$506)*(J$3&lt;='Gastos com Pessoal'!$F$7:$F$506)*(IF('Gastos com Pessoal'!$Y$7:$Y$506&lt;=J$3,1,0))*OFFSET('Gastos com Pessoal'!$H$6,1,MATCH(4&amp;$B48,'Gastos com Pessoal'!$I$532:$AJ$532&amp;'Gastos com Pessoal'!$I$6:$AJ$6,0),500,1)),0)
+_xlfn.IFNA(SUM((J$3&gt;='Gastos com Pessoal'!$E$7:$E$506)*(J$3&lt;='Gastos com Pessoal'!$F$7:$F$506)*(IF('Gastos com Pessoal'!$AE$7:$AE$506&lt;=J$3,1,0))*OFFSET('Gastos com Pessoal'!$H$6,1,MATCH(5&amp;$B48,'Gastos com Pessoal'!$I$532:$AJ$532&amp;'Gastos com Pessoal'!$I$6:$AJ$6,0),500,1)),0)
+_xlfn.IFNA(SUM((J$3&gt;='Gastos com Pessoal'!$E$513:$E$522)*(J$3&lt;='Gastos com Pessoal'!$F$513:$F$522)*(IF('Gastos com Pessoal'!$G$513:$G$522&lt;=J$3,1,0))*OFFSET('Gastos com Pessoal'!$H$512,1,MATCH(1&amp;$B48,'Gastos com Pessoal'!$I$532:$AJ$532&amp;'Gastos com Pessoal'!$I$512:$AJ$512,0),10,1)),0)
+_xlfn.IFNA(SUM((J$3&gt;='Gastos com Pessoal'!$E$513:$E$522)*(J$3&lt;='Gastos com Pessoal'!$F$513:$F$522)*(IF('Gastos com Pessoal'!$M$513:$M$522&lt;=J$3,1,0))*OFFSET('Gastos com Pessoal'!$H$512,1,MATCH(2&amp;$B48,'Gastos com Pessoal'!$I$532:$AJ$532&amp;'Gastos com Pessoal'!$I$512:$AJ$512,0),10,1)),0)
+_xlfn.IFNA(SUM((J$3&gt;='Gastos com Pessoal'!$E$513:$E$522)*(J$3&lt;='Gastos com Pessoal'!$F$513:$F$522)*(IF('Gastos com Pessoal'!$S$513:$S$522&lt;=J$3,1,0))*OFFSET('Gastos com Pessoal'!$H$512,1,MATCH(3&amp;$B48,'Gastos com Pessoal'!$I$532:$AJ$532&amp;'Gastos com Pessoal'!$I$512:$AJ$512,0),10,1)),0)
+_xlfn.IFNA(SUM((J$3&gt;='Gastos com Pessoal'!$E$513:$E$522)*(J$3&lt;='Gastos com Pessoal'!$F$513:$F$522)*(IF('Gastos com Pessoal'!$Y$513:$Y$522&lt;=J$3,1,0))*OFFSET('Gastos com Pessoal'!$H$512,1,MATCH(4&amp;$B48,'Gastos com Pessoal'!$I$532:$AJ$532&amp;'Gastos com Pessoal'!$I$512:$AJ$512,0),10,1)),0)
+_xlfn.IFNA(SUM((J$3&gt;='Gastos com Pessoal'!$E$513:$E$522)*(J$3&lt;='Gastos com Pessoal'!$F$513:$F$522)*(IF('Gastos com Pessoal'!$AE$513:$AE$522&lt;=J$3,1,0))*OFFSET('Gastos com Pessoal'!$H$512,1,MATCH(5&amp;$B48,'Gastos com Pessoal'!$I$532:$AJ$532&amp;'Gastos com Pessoal'!$I$512:$AJ$512,0),10,1)),0)</f>
        <v>247305.59903957622</v>
      </c>
      <c r="K48" s="32">
        <f t="array" aca="1" ref="K48" ca="1">_xlfn.IFNA(SUM((K$3&gt;='Gastos com Pessoal'!$E$7:$E$506)*(K$3&lt;='Gastos com Pessoal'!$F$7:$F$506)*OFFSET('Encargos e Benefícios'!$D$5,1,MATCH($B48,'Encargos e Benefícios'!$E$5:$AB$5,0),500,1)),0)
+_xlfn.IFNA(SUM((K$3&gt;='Gastos com Pessoal'!$E$513:$E$522)*(K$3&lt;='Gastos com Pessoal'!$F$513:$F$522)*OFFSET('Encargos e Benefícios'!$D$511,1,MATCH($B48,'Encargos e Benefícios'!$E$511:$AB$511,0),10,1)),0)
+_xlfn.IFNA(SUM((K$3&gt;='Gastos com Pessoal'!$E$7:$E$506)*(K$3&lt;='Gastos com Pessoal'!$F$7:$F$506)*(IF('Gastos com Pessoal'!$G$7:$G$506&lt;=K$3,1,0))*OFFSET('Gastos com Pessoal'!$H$6,1,MATCH(1&amp;$B48,'Gastos com Pessoal'!$I$532:$AJ$532&amp;'Gastos com Pessoal'!$I$6:$AJ$6,0),500,1)),0)
+_xlfn.IFNA(SUM((K$3&gt;='Gastos com Pessoal'!$E$7:$E$506)*(K$3&lt;='Gastos com Pessoal'!$F$7:$F$506)*(IF('Gastos com Pessoal'!$M$7:$M$506&lt;=K$3,1,0))*OFFSET('Gastos com Pessoal'!$H$6,1,MATCH(2&amp;$B48,'Gastos com Pessoal'!$I$532:$AJ$532&amp;'Gastos com Pessoal'!$I$6:$AJ$6,0),500,1)),0)
+_xlfn.IFNA(SUM((K$3&gt;='Gastos com Pessoal'!$E$7:$E$506)*(K$3&lt;='Gastos com Pessoal'!$F$7:$F$506)*(IF('Gastos com Pessoal'!$S$7:$S$506&lt;=K$3,1,0))*OFFSET('Gastos com Pessoal'!$H$6,1,MATCH(3&amp;$B48,'Gastos com Pessoal'!$I$532:$AJ$532&amp;'Gastos com Pessoal'!$I$6:$AJ$6,0),500,1)),0)
+_xlfn.IFNA(SUM((K$3&gt;='Gastos com Pessoal'!$E$7:$E$506)*(K$3&lt;='Gastos com Pessoal'!$F$7:$F$506)*(IF('Gastos com Pessoal'!$Y$7:$Y$506&lt;=K$3,1,0))*OFFSET('Gastos com Pessoal'!$H$6,1,MATCH(4&amp;$B48,'Gastos com Pessoal'!$I$532:$AJ$532&amp;'Gastos com Pessoal'!$I$6:$AJ$6,0),500,1)),0)
+_xlfn.IFNA(SUM((K$3&gt;='Gastos com Pessoal'!$E$7:$E$506)*(K$3&lt;='Gastos com Pessoal'!$F$7:$F$506)*(IF('Gastos com Pessoal'!$AE$7:$AE$506&lt;=K$3,1,0))*OFFSET('Gastos com Pessoal'!$H$6,1,MATCH(5&amp;$B48,'Gastos com Pessoal'!$I$532:$AJ$532&amp;'Gastos com Pessoal'!$I$6:$AJ$6,0),500,1)),0)
+_xlfn.IFNA(SUM((K$3&gt;='Gastos com Pessoal'!$E$513:$E$522)*(K$3&lt;='Gastos com Pessoal'!$F$513:$F$522)*(IF('Gastos com Pessoal'!$G$513:$G$522&lt;=K$3,1,0))*OFFSET('Gastos com Pessoal'!$H$512,1,MATCH(1&amp;$B48,'Gastos com Pessoal'!$I$532:$AJ$532&amp;'Gastos com Pessoal'!$I$512:$AJ$512,0),10,1)),0)
+_xlfn.IFNA(SUM((K$3&gt;='Gastos com Pessoal'!$E$513:$E$522)*(K$3&lt;='Gastos com Pessoal'!$F$513:$F$522)*(IF('Gastos com Pessoal'!$M$513:$M$522&lt;=K$3,1,0))*OFFSET('Gastos com Pessoal'!$H$512,1,MATCH(2&amp;$B48,'Gastos com Pessoal'!$I$532:$AJ$532&amp;'Gastos com Pessoal'!$I$512:$AJ$512,0),10,1)),0)
+_xlfn.IFNA(SUM((K$3&gt;='Gastos com Pessoal'!$E$513:$E$522)*(K$3&lt;='Gastos com Pessoal'!$F$513:$F$522)*(IF('Gastos com Pessoal'!$S$513:$S$522&lt;=K$3,1,0))*OFFSET('Gastos com Pessoal'!$H$512,1,MATCH(3&amp;$B48,'Gastos com Pessoal'!$I$532:$AJ$532&amp;'Gastos com Pessoal'!$I$512:$AJ$512,0),10,1)),0)
+_xlfn.IFNA(SUM((K$3&gt;='Gastos com Pessoal'!$E$513:$E$522)*(K$3&lt;='Gastos com Pessoal'!$F$513:$F$522)*(IF('Gastos com Pessoal'!$Y$513:$Y$522&lt;=K$3,1,0))*OFFSET('Gastos com Pessoal'!$H$512,1,MATCH(4&amp;$B48,'Gastos com Pessoal'!$I$532:$AJ$532&amp;'Gastos com Pessoal'!$I$512:$AJ$512,0),10,1)),0)
+_xlfn.IFNA(SUM((K$3&gt;='Gastos com Pessoal'!$E$513:$E$522)*(K$3&lt;='Gastos com Pessoal'!$F$513:$F$522)*(IF('Gastos com Pessoal'!$AE$513:$AE$522&lt;=K$3,1,0))*OFFSET('Gastos com Pessoal'!$H$512,1,MATCH(5&amp;$B48,'Gastos com Pessoal'!$I$532:$AJ$532&amp;'Gastos com Pessoal'!$I$512:$AJ$512,0),10,1)),0)</f>
        <v>247305.59903957622</v>
      </c>
      <c r="L48" s="32">
        <f t="array" aca="1" ref="L48" ca="1">_xlfn.IFNA(SUM((L$3&gt;='Gastos com Pessoal'!$E$7:$E$506)*(L$3&lt;='Gastos com Pessoal'!$F$7:$F$506)*OFFSET('Encargos e Benefícios'!$D$5,1,MATCH($B48,'Encargos e Benefícios'!$E$5:$AB$5,0),500,1)),0)
+_xlfn.IFNA(SUM((L$3&gt;='Gastos com Pessoal'!$E$513:$E$522)*(L$3&lt;='Gastos com Pessoal'!$F$513:$F$522)*OFFSET('Encargos e Benefícios'!$D$511,1,MATCH($B48,'Encargos e Benefícios'!$E$511:$AB$511,0),10,1)),0)
+_xlfn.IFNA(SUM((L$3&gt;='Gastos com Pessoal'!$E$7:$E$506)*(L$3&lt;='Gastos com Pessoal'!$F$7:$F$506)*(IF('Gastos com Pessoal'!$G$7:$G$506&lt;=L$3,1,0))*OFFSET('Gastos com Pessoal'!$H$6,1,MATCH(1&amp;$B48,'Gastos com Pessoal'!$I$532:$AJ$532&amp;'Gastos com Pessoal'!$I$6:$AJ$6,0),500,1)),0)
+_xlfn.IFNA(SUM((L$3&gt;='Gastos com Pessoal'!$E$7:$E$506)*(L$3&lt;='Gastos com Pessoal'!$F$7:$F$506)*(IF('Gastos com Pessoal'!$M$7:$M$506&lt;=L$3,1,0))*OFFSET('Gastos com Pessoal'!$H$6,1,MATCH(2&amp;$B48,'Gastos com Pessoal'!$I$532:$AJ$532&amp;'Gastos com Pessoal'!$I$6:$AJ$6,0),500,1)),0)
+_xlfn.IFNA(SUM((L$3&gt;='Gastos com Pessoal'!$E$7:$E$506)*(L$3&lt;='Gastos com Pessoal'!$F$7:$F$506)*(IF('Gastos com Pessoal'!$S$7:$S$506&lt;=L$3,1,0))*OFFSET('Gastos com Pessoal'!$H$6,1,MATCH(3&amp;$B48,'Gastos com Pessoal'!$I$532:$AJ$532&amp;'Gastos com Pessoal'!$I$6:$AJ$6,0),500,1)),0)
+_xlfn.IFNA(SUM((L$3&gt;='Gastos com Pessoal'!$E$7:$E$506)*(L$3&lt;='Gastos com Pessoal'!$F$7:$F$506)*(IF('Gastos com Pessoal'!$Y$7:$Y$506&lt;=L$3,1,0))*OFFSET('Gastos com Pessoal'!$H$6,1,MATCH(4&amp;$B48,'Gastos com Pessoal'!$I$532:$AJ$532&amp;'Gastos com Pessoal'!$I$6:$AJ$6,0),500,1)),0)
+_xlfn.IFNA(SUM((L$3&gt;='Gastos com Pessoal'!$E$7:$E$506)*(L$3&lt;='Gastos com Pessoal'!$F$7:$F$506)*(IF('Gastos com Pessoal'!$AE$7:$AE$506&lt;=L$3,1,0))*OFFSET('Gastos com Pessoal'!$H$6,1,MATCH(5&amp;$B48,'Gastos com Pessoal'!$I$532:$AJ$532&amp;'Gastos com Pessoal'!$I$6:$AJ$6,0),500,1)),0)
+_xlfn.IFNA(SUM((L$3&gt;='Gastos com Pessoal'!$E$513:$E$522)*(L$3&lt;='Gastos com Pessoal'!$F$513:$F$522)*(IF('Gastos com Pessoal'!$G$513:$G$522&lt;=L$3,1,0))*OFFSET('Gastos com Pessoal'!$H$512,1,MATCH(1&amp;$B48,'Gastos com Pessoal'!$I$532:$AJ$532&amp;'Gastos com Pessoal'!$I$512:$AJ$512,0),10,1)),0)
+_xlfn.IFNA(SUM((L$3&gt;='Gastos com Pessoal'!$E$513:$E$522)*(L$3&lt;='Gastos com Pessoal'!$F$513:$F$522)*(IF('Gastos com Pessoal'!$M$513:$M$522&lt;=L$3,1,0))*OFFSET('Gastos com Pessoal'!$H$512,1,MATCH(2&amp;$B48,'Gastos com Pessoal'!$I$532:$AJ$532&amp;'Gastos com Pessoal'!$I$512:$AJ$512,0),10,1)),0)
+_xlfn.IFNA(SUM((L$3&gt;='Gastos com Pessoal'!$E$513:$E$522)*(L$3&lt;='Gastos com Pessoal'!$F$513:$F$522)*(IF('Gastos com Pessoal'!$S$513:$S$522&lt;=L$3,1,0))*OFFSET('Gastos com Pessoal'!$H$512,1,MATCH(3&amp;$B48,'Gastos com Pessoal'!$I$532:$AJ$532&amp;'Gastos com Pessoal'!$I$512:$AJ$512,0),10,1)),0)
+_xlfn.IFNA(SUM((L$3&gt;='Gastos com Pessoal'!$E$513:$E$522)*(L$3&lt;='Gastos com Pessoal'!$F$513:$F$522)*(IF('Gastos com Pessoal'!$Y$513:$Y$522&lt;=L$3,1,0))*OFFSET('Gastos com Pessoal'!$H$512,1,MATCH(4&amp;$B48,'Gastos com Pessoal'!$I$532:$AJ$532&amp;'Gastos com Pessoal'!$I$512:$AJ$512,0),10,1)),0)
+_xlfn.IFNA(SUM((L$3&gt;='Gastos com Pessoal'!$E$513:$E$522)*(L$3&lt;='Gastos com Pessoal'!$F$513:$F$522)*(IF('Gastos com Pessoal'!$AE$513:$AE$522&lt;=L$3,1,0))*OFFSET('Gastos com Pessoal'!$H$512,1,MATCH(5&amp;$B48,'Gastos com Pessoal'!$I$532:$AJ$532&amp;'Gastos com Pessoal'!$I$512:$AJ$512,0),10,1)),0)</f>
        <v>247305.59903957622</v>
      </c>
      <c r="M48" s="32">
        <f t="array" aca="1" ref="M48" ca="1">_xlfn.IFNA(SUM((M$3&gt;='Gastos com Pessoal'!$E$7:$E$506)*(M$3&lt;='Gastos com Pessoal'!$F$7:$F$506)*OFFSET('Encargos e Benefícios'!$D$5,1,MATCH($B48,'Encargos e Benefícios'!$E$5:$AB$5,0),500,1)),0)
+_xlfn.IFNA(SUM((M$3&gt;='Gastos com Pessoal'!$E$513:$E$522)*(M$3&lt;='Gastos com Pessoal'!$F$513:$F$522)*OFFSET('Encargos e Benefícios'!$D$511,1,MATCH($B48,'Encargos e Benefícios'!$E$511:$AB$511,0),10,1)),0)
+_xlfn.IFNA(SUM((M$3&gt;='Gastos com Pessoal'!$E$7:$E$506)*(M$3&lt;='Gastos com Pessoal'!$F$7:$F$506)*(IF('Gastos com Pessoal'!$G$7:$G$506&lt;=M$3,1,0))*OFFSET('Gastos com Pessoal'!$H$6,1,MATCH(1&amp;$B48,'Gastos com Pessoal'!$I$532:$AJ$532&amp;'Gastos com Pessoal'!$I$6:$AJ$6,0),500,1)),0)
+_xlfn.IFNA(SUM((M$3&gt;='Gastos com Pessoal'!$E$7:$E$506)*(M$3&lt;='Gastos com Pessoal'!$F$7:$F$506)*(IF('Gastos com Pessoal'!$M$7:$M$506&lt;=M$3,1,0))*OFFSET('Gastos com Pessoal'!$H$6,1,MATCH(2&amp;$B48,'Gastos com Pessoal'!$I$532:$AJ$532&amp;'Gastos com Pessoal'!$I$6:$AJ$6,0),500,1)),0)
+_xlfn.IFNA(SUM((M$3&gt;='Gastos com Pessoal'!$E$7:$E$506)*(M$3&lt;='Gastos com Pessoal'!$F$7:$F$506)*(IF('Gastos com Pessoal'!$S$7:$S$506&lt;=M$3,1,0))*OFFSET('Gastos com Pessoal'!$H$6,1,MATCH(3&amp;$B48,'Gastos com Pessoal'!$I$532:$AJ$532&amp;'Gastos com Pessoal'!$I$6:$AJ$6,0),500,1)),0)
+_xlfn.IFNA(SUM((M$3&gt;='Gastos com Pessoal'!$E$7:$E$506)*(M$3&lt;='Gastos com Pessoal'!$F$7:$F$506)*(IF('Gastos com Pessoal'!$Y$7:$Y$506&lt;=M$3,1,0))*OFFSET('Gastos com Pessoal'!$H$6,1,MATCH(4&amp;$B48,'Gastos com Pessoal'!$I$532:$AJ$532&amp;'Gastos com Pessoal'!$I$6:$AJ$6,0),500,1)),0)
+_xlfn.IFNA(SUM((M$3&gt;='Gastos com Pessoal'!$E$7:$E$506)*(M$3&lt;='Gastos com Pessoal'!$F$7:$F$506)*(IF('Gastos com Pessoal'!$AE$7:$AE$506&lt;=M$3,1,0))*OFFSET('Gastos com Pessoal'!$H$6,1,MATCH(5&amp;$B48,'Gastos com Pessoal'!$I$532:$AJ$532&amp;'Gastos com Pessoal'!$I$6:$AJ$6,0),500,1)),0)
+_xlfn.IFNA(SUM((M$3&gt;='Gastos com Pessoal'!$E$513:$E$522)*(M$3&lt;='Gastos com Pessoal'!$F$513:$F$522)*(IF('Gastos com Pessoal'!$G$513:$G$522&lt;=M$3,1,0))*OFFSET('Gastos com Pessoal'!$H$512,1,MATCH(1&amp;$B48,'Gastos com Pessoal'!$I$532:$AJ$532&amp;'Gastos com Pessoal'!$I$512:$AJ$512,0),10,1)),0)
+_xlfn.IFNA(SUM((M$3&gt;='Gastos com Pessoal'!$E$513:$E$522)*(M$3&lt;='Gastos com Pessoal'!$F$513:$F$522)*(IF('Gastos com Pessoal'!$M$513:$M$522&lt;=M$3,1,0))*OFFSET('Gastos com Pessoal'!$H$512,1,MATCH(2&amp;$B48,'Gastos com Pessoal'!$I$532:$AJ$532&amp;'Gastos com Pessoal'!$I$512:$AJ$512,0),10,1)),0)
+_xlfn.IFNA(SUM((M$3&gt;='Gastos com Pessoal'!$E$513:$E$522)*(M$3&lt;='Gastos com Pessoal'!$F$513:$F$522)*(IF('Gastos com Pessoal'!$S$513:$S$522&lt;=M$3,1,0))*OFFSET('Gastos com Pessoal'!$H$512,1,MATCH(3&amp;$B48,'Gastos com Pessoal'!$I$532:$AJ$532&amp;'Gastos com Pessoal'!$I$512:$AJ$512,0),10,1)),0)
+_xlfn.IFNA(SUM((M$3&gt;='Gastos com Pessoal'!$E$513:$E$522)*(M$3&lt;='Gastos com Pessoal'!$F$513:$F$522)*(IF('Gastos com Pessoal'!$Y$513:$Y$522&lt;=M$3,1,0))*OFFSET('Gastos com Pessoal'!$H$512,1,MATCH(4&amp;$B48,'Gastos com Pessoal'!$I$532:$AJ$532&amp;'Gastos com Pessoal'!$I$512:$AJ$512,0),10,1)),0)
+_xlfn.IFNA(SUM((M$3&gt;='Gastos com Pessoal'!$E$513:$E$522)*(M$3&lt;='Gastos com Pessoal'!$F$513:$F$522)*(IF('Gastos com Pessoal'!$AE$513:$AE$522&lt;=M$3,1,0))*OFFSET('Gastos com Pessoal'!$H$512,1,MATCH(5&amp;$B48,'Gastos com Pessoal'!$I$532:$AJ$532&amp;'Gastos com Pessoal'!$I$512:$AJ$512,0),10,1)),0)</f>
        <v>247305.59903957622</v>
      </c>
      <c r="N48" s="32">
        <f t="array" aca="1" ref="N48" ca="1">_xlfn.IFNA(SUM((N$3&gt;='Gastos com Pessoal'!$E$7:$E$506)*(N$3&lt;='Gastos com Pessoal'!$F$7:$F$506)*OFFSET('Encargos e Benefícios'!$D$5,1,MATCH($B48,'Encargos e Benefícios'!$E$5:$AB$5,0),500,1)),0)
+_xlfn.IFNA(SUM((N$3&gt;='Gastos com Pessoal'!$E$513:$E$522)*(N$3&lt;='Gastos com Pessoal'!$F$513:$F$522)*OFFSET('Encargos e Benefícios'!$D$511,1,MATCH($B48,'Encargos e Benefícios'!$E$511:$AB$511,0),10,1)),0)
+_xlfn.IFNA(SUM((N$3&gt;='Gastos com Pessoal'!$E$7:$E$506)*(N$3&lt;='Gastos com Pessoal'!$F$7:$F$506)*(IF('Gastos com Pessoal'!$G$7:$G$506&lt;=N$3,1,0))*OFFSET('Gastos com Pessoal'!$H$6,1,MATCH(1&amp;$B48,'Gastos com Pessoal'!$I$532:$AJ$532&amp;'Gastos com Pessoal'!$I$6:$AJ$6,0),500,1)),0)
+_xlfn.IFNA(SUM((N$3&gt;='Gastos com Pessoal'!$E$7:$E$506)*(N$3&lt;='Gastos com Pessoal'!$F$7:$F$506)*(IF('Gastos com Pessoal'!$M$7:$M$506&lt;=N$3,1,0))*OFFSET('Gastos com Pessoal'!$H$6,1,MATCH(2&amp;$B48,'Gastos com Pessoal'!$I$532:$AJ$532&amp;'Gastos com Pessoal'!$I$6:$AJ$6,0),500,1)),0)
+_xlfn.IFNA(SUM((N$3&gt;='Gastos com Pessoal'!$E$7:$E$506)*(N$3&lt;='Gastos com Pessoal'!$F$7:$F$506)*(IF('Gastos com Pessoal'!$S$7:$S$506&lt;=N$3,1,0))*OFFSET('Gastos com Pessoal'!$H$6,1,MATCH(3&amp;$B48,'Gastos com Pessoal'!$I$532:$AJ$532&amp;'Gastos com Pessoal'!$I$6:$AJ$6,0),500,1)),0)
+_xlfn.IFNA(SUM((N$3&gt;='Gastos com Pessoal'!$E$7:$E$506)*(N$3&lt;='Gastos com Pessoal'!$F$7:$F$506)*(IF('Gastos com Pessoal'!$Y$7:$Y$506&lt;=N$3,1,0))*OFFSET('Gastos com Pessoal'!$H$6,1,MATCH(4&amp;$B48,'Gastos com Pessoal'!$I$532:$AJ$532&amp;'Gastos com Pessoal'!$I$6:$AJ$6,0),500,1)),0)
+_xlfn.IFNA(SUM((N$3&gt;='Gastos com Pessoal'!$E$7:$E$506)*(N$3&lt;='Gastos com Pessoal'!$F$7:$F$506)*(IF('Gastos com Pessoal'!$AE$7:$AE$506&lt;=N$3,1,0))*OFFSET('Gastos com Pessoal'!$H$6,1,MATCH(5&amp;$B48,'Gastos com Pessoal'!$I$532:$AJ$532&amp;'Gastos com Pessoal'!$I$6:$AJ$6,0),500,1)),0)
+_xlfn.IFNA(SUM((N$3&gt;='Gastos com Pessoal'!$E$513:$E$522)*(N$3&lt;='Gastos com Pessoal'!$F$513:$F$522)*(IF('Gastos com Pessoal'!$G$513:$G$522&lt;=N$3,1,0))*OFFSET('Gastos com Pessoal'!$H$512,1,MATCH(1&amp;$B48,'Gastos com Pessoal'!$I$532:$AJ$532&amp;'Gastos com Pessoal'!$I$512:$AJ$512,0),10,1)),0)
+_xlfn.IFNA(SUM((N$3&gt;='Gastos com Pessoal'!$E$513:$E$522)*(N$3&lt;='Gastos com Pessoal'!$F$513:$F$522)*(IF('Gastos com Pessoal'!$M$513:$M$522&lt;=N$3,1,0))*OFFSET('Gastos com Pessoal'!$H$512,1,MATCH(2&amp;$B48,'Gastos com Pessoal'!$I$532:$AJ$532&amp;'Gastos com Pessoal'!$I$512:$AJ$512,0),10,1)),0)
+_xlfn.IFNA(SUM((N$3&gt;='Gastos com Pessoal'!$E$513:$E$522)*(N$3&lt;='Gastos com Pessoal'!$F$513:$F$522)*(IF('Gastos com Pessoal'!$S$513:$S$522&lt;=N$3,1,0))*OFFSET('Gastos com Pessoal'!$H$512,1,MATCH(3&amp;$B48,'Gastos com Pessoal'!$I$532:$AJ$532&amp;'Gastos com Pessoal'!$I$512:$AJ$512,0),10,1)),0)
+_xlfn.IFNA(SUM((N$3&gt;='Gastos com Pessoal'!$E$513:$E$522)*(N$3&lt;='Gastos com Pessoal'!$F$513:$F$522)*(IF('Gastos com Pessoal'!$Y$513:$Y$522&lt;=N$3,1,0))*OFFSET('Gastos com Pessoal'!$H$512,1,MATCH(4&amp;$B48,'Gastos com Pessoal'!$I$532:$AJ$532&amp;'Gastos com Pessoal'!$I$512:$AJ$512,0),10,1)),0)
+_xlfn.IFNA(SUM((N$3&gt;='Gastos com Pessoal'!$E$513:$E$522)*(N$3&lt;='Gastos com Pessoal'!$F$513:$F$522)*(IF('Gastos com Pessoal'!$AE$513:$AE$522&lt;=N$3,1,0))*OFFSET('Gastos com Pessoal'!$H$512,1,MATCH(5&amp;$B48,'Gastos com Pessoal'!$I$532:$AJ$532&amp;'Gastos com Pessoal'!$I$512:$AJ$512,0),10,1)),0)</f>
        <v>247305.59903957622</v>
      </c>
      <c r="O48" s="32">
        <f t="array" aca="1" ref="O48" ca="1">_xlfn.IFNA(SUM((O$3&gt;='Gastos com Pessoal'!$E$7:$E$506)*(O$3&lt;='Gastos com Pessoal'!$F$7:$F$506)*OFFSET('Encargos e Benefícios'!$D$5,1,MATCH($B48,'Encargos e Benefícios'!$E$5:$AB$5,0),500,1)),0)
+_xlfn.IFNA(SUM((O$3&gt;='Gastos com Pessoal'!$E$513:$E$522)*(O$3&lt;='Gastos com Pessoal'!$F$513:$F$522)*OFFSET('Encargos e Benefícios'!$D$511,1,MATCH($B48,'Encargos e Benefícios'!$E$511:$AB$511,0),10,1)),0)
+_xlfn.IFNA(SUM((O$3&gt;='Gastos com Pessoal'!$E$7:$E$506)*(O$3&lt;='Gastos com Pessoal'!$F$7:$F$506)*(IF('Gastos com Pessoal'!$G$7:$G$506&lt;=O$3,1,0))*OFFSET('Gastos com Pessoal'!$H$6,1,MATCH(1&amp;$B48,'Gastos com Pessoal'!$I$532:$AJ$532&amp;'Gastos com Pessoal'!$I$6:$AJ$6,0),500,1)),0)
+_xlfn.IFNA(SUM((O$3&gt;='Gastos com Pessoal'!$E$7:$E$506)*(O$3&lt;='Gastos com Pessoal'!$F$7:$F$506)*(IF('Gastos com Pessoal'!$M$7:$M$506&lt;=O$3,1,0))*OFFSET('Gastos com Pessoal'!$H$6,1,MATCH(2&amp;$B48,'Gastos com Pessoal'!$I$532:$AJ$532&amp;'Gastos com Pessoal'!$I$6:$AJ$6,0),500,1)),0)
+_xlfn.IFNA(SUM((O$3&gt;='Gastos com Pessoal'!$E$7:$E$506)*(O$3&lt;='Gastos com Pessoal'!$F$7:$F$506)*(IF('Gastos com Pessoal'!$S$7:$S$506&lt;=O$3,1,0))*OFFSET('Gastos com Pessoal'!$H$6,1,MATCH(3&amp;$B48,'Gastos com Pessoal'!$I$532:$AJ$532&amp;'Gastos com Pessoal'!$I$6:$AJ$6,0),500,1)),0)
+_xlfn.IFNA(SUM((O$3&gt;='Gastos com Pessoal'!$E$7:$E$506)*(O$3&lt;='Gastos com Pessoal'!$F$7:$F$506)*(IF('Gastos com Pessoal'!$Y$7:$Y$506&lt;=O$3,1,0))*OFFSET('Gastos com Pessoal'!$H$6,1,MATCH(4&amp;$B48,'Gastos com Pessoal'!$I$532:$AJ$532&amp;'Gastos com Pessoal'!$I$6:$AJ$6,0),500,1)),0)
+_xlfn.IFNA(SUM((O$3&gt;='Gastos com Pessoal'!$E$7:$E$506)*(O$3&lt;='Gastos com Pessoal'!$F$7:$F$506)*(IF('Gastos com Pessoal'!$AE$7:$AE$506&lt;=O$3,1,0))*OFFSET('Gastos com Pessoal'!$H$6,1,MATCH(5&amp;$B48,'Gastos com Pessoal'!$I$532:$AJ$532&amp;'Gastos com Pessoal'!$I$6:$AJ$6,0),500,1)),0)
+_xlfn.IFNA(SUM((O$3&gt;='Gastos com Pessoal'!$E$513:$E$522)*(O$3&lt;='Gastos com Pessoal'!$F$513:$F$522)*(IF('Gastos com Pessoal'!$G$513:$G$522&lt;=O$3,1,0))*OFFSET('Gastos com Pessoal'!$H$512,1,MATCH(1&amp;$B48,'Gastos com Pessoal'!$I$532:$AJ$532&amp;'Gastos com Pessoal'!$I$512:$AJ$512,0),10,1)),0)
+_xlfn.IFNA(SUM((O$3&gt;='Gastos com Pessoal'!$E$513:$E$522)*(O$3&lt;='Gastos com Pessoal'!$F$513:$F$522)*(IF('Gastos com Pessoal'!$M$513:$M$522&lt;=O$3,1,0))*OFFSET('Gastos com Pessoal'!$H$512,1,MATCH(2&amp;$B48,'Gastos com Pessoal'!$I$532:$AJ$532&amp;'Gastos com Pessoal'!$I$512:$AJ$512,0),10,1)),0)
+_xlfn.IFNA(SUM((O$3&gt;='Gastos com Pessoal'!$E$513:$E$522)*(O$3&lt;='Gastos com Pessoal'!$F$513:$F$522)*(IF('Gastos com Pessoal'!$S$513:$S$522&lt;=O$3,1,0))*OFFSET('Gastos com Pessoal'!$H$512,1,MATCH(3&amp;$B48,'Gastos com Pessoal'!$I$532:$AJ$532&amp;'Gastos com Pessoal'!$I$512:$AJ$512,0),10,1)),0)
+_xlfn.IFNA(SUM((O$3&gt;='Gastos com Pessoal'!$E$513:$E$522)*(O$3&lt;='Gastos com Pessoal'!$F$513:$F$522)*(IF('Gastos com Pessoal'!$Y$513:$Y$522&lt;=O$3,1,0))*OFFSET('Gastos com Pessoal'!$H$512,1,MATCH(4&amp;$B48,'Gastos com Pessoal'!$I$532:$AJ$532&amp;'Gastos com Pessoal'!$I$512:$AJ$512,0),10,1)),0)
+_xlfn.IFNA(SUM((O$3&gt;='Gastos com Pessoal'!$E$513:$E$522)*(O$3&lt;='Gastos com Pessoal'!$F$513:$F$522)*(IF('Gastos com Pessoal'!$AE$513:$AE$522&lt;=O$3,1,0))*OFFSET('Gastos com Pessoal'!$H$512,1,MATCH(5&amp;$B48,'Gastos com Pessoal'!$I$532:$AJ$532&amp;'Gastos com Pessoal'!$I$512:$AJ$512,0),10,1)),0)</f>
        <v>232591.19903957623</v>
      </c>
      <c r="P48" s="32">
        <f t="array" aca="1" ref="P48" ca="1">_xlfn.IFNA(SUM((P$3&gt;='Gastos com Pessoal'!$E$7:$E$506)*(P$3&lt;='Gastos com Pessoal'!$F$7:$F$506)*OFFSET('Encargos e Benefícios'!$D$5,1,MATCH($B48,'Encargos e Benefícios'!$E$5:$AB$5,0),500,1)),0)
+_xlfn.IFNA(SUM((P$3&gt;='Gastos com Pessoal'!$E$513:$E$522)*(P$3&lt;='Gastos com Pessoal'!$F$513:$F$522)*OFFSET('Encargos e Benefícios'!$D$511,1,MATCH($B48,'Encargos e Benefícios'!$E$511:$AB$511,0),10,1)),0)
+_xlfn.IFNA(SUM((P$3&gt;='Gastos com Pessoal'!$E$7:$E$506)*(P$3&lt;='Gastos com Pessoal'!$F$7:$F$506)*(IF('Gastos com Pessoal'!$G$7:$G$506&lt;=P$3,1,0))*OFFSET('Gastos com Pessoal'!$H$6,1,MATCH(1&amp;$B48,'Gastos com Pessoal'!$I$532:$AJ$532&amp;'Gastos com Pessoal'!$I$6:$AJ$6,0),500,1)),0)
+_xlfn.IFNA(SUM((P$3&gt;='Gastos com Pessoal'!$E$7:$E$506)*(P$3&lt;='Gastos com Pessoal'!$F$7:$F$506)*(IF('Gastos com Pessoal'!$M$7:$M$506&lt;=P$3,1,0))*OFFSET('Gastos com Pessoal'!$H$6,1,MATCH(2&amp;$B48,'Gastos com Pessoal'!$I$532:$AJ$532&amp;'Gastos com Pessoal'!$I$6:$AJ$6,0),500,1)),0)
+_xlfn.IFNA(SUM((P$3&gt;='Gastos com Pessoal'!$E$7:$E$506)*(P$3&lt;='Gastos com Pessoal'!$F$7:$F$506)*(IF('Gastos com Pessoal'!$S$7:$S$506&lt;=P$3,1,0))*OFFSET('Gastos com Pessoal'!$H$6,1,MATCH(3&amp;$B48,'Gastos com Pessoal'!$I$532:$AJ$532&amp;'Gastos com Pessoal'!$I$6:$AJ$6,0),500,1)),0)
+_xlfn.IFNA(SUM((P$3&gt;='Gastos com Pessoal'!$E$7:$E$506)*(P$3&lt;='Gastos com Pessoal'!$F$7:$F$506)*(IF('Gastos com Pessoal'!$Y$7:$Y$506&lt;=P$3,1,0))*OFFSET('Gastos com Pessoal'!$H$6,1,MATCH(4&amp;$B48,'Gastos com Pessoal'!$I$532:$AJ$532&amp;'Gastos com Pessoal'!$I$6:$AJ$6,0),500,1)),0)
+_xlfn.IFNA(SUM((P$3&gt;='Gastos com Pessoal'!$E$7:$E$506)*(P$3&lt;='Gastos com Pessoal'!$F$7:$F$506)*(IF('Gastos com Pessoal'!$AE$7:$AE$506&lt;=P$3,1,0))*OFFSET('Gastos com Pessoal'!$H$6,1,MATCH(5&amp;$B48,'Gastos com Pessoal'!$I$532:$AJ$532&amp;'Gastos com Pessoal'!$I$6:$AJ$6,0),500,1)),0)
+_xlfn.IFNA(SUM((P$3&gt;='Gastos com Pessoal'!$E$513:$E$522)*(P$3&lt;='Gastos com Pessoal'!$F$513:$F$522)*(IF('Gastos com Pessoal'!$G$513:$G$522&lt;=P$3,1,0))*OFFSET('Gastos com Pessoal'!$H$512,1,MATCH(1&amp;$B48,'Gastos com Pessoal'!$I$532:$AJ$532&amp;'Gastos com Pessoal'!$I$512:$AJ$512,0),10,1)),0)
+_xlfn.IFNA(SUM((P$3&gt;='Gastos com Pessoal'!$E$513:$E$522)*(P$3&lt;='Gastos com Pessoal'!$F$513:$F$522)*(IF('Gastos com Pessoal'!$M$513:$M$522&lt;=P$3,1,0))*OFFSET('Gastos com Pessoal'!$H$512,1,MATCH(2&amp;$B48,'Gastos com Pessoal'!$I$532:$AJ$532&amp;'Gastos com Pessoal'!$I$512:$AJ$512,0),10,1)),0)
+_xlfn.IFNA(SUM((P$3&gt;='Gastos com Pessoal'!$E$513:$E$522)*(P$3&lt;='Gastos com Pessoal'!$F$513:$F$522)*(IF('Gastos com Pessoal'!$S$513:$S$522&lt;=P$3,1,0))*OFFSET('Gastos com Pessoal'!$H$512,1,MATCH(3&amp;$B48,'Gastos com Pessoal'!$I$532:$AJ$532&amp;'Gastos com Pessoal'!$I$512:$AJ$512,0),10,1)),0)
+_xlfn.IFNA(SUM((P$3&gt;='Gastos com Pessoal'!$E$513:$E$522)*(P$3&lt;='Gastos com Pessoal'!$F$513:$F$522)*(IF('Gastos com Pessoal'!$Y$513:$Y$522&lt;=P$3,1,0))*OFFSET('Gastos com Pessoal'!$H$512,1,MATCH(4&amp;$B48,'Gastos com Pessoal'!$I$532:$AJ$532&amp;'Gastos com Pessoal'!$I$512:$AJ$512,0),10,1)),0)
+_xlfn.IFNA(SUM((P$3&gt;='Gastos com Pessoal'!$E$513:$E$522)*(P$3&lt;='Gastos com Pessoal'!$F$513:$F$522)*(IF('Gastos com Pessoal'!$AE$513:$AE$522&lt;=P$3,1,0))*OFFSET('Gastos com Pessoal'!$H$512,1,MATCH(5&amp;$B48,'Gastos com Pessoal'!$I$532:$AJ$532&amp;'Gastos com Pessoal'!$I$512:$AJ$512,0),10,1)),0)</f>
        <v>232591.19903957623</v>
      </c>
      <c r="Q48" s="32">
        <f t="array" aca="1" ref="Q48" ca="1">_xlfn.IFNA(SUM((Q$3&gt;='Gastos com Pessoal'!$E$7:$E$506)*(Q$3&lt;='Gastos com Pessoal'!$F$7:$F$506)*OFFSET('Encargos e Benefícios'!$D$5,1,MATCH($B48,'Encargos e Benefícios'!$E$5:$AB$5,0),500,1)),0)
+_xlfn.IFNA(SUM((Q$3&gt;='Gastos com Pessoal'!$E$513:$E$522)*(Q$3&lt;='Gastos com Pessoal'!$F$513:$F$522)*OFFSET('Encargos e Benefícios'!$D$511,1,MATCH($B48,'Encargos e Benefícios'!$E$511:$AB$511,0),10,1)),0)
+_xlfn.IFNA(SUM((Q$3&gt;='Gastos com Pessoal'!$E$7:$E$506)*(Q$3&lt;='Gastos com Pessoal'!$F$7:$F$506)*(IF('Gastos com Pessoal'!$G$7:$G$506&lt;=Q$3,1,0))*OFFSET('Gastos com Pessoal'!$H$6,1,MATCH(1&amp;$B48,'Gastos com Pessoal'!$I$532:$AJ$532&amp;'Gastos com Pessoal'!$I$6:$AJ$6,0),500,1)),0)
+_xlfn.IFNA(SUM((Q$3&gt;='Gastos com Pessoal'!$E$7:$E$506)*(Q$3&lt;='Gastos com Pessoal'!$F$7:$F$506)*(IF('Gastos com Pessoal'!$M$7:$M$506&lt;=Q$3,1,0))*OFFSET('Gastos com Pessoal'!$H$6,1,MATCH(2&amp;$B48,'Gastos com Pessoal'!$I$532:$AJ$532&amp;'Gastos com Pessoal'!$I$6:$AJ$6,0),500,1)),0)
+_xlfn.IFNA(SUM((Q$3&gt;='Gastos com Pessoal'!$E$7:$E$506)*(Q$3&lt;='Gastos com Pessoal'!$F$7:$F$506)*(IF('Gastos com Pessoal'!$S$7:$S$506&lt;=Q$3,1,0))*OFFSET('Gastos com Pessoal'!$H$6,1,MATCH(3&amp;$B48,'Gastos com Pessoal'!$I$532:$AJ$532&amp;'Gastos com Pessoal'!$I$6:$AJ$6,0),500,1)),0)
+_xlfn.IFNA(SUM((Q$3&gt;='Gastos com Pessoal'!$E$7:$E$506)*(Q$3&lt;='Gastos com Pessoal'!$F$7:$F$506)*(IF('Gastos com Pessoal'!$Y$7:$Y$506&lt;=Q$3,1,0))*OFFSET('Gastos com Pessoal'!$H$6,1,MATCH(4&amp;$B48,'Gastos com Pessoal'!$I$532:$AJ$532&amp;'Gastos com Pessoal'!$I$6:$AJ$6,0),500,1)),0)
+_xlfn.IFNA(SUM((Q$3&gt;='Gastos com Pessoal'!$E$7:$E$506)*(Q$3&lt;='Gastos com Pessoal'!$F$7:$F$506)*(IF('Gastos com Pessoal'!$AE$7:$AE$506&lt;=Q$3,1,0))*OFFSET('Gastos com Pessoal'!$H$6,1,MATCH(5&amp;$B48,'Gastos com Pessoal'!$I$532:$AJ$532&amp;'Gastos com Pessoal'!$I$6:$AJ$6,0),500,1)),0)
+_xlfn.IFNA(SUM((Q$3&gt;='Gastos com Pessoal'!$E$513:$E$522)*(Q$3&lt;='Gastos com Pessoal'!$F$513:$F$522)*(IF('Gastos com Pessoal'!$G$513:$G$522&lt;=Q$3,1,0))*OFFSET('Gastos com Pessoal'!$H$512,1,MATCH(1&amp;$B48,'Gastos com Pessoal'!$I$532:$AJ$532&amp;'Gastos com Pessoal'!$I$512:$AJ$512,0),10,1)),0)
+_xlfn.IFNA(SUM((Q$3&gt;='Gastos com Pessoal'!$E$513:$E$522)*(Q$3&lt;='Gastos com Pessoal'!$F$513:$F$522)*(IF('Gastos com Pessoal'!$M$513:$M$522&lt;=Q$3,1,0))*OFFSET('Gastos com Pessoal'!$H$512,1,MATCH(2&amp;$B48,'Gastos com Pessoal'!$I$532:$AJ$532&amp;'Gastos com Pessoal'!$I$512:$AJ$512,0),10,1)),0)
+_xlfn.IFNA(SUM((Q$3&gt;='Gastos com Pessoal'!$E$513:$E$522)*(Q$3&lt;='Gastos com Pessoal'!$F$513:$F$522)*(IF('Gastos com Pessoal'!$S$513:$S$522&lt;=Q$3,1,0))*OFFSET('Gastos com Pessoal'!$H$512,1,MATCH(3&amp;$B48,'Gastos com Pessoal'!$I$532:$AJ$532&amp;'Gastos com Pessoal'!$I$512:$AJ$512,0),10,1)),0)
+_xlfn.IFNA(SUM((Q$3&gt;='Gastos com Pessoal'!$E$513:$E$522)*(Q$3&lt;='Gastos com Pessoal'!$F$513:$F$522)*(IF('Gastos com Pessoal'!$Y$513:$Y$522&lt;=Q$3,1,0))*OFFSET('Gastos com Pessoal'!$H$512,1,MATCH(4&amp;$B48,'Gastos com Pessoal'!$I$532:$AJ$532&amp;'Gastos com Pessoal'!$I$512:$AJ$512,0),10,1)),0)
+_xlfn.IFNA(SUM((Q$3&gt;='Gastos com Pessoal'!$E$513:$E$522)*(Q$3&lt;='Gastos com Pessoal'!$F$513:$F$522)*(IF('Gastos com Pessoal'!$AE$513:$AE$522&lt;=Q$3,1,0))*OFFSET('Gastos com Pessoal'!$H$512,1,MATCH(5&amp;$B48,'Gastos com Pessoal'!$I$532:$AJ$532&amp;'Gastos com Pessoal'!$I$512:$AJ$512,0),10,1)),0)</f>
        <v>232591.19903957623</v>
      </c>
      <c r="R48" s="32">
        <f t="array" aca="1" ref="R48" ca="1">_xlfn.IFNA(SUM((R$3&gt;='Gastos com Pessoal'!$E$7:$E$506)*(R$3&lt;='Gastos com Pessoal'!$F$7:$F$506)*OFFSET('Encargos e Benefícios'!$D$5,1,MATCH($B48,'Encargos e Benefícios'!$E$5:$AB$5,0),500,1)),0)
+_xlfn.IFNA(SUM((R$3&gt;='Gastos com Pessoal'!$E$513:$E$522)*(R$3&lt;='Gastos com Pessoal'!$F$513:$F$522)*OFFSET('Encargos e Benefícios'!$D$511,1,MATCH($B48,'Encargos e Benefícios'!$E$511:$AB$511,0),10,1)),0)
+_xlfn.IFNA(SUM((R$3&gt;='Gastos com Pessoal'!$E$7:$E$506)*(R$3&lt;='Gastos com Pessoal'!$F$7:$F$506)*(IF('Gastos com Pessoal'!$G$7:$G$506&lt;=R$3,1,0))*OFFSET('Gastos com Pessoal'!$H$6,1,MATCH(1&amp;$B48,'Gastos com Pessoal'!$I$532:$AJ$532&amp;'Gastos com Pessoal'!$I$6:$AJ$6,0),500,1)),0)
+_xlfn.IFNA(SUM((R$3&gt;='Gastos com Pessoal'!$E$7:$E$506)*(R$3&lt;='Gastos com Pessoal'!$F$7:$F$506)*(IF('Gastos com Pessoal'!$M$7:$M$506&lt;=R$3,1,0))*OFFSET('Gastos com Pessoal'!$H$6,1,MATCH(2&amp;$B48,'Gastos com Pessoal'!$I$532:$AJ$532&amp;'Gastos com Pessoal'!$I$6:$AJ$6,0),500,1)),0)
+_xlfn.IFNA(SUM((R$3&gt;='Gastos com Pessoal'!$E$7:$E$506)*(R$3&lt;='Gastos com Pessoal'!$F$7:$F$506)*(IF('Gastos com Pessoal'!$S$7:$S$506&lt;=R$3,1,0))*OFFSET('Gastos com Pessoal'!$H$6,1,MATCH(3&amp;$B48,'Gastos com Pessoal'!$I$532:$AJ$532&amp;'Gastos com Pessoal'!$I$6:$AJ$6,0),500,1)),0)
+_xlfn.IFNA(SUM((R$3&gt;='Gastos com Pessoal'!$E$7:$E$506)*(R$3&lt;='Gastos com Pessoal'!$F$7:$F$506)*(IF('Gastos com Pessoal'!$Y$7:$Y$506&lt;=R$3,1,0))*OFFSET('Gastos com Pessoal'!$H$6,1,MATCH(4&amp;$B48,'Gastos com Pessoal'!$I$532:$AJ$532&amp;'Gastos com Pessoal'!$I$6:$AJ$6,0),500,1)),0)
+_xlfn.IFNA(SUM((R$3&gt;='Gastos com Pessoal'!$E$7:$E$506)*(R$3&lt;='Gastos com Pessoal'!$F$7:$F$506)*(IF('Gastos com Pessoal'!$AE$7:$AE$506&lt;=R$3,1,0))*OFFSET('Gastos com Pessoal'!$H$6,1,MATCH(5&amp;$B48,'Gastos com Pessoal'!$I$532:$AJ$532&amp;'Gastos com Pessoal'!$I$6:$AJ$6,0),500,1)),0)
+_xlfn.IFNA(SUM((R$3&gt;='Gastos com Pessoal'!$E$513:$E$522)*(R$3&lt;='Gastos com Pessoal'!$F$513:$F$522)*(IF('Gastos com Pessoal'!$G$513:$G$522&lt;=R$3,1,0))*OFFSET('Gastos com Pessoal'!$H$512,1,MATCH(1&amp;$B48,'Gastos com Pessoal'!$I$532:$AJ$532&amp;'Gastos com Pessoal'!$I$512:$AJ$512,0),10,1)),0)
+_xlfn.IFNA(SUM((R$3&gt;='Gastos com Pessoal'!$E$513:$E$522)*(R$3&lt;='Gastos com Pessoal'!$F$513:$F$522)*(IF('Gastos com Pessoal'!$M$513:$M$522&lt;=R$3,1,0))*OFFSET('Gastos com Pessoal'!$H$512,1,MATCH(2&amp;$B48,'Gastos com Pessoal'!$I$532:$AJ$532&amp;'Gastos com Pessoal'!$I$512:$AJ$512,0),10,1)),0)
+_xlfn.IFNA(SUM((R$3&gt;='Gastos com Pessoal'!$E$513:$E$522)*(R$3&lt;='Gastos com Pessoal'!$F$513:$F$522)*(IF('Gastos com Pessoal'!$S$513:$S$522&lt;=R$3,1,0))*OFFSET('Gastos com Pessoal'!$H$512,1,MATCH(3&amp;$B48,'Gastos com Pessoal'!$I$532:$AJ$532&amp;'Gastos com Pessoal'!$I$512:$AJ$512,0),10,1)),0)
+_xlfn.IFNA(SUM((R$3&gt;='Gastos com Pessoal'!$E$513:$E$522)*(R$3&lt;='Gastos com Pessoal'!$F$513:$F$522)*(IF('Gastos com Pessoal'!$Y$513:$Y$522&lt;=R$3,1,0))*OFFSET('Gastos com Pessoal'!$H$512,1,MATCH(4&amp;$B48,'Gastos com Pessoal'!$I$532:$AJ$532&amp;'Gastos com Pessoal'!$I$512:$AJ$512,0),10,1)),0)
+_xlfn.IFNA(SUM((R$3&gt;='Gastos com Pessoal'!$E$513:$E$522)*(R$3&lt;='Gastos com Pessoal'!$F$513:$F$522)*(IF('Gastos com Pessoal'!$AE$513:$AE$522&lt;=R$3,1,0))*OFFSET('Gastos com Pessoal'!$H$512,1,MATCH(5&amp;$B48,'Gastos com Pessoal'!$I$532:$AJ$532&amp;'Gastos com Pessoal'!$I$512:$AJ$512,0),10,1)),0)</f>
        <v>232591.19903957623</v>
      </c>
      <c r="S48" s="32">
        <f t="array" aca="1" ref="S48" ca="1">_xlfn.IFNA(SUM((S$3&gt;='Gastos com Pessoal'!$E$7:$E$506)*(S$3&lt;='Gastos com Pessoal'!$F$7:$F$506)*OFFSET('Encargos e Benefícios'!$D$5,1,MATCH($B48,'Encargos e Benefícios'!$E$5:$AB$5,0),500,1)),0)
+_xlfn.IFNA(SUM((S$3&gt;='Gastos com Pessoal'!$E$513:$E$522)*(S$3&lt;='Gastos com Pessoal'!$F$513:$F$522)*OFFSET('Encargos e Benefícios'!$D$511,1,MATCH($B48,'Encargos e Benefícios'!$E$511:$AB$511,0),10,1)),0)
+_xlfn.IFNA(SUM((S$3&gt;='Gastos com Pessoal'!$E$7:$E$506)*(S$3&lt;='Gastos com Pessoal'!$F$7:$F$506)*(IF('Gastos com Pessoal'!$G$7:$G$506&lt;=S$3,1,0))*OFFSET('Gastos com Pessoal'!$H$6,1,MATCH(1&amp;$B48,'Gastos com Pessoal'!$I$532:$AJ$532&amp;'Gastos com Pessoal'!$I$6:$AJ$6,0),500,1)),0)
+_xlfn.IFNA(SUM((S$3&gt;='Gastos com Pessoal'!$E$7:$E$506)*(S$3&lt;='Gastos com Pessoal'!$F$7:$F$506)*(IF('Gastos com Pessoal'!$M$7:$M$506&lt;=S$3,1,0))*OFFSET('Gastos com Pessoal'!$H$6,1,MATCH(2&amp;$B48,'Gastos com Pessoal'!$I$532:$AJ$532&amp;'Gastos com Pessoal'!$I$6:$AJ$6,0),500,1)),0)
+_xlfn.IFNA(SUM((S$3&gt;='Gastos com Pessoal'!$E$7:$E$506)*(S$3&lt;='Gastos com Pessoal'!$F$7:$F$506)*(IF('Gastos com Pessoal'!$S$7:$S$506&lt;=S$3,1,0))*OFFSET('Gastos com Pessoal'!$H$6,1,MATCH(3&amp;$B48,'Gastos com Pessoal'!$I$532:$AJ$532&amp;'Gastos com Pessoal'!$I$6:$AJ$6,0),500,1)),0)
+_xlfn.IFNA(SUM((S$3&gt;='Gastos com Pessoal'!$E$7:$E$506)*(S$3&lt;='Gastos com Pessoal'!$F$7:$F$506)*(IF('Gastos com Pessoal'!$Y$7:$Y$506&lt;=S$3,1,0))*OFFSET('Gastos com Pessoal'!$H$6,1,MATCH(4&amp;$B48,'Gastos com Pessoal'!$I$532:$AJ$532&amp;'Gastos com Pessoal'!$I$6:$AJ$6,0),500,1)),0)
+_xlfn.IFNA(SUM((S$3&gt;='Gastos com Pessoal'!$E$7:$E$506)*(S$3&lt;='Gastos com Pessoal'!$F$7:$F$506)*(IF('Gastos com Pessoal'!$AE$7:$AE$506&lt;=S$3,1,0))*OFFSET('Gastos com Pessoal'!$H$6,1,MATCH(5&amp;$B48,'Gastos com Pessoal'!$I$532:$AJ$532&amp;'Gastos com Pessoal'!$I$6:$AJ$6,0),500,1)),0)
+_xlfn.IFNA(SUM((S$3&gt;='Gastos com Pessoal'!$E$513:$E$522)*(S$3&lt;='Gastos com Pessoal'!$F$513:$F$522)*(IF('Gastos com Pessoal'!$G$513:$G$522&lt;=S$3,1,0))*OFFSET('Gastos com Pessoal'!$H$512,1,MATCH(1&amp;$B48,'Gastos com Pessoal'!$I$532:$AJ$532&amp;'Gastos com Pessoal'!$I$512:$AJ$512,0),10,1)),0)
+_xlfn.IFNA(SUM((S$3&gt;='Gastos com Pessoal'!$E$513:$E$522)*(S$3&lt;='Gastos com Pessoal'!$F$513:$F$522)*(IF('Gastos com Pessoal'!$M$513:$M$522&lt;=S$3,1,0))*OFFSET('Gastos com Pessoal'!$H$512,1,MATCH(2&amp;$B48,'Gastos com Pessoal'!$I$532:$AJ$532&amp;'Gastos com Pessoal'!$I$512:$AJ$512,0),10,1)),0)
+_xlfn.IFNA(SUM((S$3&gt;='Gastos com Pessoal'!$E$513:$E$522)*(S$3&lt;='Gastos com Pessoal'!$F$513:$F$522)*(IF('Gastos com Pessoal'!$S$513:$S$522&lt;=S$3,1,0))*OFFSET('Gastos com Pessoal'!$H$512,1,MATCH(3&amp;$B48,'Gastos com Pessoal'!$I$532:$AJ$532&amp;'Gastos com Pessoal'!$I$512:$AJ$512,0),10,1)),0)
+_xlfn.IFNA(SUM((S$3&gt;='Gastos com Pessoal'!$E$513:$E$522)*(S$3&lt;='Gastos com Pessoal'!$F$513:$F$522)*(IF('Gastos com Pessoal'!$Y$513:$Y$522&lt;=S$3,1,0))*OFFSET('Gastos com Pessoal'!$H$512,1,MATCH(4&amp;$B48,'Gastos com Pessoal'!$I$532:$AJ$532&amp;'Gastos com Pessoal'!$I$512:$AJ$512,0),10,1)),0)
+_xlfn.IFNA(SUM((S$3&gt;='Gastos com Pessoal'!$E$513:$E$522)*(S$3&lt;='Gastos com Pessoal'!$F$513:$F$522)*(IF('Gastos com Pessoal'!$AE$513:$AE$522&lt;=S$3,1,0))*OFFSET('Gastos com Pessoal'!$H$512,1,MATCH(5&amp;$B48,'Gastos com Pessoal'!$I$532:$AJ$532&amp;'Gastos com Pessoal'!$I$512:$AJ$512,0),10,1)),0)</f>
        <v>232591.19903957623</v>
      </c>
      <c r="T48" s="32">
        <f t="array" aca="1" ref="T48" ca="1">_xlfn.IFNA(SUM((T$3&gt;='Gastos com Pessoal'!$E$7:$E$506)*(T$3&lt;='Gastos com Pessoal'!$F$7:$F$506)*OFFSET('Encargos e Benefícios'!$D$5,1,MATCH($B48,'Encargos e Benefícios'!$E$5:$AB$5,0),500,1)),0)
+_xlfn.IFNA(SUM((T$3&gt;='Gastos com Pessoal'!$E$513:$E$522)*(T$3&lt;='Gastos com Pessoal'!$F$513:$F$522)*OFFSET('Encargos e Benefícios'!$D$511,1,MATCH($B48,'Encargos e Benefícios'!$E$511:$AB$511,0),10,1)),0)
+_xlfn.IFNA(SUM((T$3&gt;='Gastos com Pessoal'!$E$7:$E$506)*(T$3&lt;='Gastos com Pessoal'!$F$7:$F$506)*(IF('Gastos com Pessoal'!$G$7:$G$506&lt;=T$3,1,0))*OFFSET('Gastos com Pessoal'!$H$6,1,MATCH(1&amp;$B48,'Gastos com Pessoal'!$I$532:$AJ$532&amp;'Gastos com Pessoal'!$I$6:$AJ$6,0),500,1)),0)
+_xlfn.IFNA(SUM((T$3&gt;='Gastos com Pessoal'!$E$7:$E$506)*(T$3&lt;='Gastos com Pessoal'!$F$7:$F$506)*(IF('Gastos com Pessoal'!$M$7:$M$506&lt;=T$3,1,0))*OFFSET('Gastos com Pessoal'!$H$6,1,MATCH(2&amp;$B48,'Gastos com Pessoal'!$I$532:$AJ$532&amp;'Gastos com Pessoal'!$I$6:$AJ$6,0),500,1)),0)
+_xlfn.IFNA(SUM((T$3&gt;='Gastos com Pessoal'!$E$7:$E$506)*(T$3&lt;='Gastos com Pessoal'!$F$7:$F$506)*(IF('Gastos com Pessoal'!$S$7:$S$506&lt;=T$3,1,0))*OFFSET('Gastos com Pessoal'!$H$6,1,MATCH(3&amp;$B48,'Gastos com Pessoal'!$I$532:$AJ$532&amp;'Gastos com Pessoal'!$I$6:$AJ$6,0),500,1)),0)
+_xlfn.IFNA(SUM((T$3&gt;='Gastos com Pessoal'!$E$7:$E$506)*(T$3&lt;='Gastos com Pessoal'!$F$7:$F$506)*(IF('Gastos com Pessoal'!$Y$7:$Y$506&lt;=T$3,1,0))*OFFSET('Gastos com Pessoal'!$H$6,1,MATCH(4&amp;$B48,'Gastos com Pessoal'!$I$532:$AJ$532&amp;'Gastos com Pessoal'!$I$6:$AJ$6,0),500,1)),0)
+_xlfn.IFNA(SUM((T$3&gt;='Gastos com Pessoal'!$E$7:$E$506)*(T$3&lt;='Gastos com Pessoal'!$F$7:$F$506)*(IF('Gastos com Pessoal'!$AE$7:$AE$506&lt;=T$3,1,0))*OFFSET('Gastos com Pessoal'!$H$6,1,MATCH(5&amp;$B48,'Gastos com Pessoal'!$I$532:$AJ$532&amp;'Gastos com Pessoal'!$I$6:$AJ$6,0),500,1)),0)
+_xlfn.IFNA(SUM((T$3&gt;='Gastos com Pessoal'!$E$513:$E$522)*(T$3&lt;='Gastos com Pessoal'!$F$513:$F$522)*(IF('Gastos com Pessoal'!$G$513:$G$522&lt;=T$3,1,0))*OFFSET('Gastos com Pessoal'!$H$512,1,MATCH(1&amp;$B48,'Gastos com Pessoal'!$I$532:$AJ$532&amp;'Gastos com Pessoal'!$I$512:$AJ$512,0),10,1)),0)
+_xlfn.IFNA(SUM((T$3&gt;='Gastos com Pessoal'!$E$513:$E$522)*(T$3&lt;='Gastos com Pessoal'!$F$513:$F$522)*(IF('Gastos com Pessoal'!$M$513:$M$522&lt;=T$3,1,0))*OFFSET('Gastos com Pessoal'!$H$512,1,MATCH(2&amp;$B48,'Gastos com Pessoal'!$I$532:$AJ$532&amp;'Gastos com Pessoal'!$I$512:$AJ$512,0),10,1)),0)
+_xlfn.IFNA(SUM((T$3&gt;='Gastos com Pessoal'!$E$513:$E$522)*(T$3&lt;='Gastos com Pessoal'!$F$513:$F$522)*(IF('Gastos com Pessoal'!$S$513:$S$522&lt;=T$3,1,0))*OFFSET('Gastos com Pessoal'!$H$512,1,MATCH(3&amp;$B48,'Gastos com Pessoal'!$I$532:$AJ$532&amp;'Gastos com Pessoal'!$I$512:$AJ$512,0),10,1)),0)
+_xlfn.IFNA(SUM((T$3&gt;='Gastos com Pessoal'!$E$513:$E$522)*(T$3&lt;='Gastos com Pessoal'!$F$513:$F$522)*(IF('Gastos com Pessoal'!$Y$513:$Y$522&lt;=T$3,1,0))*OFFSET('Gastos com Pessoal'!$H$512,1,MATCH(4&amp;$B48,'Gastos com Pessoal'!$I$532:$AJ$532&amp;'Gastos com Pessoal'!$I$512:$AJ$512,0),10,1)),0)
+_xlfn.IFNA(SUM((T$3&gt;='Gastos com Pessoal'!$E$513:$E$522)*(T$3&lt;='Gastos com Pessoal'!$F$513:$F$522)*(IF('Gastos com Pessoal'!$AE$513:$AE$522&lt;=T$3,1,0))*OFFSET('Gastos com Pessoal'!$H$512,1,MATCH(5&amp;$B48,'Gastos com Pessoal'!$I$532:$AJ$532&amp;'Gastos com Pessoal'!$I$512:$AJ$512,0),10,1)),0)</f>
        <v>232591.19903957623</v>
      </c>
      <c r="U48" s="32">
        <f t="array" aca="1" ref="U48" ca="1">_xlfn.IFNA(SUM((U$3&gt;='Gastos com Pessoal'!$E$7:$E$506)*(U$3&lt;='Gastos com Pessoal'!$F$7:$F$506)*OFFSET('Encargos e Benefícios'!$D$5,1,MATCH($B48,'Encargos e Benefícios'!$E$5:$AB$5,0),500,1)),0)
+_xlfn.IFNA(SUM((U$3&gt;='Gastos com Pessoal'!$E$513:$E$522)*(U$3&lt;='Gastos com Pessoal'!$F$513:$F$522)*OFFSET('Encargos e Benefícios'!$D$511,1,MATCH($B48,'Encargos e Benefícios'!$E$511:$AB$511,0),10,1)),0)
+_xlfn.IFNA(SUM((U$3&gt;='Gastos com Pessoal'!$E$7:$E$506)*(U$3&lt;='Gastos com Pessoal'!$F$7:$F$506)*(IF('Gastos com Pessoal'!$G$7:$G$506&lt;=U$3,1,0))*OFFSET('Gastos com Pessoal'!$H$6,1,MATCH(1&amp;$B48,'Gastos com Pessoal'!$I$532:$AJ$532&amp;'Gastos com Pessoal'!$I$6:$AJ$6,0),500,1)),0)
+_xlfn.IFNA(SUM((U$3&gt;='Gastos com Pessoal'!$E$7:$E$506)*(U$3&lt;='Gastos com Pessoal'!$F$7:$F$506)*(IF('Gastos com Pessoal'!$M$7:$M$506&lt;=U$3,1,0))*OFFSET('Gastos com Pessoal'!$H$6,1,MATCH(2&amp;$B48,'Gastos com Pessoal'!$I$532:$AJ$532&amp;'Gastos com Pessoal'!$I$6:$AJ$6,0),500,1)),0)
+_xlfn.IFNA(SUM((U$3&gt;='Gastos com Pessoal'!$E$7:$E$506)*(U$3&lt;='Gastos com Pessoal'!$F$7:$F$506)*(IF('Gastos com Pessoal'!$S$7:$S$506&lt;=U$3,1,0))*OFFSET('Gastos com Pessoal'!$H$6,1,MATCH(3&amp;$B48,'Gastos com Pessoal'!$I$532:$AJ$532&amp;'Gastos com Pessoal'!$I$6:$AJ$6,0),500,1)),0)
+_xlfn.IFNA(SUM((U$3&gt;='Gastos com Pessoal'!$E$7:$E$506)*(U$3&lt;='Gastos com Pessoal'!$F$7:$F$506)*(IF('Gastos com Pessoal'!$Y$7:$Y$506&lt;=U$3,1,0))*OFFSET('Gastos com Pessoal'!$H$6,1,MATCH(4&amp;$B48,'Gastos com Pessoal'!$I$532:$AJ$532&amp;'Gastos com Pessoal'!$I$6:$AJ$6,0),500,1)),0)
+_xlfn.IFNA(SUM((U$3&gt;='Gastos com Pessoal'!$E$7:$E$506)*(U$3&lt;='Gastos com Pessoal'!$F$7:$F$506)*(IF('Gastos com Pessoal'!$AE$7:$AE$506&lt;=U$3,1,0))*OFFSET('Gastos com Pessoal'!$H$6,1,MATCH(5&amp;$B48,'Gastos com Pessoal'!$I$532:$AJ$532&amp;'Gastos com Pessoal'!$I$6:$AJ$6,0),500,1)),0)
+_xlfn.IFNA(SUM((U$3&gt;='Gastos com Pessoal'!$E$513:$E$522)*(U$3&lt;='Gastos com Pessoal'!$F$513:$F$522)*(IF('Gastos com Pessoal'!$G$513:$G$522&lt;=U$3,1,0))*OFFSET('Gastos com Pessoal'!$H$512,1,MATCH(1&amp;$B48,'Gastos com Pessoal'!$I$532:$AJ$532&amp;'Gastos com Pessoal'!$I$512:$AJ$512,0),10,1)),0)
+_xlfn.IFNA(SUM((U$3&gt;='Gastos com Pessoal'!$E$513:$E$522)*(U$3&lt;='Gastos com Pessoal'!$F$513:$F$522)*(IF('Gastos com Pessoal'!$M$513:$M$522&lt;=U$3,1,0))*OFFSET('Gastos com Pessoal'!$H$512,1,MATCH(2&amp;$B48,'Gastos com Pessoal'!$I$532:$AJ$532&amp;'Gastos com Pessoal'!$I$512:$AJ$512,0),10,1)),0)
+_xlfn.IFNA(SUM((U$3&gt;='Gastos com Pessoal'!$E$513:$E$522)*(U$3&lt;='Gastos com Pessoal'!$F$513:$F$522)*(IF('Gastos com Pessoal'!$S$513:$S$522&lt;=U$3,1,0))*OFFSET('Gastos com Pessoal'!$H$512,1,MATCH(3&amp;$B48,'Gastos com Pessoal'!$I$532:$AJ$532&amp;'Gastos com Pessoal'!$I$512:$AJ$512,0),10,1)),0)
+_xlfn.IFNA(SUM((U$3&gt;='Gastos com Pessoal'!$E$513:$E$522)*(U$3&lt;='Gastos com Pessoal'!$F$513:$F$522)*(IF('Gastos com Pessoal'!$Y$513:$Y$522&lt;=U$3,1,0))*OFFSET('Gastos com Pessoal'!$H$512,1,MATCH(4&amp;$B48,'Gastos com Pessoal'!$I$532:$AJ$532&amp;'Gastos com Pessoal'!$I$512:$AJ$512,0),10,1)),0)
+_xlfn.IFNA(SUM((U$3&gt;='Gastos com Pessoal'!$E$513:$E$522)*(U$3&lt;='Gastos com Pessoal'!$F$513:$F$522)*(IF('Gastos com Pessoal'!$AE$513:$AE$522&lt;=U$3,1,0))*OFFSET('Gastos com Pessoal'!$H$512,1,MATCH(5&amp;$B48,'Gastos com Pessoal'!$I$532:$AJ$532&amp;'Gastos com Pessoal'!$I$512:$AJ$512,0),10,1)),0)</f>
        <v>232591.19903957623</v>
      </c>
      <c r="V48" s="32">
        <f t="array" aca="1" ref="V48" ca="1">_xlfn.IFNA(SUM((V$3&gt;='Gastos com Pessoal'!$E$7:$E$506)*(V$3&lt;='Gastos com Pessoal'!$F$7:$F$506)*OFFSET('Encargos e Benefícios'!$D$5,1,MATCH($B48,'Encargos e Benefícios'!$E$5:$AB$5,0),500,1)),0)
+_xlfn.IFNA(SUM((V$3&gt;='Gastos com Pessoal'!$E$513:$E$522)*(V$3&lt;='Gastos com Pessoal'!$F$513:$F$522)*OFFSET('Encargos e Benefícios'!$D$511,1,MATCH($B48,'Encargos e Benefícios'!$E$511:$AB$511,0),10,1)),0)
+_xlfn.IFNA(SUM((V$3&gt;='Gastos com Pessoal'!$E$7:$E$506)*(V$3&lt;='Gastos com Pessoal'!$F$7:$F$506)*(IF('Gastos com Pessoal'!$G$7:$G$506&lt;=V$3,1,0))*OFFSET('Gastos com Pessoal'!$H$6,1,MATCH(1&amp;$B48,'Gastos com Pessoal'!$I$532:$AJ$532&amp;'Gastos com Pessoal'!$I$6:$AJ$6,0),500,1)),0)
+_xlfn.IFNA(SUM((V$3&gt;='Gastos com Pessoal'!$E$7:$E$506)*(V$3&lt;='Gastos com Pessoal'!$F$7:$F$506)*(IF('Gastos com Pessoal'!$M$7:$M$506&lt;=V$3,1,0))*OFFSET('Gastos com Pessoal'!$H$6,1,MATCH(2&amp;$B48,'Gastos com Pessoal'!$I$532:$AJ$532&amp;'Gastos com Pessoal'!$I$6:$AJ$6,0),500,1)),0)
+_xlfn.IFNA(SUM((V$3&gt;='Gastos com Pessoal'!$E$7:$E$506)*(V$3&lt;='Gastos com Pessoal'!$F$7:$F$506)*(IF('Gastos com Pessoal'!$S$7:$S$506&lt;=V$3,1,0))*OFFSET('Gastos com Pessoal'!$H$6,1,MATCH(3&amp;$B48,'Gastos com Pessoal'!$I$532:$AJ$532&amp;'Gastos com Pessoal'!$I$6:$AJ$6,0),500,1)),0)
+_xlfn.IFNA(SUM((V$3&gt;='Gastos com Pessoal'!$E$7:$E$506)*(V$3&lt;='Gastos com Pessoal'!$F$7:$F$506)*(IF('Gastos com Pessoal'!$Y$7:$Y$506&lt;=V$3,1,0))*OFFSET('Gastos com Pessoal'!$H$6,1,MATCH(4&amp;$B48,'Gastos com Pessoal'!$I$532:$AJ$532&amp;'Gastos com Pessoal'!$I$6:$AJ$6,0),500,1)),0)
+_xlfn.IFNA(SUM((V$3&gt;='Gastos com Pessoal'!$E$7:$E$506)*(V$3&lt;='Gastos com Pessoal'!$F$7:$F$506)*(IF('Gastos com Pessoal'!$AE$7:$AE$506&lt;=V$3,1,0))*OFFSET('Gastos com Pessoal'!$H$6,1,MATCH(5&amp;$B48,'Gastos com Pessoal'!$I$532:$AJ$532&amp;'Gastos com Pessoal'!$I$6:$AJ$6,0),500,1)),0)
+_xlfn.IFNA(SUM((V$3&gt;='Gastos com Pessoal'!$E$513:$E$522)*(V$3&lt;='Gastos com Pessoal'!$F$513:$F$522)*(IF('Gastos com Pessoal'!$G$513:$G$522&lt;=V$3,1,0))*OFFSET('Gastos com Pessoal'!$H$512,1,MATCH(1&amp;$B48,'Gastos com Pessoal'!$I$532:$AJ$532&amp;'Gastos com Pessoal'!$I$512:$AJ$512,0),10,1)),0)
+_xlfn.IFNA(SUM((V$3&gt;='Gastos com Pessoal'!$E$513:$E$522)*(V$3&lt;='Gastos com Pessoal'!$F$513:$F$522)*(IF('Gastos com Pessoal'!$M$513:$M$522&lt;=V$3,1,0))*OFFSET('Gastos com Pessoal'!$H$512,1,MATCH(2&amp;$B48,'Gastos com Pessoal'!$I$532:$AJ$532&amp;'Gastos com Pessoal'!$I$512:$AJ$512,0),10,1)),0)
+_xlfn.IFNA(SUM((V$3&gt;='Gastos com Pessoal'!$E$513:$E$522)*(V$3&lt;='Gastos com Pessoal'!$F$513:$F$522)*(IF('Gastos com Pessoal'!$S$513:$S$522&lt;=V$3,1,0))*OFFSET('Gastos com Pessoal'!$H$512,1,MATCH(3&amp;$B48,'Gastos com Pessoal'!$I$532:$AJ$532&amp;'Gastos com Pessoal'!$I$512:$AJ$512,0),10,1)),0)
+_xlfn.IFNA(SUM((V$3&gt;='Gastos com Pessoal'!$E$513:$E$522)*(V$3&lt;='Gastos com Pessoal'!$F$513:$F$522)*(IF('Gastos com Pessoal'!$Y$513:$Y$522&lt;=V$3,1,0))*OFFSET('Gastos com Pessoal'!$H$512,1,MATCH(4&amp;$B48,'Gastos com Pessoal'!$I$532:$AJ$532&amp;'Gastos com Pessoal'!$I$512:$AJ$512,0),10,1)),0)
+_xlfn.IFNA(SUM((V$3&gt;='Gastos com Pessoal'!$E$513:$E$522)*(V$3&lt;='Gastos com Pessoal'!$F$513:$F$522)*(IF('Gastos com Pessoal'!$AE$513:$AE$522&lt;=V$3,1,0))*OFFSET('Gastos com Pessoal'!$H$512,1,MATCH(5&amp;$B48,'Gastos com Pessoal'!$I$532:$AJ$532&amp;'Gastos com Pessoal'!$I$512:$AJ$512,0),10,1)),0)</f>
        <v>232591.19903957623</v>
      </c>
      <c r="W48" s="32">
        <f t="array" aca="1" ref="W48" ca="1">_xlfn.IFNA(SUM((W$3&gt;='Gastos com Pessoal'!$E$7:$E$506)*(W$3&lt;='Gastos com Pessoal'!$F$7:$F$506)*OFFSET('Encargos e Benefícios'!$D$5,1,MATCH($B48,'Encargos e Benefícios'!$E$5:$AB$5,0),500,1)),0)
+_xlfn.IFNA(SUM((W$3&gt;='Gastos com Pessoal'!$E$513:$E$522)*(W$3&lt;='Gastos com Pessoal'!$F$513:$F$522)*OFFSET('Encargos e Benefícios'!$D$511,1,MATCH($B48,'Encargos e Benefícios'!$E$511:$AB$511,0),10,1)),0)
+_xlfn.IFNA(SUM((W$3&gt;='Gastos com Pessoal'!$E$7:$E$506)*(W$3&lt;='Gastos com Pessoal'!$F$7:$F$506)*(IF('Gastos com Pessoal'!$G$7:$G$506&lt;=W$3,1,0))*OFFSET('Gastos com Pessoal'!$H$6,1,MATCH(1&amp;$B48,'Gastos com Pessoal'!$I$532:$AJ$532&amp;'Gastos com Pessoal'!$I$6:$AJ$6,0),500,1)),0)
+_xlfn.IFNA(SUM((W$3&gt;='Gastos com Pessoal'!$E$7:$E$506)*(W$3&lt;='Gastos com Pessoal'!$F$7:$F$506)*(IF('Gastos com Pessoal'!$M$7:$M$506&lt;=W$3,1,0))*OFFSET('Gastos com Pessoal'!$H$6,1,MATCH(2&amp;$B48,'Gastos com Pessoal'!$I$532:$AJ$532&amp;'Gastos com Pessoal'!$I$6:$AJ$6,0),500,1)),0)
+_xlfn.IFNA(SUM((W$3&gt;='Gastos com Pessoal'!$E$7:$E$506)*(W$3&lt;='Gastos com Pessoal'!$F$7:$F$506)*(IF('Gastos com Pessoal'!$S$7:$S$506&lt;=W$3,1,0))*OFFSET('Gastos com Pessoal'!$H$6,1,MATCH(3&amp;$B48,'Gastos com Pessoal'!$I$532:$AJ$532&amp;'Gastos com Pessoal'!$I$6:$AJ$6,0),500,1)),0)
+_xlfn.IFNA(SUM((W$3&gt;='Gastos com Pessoal'!$E$7:$E$506)*(W$3&lt;='Gastos com Pessoal'!$F$7:$F$506)*(IF('Gastos com Pessoal'!$Y$7:$Y$506&lt;=W$3,1,0))*OFFSET('Gastos com Pessoal'!$H$6,1,MATCH(4&amp;$B48,'Gastos com Pessoal'!$I$532:$AJ$532&amp;'Gastos com Pessoal'!$I$6:$AJ$6,0),500,1)),0)
+_xlfn.IFNA(SUM((W$3&gt;='Gastos com Pessoal'!$E$7:$E$506)*(W$3&lt;='Gastos com Pessoal'!$F$7:$F$506)*(IF('Gastos com Pessoal'!$AE$7:$AE$506&lt;=W$3,1,0))*OFFSET('Gastos com Pessoal'!$H$6,1,MATCH(5&amp;$B48,'Gastos com Pessoal'!$I$532:$AJ$532&amp;'Gastos com Pessoal'!$I$6:$AJ$6,0),500,1)),0)
+_xlfn.IFNA(SUM((W$3&gt;='Gastos com Pessoal'!$E$513:$E$522)*(W$3&lt;='Gastos com Pessoal'!$F$513:$F$522)*(IF('Gastos com Pessoal'!$G$513:$G$522&lt;=W$3,1,0))*OFFSET('Gastos com Pessoal'!$H$512,1,MATCH(1&amp;$B48,'Gastos com Pessoal'!$I$532:$AJ$532&amp;'Gastos com Pessoal'!$I$512:$AJ$512,0),10,1)),0)
+_xlfn.IFNA(SUM((W$3&gt;='Gastos com Pessoal'!$E$513:$E$522)*(W$3&lt;='Gastos com Pessoal'!$F$513:$F$522)*(IF('Gastos com Pessoal'!$M$513:$M$522&lt;=W$3,1,0))*OFFSET('Gastos com Pessoal'!$H$512,1,MATCH(2&amp;$B48,'Gastos com Pessoal'!$I$532:$AJ$532&amp;'Gastos com Pessoal'!$I$512:$AJ$512,0),10,1)),0)
+_xlfn.IFNA(SUM((W$3&gt;='Gastos com Pessoal'!$E$513:$E$522)*(W$3&lt;='Gastos com Pessoal'!$F$513:$F$522)*(IF('Gastos com Pessoal'!$S$513:$S$522&lt;=W$3,1,0))*OFFSET('Gastos com Pessoal'!$H$512,1,MATCH(3&amp;$B48,'Gastos com Pessoal'!$I$532:$AJ$532&amp;'Gastos com Pessoal'!$I$512:$AJ$512,0),10,1)),0)
+_xlfn.IFNA(SUM((W$3&gt;='Gastos com Pessoal'!$E$513:$E$522)*(W$3&lt;='Gastos com Pessoal'!$F$513:$F$522)*(IF('Gastos com Pessoal'!$Y$513:$Y$522&lt;=W$3,1,0))*OFFSET('Gastos com Pessoal'!$H$512,1,MATCH(4&amp;$B48,'Gastos com Pessoal'!$I$532:$AJ$532&amp;'Gastos com Pessoal'!$I$512:$AJ$512,0),10,1)),0)
+_xlfn.IFNA(SUM((W$3&gt;='Gastos com Pessoal'!$E$513:$E$522)*(W$3&lt;='Gastos com Pessoal'!$F$513:$F$522)*(IF('Gastos com Pessoal'!$AE$513:$AE$522&lt;=W$3,1,0))*OFFSET('Gastos com Pessoal'!$H$512,1,MATCH(5&amp;$B48,'Gastos com Pessoal'!$I$532:$AJ$532&amp;'Gastos com Pessoal'!$I$512:$AJ$512,0),10,1)),0)</f>
        <v>232591.19903957623</v>
      </c>
      <c r="X48" s="32">
        <f t="array" aca="1" ref="X48" ca="1">_xlfn.IFNA(SUM((X$3&gt;='Gastos com Pessoal'!$E$7:$E$506)*(X$3&lt;='Gastos com Pessoal'!$F$7:$F$506)*OFFSET('Encargos e Benefícios'!$D$5,1,MATCH($B48,'Encargos e Benefícios'!$E$5:$AB$5,0),500,1)),0)
+_xlfn.IFNA(SUM((X$3&gt;='Gastos com Pessoal'!$E$513:$E$522)*(X$3&lt;='Gastos com Pessoal'!$F$513:$F$522)*OFFSET('Encargos e Benefícios'!$D$511,1,MATCH($B48,'Encargos e Benefícios'!$E$511:$AB$511,0),10,1)),0)
+_xlfn.IFNA(SUM((X$3&gt;='Gastos com Pessoal'!$E$7:$E$506)*(X$3&lt;='Gastos com Pessoal'!$F$7:$F$506)*(IF('Gastos com Pessoal'!$G$7:$G$506&lt;=X$3,1,0))*OFFSET('Gastos com Pessoal'!$H$6,1,MATCH(1&amp;$B48,'Gastos com Pessoal'!$I$532:$AJ$532&amp;'Gastos com Pessoal'!$I$6:$AJ$6,0),500,1)),0)
+_xlfn.IFNA(SUM((X$3&gt;='Gastos com Pessoal'!$E$7:$E$506)*(X$3&lt;='Gastos com Pessoal'!$F$7:$F$506)*(IF('Gastos com Pessoal'!$M$7:$M$506&lt;=X$3,1,0))*OFFSET('Gastos com Pessoal'!$H$6,1,MATCH(2&amp;$B48,'Gastos com Pessoal'!$I$532:$AJ$532&amp;'Gastos com Pessoal'!$I$6:$AJ$6,0),500,1)),0)
+_xlfn.IFNA(SUM((X$3&gt;='Gastos com Pessoal'!$E$7:$E$506)*(X$3&lt;='Gastos com Pessoal'!$F$7:$F$506)*(IF('Gastos com Pessoal'!$S$7:$S$506&lt;=X$3,1,0))*OFFSET('Gastos com Pessoal'!$H$6,1,MATCH(3&amp;$B48,'Gastos com Pessoal'!$I$532:$AJ$532&amp;'Gastos com Pessoal'!$I$6:$AJ$6,0),500,1)),0)
+_xlfn.IFNA(SUM((X$3&gt;='Gastos com Pessoal'!$E$7:$E$506)*(X$3&lt;='Gastos com Pessoal'!$F$7:$F$506)*(IF('Gastos com Pessoal'!$Y$7:$Y$506&lt;=X$3,1,0))*OFFSET('Gastos com Pessoal'!$H$6,1,MATCH(4&amp;$B48,'Gastos com Pessoal'!$I$532:$AJ$532&amp;'Gastos com Pessoal'!$I$6:$AJ$6,0),500,1)),0)
+_xlfn.IFNA(SUM((X$3&gt;='Gastos com Pessoal'!$E$7:$E$506)*(X$3&lt;='Gastos com Pessoal'!$F$7:$F$506)*(IF('Gastos com Pessoal'!$AE$7:$AE$506&lt;=X$3,1,0))*OFFSET('Gastos com Pessoal'!$H$6,1,MATCH(5&amp;$B48,'Gastos com Pessoal'!$I$532:$AJ$532&amp;'Gastos com Pessoal'!$I$6:$AJ$6,0),500,1)),0)
+_xlfn.IFNA(SUM((X$3&gt;='Gastos com Pessoal'!$E$513:$E$522)*(X$3&lt;='Gastos com Pessoal'!$F$513:$F$522)*(IF('Gastos com Pessoal'!$G$513:$G$522&lt;=X$3,1,0))*OFFSET('Gastos com Pessoal'!$H$512,1,MATCH(1&amp;$B48,'Gastos com Pessoal'!$I$532:$AJ$532&amp;'Gastos com Pessoal'!$I$512:$AJ$512,0),10,1)),0)
+_xlfn.IFNA(SUM((X$3&gt;='Gastos com Pessoal'!$E$513:$E$522)*(X$3&lt;='Gastos com Pessoal'!$F$513:$F$522)*(IF('Gastos com Pessoal'!$M$513:$M$522&lt;=X$3,1,0))*OFFSET('Gastos com Pessoal'!$H$512,1,MATCH(2&amp;$B48,'Gastos com Pessoal'!$I$532:$AJ$532&amp;'Gastos com Pessoal'!$I$512:$AJ$512,0),10,1)),0)
+_xlfn.IFNA(SUM((X$3&gt;='Gastos com Pessoal'!$E$513:$E$522)*(X$3&lt;='Gastos com Pessoal'!$F$513:$F$522)*(IF('Gastos com Pessoal'!$S$513:$S$522&lt;=X$3,1,0))*OFFSET('Gastos com Pessoal'!$H$512,1,MATCH(3&amp;$B48,'Gastos com Pessoal'!$I$532:$AJ$532&amp;'Gastos com Pessoal'!$I$512:$AJ$512,0),10,1)),0)
+_xlfn.IFNA(SUM((X$3&gt;='Gastos com Pessoal'!$E$513:$E$522)*(X$3&lt;='Gastos com Pessoal'!$F$513:$F$522)*(IF('Gastos com Pessoal'!$Y$513:$Y$522&lt;=X$3,1,0))*OFFSET('Gastos com Pessoal'!$H$512,1,MATCH(4&amp;$B48,'Gastos com Pessoal'!$I$532:$AJ$532&amp;'Gastos com Pessoal'!$I$512:$AJ$512,0),10,1)),0)
+_xlfn.IFNA(SUM((X$3&gt;='Gastos com Pessoal'!$E$513:$E$522)*(X$3&lt;='Gastos com Pessoal'!$F$513:$F$522)*(IF('Gastos com Pessoal'!$AE$513:$AE$522&lt;=X$3,1,0))*OFFSET('Gastos com Pessoal'!$H$512,1,MATCH(5&amp;$B48,'Gastos com Pessoal'!$I$532:$AJ$532&amp;'Gastos com Pessoal'!$I$512:$AJ$512,0),10,1)),0)</f>
        <v>232591.19903957623</v>
      </c>
      <c r="Y48" s="32">
        <f t="array" aca="1" ref="Y48" ca="1">_xlfn.IFNA(SUM((Y$3&gt;='Gastos com Pessoal'!$E$7:$E$506)*(Y$3&lt;='Gastos com Pessoal'!$F$7:$F$506)*OFFSET('Encargos e Benefícios'!$D$5,1,MATCH($B48,'Encargos e Benefícios'!$E$5:$AB$5,0),500,1)),0)
+_xlfn.IFNA(SUM((Y$3&gt;='Gastos com Pessoal'!$E$513:$E$522)*(Y$3&lt;='Gastos com Pessoal'!$F$513:$F$522)*OFFSET('Encargos e Benefícios'!$D$511,1,MATCH($B48,'Encargos e Benefícios'!$E$511:$AB$511,0),10,1)),0)
+_xlfn.IFNA(SUM((Y$3&gt;='Gastos com Pessoal'!$E$7:$E$506)*(Y$3&lt;='Gastos com Pessoal'!$F$7:$F$506)*(IF('Gastos com Pessoal'!$G$7:$G$506&lt;=Y$3,1,0))*OFFSET('Gastos com Pessoal'!$H$6,1,MATCH(1&amp;$B48,'Gastos com Pessoal'!$I$532:$AJ$532&amp;'Gastos com Pessoal'!$I$6:$AJ$6,0),500,1)),0)
+_xlfn.IFNA(SUM((Y$3&gt;='Gastos com Pessoal'!$E$7:$E$506)*(Y$3&lt;='Gastos com Pessoal'!$F$7:$F$506)*(IF('Gastos com Pessoal'!$M$7:$M$506&lt;=Y$3,1,0))*OFFSET('Gastos com Pessoal'!$H$6,1,MATCH(2&amp;$B48,'Gastos com Pessoal'!$I$532:$AJ$532&amp;'Gastos com Pessoal'!$I$6:$AJ$6,0),500,1)),0)
+_xlfn.IFNA(SUM((Y$3&gt;='Gastos com Pessoal'!$E$7:$E$506)*(Y$3&lt;='Gastos com Pessoal'!$F$7:$F$506)*(IF('Gastos com Pessoal'!$S$7:$S$506&lt;=Y$3,1,0))*OFFSET('Gastos com Pessoal'!$H$6,1,MATCH(3&amp;$B48,'Gastos com Pessoal'!$I$532:$AJ$532&amp;'Gastos com Pessoal'!$I$6:$AJ$6,0),500,1)),0)
+_xlfn.IFNA(SUM((Y$3&gt;='Gastos com Pessoal'!$E$7:$E$506)*(Y$3&lt;='Gastos com Pessoal'!$F$7:$F$506)*(IF('Gastos com Pessoal'!$Y$7:$Y$506&lt;=Y$3,1,0))*OFFSET('Gastos com Pessoal'!$H$6,1,MATCH(4&amp;$B48,'Gastos com Pessoal'!$I$532:$AJ$532&amp;'Gastos com Pessoal'!$I$6:$AJ$6,0),500,1)),0)
+_xlfn.IFNA(SUM((Y$3&gt;='Gastos com Pessoal'!$E$7:$E$506)*(Y$3&lt;='Gastos com Pessoal'!$F$7:$F$506)*(IF('Gastos com Pessoal'!$AE$7:$AE$506&lt;=Y$3,1,0))*OFFSET('Gastos com Pessoal'!$H$6,1,MATCH(5&amp;$B48,'Gastos com Pessoal'!$I$532:$AJ$532&amp;'Gastos com Pessoal'!$I$6:$AJ$6,0),500,1)),0)
+_xlfn.IFNA(SUM((Y$3&gt;='Gastos com Pessoal'!$E$513:$E$522)*(Y$3&lt;='Gastos com Pessoal'!$F$513:$F$522)*(IF('Gastos com Pessoal'!$G$513:$G$522&lt;=Y$3,1,0))*OFFSET('Gastos com Pessoal'!$H$512,1,MATCH(1&amp;$B48,'Gastos com Pessoal'!$I$532:$AJ$532&amp;'Gastos com Pessoal'!$I$512:$AJ$512,0),10,1)),0)
+_xlfn.IFNA(SUM((Y$3&gt;='Gastos com Pessoal'!$E$513:$E$522)*(Y$3&lt;='Gastos com Pessoal'!$F$513:$F$522)*(IF('Gastos com Pessoal'!$M$513:$M$522&lt;=Y$3,1,0))*OFFSET('Gastos com Pessoal'!$H$512,1,MATCH(2&amp;$B48,'Gastos com Pessoal'!$I$532:$AJ$532&amp;'Gastos com Pessoal'!$I$512:$AJ$512,0),10,1)),0)
+_xlfn.IFNA(SUM((Y$3&gt;='Gastos com Pessoal'!$E$513:$E$522)*(Y$3&lt;='Gastos com Pessoal'!$F$513:$F$522)*(IF('Gastos com Pessoal'!$S$513:$S$522&lt;=Y$3,1,0))*OFFSET('Gastos com Pessoal'!$H$512,1,MATCH(3&amp;$B48,'Gastos com Pessoal'!$I$532:$AJ$532&amp;'Gastos com Pessoal'!$I$512:$AJ$512,0),10,1)),0)
+_xlfn.IFNA(SUM((Y$3&gt;='Gastos com Pessoal'!$E$513:$E$522)*(Y$3&lt;='Gastos com Pessoal'!$F$513:$F$522)*(IF('Gastos com Pessoal'!$Y$513:$Y$522&lt;=Y$3,1,0))*OFFSET('Gastos com Pessoal'!$H$512,1,MATCH(4&amp;$B48,'Gastos com Pessoal'!$I$532:$AJ$532&amp;'Gastos com Pessoal'!$I$512:$AJ$512,0),10,1)),0)
+_xlfn.IFNA(SUM((Y$3&gt;='Gastos com Pessoal'!$E$513:$E$522)*(Y$3&lt;='Gastos com Pessoal'!$F$513:$F$522)*(IF('Gastos com Pessoal'!$AE$513:$AE$522&lt;=Y$3,1,0))*OFFSET('Gastos com Pessoal'!$H$512,1,MATCH(5&amp;$B48,'Gastos com Pessoal'!$I$532:$AJ$532&amp;'Gastos com Pessoal'!$I$512:$AJ$512,0),10,1)),0)</f>
        <v>232591.19903957623</v>
      </c>
      <c r="Z48" s="32">
        <f t="array" aca="1" ref="Z48" ca="1">_xlfn.IFNA(SUM((Z$3&gt;='Gastos com Pessoal'!$E$7:$E$506)*(Z$3&lt;='Gastos com Pessoal'!$F$7:$F$506)*OFFSET('Encargos e Benefícios'!$D$5,1,MATCH($B48,'Encargos e Benefícios'!$E$5:$AB$5,0),500,1)),0)
+_xlfn.IFNA(SUM((Z$3&gt;='Gastos com Pessoal'!$E$513:$E$522)*(Z$3&lt;='Gastos com Pessoal'!$F$513:$F$522)*OFFSET('Encargos e Benefícios'!$D$511,1,MATCH($B48,'Encargos e Benefícios'!$E$511:$AB$511,0),10,1)),0)
+_xlfn.IFNA(SUM((Z$3&gt;='Gastos com Pessoal'!$E$7:$E$506)*(Z$3&lt;='Gastos com Pessoal'!$F$7:$F$506)*(IF('Gastos com Pessoal'!$G$7:$G$506&lt;=Z$3,1,0))*OFFSET('Gastos com Pessoal'!$H$6,1,MATCH(1&amp;$B48,'Gastos com Pessoal'!$I$532:$AJ$532&amp;'Gastos com Pessoal'!$I$6:$AJ$6,0),500,1)),0)
+_xlfn.IFNA(SUM((Z$3&gt;='Gastos com Pessoal'!$E$7:$E$506)*(Z$3&lt;='Gastos com Pessoal'!$F$7:$F$506)*(IF('Gastos com Pessoal'!$M$7:$M$506&lt;=Z$3,1,0))*OFFSET('Gastos com Pessoal'!$H$6,1,MATCH(2&amp;$B48,'Gastos com Pessoal'!$I$532:$AJ$532&amp;'Gastos com Pessoal'!$I$6:$AJ$6,0),500,1)),0)
+_xlfn.IFNA(SUM((Z$3&gt;='Gastos com Pessoal'!$E$7:$E$506)*(Z$3&lt;='Gastos com Pessoal'!$F$7:$F$506)*(IF('Gastos com Pessoal'!$S$7:$S$506&lt;=Z$3,1,0))*OFFSET('Gastos com Pessoal'!$H$6,1,MATCH(3&amp;$B48,'Gastos com Pessoal'!$I$532:$AJ$532&amp;'Gastos com Pessoal'!$I$6:$AJ$6,0),500,1)),0)
+_xlfn.IFNA(SUM((Z$3&gt;='Gastos com Pessoal'!$E$7:$E$506)*(Z$3&lt;='Gastos com Pessoal'!$F$7:$F$506)*(IF('Gastos com Pessoal'!$Y$7:$Y$506&lt;=Z$3,1,0))*OFFSET('Gastos com Pessoal'!$H$6,1,MATCH(4&amp;$B48,'Gastos com Pessoal'!$I$532:$AJ$532&amp;'Gastos com Pessoal'!$I$6:$AJ$6,0),500,1)),0)
+_xlfn.IFNA(SUM((Z$3&gt;='Gastos com Pessoal'!$E$7:$E$506)*(Z$3&lt;='Gastos com Pessoal'!$F$7:$F$506)*(IF('Gastos com Pessoal'!$AE$7:$AE$506&lt;=Z$3,1,0))*OFFSET('Gastos com Pessoal'!$H$6,1,MATCH(5&amp;$B48,'Gastos com Pessoal'!$I$532:$AJ$532&amp;'Gastos com Pessoal'!$I$6:$AJ$6,0),500,1)),0)
+_xlfn.IFNA(SUM((Z$3&gt;='Gastos com Pessoal'!$E$513:$E$522)*(Z$3&lt;='Gastos com Pessoal'!$F$513:$F$522)*(IF('Gastos com Pessoal'!$G$513:$G$522&lt;=Z$3,1,0))*OFFSET('Gastos com Pessoal'!$H$512,1,MATCH(1&amp;$B48,'Gastos com Pessoal'!$I$532:$AJ$532&amp;'Gastos com Pessoal'!$I$512:$AJ$512,0),10,1)),0)
+_xlfn.IFNA(SUM((Z$3&gt;='Gastos com Pessoal'!$E$513:$E$522)*(Z$3&lt;='Gastos com Pessoal'!$F$513:$F$522)*(IF('Gastos com Pessoal'!$M$513:$M$522&lt;=Z$3,1,0))*OFFSET('Gastos com Pessoal'!$H$512,1,MATCH(2&amp;$B48,'Gastos com Pessoal'!$I$532:$AJ$532&amp;'Gastos com Pessoal'!$I$512:$AJ$512,0),10,1)),0)
+_xlfn.IFNA(SUM((Z$3&gt;='Gastos com Pessoal'!$E$513:$E$522)*(Z$3&lt;='Gastos com Pessoal'!$F$513:$F$522)*(IF('Gastos com Pessoal'!$S$513:$S$522&lt;=Z$3,1,0))*OFFSET('Gastos com Pessoal'!$H$512,1,MATCH(3&amp;$B48,'Gastos com Pessoal'!$I$532:$AJ$532&amp;'Gastos com Pessoal'!$I$512:$AJ$512,0),10,1)),0)
+_xlfn.IFNA(SUM((Z$3&gt;='Gastos com Pessoal'!$E$513:$E$522)*(Z$3&lt;='Gastos com Pessoal'!$F$513:$F$522)*(IF('Gastos com Pessoal'!$Y$513:$Y$522&lt;=Z$3,1,0))*OFFSET('Gastos com Pessoal'!$H$512,1,MATCH(4&amp;$B48,'Gastos com Pessoal'!$I$532:$AJ$532&amp;'Gastos com Pessoal'!$I$512:$AJ$512,0),10,1)),0)
+_xlfn.IFNA(SUM((Z$3&gt;='Gastos com Pessoal'!$E$513:$E$522)*(Z$3&lt;='Gastos com Pessoal'!$F$513:$F$522)*(IF('Gastos com Pessoal'!$AE$513:$AE$522&lt;=Z$3,1,0))*OFFSET('Gastos com Pessoal'!$H$512,1,MATCH(5&amp;$B48,'Gastos com Pessoal'!$I$532:$AJ$532&amp;'Gastos com Pessoal'!$I$512:$AJ$512,0),10,1)),0)</f>
        <v>232591.19903957623</v>
      </c>
      <c r="AA48" s="32">
        <f t="array" aca="1" ref="AA48" ca="1">_xlfn.IFNA(SUM((AA$3&gt;='Gastos com Pessoal'!$E$7:$E$506)*(AA$3&lt;='Gastos com Pessoal'!$F$7:$F$506)*OFFSET('Encargos e Benefícios'!$D$5,1,MATCH($B48,'Encargos e Benefícios'!$E$5:$AB$5,0),500,1)),0)
+_xlfn.IFNA(SUM((AA$3&gt;='Gastos com Pessoal'!$E$513:$E$522)*(AA$3&lt;='Gastos com Pessoal'!$F$513:$F$522)*OFFSET('Encargos e Benefícios'!$D$511,1,MATCH($B48,'Encargos e Benefícios'!$E$511:$AB$511,0),10,1)),0)
+_xlfn.IFNA(SUM((AA$3&gt;='Gastos com Pessoal'!$E$7:$E$506)*(AA$3&lt;='Gastos com Pessoal'!$F$7:$F$506)*(IF('Gastos com Pessoal'!$G$7:$G$506&lt;=AA$3,1,0))*OFFSET('Gastos com Pessoal'!$H$6,1,MATCH(1&amp;$B48,'Gastos com Pessoal'!$I$532:$AJ$532&amp;'Gastos com Pessoal'!$I$6:$AJ$6,0),500,1)),0)
+_xlfn.IFNA(SUM((AA$3&gt;='Gastos com Pessoal'!$E$7:$E$506)*(AA$3&lt;='Gastos com Pessoal'!$F$7:$F$506)*(IF('Gastos com Pessoal'!$M$7:$M$506&lt;=AA$3,1,0))*OFFSET('Gastos com Pessoal'!$H$6,1,MATCH(2&amp;$B48,'Gastos com Pessoal'!$I$532:$AJ$532&amp;'Gastos com Pessoal'!$I$6:$AJ$6,0),500,1)),0)
+_xlfn.IFNA(SUM((AA$3&gt;='Gastos com Pessoal'!$E$7:$E$506)*(AA$3&lt;='Gastos com Pessoal'!$F$7:$F$506)*(IF('Gastos com Pessoal'!$S$7:$S$506&lt;=AA$3,1,0))*OFFSET('Gastos com Pessoal'!$H$6,1,MATCH(3&amp;$B48,'Gastos com Pessoal'!$I$532:$AJ$532&amp;'Gastos com Pessoal'!$I$6:$AJ$6,0),500,1)),0)
+_xlfn.IFNA(SUM((AA$3&gt;='Gastos com Pessoal'!$E$7:$E$506)*(AA$3&lt;='Gastos com Pessoal'!$F$7:$F$506)*(IF('Gastos com Pessoal'!$Y$7:$Y$506&lt;=AA$3,1,0))*OFFSET('Gastos com Pessoal'!$H$6,1,MATCH(4&amp;$B48,'Gastos com Pessoal'!$I$532:$AJ$532&amp;'Gastos com Pessoal'!$I$6:$AJ$6,0),500,1)),0)
+_xlfn.IFNA(SUM((AA$3&gt;='Gastos com Pessoal'!$E$7:$E$506)*(AA$3&lt;='Gastos com Pessoal'!$F$7:$F$506)*(IF('Gastos com Pessoal'!$AE$7:$AE$506&lt;=AA$3,1,0))*OFFSET('Gastos com Pessoal'!$H$6,1,MATCH(5&amp;$B48,'Gastos com Pessoal'!$I$532:$AJ$532&amp;'Gastos com Pessoal'!$I$6:$AJ$6,0),500,1)),0)
+_xlfn.IFNA(SUM((AA$3&gt;='Gastos com Pessoal'!$E$513:$E$522)*(AA$3&lt;='Gastos com Pessoal'!$F$513:$F$522)*(IF('Gastos com Pessoal'!$G$513:$G$522&lt;=AA$3,1,0))*OFFSET('Gastos com Pessoal'!$H$512,1,MATCH(1&amp;$B48,'Gastos com Pessoal'!$I$532:$AJ$532&amp;'Gastos com Pessoal'!$I$512:$AJ$512,0),10,1)),0)
+_xlfn.IFNA(SUM((AA$3&gt;='Gastos com Pessoal'!$E$513:$E$522)*(AA$3&lt;='Gastos com Pessoal'!$F$513:$F$522)*(IF('Gastos com Pessoal'!$M$513:$M$522&lt;=AA$3,1,0))*OFFSET('Gastos com Pessoal'!$H$512,1,MATCH(2&amp;$B48,'Gastos com Pessoal'!$I$532:$AJ$532&amp;'Gastos com Pessoal'!$I$512:$AJ$512,0),10,1)),0)
+_xlfn.IFNA(SUM((AA$3&gt;='Gastos com Pessoal'!$E$513:$E$522)*(AA$3&lt;='Gastos com Pessoal'!$F$513:$F$522)*(IF('Gastos com Pessoal'!$S$513:$S$522&lt;=AA$3,1,0))*OFFSET('Gastos com Pessoal'!$H$512,1,MATCH(3&amp;$B48,'Gastos com Pessoal'!$I$532:$AJ$532&amp;'Gastos com Pessoal'!$I$512:$AJ$512,0),10,1)),0)
+_xlfn.IFNA(SUM((AA$3&gt;='Gastos com Pessoal'!$E$513:$E$522)*(AA$3&lt;='Gastos com Pessoal'!$F$513:$F$522)*(IF('Gastos com Pessoal'!$Y$513:$Y$522&lt;=AA$3,1,0))*OFFSET('Gastos com Pessoal'!$H$512,1,MATCH(4&amp;$B48,'Gastos com Pessoal'!$I$532:$AJ$532&amp;'Gastos com Pessoal'!$I$512:$AJ$512,0),10,1)),0)
+_xlfn.IFNA(SUM((AA$3&gt;='Gastos com Pessoal'!$E$513:$E$522)*(AA$3&lt;='Gastos com Pessoal'!$F$513:$F$522)*(IF('Gastos com Pessoal'!$AE$513:$AE$522&lt;=AA$3,1,0))*OFFSET('Gastos com Pessoal'!$H$512,1,MATCH(5&amp;$B48,'Gastos com Pessoal'!$I$532:$AJ$532&amp;'Gastos com Pessoal'!$I$512:$AJ$512,0),10,1)),0)</f>
        <v>232591.19903957623</v>
      </c>
      <c r="AB48" s="32">
        <f t="array" aca="1" ref="AB48" ca="1">_xlfn.IFNA(SUM((AB$3&gt;='Gastos com Pessoal'!$E$7:$E$506)*(AB$3&lt;='Gastos com Pessoal'!$F$7:$F$506)*OFFSET('Encargos e Benefícios'!$D$5,1,MATCH($B48,'Encargos e Benefícios'!$E$5:$AB$5,0),500,1)),0)
+_xlfn.IFNA(SUM((AB$3&gt;='Gastos com Pessoal'!$E$513:$E$522)*(AB$3&lt;='Gastos com Pessoal'!$F$513:$F$522)*OFFSET('Encargos e Benefícios'!$D$511,1,MATCH($B48,'Encargos e Benefícios'!$E$511:$AB$511,0),10,1)),0)
+_xlfn.IFNA(SUM((AB$3&gt;='Gastos com Pessoal'!$E$7:$E$506)*(AB$3&lt;='Gastos com Pessoal'!$F$7:$F$506)*(IF('Gastos com Pessoal'!$G$7:$G$506&lt;=AB$3,1,0))*OFFSET('Gastos com Pessoal'!$H$6,1,MATCH(1&amp;$B48,'Gastos com Pessoal'!$I$532:$AJ$532&amp;'Gastos com Pessoal'!$I$6:$AJ$6,0),500,1)),0)
+_xlfn.IFNA(SUM((AB$3&gt;='Gastos com Pessoal'!$E$7:$E$506)*(AB$3&lt;='Gastos com Pessoal'!$F$7:$F$506)*(IF('Gastos com Pessoal'!$M$7:$M$506&lt;=AB$3,1,0))*OFFSET('Gastos com Pessoal'!$H$6,1,MATCH(2&amp;$B48,'Gastos com Pessoal'!$I$532:$AJ$532&amp;'Gastos com Pessoal'!$I$6:$AJ$6,0),500,1)),0)
+_xlfn.IFNA(SUM((AB$3&gt;='Gastos com Pessoal'!$E$7:$E$506)*(AB$3&lt;='Gastos com Pessoal'!$F$7:$F$506)*(IF('Gastos com Pessoal'!$S$7:$S$506&lt;=AB$3,1,0))*OFFSET('Gastos com Pessoal'!$H$6,1,MATCH(3&amp;$B48,'Gastos com Pessoal'!$I$532:$AJ$532&amp;'Gastos com Pessoal'!$I$6:$AJ$6,0),500,1)),0)
+_xlfn.IFNA(SUM((AB$3&gt;='Gastos com Pessoal'!$E$7:$E$506)*(AB$3&lt;='Gastos com Pessoal'!$F$7:$F$506)*(IF('Gastos com Pessoal'!$Y$7:$Y$506&lt;=AB$3,1,0))*OFFSET('Gastos com Pessoal'!$H$6,1,MATCH(4&amp;$B48,'Gastos com Pessoal'!$I$532:$AJ$532&amp;'Gastos com Pessoal'!$I$6:$AJ$6,0),500,1)),0)
+_xlfn.IFNA(SUM((AB$3&gt;='Gastos com Pessoal'!$E$7:$E$506)*(AB$3&lt;='Gastos com Pessoal'!$F$7:$F$506)*(IF('Gastos com Pessoal'!$AE$7:$AE$506&lt;=AB$3,1,0))*OFFSET('Gastos com Pessoal'!$H$6,1,MATCH(5&amp;$B48,'Gastos com Pessoal'!$I$532:$AJ$532&amp;'Gastos com Pessoal'!$I$6:$AJ$6,0),500,1)),0)
+_xlfn.IFNA(SUM((AB$3&gt;='Gastos com Pessoal'!$E$513:$E$522)*(AB$3&lt;='Gastos com Pessoal'!$F$513:$F$522)*(IF('Gastos com Pessoal'!$G$513:$G$522&lt;=AB$3,1,0))*OFFSET('Gastos com Pessoal'!$H$512,1,MATCH(1&amp;$B48,'Gastos com Pessoal'!$I$532:$AJ$532&amp;'Gastos com Pessoal'!$I$512:$AJ$512,0),10,1)),0)
+_xlfn.IFNA(SUM((AB$3&gt;='Gastos com Pessoal'!$E$513:$E$522)*(AB$3&lt;='Gastos com Pessoal'!$F$513:$F$522)*(IF('Gastos com Pessoal'!$M$513:$M$522&lt;=AB$3,1,0))*OFFSET('Gastos com Pessoal'!$H$512,1,MATCH(2&amp;$B48,'Gastos com Pessoal'!$I$532:$AJ$532&amp;'Gastos com Pessoal'!$I$512:$AJ$512,0),10,1)),0)
+_xlfn.IFNA(SUM((AB$3&gt;='Gastos com Pessoal'!$E$513:$E$522)*(AB$3&lt;='Gastos com Pessoal'!$F$513:$F$522)*(IF('Gastos com Pessoal'!$S$513:$S$522&lt;=AB$3,1,0))*OFFSET('Gastos com Pessoal'!$H$512,1,MATCH(3&amp;$B48,'Gastos com Pessoal'!$I$532:$AJ$532&amp;'Gastos com Pessoal'!$I$512:$AJ$512,0),10,1)),0)
+_xlfn.IFNA(SUM((AB$3&gt;='Gastos com Pessoal'!$E$513:$E$522)*(AB$3&lt;='Gastos com Pessoal'!$F$513:$F$522)*(IF('Gastos com Pessoal'!$Y$513:$Y$522&lt;=AB$3,1,0))*OFFSET('Gastos com Pessoal'!$H$512,1,MATCH(4&amp;$B48,'Gastos com Pessoal'!$I$532:$AJ$532&amp;'Gastos com Pessoal'!$I$512:$AJ$512,0),10,1)),0)
+_xlfn.IFNA(SUM((AB$3&gt;='Gastos com Pessoal'!$E$513:$E$522)*(AB$3&lt;='Gastos com Pessoal'!$F$513:$F$522)*(IF('Gastos com Pessoal'!$AE$513:$AE$522&lt;=AB$3,1,0))*OFFSET('Gastos com Pessoal'!$H$512,1,MATCH(5&amp;$B48,'Gastos com Pessoal'!$I$532:$AJ$532&amp;'Gastos com Pessoal'!$I$512:$AJ$512,0),10,1)),0)</f>
        <v>232591.19903957623</v>
      </c>
      <c r="AC48" s="32">
        <f t="array" aca="1" ref="AC48" ca="1">_xlfn.IFNA(SUM((AC$3&gt;='Gastos com Pessoal'!$E$7:$E$506)*(AC$3&lt;='Gastos com Pessoal'!$F$7:$F$506)*OFFSET('Encargos e Benefícios'!$D$5,1,MATCH($B48,'Encargos e Benefícios'!$E$5:$AB$5,0),500,1)),0)
+_xlfn.IFNA(SUM((AC$3&gt;='Gastos com Pessoal'!$E$513:$E$522)*(AC$3&lt;='Gastos com Pessoal'!$F$513:$F$522)*OFFSET('Encargos e Benefícios'!$D$511,1,MATCH($B48,'Encargos e Benefícios'!$E$511:$AB$511,0),10,1)),0)
+_xlfn.IFNA(SUM((AC$3&gt;='Gastos com Pessoal'!$E$7:$E$506)*(AC$3&lt;='Gastos com Pessoal'!$F$7:$F$506)*(IF('Gastos com Pessoal'!$G$7:$G$506&lt;=AC$3,1,0))*OFFSET('Gastos com Pessoal'!$H$6,1,MATCH(1&amp;$B48,'Gastos com Pessoal'!$I$532:$AJ$532&amp;'Gastos com Pessoal'!$I$6:$AJ$6,0),500,1)),0)
+_xlfn.IFNA(SUM((AC$3&gt;='Gastos com Pessoal'!$E$7:$E$506)*(AC$3&lt;='Gastos com Pessoal'!$F$7:$F$506)*(IF('Gastos com Pessoal'!$M$7:$M$506&lt;=AC$3,1,0))*OFFSET('Gastos com Pessoal'!$H$6,1,MATCH(2&amp;$B48,'Gastos com Pessoal'!$I$532:$AJ$532&amp;'Gastos com Pessoal'!$I$6:$AJ$6,0),500,1)),0)
+_xlfn.IFNA(SUM((AC$3&gt;='Gastos com Pessoal'!$E$7:$E$506)*(AC$3&lt;='Gastos com Pessoal'!$F$7:$F$506)*(IF('Gastos com Pessoal'!$S$7:$S$506&lt;=AC$3,1,0))*OFFSET('Gastos com Pessoal'!$H$6,1,MATCH(3&amp;$B48,'Gastos com Pessoal'!$I$532:$AJ$532&amp;'Gastos com Pessoal'!$I$6:$AJ$6,0),500,1)),0)
+_xlfn.IFNA(SUM((AC$3&gt;='Gastos com Pessoal'!$E$7:$E$506)*(AC$3&lt;='Gastos com Pessoal'!$F$7:$F$506)*(IF('Gastos com Pessoal'!$Y$7:$Y$506&lt;=AC$3,1,0))*OFFSET('Gastos com Pessoal'!$H$6,1,MATCH(4&amp;$B48,'Gastos com Pessoal'!$I$532:$AJ$532&amp;'Gastos com Pessoal'!$I$6:$AJ$6,0),500,1)),0)
+_xlfn.IFNA(SUM((AC$3&gt;='Gastos com Pessoal'!$E$7:$E$506)*(AC$3&lt;='Gastos com Pessoal'!$F$7:$F$506)*(IF('Gastos com Pessoal'!$AE$7:$AE$506&lt;=AC$3,1,0))*OFFSET('Gastos com Pessoal'!$H$6,1,MATCH(5&amp;$B48,'Gastos com Pessoal'!$I$532:$AJ$532&amp;'Gastos com Pessoal'!$I$6:$AJ$6,0),500,1)),0)
+_xlfn.IFNA(SUM((AC$3&gt;='Gastos com Pessoal'!$E$513:$E$522)*(AC$3&lt;='Gastos com Pessoal'!$F$513:$F$522)*(IF('Gastos com Pessoal'!$G$513:$G$522&lt;=AC$3,1,0))*OFFSET('Gastos com Pessoal'!$H$512,1,MATCH(1&amp;$B48,'Gastos com Pessoal'!$I$532:$AJ$532&amp;'Gastos com Pessoal'!$I$512:$AJ$512,0),10,1)),0)
+_xlfn.IFNA(SUM((AC$3&gt;='Gastos com Pessoal'!$E$513:$E$522)*(AC$3&lt;='Gastos com Pessoal'!$F$513:$F$522)*(IF('Gastos com Pessoal'!$M$513:$M$522&lt;=AC$3,1,0))*OFFSET('Gastos com Pessoal'!$H$512,1,MATCH(2&amp;$B48,'Gastos com Pessoal'!$I$532:$AJ$532&amp;'Gastos com Pessoal'!$I$512:$AJ$512,0),10,1)),0)
+_xlfn.IFNA(SUM((AC$3&gt;='Gastos com Pessoal'!$E$513:$E$522)*(AC$3&lt;='Gastos com Pessoal'!$F$513:$F$522)*(IF('Gastos com Pessoal'!$S$513:$S$522&lt;=AC$3,1,0))*OFFSET('Gastos com Pessoal'!$H$512,1,MATCH(3&amp;$B48,'Gastos com Pessoal'!$I$532:$AJ$532&amp;'Gastos com Pessoal'!$I$512:$AJ$512,0),10,1)),0)
+_xlfn.IFNA(SUM((AC$3&gt;='Gastos com Pessoal'!$E$513:$E$522)*(AC$3&lt;='Gastos com Pessoal'!$F$513:$F$522)*(IF('Gastos com Pessoal'!$Y$513:$Y$522&lt;=AC$3,1,0))*OFFSET('Gastos com Pessoal'!$H$512,1,MATCH(4&amp;$B48,'Gastos com Pessoal'!$I$532:$AJ$532&amp;'Gastos com Pessoal'!$I$512:$AJ$512,0),10,1)),0)
+_xlfn.IFNA(SUM((AC$3&gt;='Gastos com Pessoal'!$E$513:$E$522)*(AC$3&lt;='Gastos com Pessoal'!$F$513:$F$522)*(IF('Gastos com Pessoal'!$AE$513:$AE$522&lt;=AC$3,1,0))*OFFSET('Gastos com Pessoal'!$H$512,1,MATCH(5&amp;$B48,'Gastos com Pessoal'!$I$532:$AJ$532&amp;'Gastos com Pessoal'!$I$512:$AJ$512,0),10,1)),0)</f>
        <v>232591.19903957623</v>
      </c>
      <c r="AD48" s="32">
        <f t="array" aca="1" ref="AD48" ca="1">_xlfn.IFNA(SUM((AD$3&gt;='Gastos com Pessoal'!$E$7:$E$506)*(AD$3&lt;='Gastos com Pessoal'!$F$7:$F$506)*OFFSET('Encargos e Benefícios'!$D$5,1,MATCH($B48,'Encargos e Benefícios'!$E$5:$AB$5,0),500,1)),0)
+_xlfn.IFNA(SUM((AD$3&gt;='Gastos com Pessoal'!$E$513:$E$522)*(AD$3&lt;='Gastos com Pessoal'!$F$513:$F$522)*OFFSET('Encargos e Benefícios'!$D$511,1,MATCH($B48,'Encargos e Benefícios'!$E$511:$AB$511,0),10,1)),0)
+_xlfn.IFNA(SUM((AD$3&gt;='Gastos com Pessoal'!$E$7:$E$506)*(AD$3&lt;='Gastos com Pessoal'!$F$7:$F$506)*(IF('Gastos com Pessoal'!$G$7:$G$506&lt;=AD$3,1,0))*OFFSET('Gastos com Pessoal'!$H$6,1,MATCH(1&amp;$B48,'Gastos com Pessoal'!$I$532:$AJ$532&amp;'Gastos com Pessoal'!$I$6:$AJ$6,0),500,1)),0)
+_xlfn.IFNA(SUM((AD$3&gt;='Gastos com Pessoal'!$E$7:$E$506)*(AD$3&lt;='Gastos com Pessoal'!$F$7:$F$506)*(IF('Gastos com Pessoal'!$M$7:$M$506&lt;=AD$3,1,0))*OFFSET('Gastos com Pessoal'!$H$6,1,MATCH(2&amp;$B48,'Gastos com Pessoal'!$I$532:$AJ$532&amp;'Gastos com Pessoal'!$I$6:$AJ$6,0),500,1)),0)
+_xlfn.IFNA(SUM((AD$3&gt;='Gastos com Pessoal'!$E$7:$E$506)*(AD$3&lt;='Gastos com Pessoal'!$F$7:$F$506)*(IF('Gastos com Pessoal'!$S$7:$S$506&lt;=AD$3,1,0))*OFFSET('Gastos com Pessoal'!$H$6,1,MATCH(3&amp;$B48,'Gastos com Pessoal'!$I$532:$AJ$532&amp;'Gastos com Pessoal'!$I$6:$AJ$6,0),500,1)),0)
+_xlfn.IFNA(SUM((AD$3&gt;='Gastos com Pessoal'!$E$7:$E$506)*(AD$3&lt;='Gastos com Pessoal'!$F$7:$F$506)*(IF('Gastos com Pessoal'!$Y$7:$Y$506&lt;=AD$3,1,0))*OFFSET('Gastos com Pessoal'!$H$6,1,MATCH(4&amp;$B48,'Gastos com Pessoal'!$I$532:$AJ$532&amp;'Gastos com Pessoal'!$I$6:$AJ$6,0),500,1)),0)
+_xlfn.IFNA(SUM((AD$3&gt;='Gastos com Pessoal'!$E$7:$E$506)*(AD$3&lt;='Gastos com Pessoal'!$F$7:$F$506)*(IF('Gastos com Pessoal'!$AE$7:$AE$506&lt;=AD$3,1,0))*OFFSET('Gastos com Pessoal'!$H$6,1,MATCH(5&amp;$B48,'Gastos com Pessoal'!$I$532:$AJ$532&amp;'Gastos com Pessoal'!$I$6:$AJ$6,0),500,1)),0)
+_xlfn.IFNA(SUM((AD$3&gt;='Gastos com Pessoal'!$E$513:$E$522)*(AD$3&lt;='Gastos com Pessoal'!$F$513:$F$522)*(IF('Gastos com Pessoal'!$G$513:$G$522&lt;=AD$3,1,0))*OFFSET('Gastos com Pessoal'!$H$512,1,MATCH(1&amp;$B48,'Gastos com Pessoal'!$I$532:$AJ$532&amp;'Gastos com Pessoal'!$I$512:$AJ$512,0),10,1)),0)
+_xlfn.IFNA(SUM((AD$3&gt;='Gastos com Pessoal'!$E$513:$E$522)*(AD$3&lt;='Gastos com Pessoal'!$F$513:$F$522)*(IF('Gastos com Pessoal'!$M$513:$M$522&lt;=AD$3,1,0))*OFFSET('Gastos com Pessoal'!$H$512,1,MATCH(2&amp;$B48,'Gastos com Pessoal'!$I$532:$AJ$532&amp;'Gastos com Pessoal'!$I$512:$AJ$512,0),10,1)),0)
+_xlfn.IFNA(SUM((AD$3&gt;='Gastos com Pessoal'!$E$513:$E$522)*(AD$3&lt;='Gastos com Pessoal'!$F$513:$F$522)*(IF('Gastos com Pessoal'!$S$513:$S$522&lt;=AD$3,1,0))*OFFSET('Gastos com Pessoal'!$H$512,1,MATCH(3&amp;$B48,'Gastos com Pessoal'!$I$532:$AJ$532&amp;'Gastos com Pessoal'!$I$512:$AJ$512,0),10,1)),0)
+_xlfn.IFNA(SUM((AD$3&gt;='Gastos com Pessoal'!$E$513:$E$522)*(AD$3&lt;='Gastos com Pessoal'!$F$513:$F$522)*(IF('Gastos com Pessoal'!$Y$513:$Y$522&lt;=AD$3,1,0))*OFFSET('Gastos com Pessoal'!$H$512,1,MATCH(4&amp;$B48,'Gastos com Pessoal'!$I$532:$AJ$532&amp;'Gastos com Pessoal'!$I$512:$AJ$512,0),10,1)),0)
+_xlfn.IFNA(SUM((AD$3&gt;='Gastos com Pessoal'!$E$513:$E$522)*(AD$3&lt;='Gastos com Pessoal'!$F$513:$F$522)*(IF('Gastos com Pessoal'!$AE$513:$AE$522&lt;=AD$3,1,0))*OFFSET('Gastos com Pessoal'!$H$512,1,MATCH(5&amp;$B48,'Gastos com Pessoal'!$I$532:$AJ$532&amp;'Gastos com Pessoal'!$I$512:$AJ$512,0),10,1)),0)</f>
        <v>232591.19903957623</v>
      </c>
      <c r="AE48" s="32">
        <f t="array" aca="1" ref="AE48" ca="1">_xlfn.IFNA(SUM((AE$3&gt;='Gastos com Pessoal'!$E$7:$E$506)*(AE$3&lt;='Gastos com Pessoal'!$F$7:$F$506)*OFFSET('Encargos e Benefícios'!$D$5,1,MATCH($B48,'Encargos e Benefícios'!$E$5:$AB$5,0),500,1)),0)
+_xlfn.IFNA(SUM((AE$3&gt;='Gastos com Pessoal'!$E$513:$E$522)*(AE$3&lt;='Gastos com Pessoal'!$F$513:$F$522)*OFFSET('Encargos e Benefícios'!$D$511,1,MATCH($B48,'Encargos e Benefícios'!$E$511:$AB$511,0),10,1)),0)
+_xlfn.IFNA(SUM((AE$3&gt;='Gastos com Pessoal'!$E$7:$E$506)*(AE$3&lt;='Gastos com Pessoal'!$F$7:$F$506)*(IF('Gastos com Pessoal'!$G$7:$G$506&lt;=AE$3,1,0))*OFFSET('Gastos com Pessoal'!$H$6,1,MATCH(1&amp;$B48,'Gastos com Pessoal'!$I$532:$AJ$532&amp;'Gastos com Pessoal'!$I$6:$AJ$6,0),500,1)),0)
+_xlfn.IFNA(SUM((AE$3&gt;='Gastos com Pessoal'!$E$7:$E$506)*(AE$3&lt;='Gastos com Pessoal'!$F$7:$F$506)*(IF('Gastos com Pessoal'!$M$7:$M$506&lt;=AE$3,1,0))*OFFSET('Gastos com Pessoal'!$H$6,1,MATCH(2&amp;$B48,'Gastos com Pessoal'!$I$532:$AJ$532&amp;'Gastos com Pessoal'!$I$6:$AJ$6,0),500,1)),0)
+_xlfn.IFNA(SUM((AE$3&gt;='Gastos com Pessoal'!$E$7:$E$506)*(AE$3&lt;='Gastos com Pessoal'!$F$7:$F$506)*(IF('Gastos com Pessoal'!$S$7:$S$506&lt;=AE$3,1,0))*OFFSET('Gastos com Pessoal'!$H$6,1,MATCH(3&amp;$B48,'Gastos com Pessoal'!$I$532:$AJ$532&amp;'Gastos com Pessoal'!$I$6:$AJ$6,0),500,1)),0)
+_xlfn.IFNA(SUM((AE$3&gt;='Gastos com Pessoal'!$E$7:$E$506)*(AE$3&lt;='Gastos com Pessoal'!$F$7:$F$506)*(IF('Gastos com Pessoal'!$Y$7:$Y$506&lt;=AE$3,1,0))*OFFSET('Gastos com Pessoal'!$H$6,1,MATCH(4&amp;$B48,'Gastos com Pessoal'!$I$532:$AJ$532&amp;'Gastos com Pessoal'!$I$6:$AJ$6,0),500,1)),0)
+_xlfn.IFNA(SUM((AE$3&gt;='Gastos com Pessoal'!$E$7:$E$506)*(AE$3&lt;='Gastos com Pessoal'!$F$7:$F$506)*(IF('Gastos com Pessoal'!$AE$7:$AE$506&lt;=AE$3,1,0))*OFFSET('Gastos com Pessoal'!$H$6,1,MATCH(5&amp;$B48,'Gastos com Pessoal'!$I$532:$AJ$532&amp;'Gastos com Pessoal'!$I$6:$AJ$6,0),500,1)),0)
+_xlfn.IFNA(SUM((AE$3&gt;='Gastos com Pessoal'!$E$513:$E$522)*(AE$3&lt;='Gastos com Pessoal'!$F$513:$F$522)*(IF('Gastos com Pessoal'!$G$513:$G$522&lt;=AE$3,1,0))*OFFSET('Gastos com Pessoal'!$H$512,1,MATCH(1&amp;$B48,'Gastos com Pessoal'!$I$532:$AJ$532&amp;'Gastos com Pessoal'!$I$512:$AJ$512,0),10,1)),0)
+_xlfn.IFNA(SUM((AE$3&gt;='Gastos com Pessoal'!$E$513:$E$522)*(AE$3&lt;='Gastos com Pessoal'!$F$513:$F$522)*(IF('Gastos com Pessoal'!$M$513:$M$522&lt;=AE$3,1,0))*OFFSET('Gastos com Pessoal'!$H$512,1,MATCH(2&amp;$B48,'Gastos com Pessoal'!$I$532:$AJ$532&amp;'Gastos com Pessoal'!$I$512:$AJ$512,0),10,1)),0)
+_xlfn.IFNA(SUM((AE$3&gt;='Gastos com Pessoal'!$E$513:$E$522)*(AE$3&lt;='Gastos com Pessoal'!$F$513:$F$522)*(IF('Gastos com Pessoal'!$S$513:$S$522&lt;=AE$3,1,0))*OFFSET('Gastos com Pessoal'!$H$512,1,MATCH(3&amp;$B48,'Gastos com Pessoal'!$I$532:$AJ$532&amp;'Gastos com Pessoal'!$I$512:$AJ$512,0),10,1)),0)
+_xlfn.IFNA(SUM((AE$3&gt;='Gastos com Pessoal'!$E$513:$E$522)*(AE$3&lt;='Gastos com Pessoal'!$F$513:$F$522)*(IF('Gastos com Pessoal'!$Y$513:$Y$522&lt;=AE$3,1,0))*OFFSET('Gastos com Pessoal'!$H$512,1,MATCH(4&amp;$B48,'Gastos com Pessoal'!$I$532:$AJ$532&amp;'Gastos com Pessoal'!$I$512:$AJ$512,0),10,1)),0)
+_xlfn.IFNA(SUM((AE$3&gt;='Gastos com Pessoal'!$E$513:$E$522)*(AE$3&lt;='Gastos com Pessoal'!$F$513:$F$522)*(IF('Gastos com Pessoal'!$AE$513:$AE$522&lt;=AE$3,1,0))*OFFSET('Gastos com Pessoal'!$H$512,1,MATCH(5&amp;$B48,'Gastos com Pessoal'!$I$532:$AJ$532&amp;'Gastos com Pessoal'!$I$512:$AJ$512,0),10,1)),0)</f>
        <v>232591.19903957623</v>
      </c>
      <c r="AF48" s="32">
        <f t="array" aca="1" ref="AF48" ca="1">_xlfn.IFNA(SUM((AF$3&gt;='Gastos com Pessoal'!$E$7:$E$506)*(AF$3&lt;='Gastos com Pessoal'!$F$7:$F$506)*OFFSET('Encargos e Benefícios'!$D$5,1,MATCH($B48,'Encargos e Benefícios'!$E$5:$AB$5,0),500,1)),0)
+_xlfn.IFNA(SUM((AF$3&gt;='Gastos com Pessoal'!$E$513:$E$522)*(AF$3&lt;='Gastos com Pessoal'!$F$513:$F$522)*OFFSET('Encargos e Benefícios'!$D$511,1,MATCH($B48,'Encargos e Benefícios'!$E$511:$AB$511,0),10,1)),0)
+_xlfn.IFNA(SUM((AF$3&gt;='Gastos com Pessoal'!$E$7:$E$506)*(AF$3&lt;='Gastos com Pessoal'!$F$7:$F$506)*(IF('Gastos com Pessoal'!$G$7:$G$506&lt;=AF$3,1,0))*OFFSET('Gastos com Pessoal'!$H$6,1,MATCH(1&amp;$B48,'Gastos com Pessoal'!$I$532:$AJ$532&amp;'Gastos com Pessoal'!$I$6:$AJ$6,0),500,1)),0)
+_xlfn.IFNA(SUM((AF$3&gt;='Gastos com Pessoal'!$E$7:$E$506)*(AF$3&lt;='Gastos com Pessoal'!$F$7:$F$506)*(IF('Gastos com Pessoal'!$M$7:$M$506&lt;=AF$3,1,0))*OFFSET('Gastos com Pessoal'!$H$6,1,MATCH(2&amp;$B48,'Gastos com Pessoal'!$I$532:$AJ$532&amp;'Gastos com Pessoal'!$I$6:$AJ$6,0),500,1)),0)
+_xlfn.IFNA(SUM((AF$3&gt;='Gastos com Pessoal'!$E$7:$E$506)*(AF$3&lt;='Gastos com Pessoal'!$F$7:$F$506)*(IF('Gastos com Pessoal'!$S$7:$S$506&lt;=AF$3,1,0))*OFFSET('Gastos com Pessoal'!$H$6,1,MATCH(3&amp;$B48,'Gastos com Pessoal'!$I$532:$AJ$532&amp;'Gastos com Pessoal'!$I$6:$AJ$6,0),500,1)),0)
+_xlfn.IFNA(SUM((AF$3&gt;='Gastos com Pessoal'!$E$7:$E$506)*(AF$3&lt;='Gastos com Pessoal'!$F$7:$F$506)*(IF('Gastos com Pessoal'!$Y$7:$Y$506&lt;=AF$3,1,0))*OFFSET('Gastos com Pessoal'!$H$6,1,MATCH(4&amp;$B48,'Gastos com Pessoal'!$I$532:$AJ$532&amp;'Gastos com Pessoal'!$I$6:$AJ$6,0),500,1)),0)
+_xlfn.IFNA(SUM((AF$3&gt;='Gastos com Pessoal'!$E$7:$E$506)*(AF$3&lt;='Gastos com Pessoal'!$F$7:$F$506)*(IF('Gastos com Pessoal'!$AE$7:$AE$506&lt;=AF$3,1,0))*OFFSET('Gastos com Pessoal'!$H$6,1,MATCH(5&amp;$B48,'Gastos com Pessoal'!$I$532:$AJ$532&amp;'Gastos com Pessoal'!$I$6:$AJ$6,0),500,1)),0)
+_xlfn.IFNA(SUM((AF$3&gt;='Gastos com Pessoal'!$E$513:$E$522)*(AF$3&lt;='Gastos com Pessoal'!$F$513:$F$522)*(IF('Gastos com Pessoal'!$G$513:$G$522&lt;=AF$3,1,0))*OFFSET('Gastos com Pessoal'!$H$512,1,MATCH(1&amp;$B48,'Gastos com Pessoal'!$I$532:$AJ$532&amp;'Gastos com Pessoal'!$I$512:$AJ$512,0),10,1)),0)
+_xlfn.IFNA(SUM((AF$3&gt;='Gastos com Pessoal'!$E$513:$E$522)*(AF$3&lt;='Gastos com Pessoal'!$F$513:$F$522)*(IF('Gastos com Pessoal'!$M$513:$M$522&lt;=AF$3,1,0))*OFFSET('Gastos com Pessoal'!$H$512,1,MATCH(2&amp;$B48,'Gastos com Pessoal'!$I$532:$AJ$532&amp;'Gastos com Pessoal'!$I$512:$AJ$512,0),10,1)),0)
+_xlfn.IFNA(SUM((AF$3&gt;='Gastos com Pessoal'!$E$513:$E$522)*(AF$3&lt;='Gastos com Pessoal'!$F$513:$F$522)*(IF('Gastos com Pessoal'!$S$513:$S$522&lt;=AF$3,1,0))*OFFSET('Gastos com Pessoal'!$H$512,1,MATCH(3&amp;$B48,'Gastos com Pessoal'!$I$532:$AJ$532&amp;'Gastos com Pessoal'!$I$512:$AJ$512,0),10,1)),0)
+_xlfn.IFNA(SUM((AF$3&gt;='Gastos com Pessoal'!$E$513:$E$522)*(AF$3&lt;='Gastos com Pessoal'!$F$513:$F$522)*(IF('Gastos com Pessoal'!$Y$513:$Y$522&lt;=AF$3,1,0))*OFFSET('Gastos com Pessoal'!$H$512,1,MATCH(4&amp;$B48,'Gastos com Pessoal'!$I$532:$AJ$532&amp;'Gastos com Pessoal'!$I$512:$AJ$512,0),10,1)),0)
+_xlfn.IFNA(SUM((AF$3&gt;='Gastos com Pessoal'!$E$513:$E$522)*(AF$3&lt;='Gastos com Pessoal'!$F$513:$F$522)*(IF('Gastos com Pessoal'!$AE$513:$AE$522&lt;=AF$3,1,0))*OFFSET('Gastos com Pessoal'!$H$512,1,MATCH(5&amp;$B48,'Gastos com Pessoal'!$I$532:$AJ$532&amp;'Gastos com Pessoal'!$I$512:$AJ$512,0),10,1)),0)</f>
        <v>232591.19903957623</v>
      </c>
      <c r="AG48" s="32">
        <f t="array" aca="1" ref="AG48" ca="1">_xlfn.IFNA(SUM((AG$3&gt;='Gastos com Pessoal'!$E$7:$E$506)*(AG$3&lt;='Gastos com Pessoal'!$F$7:$F$506)*OFFSET('Encargos e Benefícios'!$D$5,1,MATCH($B48,'Encargos e Benefícios'!$E$5:$AB$5,0),500,1)),0)
+_xlfn.IFNA(SUM((AG$3&gt;='Gastos com Pessoal'!$E$513:$E$522)*(AG$3&lt;='Gastos com Pessoal'!$F$513:$F$522)*OFFSET('Encargos e Benefícios'!$D$511,1,MATCH($B48,'Encargos e Benefícios'!$E$511:$AB$511,0),10,1)),0)
+_xlfn.IFNA(SUM((AG$3&gt;='Gastos com Pessoal'!$E$7:$E$506)*(AG$3&lt;='Gastos com Pessoal'!$F$7:$F$506)*(IF('Gastos com Pessoal'!$G$7:$G$506&lt;=AG$3,1,0))*OFFSET('Gastos com Pessoal'!$H$6,1,MATCH(1&amp;$B48,'Gastos com Pessoal'!$I$532:$AJ$532&amp;'Gastos com Pessoal'!$I$6:$AJ$6,0),500,1)),0)
+_xlfn.IFNA(SUM((AG$3&gt;='Gastos com Pessoal'!$E$7:$E$506)*(AG$3&lt;='Gastos com Pessoal'!$F$7:$F$506)*(IF('Gastos com Pessoal'!$M$7:$M$506&lt;=AG$3,1,0))*OFFSET('Gastos com Pessoal'!$H$6,1,MATCH(2&amp;$B48,'Gastos com Pessoal'!$I$532:$AJ$532&amp;'Gastos com Pessoal'!$I$6:$AJ$6,0),500,1)),0)
+_xlfn.IFNA(SUM((AG$3&gt;='Gastos com Pessoal'!$E$7:$E$506)*(AG$3&lt;='Gastos com Pessoal'!$F$7:$F$506)*(IF('Gastos com Pessoal'!$S$7:$S$506&lt;=AG$3,1,0))*OFFSET('Gastos com Pessoal'!$H$6,1,MATCH(3&amp;$B48,'Gastos com Pessoal'!$I$532:$AJ$532&amp;'Gastos com Pessoal'!$I$6:$AJ$6,0),500,1)),0)
+_xlfn.IFNA(SUM((AG$3&gt;='Gastos com Pessoal'!$E$7:$E$506)*(AG$3&lt;='Gastos com Pessoal'!$F$7:$F$506)*(IF('Gastos com Pessoal'!$Y$7:$Y$506&lt;=AG$3,1,0))*OFFSET('Gastos com Pessoal'!$H$6,1,MATCH(4&amp;$B48,'Gastos com Pessoal'!$I$532:$AJ$532&amp;'Gastos com Pessoal'!$I$6:$AJ$6,0),500,1)),0)
+_xlfn.IFNA(SUM((AG$3&gt;='Gastos com Pessoal'!$E$7:$E$506)*(AG$3&lt;='Gastos com Pessoal'!$F$7:$F$506)*(IF('Gastos com Pessoal'!$AE$7:$AE$506&lt;=AG$3,1,0))*OFFSET('Gastos com Pessoal'!$H$6,1,MATCH(5&amp;$B48,'Gastos com Pessoal'!$I$532:$AJ$532&amp;'Gastos com Pessoal'!$I$6:$AJ$6,0),500,1)),0)
+_xlfn.IFNA(SUM((AG$3&gt;='Gastos com Pessoal'!$E$513:$E$522)*(AG$3&lt;='Gastos com Pessoal'!$F$513:$F$522)*(IF('Gastos com Pessoal'!$G$513:$G$522&lt;=AG$3,1,0))*OFFSET('Gastos com Pessoal'!$H$512,1,MATCH(1&amp;$B48,'Gastos com Pessoal'!$I$532:$AJ$532&amp;'Gastos com Pessoal'!$I$512:$AJ$512,0),10,1)),0)
+_xlfn.IFNA(SUM((AG$3&gt;='Gastos com Pessoal'!$E$513:$E$522)*(AG$3&lt;='Gastos com Pessoal'!$F$513:$F$522)*(IF('Gastos com Pessoal'!$M$513:$M$522&lt;=AG$3,1,0))*OFFSET('Gastos com Pessoal'!$H$512,1,MATCH(2&amp;$B48,'Gastos com Pessoal'!$I$532:$AJ$532&amp;'Gastos com Pessoal'!$I$512:$AJ$512,0),10,1)),0)
+_xlfn.IFNA(SUM((AG$3&gt;='Gastos com Pessoal'!$E$513:$E$522)*(AG$3&lt;='Gastos com Pessoal'!$F$513:$F$522)*(IF('Gastos com Pessoal'!$S$513:$S$522&lt;=AG$3,1,0))*OFFSET('Gastos com Pessoal'!$H$512,1,MATCH(3&amp;$B48,'Gastos com Pessoal'!$I$532:$AJ$532&amp;'Gastos com Pessoal'!$I$512:$AJ$512,0),10,1)),0)
+_xlfn.IFNA(SUM((AG$3&gt;='Gastos com Pessoal'!$E$513:$E$522)*(AG$3&lt;='Gastos com Pessoal'!$F$513:$F$522)*(IF('Gastos com Pessoal'!$Y$513:$Y$522&lt;=AG$3,1,0))*OFFSET('Gastos com Pessoal'!$H$512,1,MATCH(4&amp;$B48,'Gastos com Pessoal'!$I$532:$AJ$532&amp;'Gastos com Pessoal'!$I$512:$AJ$512,0),10,1)),0)
+_xlfn.IFNA(SUM((AG$3&gt;='Gastos com Pessoal'!$E$513:$E$522)*(AG$3&lt;='Gastos com Pessoal'!$F$513:$F$522)*(IF('Gastos com Pessoal'!$AE$513:$AE$522&lt;=AG$3,1,0))*OFFSET('Gastos com Pessoal'!$H$512,1,MATCH(5&amp;$B48,'Gastos com Pessoal'!$I$532:$AJ$532&amp;'Gastos com Pessoal'!$I$512:$AJ$512,0),10,1)),0)</f>
        <v>232591.19903957623</v>
      </c>
      <c r="AH48" s="32">
        <f t="array" aca="1" ref="AH48" ca="1">_xlfn.IFNA(SUM((AH$3&gt;='Gastos com Pessoal'!$E$7:$E$506)*(AH$3&lt;='Gastos com Pessoal'!$F$7:$F$506)*OFFSET('Encargos e Benefícios'!$D$5,1,MATCH($B48,'Encargos e Benefícios'!$E$5:$AB$5,0),500,1)),0)
+_xlfn.IFNA(SUM((AH$3&gt;='Gastos com Pessoal'!$E$513:$E$522)*(AH$3&lt;='Gastos com Pessoal'!$F$513:$F$522)*OFFSET('Encargos e Benefícios'!$D$511,1,MATCH($B48,'Encargos e Benefícios'!$E$511:$AB$511,0),10,1)),0)
+_xlfn.IFNA(SUM((AH$3&gt;='Gastos com Pessoal'!$E$7:$E$506)*(AH$3&lt;='Gastos com Pessoal'!$F$7:$F$506)*(IF('Gastos com Pessoal'!$G$7:$G$506&lt;=AH$3,1,0))*OFFSET('Gastos com Pessoal'!$H$6,1,MATCH(1&amp;$B48,'Gastos com Pessoal'!$I$532:$AJ$532&amp;'Gastos com Pessoal'!$I$6:$AJ$6,0),500,1)),0)
+_xlfn.IFNA(SUM((AH$3&gt;='Gastos com Pessoal'!$E$7:$E$506)*(AH$3&lt;='Gastos com Pessoal'!$F$7:$F$506)*(IF('Gastos com Pessoal'!$M$7:$M$506&lt;=AH$3,1,0))*OFFSET('Gastos com Pessoal'!$H$6,1,MATCH(2&amp;$B48,'Gastos com Pessoal'!$I$532:$AJ$532&amp;'Gastos com Pessoal'!$I$6:$AJ$6,0),500,1)),0)
+_xlfn.IFNA(SUM((AH$3&gt;='Gastos com Pessoal'!$E$7:$E$506)*(AH$3&lt;='Gastos com Pessoal'!$F$7:$F$506)*(IF('Gastos com Pessoal'!$S$7:$S$506&lt;=AH$3,1,0))*OFFSET('Gastos com Pessoal'!$H$6,1,MATCH(3&amp;$B48,'Gastos com Pessoal'!$I$532:$AJ$532&amp;'Gastos com Pessoal'!$I$6:$AJ$6,0),500,1)),0)
+_xlfn.IFNA(SUM((AH$3&gt;='Gastos com Pessoal'!$E$7:$E$506)*(AH$3&lt;='Gastos com Pessoal'!$F$7:$F$506)*(IF('Gastos com Pessoal'!$Y$7:$Y$506&lt;=AH$3,1,0))*OFFSET('Gastos com Pessoal'!$H$6,1,MATCH(4&amp;$B48,'Gastos com Pessoal'!$I$532:$AJ$532&amp;'Gastos com Pessoal'!$I$6:$AJ$6,0),500,1)),0)
+_xlfn.IFNA(SUM((AH$3&gt;='Gastos com Pessoal'!$E$7:$E$506)*(AH$3&lt;='Gastos com Pessoal'!$F$7:$F$506)*(IF('Gastos com Pessoal'!$AE$7:$AE$506&lt;=AH$3,1,0))*OFFSET('Gastos com Pessoal'!$H$6,1,MATCH(5&amp;$B48,'Gastos com Pessoal'!$I$532:$AJ$532&amp;'Gastos com Pessoal'!$I$6:$AJ$6,0),500,1)),0)
+_xlfn.IFNA(SUM((AH$3&gt;='Gastos com Pessoal'!$E$513:$E$522)*(AH$3&lt;='Gastos com Pessoal'!$F$513:$F$522)*(IF('Gastos com Pessoal'!$G$513:$G$522&lt;=AH$3,1,0))*OFFSET('Gastos com Pessoal'!$H$512,1,MATCH(1&amp;$B48,'Gastos com Pessoal'!$I$532:$AJ$532&amp;'Gastos com Pessoal'!$I$512:$AJ$512,0),10,1)),0)
+_xlfn.IFNA(SUM((AH$3&gt;='Gastos com Pessoal'!$E$513:$E$522)*(AH$3&lt;='Gastos com Pessoal'!$F$513:$F$522)*(IF('Gastos com Pessoal'!$M$513:$M$522&lt;=AH$3,1,0))*OFFSET('Gastos com Pessoal'!$H$512,1,MATCH(2&amp;$B48,'Gastos com Pessoal'!$I$532:$AJ$532&amp;'Gastos com Pessoal'!$I$512:$AJ$512,0),10,1)),0)
+_xlfn.IFNA(SUM((AH$3&gt;='Gastos com Pessoal'!$E$513:$E$522)*(AH$3&lt;='Gastos com Pessoal'!$F$513:$F$522)*(IF('Gastos com Pessoal'!$S$513:$S$522&lt;=AH$3,1,0))*OFFSET('Gastos com Pessoal'!$H$512,1,MATCH(3&amp;$B48,'Gastos com Pessoal'!$I$532:$AJ$532&amp;'Gastos com Pessoal'!$I$512:$AJ$512,0),10,1)),0)
+_xlfn.IFNA(SUM((AH$3&gt;='Gastos com Pessoal'!$E$513:$E$522)*(AH$3&lt;='Gastos com Pessoal'!$F$513:$F$522)*(IF('Gastos com Pessoal'!$Y$513:$Y$522&lt;=AH$3,1,0))*OFFSET('Gastos com Pessoal'!$H$512,1,MATCH(4&amp;$B48,'Gastos com Pessoal'!$I$532:$AJ$532&amp;'Gastos com Pessoal'!$I$512:$AJ$512,0),10,1)),0)
+_xlfn.IFNA(SUM((AH$3&gt;='Gastos com Pessoal'!$E$513:$E$522)*(AH$3&lt;='Gastos com Pessoal'!$F$513:$F$522)*(IF('Gastos com Pessoal'!$AE$513:$AE$522&lt;=AH$3,1,0))*OFFSET('Gastos com Pessoal'!$H$512,1,MATCH(5&amp;$B48,'Gastos com Pessoal'!$I$532:$AJ$532&amp;'Gastos com Pessoal'!$I$512:$AJ$512,0),10,1)),0)</f>
        <v>232591.19903957623</v>
      </c>
      <c r="AI48" s="32">
        <f t="array" aca="1" ref="AI48" ca="1">_xlfn.IFNA(SUM((AI$3&gt;='Gastos com Pessoal'!$E$7:$E$506)*(AI$3&lt;='Gastos com Pessoal'!$F$7:$F$506)*OFFSET('Encargos e Benefícios'!$D$5,1,MATCH($B48,'Encargos e Benefícios'!$E$5:$AB$5,0),500,1)),0)
+_xlfn.IFNA(SUM((AI$3&gt;='Gastos com Pessoal'!$E$513:$E$522)*(AI$3&lt;='Gastos com Pessoal'!$F$513:$F$522)*OFFSET('Encargos e Benefícios'!$D$511,1,MATCH($B48,'Encargos e Benefícios'!$E$511:$AB$511,0),10,1)),0)
+_xlfn.IFNA(SUM((AI$3&gt;='Gastos com Pessoal'!$E$7:$E$506)*(AI$3&lt;='Gastos com Pessoal'!$F$7:$F$506)*(IF('Gastos com Pessoal'!$G$7:$G$506&lt;=AI$3,1,0))*OFFSET('Gastos com Pessoal'!$H$6,1,MATCH(1&amp;$B48,'Gastos com Pessoal'!$I$532:$AJ$532&amp;'Gastos com Pessoal'!$I$6:$AJ$6,0),500,1)),0)
+_xlfn.IFNA(SUM((AI$3&gt;='Gastos com Pessoal'!$E$7:$E$506)*(AI$3&lt;='Gastos com Pessoal'!$F$7:$F$506)*(IF('Gastos com Pessoal'!$M$7:$M$506&lt;=AI$3,1,0))*OFFSET('Gastos com Pessoal'!$H$6,1,MATCH(2&amp;$B48,'Gastos com Pessoal'!$I$532:$AJ$532&amp;'Gastos com Pessoal'!$I$6:$AJ$6,0),500,1)),0)
+_xlfn.IFNA(SUM((AI$3&gt;='Gastos com Pessoal'!$E$7:$E$506)*(AI$3&lt;='Gastos com Pessoal'!$F$7:$F$506)*(IF('Gastos com Pessoal'!$S$7:$S$506&lt;=AI$3,1,0))*OFFSET('Gastos com Pessoal'!$H$6,1,MATCH(3&amp;$B48,'Gastos com Pessoal'!$I$532:$AJ$532&amp;'Gastos com Pessoal'!$I$6:$AJ$6,0),500,1)),0)
+_xlfn.IFNA(SUM((AI$3&gt;='Gastos com Pessoal'!$E$7:$E$506)*(AI$3&lt;='Gastos com Pessoal'!$F$7:$F$506)*(IF('Gastos com Pessoal'!$Y$7:$Y$506&lt;=AI$3,1,0))*OFFSET('Gastos com Pessoal'!$H$6,1,MATCH(4&amp;$B48,'Gastos com Pessoal'!$I$532:$AJ$532&amp;'Gastos com Pessoal'!$I$6:$AJ$6,0),500,1)),0)
+_xlfn.IFNA(SUM((AI$3&gt;='Gastos com Pessoal'!$E$7:$E$506)*(AI$3&lt;='Gastos com Pessoal'!$F$7:$F$506)*(IF('Gastos com Pessoal'!$AE$7:$AE$506&lt;=AI$3,1,0))*OFFSET('Gastos com Pessoal'!$H$6,1,MATCH(5&amp;$B48,'Gastos com Pessoal'!$I$532:$AJ$532&amp;'Gastos com Pessoal'!$I$6:$AJ$6,0),500,1)),0)
+_xlfn.IFNA(SUM((AI$3&gt;='Gastos com Pessoal'!$E$513:$E$522)*(AI$3&lt;='Gastos com Pessoal'!$F$513:$F$522)*(IF('Gastos com Pessoal'!$G$513:$G$522&lt;=AI$3,1,0))*OFFSET('Gastos com Pessoal'!$H$512,1,MATCH(1&amp;$B48,'Gastos com Pessoal'!$I$532:$AJ$532&amp;'Gastos com Pessoal'!$I$512:$AJ$512,0),10,1)),0)
+_xlfn.IFNA(SUM((AI$3&gt;='Gastos com Pessoal'!$E$513:$E$522)*(AI$3&lt;='Gastos com Pessoal'!$F$513:$F$522)*(IF('Gastos com Pessoal'!$M$513:$M$522&lt;=AI$3,1,0))*OFFSET('Gastos com Pessoal'!$H$512,1,MATCH(2&amp;$B48,'Gastos com Pessoal'!$I$532:$AJ$532&amp;'Gastos com Pessoal'!$I$512:$AJ$512,0),10,1)),0)
+_xlfn.IFNA(SUM((AI$3&gt;='Gastos com Pessoal'!$E$513:$E$522)*(AI$3&lt;='Gastos com Pessoal'!$F$513:$F$522)*(IF('Gastos com Pessoal'!$S$513:$S$522&lt;=AI$3,1,0))*OFFSET('Gastos com Pessoal'!$H$512,1,MATCH(3&amp;$B48,'Gastos com Pessoal'!$I$532:$AJ$532&amp;'Gastos com Pessoal'!$I$512:$AJ$512,0),10,1)),0)
+_xlfn.IFNA(SUM((AI$3&gt;='Gastos com Pessoal'!$E$513:$E$522)*(AI$3&lt;='Gastos com Pessoal'!$F$513:$F$522)*(IF('Gastos com Pessoal'!$Y$513:$Y$522&lt;=AI$3,1,0))*OFFSET('Gastos com Pessoal'!$H$512,1,MATCH(4&amp;$B48,'Gastos com Pessoal'!$I$532:$AJ$532&amp;'Gastos com Pessoal'!$I$512:$AJ$512,0),10,1)),0)
+_xlfn.IFNA(SUM((AI$3&gt;='Gastos com Pessoal'!$E$513:$E$522)*(AI$3&lt;='Gastos com Pessoal'!$F$513:$F$522)*(IF('Gastos com Pessoal'!$AE$513:$AE$522&lt;=AI$3,1,0))*OFFSET('Gastos com Pessoal'!$H$512,1,MATCH(5&amp;$B48,'Gastos com Pessoal'!$I$532:$AJ$532&amp;'Gastos com Pessoal'!$I$512:$AJ$512,0),10,1)),0)</f>
        <v>232591.19903957623</v>
      </c>
      <c r="AJ48" s="32">
        <f t="array" aca="1" ref="AJ48" ca="1">_xlfn.IFNA(SUM((AJ$3&gt;='Gastos com Pessoal'!$E$7:$E$506)*(AJ$3&lt;='Gastos com Pessoal'!$F$7:$F$506)*OFFSET('Encargos e Benefícios'!$D$5,1,MATCH($B48,'Encargos e Benefícios'!$E$5:$AB$5,0),500,1)),0)
+_xlfn.IFNA(SUM((AJ$3&gt;='Gastos com Pessoal'!$E$513:$E$522)*(AJ$3&lt;='Gastos com Pessoal'!$F$513:$F$522)*OFFSET('Encargos e Benefícios'!$D$511,1,MATCH($B48,'Encargos e Benefícios'!$E$511:$AB$511,0),10,1)),0)
+_xlfn.IFNA(SUM((AJ$3&gt;='Gastos com Pessoal'!$E$7:$E$506)*(AJ$3&lt;='Gastos com Pessoal'!$F$7:$F$506)*(IF('Gastos com Pessoal'!$G$7:$G$506&lt;=AJ$3,1,0))*OFFSET('Gastos com Pessoal'!$H$6,1,MATCH(1&amp;$B48,'Gastos com Pessoal'!$I$532:$AJ$532&amp;'Gastos com Pessoal'!$I$6:$AJ$6,0),500,1)),0)
+_xlfn.IFNA(SUM((AJ$3&gt;='Gastos com Pessoal'!$E$7:$E$506)*(AJ$3&lt;='Gastos com Pessoal'!$F$7:$F$506)*(IF('Gastos com Pessoal'!$M$7:$M$506&lt;=AJ$3,1,0))*OFFSET('Gastos com Pessoal'!$H$6,1,MATCH(2&amp;$B48,'Gastos com Pessoal'!$I$532:$AJ$532&amp;'Gastos com Pessoal'!$I$6:$AJ$6,0),500,1)),0)
+_xlfn.IFNA(SUM((AJ$3&gt;='Gastos com Pessoal'!$E$7:$E$506)*(AJ$3&lt;='Gastos com Pessoal'!$F$7:$F$506)*(IF('Gastos com Pessoal'!$S$7:$S$506&lt;=AJ$3,1,0))*OFFSET('Gastos com Pessoal'!$H$6,1,MATCH(3&amp;$B48,'Gastos com Pessoal'!$I$532:$AJ$532&amp;'Gastos com Pessoal'!$I$6:$AJ$6,0),500,1)),0)
+_xlfn.IFNA(SUM((AJ$3&gt;='Gastos com Pessoal'!$E$7:$E$506)*(AJ$3&lt;='Gastos com Pessoal'!$F$7:$F$506)*(IF('Gastos com Pessoal'!$Y$7:$Y$506&lt;=AJ$3,1,0))*OFFSET('Gastos com Pessoal'!$H$6,1,MATCH(4&amp;$B48,'Gastos com Pessoal'!$I$532:$AJ$532&amp;'Gastos com Pessoal'!$I$6:$AJ$6,0),500,1)),0)
+_xlfn.IFNA(SUM((AJ$3&gt;='Gastos com Pessoal'!$E$7:$E$506)*(AJ$3&lt;='Gastos com Pessoal'!$F$7:$F$506)*(IF('Gastos com Pessoal'!$AE$7:$AE$506&lt;=AJ$3,1,0))*OFFSET('Gastos com Pessoal'!$H$6,1,MATCH(5&amp;$B48,'Gastos com Pessoal'!$I$532:$AJ$532&amp;'Gastos com Pessoal'!$I$6:$AJ$6,0),500,1)),0)
+_xlfn.IFNA(SUM((AJ$3&gt;='Gastos com Pessoal'!$E$513:$E$522)*(AJ$3&lt;='Gastos com Pessoal'!$F$513:$F$522)*(IF('Gastos com Pessoal'!$G$513:$G$522&lt;=AJ$3,1,0))*OFFSET('Gastos com Pessoal'!$H$512,1,MATCH(1&amp;$B48,'Gastos com Pessoal'!$I$532:$AJ$532&amp;'Gastos com Pessoal'!$I$512:$AJ$512,0),10,1)),0)
+_xlfn.IFNA(SUM((AJ$3&gt;='Gastos com Pessoal'!$E$513:$E$522)*(AJ$3&lt;='Gastos com Pessoal'!$F$513:$F$522)*(IF('Gastos com Pessoal'!$M$513:$M$522&lt;=AJ$3,1,0))*OFFSET('Gastos com Pessoal'!$H$512,1,MATCH(2&amp;$B48,'Gastos com Pessoal'!$I$532:$AJ$532&amp;'Gastos com Pessoal'!$I$512:$AJ$512,0),10,1)),0)
+_xlfn.IFNA(SUM((AJ$3&gt;='Gastos com Pessoal'!$E$513:$E$522)*(AJ$3&lt;='Gastos com Pessoal'!$F$513:$F$522)*(IF('Gastos com Pessoal'!$S$513:$S$522&lt;=AJ$3,1,0))*OFFSET('Gastos com Pessoal'!$H$512,1,MATCH(3&amp;$B48,'Gastos com Pessoal'!$I$532:$AJ$532&amp;'Gastos com Pessoal'!$I$512:$AJ$512,0),10,1)),0)
+_xlfn.IFNA(SUM((AJ$3&gt;='Gastos com Pessoal'!$E$513:$E$522)*(AJ$3&lt;='Gastos com Pessoal'!$F$513:$F$522)*(IF('Gastos com Pessoal'!$Y$513:$Y$522&lt;=AJ$3,1,0))*OFFSET('Gastos com Pessoal'!$H$512,1,MATCH(4&amp;$B48,'Gastos com Pessoal'!$I$532:$AJ$532&amp;'Gastos com Pessoal'!$I$512:$AJ$512,0),10,1)),0)
+_xlfn.IFNA(SUM((AJ$3&gt;='Gastos com Pessoal'!$E$513:$E$522)*(AJ$3&lt;='Gastos com Pessoal'!$F$513:$F$522)*(IF('Gastos com Pessoal'!$AE$513:$AE$522&lt;=AJ$3,1,0))*OFFSET('Gastos com Pessoal'!$H$512,1,MATCH(5&amp;$B48,'Gastos com Pessoal'!$I$532:$AJ$532&amp;'Gastos com Pessoal'!$I$512:$AJ$512,0),10,1)),0)</f>
        <v>232591.19903957623</v>
      </c>
      <c r="AK48" s="32">
        <f t="array" aca="1" ref="AK48" ca="1">_xlfn.IFNA(SUM((AK$3&gt;='Gastos com Pessoal'!$E$7:$E$506)*(AK$3&lt;='Gastos com Pessoal'!$F$7:$F$506)*OFFSET('Encargos e Benefícios'!$D$5,1,MATCH($B48,'Encargos e Benefícios'!$E$5:$AB$5,0),500,1)),0)
+_xlfn.IFNA(SUM((AK$3&gt;='Gastos com Pessoal'!$E$513:$E$522)*(AK$3&lt;='Gastos com Pessoal'!$F$513:$F$522)*OFFSET('Encargos e Benefícios'!$D$511,1,MATCH($B48,'Encargos e Benefícios'!$E$511:$AB$511,0),10,1)),0)
+_xlfn.IFNA(SUM((AK$3&gt;='Gastos com Pessoal'!$E$7:$E$506)*(AK$3&lt;='Gastos com Pessoal'!$F$7:$F$506)*(IF('Gastos com Pessoal'!$G$7:$G$506&lt;=AK$3,1,0))*OFFSET('Gastos com Pessoal'!$H$6,1,MATCH(1&amp;$B48,'Gastos com Pessoal'!$I$532:$AJ$532&amp;'Gastos com Pessoal'!$I$6:$AJ$6,0),500,1)),0)
+_xlfn.IFNA(SUM((AK$3&gt;='Gastos com Pessoal'!$E$7:$E$506)*(AK$3&lt;='Gastos com Pessoal'!$F$7:$F$506)*(IF('Gastos com Pessoal'!$M$7:$M$506&lt;=AK$3,1,0))*OFFSET('Gastos com Pessoal'!$H$6,1,MATCH(2&amp;$B48,'Gastos com Pessoal'!$I$532:$AJ$532&amp;'Gastos com Pessoal'!$I$6:$AJ$6,0),500,1)),0)
+_xlfn.IFNA(SUM((AK$3&gt;='Gastos com Pessoal'!$E$7:$E$506)*(AK$3&lt;='Gastos com Pessoal'!$F$7:$F$506)*(IF('Gastos com Pessoal'!$S$7:$S$506&lt;=AK$3,1,0))*OFFSET('Gastos com Pessoal'!$H$6,1,MATCH(3&amp;$B48,'Gastos com Pessoal'!$I$532:$AJ$532&amp;'Gastos com Pessoal'!$I$6:$AJ$6,0),500,1)),0)
+_xlfn.IFNA(SUM((AK$3&gt;='Gastos com Pessoal'!$E$7:$E$506)*(AK$3&lt;='Gastos com Pessoal'!$F$7:$F$506)*(IF('Gastos com Pessoal'!$Y$7:$Y$506&lt;=AK$3,1,0))*OFFSET('Gastos com Pessoal'!$H$6,1,MATCH(4&amp;$B48,'Gastos com Pessoal'!$I$532:$AJ$532&amp;'Gastos com Pessoal'!$I$6:$AJ$6,0),500,1)),0)
+_xlfn.IFNA(SUM((AK$3&gt;='Gastos com Pessoal'!$E$7:$E$506)*(AK$3&lt;='Gastos com Pessoal'!$F$7:$F$506)*(IF('Gastos com Pessoal'!$AE$7:$AE$506&lt;=AK$3,1,0))*OFFSET('Gastos com Pessoal'!$H$6,1,MATCH(5&amp;$B48,'Gastos com Pessoal'!$I$532:$AJ$532&amp;'Gastos com Pessoal'!$I$6:$AJ$6,0),500,1)),0)
+_xlfn.IFNA(SUM((AK$3&gt;='Gastos com Pessoal'!$E$513:$E$522)*(AK$3&lt;='Gastos com Pessoal'!$F$513:$F$522)*(IF('Gastos com Pessoal'!$G$513:$G$522&lt;=AK$3,1,0))*OFFSET('Gastos com Pessoal'!$H$512,1,MATCH(1&amp;$B48,'Gastos com Pessoal'!$I$532:$AJ$532&amp;'Gastos com Pessoal'!$I$512:$AJ$512,0),10,1)),0)
+_xlfn.IFNA(SUM((AK$3&gt;='Gastos com Pessoal'!$E$513:$E$522)*(AK$3&lt;='Gastos com Pessoal'!$F$513:$F$522)*(IF('Gastos com Pessoal'!$M$513:$M$522&lt;=AK$3,1,0))*OFFSET('Gastos com Pessoal'!$H$512,1,MATCH(2&amp;$B48,'Gastos com Pessoal'!$I$532:$AJ$532&amp;'Gastos com Pessoal'!$I$512:$AJ$512,0),10,1)),0)
+_xlfn.IFNA(SUM((AK$3&gt;='Gastos com Pessoal'!$E$513:$E$522)*(AK$3&lt;='Gastos com Pessoal'!$F$513:$F$522)*(IF('Gastos com Pessoal'!$S$513:$S$522&lt;=AK$3,1,0))*OFFSET('Gastos com Pessoal'!$H$512,1,MATCH(3&amp;$B48,'Gastos com Pessoal'!$I$532:$AJ$532&amp;'Gastos com Pessoal'!$I$512:$AJ$512,0),10,1)),0)
+_xlfn.IFNA(SUM((AK$3&gt;='Gastos com Pessoal'!$E$513:$E$522)*(AK$3&lt;='Gastos com Pessoal'!$F$513:$F$522)*(IF('Gastos com Pessoal'!$Y$513:$Y$522&lt;=AK$3,1,0))*OFFSET('Gastos com Pessoal'!$H$512,1,MATCH(4&amp;$B48,'Gastos com Pessoal'!$I$532:$AJ$532&amp;'Gastos com Pessoal'!$I$512:$AJ$512,0),10,1)),0)
+_xlfn.IFNA(SUM((AK$3&gt;='Gastos com Pessoal'!$E$513:$E$522)*(AK$3&lt;='Gastos com Pessoal'!$F$513:$F$522)*(IF('Gastos com Pessoal'!$AE$513:$AE$522&lt;=AK$3,1,0))*OFFSET('Gastos com Pessoal'!$H$512,1,MATCH(5&amp;$B48,'Gastos com Pessoal'!$I$532:$AJ$532&amp;'Gastos com Pessoal'!$I$512:$AJ$512,0),10,1)),0)</f>
        <v>232591.19903957623</v>
      </c>
      <c r="AL48" s="32">
        <f t="array" aca="1" ref="AL48" ca="1">_xlfn.IFNA(SUM((AL$3&gt;='Gastos com Pessoal'!$E$7:$E$506)*(AL$3&lt;='Gastos com Pessoal'!$F$7:$F$506)*OFFSET('Encargos e Benefícios'!$D$5,1,MATCH($B48,'Encargos e Benefícios'!$E$5:$AB$5,0),500,1)),0)
+_xlfn.IFNA(SUM((AL$3&gt;='Gastos com Pessoal'!$E$513:$E$522)*(AL$3&lt;='Gastos com Pessoal'!$F$513:$F$522)*OFFSET('Encargos e Benefícios'!$D$511,1,MATCH($B48,'Encargos e Benefícios'!$E$511:$AB$511,0),10,1)),0)
+_xlfn.IFNA(SUM((AL$3&gt;='Gastos com Pessoal'!$E$7:$E$506)*(AL$3&lt;='Gastos com Pessoal'!$F$7:$F$506)*(IF('Gastos com Pessoal'!$G$7:$G$506&lt;=AL$3,1,0))*OFFSET('Gastos com Pessoal'!$H$6,1,MATCH(1&amp;$B48,'Gastos com Pessoal'!$I$532:$AJ$532&amp;'Gastos com Pessoal'!$I$6:$AJ$6,0),500,1)),0)
+_xlfn.IFNA(SUM((AL$3&gt;='Gastos com Pessoal'!$E$7:$E$506)*(AL$3&lt;='Gastos com Pessoal'!$F$7:$F$506)*(IF('Gastos com Pessoal'!$M$7:$M$506&lt;=AL$3,1,0))*OFFSET('Gastos com Pessoal'!$H$6,1,MATCH(2&amp;$B48,'Gastos com Pessoal'!$I$532:$AJ$532&amp;'Gastos com Pessoal'!$I$6:$AJ$6,0),500,1)),0)
+_xlfn.IFNA(SUM((AL$3&gt;='Gastos com Pessoal'!$E$7:$E$506)*(AL$3&lt;='Gastos com Pessoal'!$F$7:$F$506)*(IF('Gastos com Pessoal'!$S$7:$S$506&lt;=AL$3,1,0))*OFFSET('Gastos com Pessoal'!$H$6,1,MATCH(3&amp;$B48,'Gastos com Pessoal'!$I$532:$AJ$532&amp;'Gastos com Pessoal'!$I$6:$AJ$6,0),500,1)),0)
+_xlfn.IFNA(SUM((AL$3&gt;='Gastos com Pessoal'!$E$7:$E$506)*(AL$3&lt;='Gastos com Pessoal'!$F$7:$F$506)*(IF('Gastos com Pessoal'!$Y$7:$Y$506&lt;=AL$3,1,0))*OFFSET('Gastos com Pessoal'!$H$6,1,MATCH(4&amp;$B48,'Gastos com Pessoal'!$I$532:$AJ$532&amp;'Gastos com Pessoal'!$I$6:$AJ$6,0),500,1)),0)
+_xlfn.IFNA(SUM((AL$3&gt;='Gastos com Pessoal'!$E$7:$E$506)*(AL$3&lt;='Gastos com Pessoal'!$F$7:$F$506)*(IF('Gastos com Pessoal'!$AE$7:$AE$506&lt;=AL$3,1,0))*OFFSET('Gastos com Pessoal'!$H$6,1,MATCH(5&amp;$B48,'Gastos com Pessoal'!$I$532:$AJ$532&amp;'Gastos com Pessoal'!$I$6:$AJ$6,0),500,1)),0)
+_xlfn.IFNA(SUM((AL$3&gt;='Gastos com Pessoal'!$E$513:$E$522)*(AL$3&lt;='Gastos com Pessoal'!$F$513:$F$522)*(IF('Gastos com Pessoal'!$G$513:$G$522&lt;=AL$3,1,0))*OFFSET('Gastos com Pessoal'!$H$512,1,MATCH(1&amp;$B48,'Gastos com Pessoal'!$I$532:$AJ$532&amp;'Gastos com Pessoal'!$I$512:$AJ$512,0),10,1)),0)
+_xlfn.IFNA(SUM((AL$3&gt;='Gastos com Pessoal'!$E$513:$E$522)*(AL$3&lt;='Gastos com Pessoal'!$F$513:$F$522)*(IF('Gastos com Pessoal'!$M$513:$M$522&lt;=AL$3,1,0))*OFFSET('Gastos com Pessoal'!$H$512,1,MATCH(2&amp;$B48,'Gastos com Pessoal'!$I$532:$AJ$532&amp;'Gastos com Pessoal'!$I$512:$AJ$512,0),10,1)),0)
+_xlfn.IFNA(SUM((AL$3&gt;='Gastos com Pessoal'!$E$513:$E$522)*(AL$3&lt;='Gastos com Pessoal'!$F$513:$F$522)*(IF('Gastos com Pessoal'!$S$513:$S$522&lt;=AL$3,1,0))*OFFSET('Gastos com Pessoal'!$H$512,1,MATCH(3&amp;$B48,'Gastos com Pessoal'!$I$532:$AJ$532&amp;'Gastos com Pessoal'!$I$512:$AJ$512,0),10,1)),0)
+_xlfn.IFNA(SUM((AL$3&gt;='Gastos com Pessoal'!$E$513:$E$522)*(AL$3&lt;='Gastos com Pessoal'!$F$513:$F$522)*(IF('Gastos com Pessoal'!$Y$513:$Y$522&lt;=AL$3,1,0))*OFFSET('Gastos com Pessoal'!$H$512,1,MATCH(4&amp;$B48,'Gastos com Pessoal'!$I$532:$AJ$532&amp;'Gastos com Pessoal'!$I$512:$AJ$512,0),10,1)),0)
+_xlfn.IFNA(SUM((AL$3&gt;='Gastos com Pessoal'!$E$513:$E$522)*(AL$3&lt;='Gastos com Pessoal'!$F$513:$F$522)*(IF('Gastos com Pessoal'!$AE$513:$AE$522&lt;=AL$3,1,0))*OFFSET('Gastos com Pessoal'!$H$512,1,MATCH(5&amp;$B48,'Gastos com Pessoal'!$I$532:$AJ$532&amp;'Gastos com Pessoal'!$I$512:$AJ$512,0),10,1)),0)</f>
        <v>232591.19903957623</v>
      </c>
      <c r="AM48" s="32">
        <f t="array" aca="1" ref="AM48" ca="1">_xlfn.IFNA(SUM((AM$3&gt;='Gastos com Pessoal'!$E$7:$E$506)*(AM$3&lt;='Gastos com Pessoal'!$F$7:$F$506)*OFFSET('Encargos e Benefícios'!$D$5,1,MATCH($B48,'Encargos e Benefícios'!$E$5:$AB$5,0),500,1)),0)
+_xlfn.IFNA(SUM((AM$3&gt;='Gastos com Pessoal'!$E$513:$E$522)*(AM$3&lt;='Gastos com Pessoal'!$F$513:$F$522)*OFFSET('Encargos e Benefícios'!$D$511,1,MATCH($B48,'Encargos e Benefícios'!$E$511:$AB$511,0),10,1)),0)
+_xlfn.IFNA(SUM((AM$3&gt;='Gastos com Pessoal'!$E$7:$E$506)*(AM$3&lt;='Gastos com Pessoal'!$F$7:$F$506)*(IF('Gastos com Pessoal'!$G$7:$G$506&lt;=AM$3,1,0))*OFFSET('Gastos com Pessoal'!$H$6,1,MATCH(1&amp;$B48,'Gastos com Pessoal'!$I$532:$AJ$532&amp;'Gastos com Pessoal'!$I$6:$AJ$6,0),500,1)),0)
+_xlfn.IFNA(SUM((AM$3&gt;='Gastos com Pessoal'!$E$7:$E$506)*(AM$3&lt;='Gastos com Pessoal'!$F$7:$F$506)*(IF('Gastos com Pessoal'!$M$7:$M$506&lt;=AM$3,1,0))*OFFSET('Gastos com Pessoal'!$H$6,1,MATCH(2&amp;$B48,'Gastos com Pessoal'!$I$532:$AJ$532&amp;'Gastos com Pessoal'!$I$6:$AJ$6,0),500,1)),0)
+_xlfn.IFNA(SUM((AM$3&gt;='Gastos com Pessoal'!$E$7:$E$506)*(AM$3&lt;='Gastos com Pessoal'!$F$7:$F$506)*(IF('Gastos com Pessoal'!$S$7:$S$506&lt;=AM$3,1,0))*OFFSET('Gastos com Pessoal'!$H$6,1,MATCH(3&amp;$B48,'Gastos com Pessoal'!$I$532:$AJ$532&amp;'Gastos com Pessoal'!$I$6:$AJ$6,0),500,1)),0)
+_xlfn.IFNA(SUM((AM$3&gt;='Gastos com Pessoal'!$E$7:$E$506)*(AM$3&lt;='Gastos com Pessoal'!$F$7:$F$506)*(IF('Gastos com Pessoal'!$Y$7:$Y$506&lt;=AM$3,1,0))*OFFSET('Gastos com Pessoal'!$H$6,1,MATCH(4&amp;$B48,'Gastos com Pessoal'!$I$532:$AJ$532&amp;'Gastos com Pessoal'!$I$6:$AJ$6,0),500,1)),0)
+_xlfn.IFNA(SUM((AM$3&gt;='Gastos com Pessoal'!$E$7:$E$506)*(AM$3&lt;='Gastos com Pessoal'!$F$7:$F$506)*(IF('Gastos com Pessoal'!$AE$7:$AE$506&lt;=AM$3,1,0))*OFFSET('Gastos com Pessoal'!$H$6,1,MATCH(5&amp;$B48,'Gastos com Pessoal'!$I$532:$AJ$532&amp;'Gastos com Pessoal'!$I$6:$AJ$6,0),500,1)),0)
+_xlfn.IFNA(SUM((AM$3&gt;='Gastos com Pessoal'!$E$513:$E$522)*(AM$3&lt;='Gastos com Pessoal'!$F$513:$F$522)*(IF('Gastos com Pessoal'!$G$513:$G$522&lt;=AM$3,1,0))*OFFSET('Gastos com Pessoal'!$H$512,1,MATCH(1&amp;$B48,'Gastos com Pessoal'!$I$532:$AJ$532&amp;'Gastos com Pessoal'!$I$512:$AJ$512,0),10,1)),0)
+_xlfn.IFNA(SUM((AM$3&gt;='Gastos com Pessoal'!$E$513:$E$522)*(AM$3&lt;='Gastos com Pessoal'!$F$513:$F$522)*(IF('Gastos com Pessoal'!$M$513:$M$522&lt;=AM$3,1,0))*OFFSET('Gastos com Pessoal'!$H$512,1,MATCH(2&amp;$B48,'Gastos com Pessoal'!$I$532:$AJ$532&amp;'Gastos com Pessoal'!$I$512:$AJ$512,0),10,1)),0)
+_xlfn.IFNA(SUM((AM$3&gt;='Gastos com Pessoal'!$E$513:$E$522)*(AM$3&lt;='Gastos com Pessoal'!$F$513:$F$522)*(IF('Gastos com Pessoal'!$S$513:$S$522&lt;=AM$3,1,0))*OFFSET('Gastos com Pessoal'!$H$512,1,MATCH(3&amp;$B48,'Gastos com Pessoal'!$I$532:$AJ$532&amp;'Gastos com Pessoal'!$I$512:$AJ$512,0),10,1)),0)
+_xlfn.IFNA(SUM((AM$3&gt;='Gastos com Pessoal'!$E$513:$E$522)*(AM$3&lt;='Gastos com Pessoal'!$F$513:$F$522)*(IF('Gastos com Pessoal'!$Y$513:$Y$522&lt;=AM$3,1,0))*OFFSET('Gastos com Pessoal'!$H$512,1,MATCH(4&amp;$B48,'Gastos com Pessoal'!$I$532:$AJ$532&amp;'Gastos com Pessoal'!$I$512:$AJ$512,0),10,1)),0)
+_xlfn.IFNA(SUM((AM$3&gt;='Gastos com Pessoal'!$E$513:$E$522)*(AM$3&lt;='Gastos com Pessoal'!$F$513:$F$522)*(IF('Gastos com Pessoal'!$AE$513:$AE$522&lt;=AM$3,1,0))*OFFSET('Gastos com Pessoal'!$H$512,1,MATCH(5&amp;$B48,'Gastos com Pessoal'!$I$532:$AJ$532&amp;'Gastos com Pessoal'!$I$512:$AJ$512,0),10,1)),0)</f>
        <v>0</v>
      </c>
      <c r="AN48" s="32">
        <f t="array" aca="1" ref="AN48" ca="1">_xlfn.IFNA(SUM((AN$3&gt;='Gastos com Pessoal'!$E$7:$E$506)*(AN$3&lt;='Gastos com Pessoal'!$F$7:$F$506)*OFFSET('Encargos e Benefícios'!$D$5,1,MATCH($B48,'Encargos e Benefícios'!$E$5:$AB$5,0),500,1)),0)
+_xlfn.IFNA(SUM((AN$3&gt;='Gastos com Pessoal'!$E$513:$E$522)*(AN$3&lt;='Gastos com Pessoal'!$F$513:$F$522)*OFFSET('Encargos e Benefícios'!$D$511,1,MATCH($B48,'Encargos e Benefícios'!$E$511:$AB$511,0),10,1)),0)
+_xlfn.IFNA(SUM((AN$3&gt;='Gastos com Pessoal'!$E$7:$E$506)*(AN$3&lt;='Gastos com Pessoal'!$F$7:$F$506)*(IF('Gastos com Pessoal'!$G$7:$G$506&lt;=AN$3,1,0))*OFFSET('Gastos com Pessoal'!$H$6,1,MATCH(1&amp;$B48,'Gastos com Pessoal'!$I$532:$AJ$532&amp;'Gastos com Pessoal'!$I$6:$AJ$6,0),500,1)),0)
+_xlfn.IFNA(SUM((AN$3&gt;='Gastos com Pessoal'!$E$7:$E$506)*(AN$3&lt;='Gastos com Pessoal'!$F$7:$F$506)*(IF('Gastos com Pessoal'!$M$7:$M$506&lt;=AN$3,1,0))*OFFSET('Gastos com Pessoal'!$H$6,1,MATCH(2&amp;$B48,'Gastos com Pessoal'!$I$532:$AJ$532&amp;'Gastos com Pessoal'!$I$6:$AJ$6,0),500,1)),0)
+_xlfn.IFNA(SUM((AN$3&gt;='Gastos com Pessoal'!$E$7:$E$506)*(AN$3&lt;='Gastos com Pessoal'!$F$7:$F$506)*(IF('Gastos com Pessoal'!$S$7:$S$506&lt;=AN$3,1,0))*OFFSET('Gastos com Pessoal'!$H$6,1,MATCH(3&amp;$B48,'Gastos com Pessoal'!$I$532:$AJ$532&amp;'Gastos com Pessoal'!$I$6:$AJ$6,0),500,1)),0)
+_xlfn.IFNA(SUM((AN$3&gt;='Gastos com Pessoal'!$E$7:$E$506)*(AN$3&lt;='Gastos com Pessoal'!$F$7:$F$506)*(IF('Gastos com Pessoal'!$Y$7:$Y$506&lt;=AN$3,1,0))*OFFSET('Gastos com Pessoal'!$H$6,1,MATCH(4&amp;$B48,'Gastos com Pessoal'!$I$532:$AJ$532&amp;'Gastos com Pessoal'!$I$6:$AJ$6,0),500,1)),0)
+_xlfn.IFNA(SUM((AN$3&gt;='Gastos com Pessoal'!$E$7:$E$506)*(AN$3&lt;='Gastos com Pessoal'!$F$7:$F$506)*(IF('Gastos com Pessoal'!$AE$7:$AE$506&lt;=AN$3,1,0))*OFFSET('Gastos com Pessoal'!$H$6,1,MATCH(5&amp;$B48,'Gastos com Pessoal'!$I$532:$AJ$532&amp;'Gastos com Pessoal'!$I$6:$AJ$6,0),500,1)),0)
+_xlfn.IFNA(SUM((AN$3&gt;='Gastos com Pessoal'!$E$513:$E$522)*(AN$3&lt;='Gastos com Pessoal'!$F$513:$F$522)*(IF('Gastos com Pessoal'!$G$513:$G$522&lt;=AN$3,1,0))*OFFSET('Gastos com Pessoal'!$H$512,1,MATCH(1&amp;$B48,'Gastos com Pessoal'!$I$532:$AJ$532&amp;'Gastos com Pessoal'!$I$512:$AJ$512,0),10,1)),0)
+_xlfn.IFNA(SUM((AN$3&gt;='Gastos com Pessoal'!$E$513:$E$522)*(AN$3&lt;='Gastos com Pessoal'!$F$513:$F$522)*(IF('Gastos com Pessoal'!$M$513:$M$522&lt;=AN$3,1,0))*OFFSET('Gastos com Pessoal'!$H$512,1,MATCH(2&amp;$B48,'Gastos com Pessoal'!$I$532:$AJ$532&amp;'Gastos com Pessoal'!$I$512:$AJ$512,0),10,1)),0)
+_xlfn.IFNA(SUM((AN$3&gt;='Gastos com Pessoal'!$E$513:$E$522)*(AN$3&lt;='Gastos com Pessoal'!$F$513:$F$522)*(IF('Gastos com Pessoal'!$S$513:$S$522&lt;=AN$3,1,0))*OFFSET('Gastos com Pessoal'!$H$512,1,MATCH(3&amp;$B48,'Gastos com Pessoal'!$I$532:$AJ$532&amp;'Gastos com Pessoal'!$I$512:$AJ$512,0),10,1)),0)
+_xlfn.IFNA(SUM((AN$3&gt;='Gastos com Pessoal'!$E$513:$E$522)*(AN$3&lt;='Gastos com Pessoal'!$F$513:$F$522)*(IF('Gastos com Pessoal'!$Y$513:$Y$522&lt;=AN$3,1,0))*OFFSET('Gastos com Pessoal'!$H$512,1,MATCH(4&amp;$B48,'Gastos com Pessoal'!$I$532:$AJ$532&amp;'Gastos com Pessoal'!$I$512:$AJ$512,0),10,1)),0)
+_xlfn.IFNA(SUM((AN$3&gt;='Gastos com Pessoal'!$E$513:$E$522)*(AN$3&lt;='Gastos com Pessoal'!$F$513:$F$522)*(IF('Gastos com Pessoal'!$AE$513:$AE$522&lt;=AN$3,1,0))*OFFSET('Gastos com Pessoal'!$H$512,1,MATCH(5&amp;$B48,'Gastos com Pessoal'!$I$532:$AJ$532&amp;'Gastos com Pessoal'!$I$512:$AJ$512,0),10,1)),0)</f>
        <v>0</v>
      </c>
      <c r="AO48" s="32">
        <f t="array" aca="1" ref="AO48" ca="1">_xlfn.IFNA(SUM((AO$3&gt;='Gastos com Pessoal'!$E$7:$E$506)*(AO$3&lt;='Gastos com Pessoal'!$F$7:$F$506)*OFFSET('Encargos e Benefícios'!$D$5,1,MATCH($B48,'Encargos e Benefícios'!$E$5:$AB$5,0),500,1)),0)
+_xlfn.IFNA(SUM((AO$3&gt;='Gastos com Pessoal'!$E$513:$E$522)*(AO$3&lt;='Gastos com Pessoal'!$F$513:$F$522)*OFFSET('Encargos e Benefícios'!$D$511,1,MATCH($B48,'Encargos e Benefícios'!$E$511:$AB$511,0),10,1)),0)
+_xlfn.IFNA(SUM((AO$3&gt;='Gastos com Pessoal'!$E$7:$E$506)*(AO$3&lt;='Gastos com Pessoal'!$F$7:$F$506)*(IF('Gastos com Pessoal'!$G$7:$G$506&lt;=AO$3,1,0))*OFFSET('Gastos com Pessoal'!$H$6,1,MATCH(1&amp;$B48,'Gastos com Pessoal'!$I$532:$AJ$532&amp;'Gastos com Pessoal'!$I$6:$AJ$6,0),500,1)),0)
+_xlfn.IFNA(SUM((AO$3&gt;='Gastos com Pessoal'!$E$7:$E$506)*(AO$3&lt;='Gastos com Pessoal'!$F$7:$F$506)*(IF('Gastos com Pessoal'!$M$7:$M$506&lt;=AO$3,1,0))*OFFSET('Gastos com Pessoal'!$H$6,1,MATCH(2&amp;$B48,'Gastos com Pessoal'!$I$532:$AJ$532&amp;'Gastos com Pessoal'!$I$6:$AJ$6,0),500,1)),0)
+_xlfn.IFNA(SUM((AO$3&gt;='Gastos com Pessoal'!$E$7:$E$506)*(AO$3&lt;='Gastos com Pessoal'!$F$7:$F$506)*(IF('Gastos com Pessoal'!$S$7:$S$506&lt;=AO$3,1,0))*OFFSET('Gastos com Pessoal'!$H$6,1,MATCH(3&amp;$B48,'Gastos com Pessoal'!$I$532:$AJ$532&amp;'Gastos com Pessoal'!$I$6:$AJ$6,0),500,1)),0)
+_xlfn.IFNA(SUM((AO$3&gt;='Gastos com Pessoal'!$E$7:$E$506)*(AO$3&lt;='Gastos com Pessoal'!$F$7:$F$506)*(IF('Gastos com Pessoal'!$Y$7:$Y$506&lt;=AO$3,1,0))*OFFSET('Gastos com Pessoal'!$H$6,1,MATCH(4&amp;$B48,'Gastos com Pessoal'!$I$532:$AJ$532&amp;'Gastos com Pessoal'!$I$6:$AJ$6,0),500,1)),0)
+_xlfn.IFNA(SUM((AO$3&gt;='Gastos com Pessoal'!$E$7:$E$506)*(AO$3&lt;='Gastos com Pessoal'!$F$7:$F$506)*(IF('Gastos com Pessoal'!$AE$7:$AE$506&lt;=AO$3,1,0))*OFFSET('Gastos com Pessoal'!$H$6,1,MATCH(5&amp;$B48,'Gastos com Pessoal'!$I$532:$AJ$532&amp;'Gastos com Pessoal'!$I$6:$AJ$6,0),500,1)),0)
+_xlfn.IFNA(SUM((AO$3&gt;='Gastos com Pessoal'!$E$513:$E$522)*(AO$3&lt;='Gastos com Pessoal'!$F$513:$F$522)*(IF('Gastos com Pessoal'!$G$513:$G$522&lt;=AO$3,1,0))*OFFSET('Gastos com Pessoal'!$H$512,1,MATCH(1&amp;$B48,'Gastos com Pessoal'!$I$532:$AJ$532&amp;'Gastos com Pessoal'!$I$512:$AJ$512,0),10,1)),0)
+_xlfn.IFNA(SUM((AO$3&gt;='Gastos com Pessoal'!$E$513:$E$522)*(AO$3&lt;='Gastos com Pessoal'!$F$513:$F$522)*(IF('Gastos com Pessoal'!$M$513:$M$522&lt;=AO$3,1,0))*OFFSET('Gastos com Pessoal'!$H$512,1,MATCH(2&amp;$B48,'Gastos com Pessoal'!$I$532:$AJ$532&amp;'Gastos com Pessoal'!$I$512:$AJ$512,0),10,1)),0)
+_xlfn.IFNA(SUM((AO$3&gt;='Gastos com Pessoal'!$E$513:$E$522)*(AO$3&lt;='Gastos com Pessoal'!$F$513:$F$522)*(IF('Gastos com Pessoal'!$S$513:$S$522&lt;=AO$3,1,0))*OFFSET('Gastos com Pessoal'!$H$512,1,MATCH(3&amp;$B48,'Gastos com Pessoal'!$I$532:$AJ$532&amp;'Gastos com Pessoal'!$I$512:$AJ$512,0),10,1)),0)
+_xlfn.IFNA(SUM((AO$3&gt;='Gastos com Pessoal'!$E$513:$E$522)*(AO$3&lt;='Gastos com Pessoal'!$F$513:$F$522)*(IF('Gastos com Pessoal'!$Y$513:$Y$522&lt;=AO$3,1,0))*OFFSET('Gastos com Pessoal'!$H$512,1,MATCH(4&amp;$B48,'Gastos com Pessoal'!$I$532:$AJ$532&amp;'Gastos com Pessoal'!$I$512:$AJ$512,0),10,1)),0)
+_xlfn.IFNA(SUM((AO$3&gt;='Gastos com Pessoal'!$E$513:$E$522)*(AO$3&lt;='Gastos com Pessoal'!$F$513:$F$522)*(IF('Gastos com Pessoal'!$AE$513:$AE$522&lt;=AO$3,1,0))*OFFSET('Gastos com Pessoal'!$H$512,1,MATCH(5&amp;$B48,'Gastos com Pessoal'!$I$532:$AJ$532&amp;'Gastos com Pessoal'!$I$512:$AJ$512,0),10,1)),0)</f>
        <v>0</v>
      </c>
      <c r="AP48" s="32">
        <f t="array" aca="1" ref="AP48" ca="1">_xlfn.IFNA(SUM((AP$3&gt;='Gastos com Pessoal'!$E$7:$E$506)*(AP$3&lt;='Gastos com Pessoal'!$F$7:$F$506)*OFFSET('Encargos e Benefícios'!$D$5,1,MATCH($B48,'Encargos e Benefícios'!$E$5:$AB$5,0),500,1)),0)
+_xlfn.IFNA(SUM((AP$3&gt;='Gastos com Pessoal'!$E$513:$E$522)*(AP$3&lt;='Gastos com Pessoal'!$F$513:$F$522)*OFFSET('Encargos e Benefícios'!$D$511,1,MATCH($B48,'Encargos e Benefícios'!$E$511:$AB$511,0),10,1)),0)
+_xlfn.IFNA(SUM((AP$3&gt;='Gastos com Pessoal'!$E$7:$E$506)*(AP$3&lt;='Gastos com Pessoal'!$F$7:$F$506)*(IF('Gastos com Pessoal'!$G$7:$G$506&lt;=AP$3,1,0))*OFFSET('Gastos com Pessoal'!$H$6,1,MATCH(1&amp;$B48,'Gastos com Pessoal'!$I$532:$AJ$532&amp;'Gastos com Pessoal'!$I$6:$AJ$6,0),500,1)),0)
+_xlfn.IFNA(SUM((AP$3&gt;='Gastos com Pessoal'!$E$7:$E$506)*(AP$3&lt;='Gastos com Pessoal'!$F$7:$F$506)*(IF('Gastos com Pessoal'!$M$7:$M$506&lt;=AP$3,1,0))*OFFSET('Gastos com Pessoal'!$H$6,1,MATCH(2&amp;$B48,'Gastos com Pessoal'!$I$532:$AJ$532&amp;'Gastos com Pessoal'!$I$6:$AJ$6,0),500,1)),0)
+_xlfn.IFNA(SUM((AP$3&gt;='Gastos com Pessoal'!$E$7:$E$506)*(AP$3&lt;='Gastos com Pessoal'!$F$7:$F$506)*(IF('Gastos com Pessoal'!$S$7:$S$506&lt;=AP$3,1,0))*OFFSET('Gastos com Pessoal'!$H$6,1,MATCH(3&amp;$B48,'Gastos com Pessoal'!$I$532:$AJ$532&amp;'Gastos com Pessoal'!$I$6:$AJ$6,0),500,1)),0)
+_xlfn.IFNA(SUM((AP$3&gt;='Gastos com Pessoal'!$E$7:$E$506)*(AP$3&lt;='Gastos com Pessoal'!$F$7:$F$506)*(IF('Gastos com Pessoal'!$Y$7:$Y$506&lt;=AP$3,1,0))*OFFSET('Gastos com Pessoal'!$H$6,1,MATCH(4&amp;$B48,'Gastos com Pessoal'!$I$532:$AJ$532&amp;'Gastos com Pessoal'!$I$6:$AJ$6,0),500,1)),0)
+_xlfn.IFNA(SUM((AP$3&gt;='Gastos com Pessoal'!$E$7:$E$506)*(AP$3&lt;='Gastos com Pessoal'!$F$7:$F$506)*(IF('Gastos com Pessoal'!$AE$7:$AE$506&lt;=AP$3,1,0))*OFFSET('Gastos com Pessoal'!$H$6,1,MATCH(5&amp;$B48,'Gastos com Pessoal'!$I$532:$AJ$532&amp;'Gastos com Pessoal'!$I$6:$AJ$6,0),500,1)),0)
+_xlfn.IFNA(SUM((AP$3&gt;='Gastos com Pessoal'!$E$513:$E$522)*(AP$3&lt;='Gastos com Pessoal'!$F$513:$F$522)*(IF('Gastos com Pessoal'!$G$513:$G$522&lt;=AP$3,1,0))*OFFSET('Gastos com Pessoal'!$H$512,1,MATCH(1&amp;$B48,'Gastos com Pessoal'!$I$532:$AJ$532&amp;'Gastos com Pessoal'!$I$512:$AJ$512,0),10,1)),0)
+_xlfn.IFNA(SUM((AP$3&gt;='Gastos com Pessoal'!$E$513:$E$522)*(AP$3&lt;='Gastos com Pessoal'!$F$513:$F$522)*(IF('Gastos com Pessoal'!$M$513:$M$522&lt;=AP$3,1,0))*OFFSET('Gastos com Pessoal'!$H$512,1,MATCH(2&amp;$B48,'Gastos com Pessoal'!$I$532:$AJ$532&amp;'Gastos com Pessoal'!$I$512:$AJ$512,0),10,1)),0)
+_xlfn.IFNA(SUM((AP$3&gt;='Gastos com Pessoal'!$E$513:$E$522)*(AP$3&lt;='Gastos com Pessoal'!$F$513:$F$522)*(IF('Gastos com Pessoal'!$S$513:$S$522&lt;=AP$3,1,0))*OFFSET('Gastos com Pessoal'!$H$512,1,MATCH(3&amp;$B48,'Gastos com Pessoal'!$I$532:$AJ$532&amp;'Gastos com Pessoal'!$I$512:$AJ$512,0),10,1)),0)
+_xlfn.IFNA(SUM((AP$3&gt;='Gastos com Pessoal'!$E$513:$E$522)*(AP$3&lt;='Gastos com Pessoal'!$F$513:$F$522)*(IF('Gastos com Pessoal'!$Y$513:$Y$522&lt;=AP$3,1,0))*OFFSET('Gastos com Pessoal'!$H$512,1,MATCH(4&amp;$B48,'Gastos com Pessoal'!$I$532:$AJ$532&amp;'Gastos com Pessoal'!$I$512:$AJ$512,0),10,1)),0)
+_xlfn.IFNA(SUM((AP$3&gt;='Gastos com Pessoal'!$E$513:$E$522)*(AP$3&lt;='Gastos com Pessoal'!$F$513:$F$522)*(IF('Gastos com Pessoal'!$AE$513:$AE$522&lt;=AP$3,1,0))*OFFSET('Gastos com Pessoal'!$H$512,1,MATCH(5&amp;$B48,'Gastos com Pessoal'!$I$532:$AJ$532&amp;'Gastos com Pessoal'!$I$512:$AJ$512,0),10,1)),0)</f>
        <v>0</v>
      </c>
      <c r="AQ48" s="32">
        <f t="array" aca="1" ref="AQ48" ca="1">_xlfn.IFNA(SUM((AQ$3&gt;='Gastos com Pessoal'!$E$7:$E$506)*(AQ$3&lt;='Gastos com Pessoal'!$F$7:$F$506)*OFFSET('Encargos e Benefícios'!$D$5,1,MATCH($B48,'Encargos e Benefícios'!$E$5:$AB$5,0),500,1)),0)
+_xlfn.IFNA(SUM((AQ$3&gt;='Gastos com Pessoal'!$E$513:$E$522)*(AQ$3&lt;='Gastos com Pessoal'!$F$513:$F$522)*OFFSET('Encargos e Benefícios'!$D$511,1,MATCH($B48,'Encargos e Benefícios'!$E$511:$AB$511,0),10,1)),0)
+_xlfn.IFNA(SUM((AQ$3&gt;='Gastos com Pessoal'!$E$7:$E$506)*(AQ$3&lt;='Gastos com Pessoal'!$F$7:$F$506)*(IF('Gastos com Pessoal'!$G$7:$G$506&lt;=AQ$3,1,0))*OFFSET('Gastos com Pessoal'!$H$6,1,MATCH(1&amp;$B48,'Gastos com Pessoal'!$I$532:$AJ$532&amp;'Gastos com Pessoal'!$I$6:$AJ$6,0),500,1)),0)
+_xlfn.IFNA(SUM((AQ$3&gt;='Gastos com Pessoal'!$E$7:$E$506)*(AQ$3&lt;='Gastos com Pessoal'!$F$7:$F$506)*(IF('Gastos com Pessoal'!$M$7:$M$506&lt;=AQ$3,1,0))*OFFSET('Gastos com Pessoal'!$H$6,1,MATCH(2&amp;$B48,'Gastos com Pessoal'!$I$532:$AJ$532&amp;'Gastos com Pessoal'!$I$6:$AJ$6,0),500,1)),0)
+_xlfn.IFNA(SUM((AQ$3&gt;='Gastos com Pessoal'!$E$7:$E$506)*(AQ$3&lt;='Gastos com Pessoal'!$F$7:$F$506)*(IF('Gastos com Pessoal'!$S$7:$S$506&lt;=AQ$3,1,0))*OFFSET('Gastos com Pessoal'!$H$6,1,MATCH(3&amp;$B48,'Gastos com Pessoal'!$I$532:$AJ$532&amp;'Gastos com Pessoal'!$I$6:$AJ$6,0),500,1)),0)
+_xlfn.IFNA(SUM((AQ$3&gt;='Gastos com Pessoal'!$E$7:$E$506)*(AQ$3&lt;='Gastos com Pessoal'!$F$7:$F$506)*(IF('Gastos com Pessoal'!$Y$7:$Y$506&lt;=AQ$3,1,0))*OFFSET('Gastos com Pessoal'!$H$6,1,MATCH(4&amp;$B48,'Gastos com Pessoal'!$I$532:$AJ$532&amp;'Gastos com Pessoal'!$I$6:$AJ$6,0),500,1)),0)
+_xlfn.IFNA(SUM((AQ$3&gt;='Gastos com Pessoal'!$E$7:$E$506)*(AQ$3&lt;='Gastos com Pessoal'!$F$7:$F$506)*(IF('Gastos com Pessoal'!$AE$7:$AE$506&lt;=AQ$3,1,0))*OFFSET('Gastos com Pessoal'!$H$6,1,MATCH(5&amp;$B48,'Gastos com Pessoal'!$I$532:$AJ$532&amp;'Gastos com Pessoal'!$I$6:$AJ$6,0),500,1)),0)
+_xlfn.IFNA(SUM((AQ$3&gt;='Gastos com Pessoal'!$E$513:$E$522)*(AQ$3&lt;='Gastos com Pessoal'!$F$513:$F$522)*(IF('Gastos com Pessoal'!$G$513:$G$522&lt;=AQ$3,1,0))*OFFSET('Gastos com Pessoal'!$H$512,1,MATCH(1&amp;$B48,'Gastos com Pessoal'!$I$532:$AJ$532&amp;'Gastos com Pessoal'!$I$512:$AJ$512,0),10,1)),0)
+_xlfn.IFNA(SUM((AQ$3&gt;='Gastos com Pessoal'!$E$513:$E$522)*(AQ$3&lt;='Gastos com Pessoal'!$F$513:$F$522)*(IF('Gastos com Pessoal'!$M$513:$M$522&lt;=AQ$3,1,0))*OFFSET('Gastos com Pessoal'!$H$512,1,MATCH(2&amp;$B48,'Gastos com Pessoal'!$I$532:$AJ$532&amp;'Gastos com Pessoal'!$I$512:$AJ$512,0),10,1)),0)
+_xlfn.IFNA(SUM((AQ$3&gt;='Gastos com Pessoal'!$E$513:$E$522)*(AQ$3&lt;='Gastos com Pessoal'!$F$513:$F$522)*(IF('Gastos com Pessoal'!$S$513:$S$522&lt;=AQ$3,1,0))*OFFSET('Gastos com Pessoal'!$H$512,1,MATCH(3&amp;$B48,'Gastos com Pessoal'!$I$532:$AJ$532&amp;'Gastos com Pessoal'!$I$512:$AJ$512,0),10,1)),0)
+_xlfn.IFNA(SUM((AQ$3&gt;='Gastos com Pessoal'!$E$513:$E$522)*(AQ$3&lt;='Gastos com Pessoal'!$F$513:$F$522)*(IF('Gastos com Pessoal'!$Y$513:$Y$522&lt;=AQ$3,1,0))*OFFSET('Gastos com Pessoal'!$H$512,1,MATCH(4&amp;$B48,'Gastos com Pessoal'!$I$532:$AJ$532&amp;'Gastos com Pessoal'!$I$512:$AJ$512,0),10,1)),0)
+_xlfn.IFNA(SUM((AQ$3&gt;='Gastos com Pessoal'!$E$513:$E$522)*(AQ$3&lt;='Gastos com Pessoal'!$F$513:$F$522)*(IF('Gastos com Pessoal'!$AE$513:$AE$522&lt;=AQ$3,1,0))*OFFSET('Gastos com Pessoal'!$H$512,1,MATCH(5&amp;$B48,'Gastos com Pessoal'!$I$532:$AJ$532&amp;'Gastos com Pessoal'!$I$512:$AJ$512,0),10,1)),0)</f>
        <v>0</v>
      </c>
      <c r="AR48" s="32">
        <f t="array" aca="1" ref="AR48" ca="1">_xlfn.IFNA(SUM((AR$3&gt;='Gastos com Pessoal'!$E$7:$E$506)*(AR$3&lt;='Gastos com Pessoal'!$F$7:$F$506)*OFFSET('Encargos e Benefícios'!$D$5,1,MATCH($B48,'Encargos e Benefícios'!$E$5:$AB$5,0),500,1)),0)
+_xlfn.IFNA(SUM((AR$3&gt;='Gastos com Pessoal'!$E$513:$E$522)*(AR$3&lt;='Gastos com Pessoal'!$F$513:$F$522)*OFFSET('Encargos e Benefícios'!$D$511,1,MATCH($B48,'Encargos e Benefícios'!$E$511:$AB$511,0),10,1)),0)
+_xlfn.IFNA(SUM((AR$3&gt;='Gastos com Pessoal'!$E$7:$E$506)*(AR$3&lt;='Gastos com Pessoal'!$F$7:$F$506)*(IF('Gastos com Pessoal'!$G$7:$G$506&lt;=AR$3,1,0))*OFFSET('Gastos com Pessoal'!$H$6,1,MATCH(1&amp;$B48,'Gastos com Pessoal'!$I$532:$AJ$532&amp;'Gastos com Pessoal'!$I$6:$AJ$6,0),500,1)),0)
+_xlfn.IFNA(SUM((AR$3&gt;='Gastos com Pessoal'!$E$7:$E$506)*(AR$3&lt;='Gastos com Pessoal'!$F$7:$F$506)*(IF('Gastos com Pessoal'!$M$7:$M$506&lt;=AR$3,1,0))*OFFSET('Gastos com Pessoal'!$H$6,1,MATCH(2&amp;$B48,'Gastos com Pessoal'!$I$532:$AJ$532&amp;'Gastos com Pessoal'!$I$6:$AJ$6,0),500,1)),0)
+_xlfn.IFNA(SUM((AR$3&gt;='Gastos com Pessoal'!$E$7:$E$506)*(AR$3&lt;='Gastos com Pessoal'!$F$7:$F$506)*(IF('Gastos com Pessoal'!$S$7:$S$506&lt;=AR$3,1,0))*OFFSET('Gastos com Pessoal'!$H$6,1,MATCH(3&amp;$B48,'Gastos com Pessoal'!$I$532:$AJ$532&amp;'Gastos com Pessoal'!$I$6:$AJ$6,0),500,1)),0)
+_xlfn.IFNA(SUM((AR$3&gt;='Gastos com Pessoal'!$E$7:$E$506)*(AR$3&lt;='Gastos com Pessoal'!$F$7:$F$506)*(IF('Gastos com Pessoal'!$Y$7:$Y$506&lt;=AR$3,1,0))*OFFSET('Gastos com Pessoal'!$H$6,1,MATCH(4&amp;$B48,'Gastos com Pessoal'!$I$532:$AJ$532&amp;'Gastos com Pessoal'!$I$6:$AJ$6,0),500,1)),0)
+_xlfn.IFNA(SUM((AR$3&gt;='Gastos com Pessoal'!$E$7:$E$506)*(AR$3&lt;='Gastos com Pessoal'!$F$7:$F$506)*(IF('Gastos com Pessoal'!$AE$7:$AE$506&lt;=AR$3,1,0))*OFFSET('Gastos com Pessoal'!$H$6,1,MATCH(5&amp;$B48,'Gastos com Pessoal'!$I$532:$AJ$532&amp;'Gastos com Pessoal'!$I$6:$AJ$6,0),500,1)),0)
+_xlfn.IFNA(SUM((AR$3&gt;='Gastos com Pessoal'!$E$513:$E$522)*(AR$3&lt;='Gastos com Pessoal'!$F$513:$F$522)*(IF('Gastos com Pessoal'!$G$513:$G$522&lt;=AR$3,1,0))*OFFSET('Gastos com Pessoal'!$H$512,1,MATCH(1&amp;$B48,'Gastos com Pessoal'!$I$532:$AJ$532&amp;'Gastos com Pessoal'!$I$512:$AJ$512,0),10,1)),0)
+_xlfn.IFNA(SUM((AR$3&gt;='Gastos com Pessoal'!$E$513:$E$522)*(AR$3&lt;='Gastos com Pessoal'!$F$513:$F$522)*(IF('Gastos com Pessoal'!$M$513:$M$522&lt;=AR$3,1,0))*OFFSET('Gastos com Pessoal'!$H$512,1,MATCH(2&amp;$B48,'Gastos com Pessoal'!$I$532:$AJ$532&amp;'Gastos com Pessoal'!$I$512:$AJ$512,0),10,1)),0)
+_xlfn.IFNA(SUM((AR$3&gt;='Gastos com Pessoal'!$E$513:$E$522)*(AR$3&lt;='Gastos com Pessoal'!$F$513:$F$522)*(IF('Gastos com Pessoal'!$S$513:$S$522&lt;=AR$3,1,0))*OFFSET('Gastos com Pessoal'!$H$512,1,MATCH(3&amp;$B48,'Gastos com Pessoal'!$I$532:$AJ$532&amp;'Gastos com Pessoal'!$I$512:$AJ$512,0),10,1)),0)
+_xlfn.IFNA(SUM((AR$3&gt;='Gastos com Pessoal'!$E$513:$E$522)*(AR$3&lt;='Gastos com Pessoal'!$F$513:$F$522)*(IF('Gastos com Pessoal'!$Y$513:$Y$522&lt;=AR$3,1,0))*OFFSET('Gastos com Pessoal'!$H$512,1,MATCH(4&amp;$B48,'Gastos com Pessoal'!$I$532:$AJ$532&amp;'Gastos com Pessoal'!$I$512:$AJ$512,0),10,1)),0)
+_xlfn.IFNA(SUM((AR$3&gt;='Gastos com Pessoal'!$E$513:$E$522)*(AR$3&lt;='Gastos com Pessoal'!$F$513:$F$522)*(IF('Gastos com Pessoal'!$AE$513:$AE$522&lt;=AR$3,1,0))*OFFSET('Gastos com Pessoal'!$H$512,1,MATCH(5&amp;$B48,'Gastos com Pessoal'!$I$532:$AJ$532&amp;'Gastos com Pessoal'!$I$512:$AJ$512,0),10,1)),0)</f>
        <v>0</v>
      </c>
      <c r="AS48" s="32">
        <f t="array" aca="1" ref="AS48" ca="1">_xlfn.IFNA(SUM((AS$3&gt;='Gastos com Pessoal'!$E$7:$E$506)*(AS$3&lt;='Gastos com Pessoal'!$F$7:$F$506)*OFFSET('Encargos e Benefícios'!$D$5,1,MATCH($B48,'Encargos e Benefícios'!$E$5:$AB$5,0),500,1)),0)
+_xlfn.IFNA(SUM((AS$3&gt;='Gastos com Pessoal'!$E$513:$E$522)*(AS$3&lt;='Gastos com Pessoal'!$F$513:$F$522)*OFFSET('Encargos e Benefícios'!$D$511,1,MATCH($B48,'Encargos e Benefícios'!$E$511:$AB$511,0),10,1)),0)
+_xlfn.IFNA(SUM((AS$3&gt;='Gastos com Pessoal'!$E$7:$E$506)*(AS$3&lt;='Gastos com Pessoal'!$F$7:$F$506)*(IF('Gastos com Pessoal'!$G$7:$G$506&lt;=AS$3,1,0))*OFFSET('Gastos com Pessoal'!$H$6,1,MATCH(1&amp;$B48,'Gastos com Pessoal'!$I$532:$AJ$532&amp;'Gastos com Pessoal'!$I$6:$AJ$6,0),500,1)),0)
+_xlfn.IFNA(SUM((AS$3&gt;='Gastos com Pessoal'!$E$7:$E$506)*(AS$3&lt;='Gastos com Pessoal'!$F$7:$F$506)*(IF('Gastos com Pessoal'!$M$7:$M$506&lt;=AS$3,1,0))*OFFSET('Gastos com Pessoal'!$H$6,1,MATCH(2&amp;$B48,'Gastos com Pessoal'!$I$532:$AJ$532&amp;'Gastos com Pessoal'!$I$6:$AJ$6,0),500,1)),0)
+_xlfn.IFNA(SUM((AS$3&gt;='Gastos com Pessoal'!$E$7:$E$506)*(AS$3&lt;='Gastos com Pessoal'!$F$7:$F$506)*(IF('Gastos com Pessoal'!$S$7:$S$506&lt;=AS$3,1,0))*OFFSET('Gastos com Pessoal'!$H$6,1,MATCH(3&amp;$B48,'Gastos com Pessoal'!$I$532:$AJ$532&amp;'Gastos com Pessoal'!$I$6:$AJ$6,0),500,1)),0)
+_xlfn.IFNA(SUM((AS$3&gt;='Gastos com Pessoal'!$E$7:$E$506)*(AS$3&lt;='Gastos com Pessoal'!$F$7:$F$506)*(IF('Gastos com Pessoal'!$Y$7:$Y$506&lt;=AS$3,1,0))*OFFSET('Gastos com Pessoal'!$H$6,1,MATCH(4&amp;$B48,'Gastos com Pessoal'!$I$532:$AJ$532&amp;'Gastos com Pessoal'!$I$6:$AJ$6,0),500,1)),0)
+_xlfn.IFNA(SUM((AS$3&gt;='Gastos com Pessoal'!$E$7:$E$506)*(AS$3&lt;='Gastos com Pessoal'!$F$7:$F$506)*(IF('Gastos com Pessoal'!$AE$7:$AE$506&lt;=AS$3,1,0))*OFFSET('Gastos com Pessoal'!$H$6,1,MATCH(5&amp;$B48,'Gastos com Pessoal'!$I$532:$AJ$532&amp;'Gastos com Pessoal'!$I$6:$AJ$6,0),500,1)),0)
+_xlfn.IFNA(SUM((AS$3&gt;='Gastos com Pessoal'!$E$513:$E$522)*(AS$3&lt;='Gastos com Pessoal'!$F$513:$F$522)*(IF('Gastos com Pessoal'!$G$513:$G$522&lt;=AS$3,1,0))*OFFSET('Gastos com Pessoal'!$H$512,1,MATCH(1&amp;$B48,'Gastos com Pessoal'!$I$532:$AJ$532&amp;'Gastos com Pessoal'!$I$512:$AJ$512,0),10,1)),0)
+_xlfn.IFNA(SUM((AS$3&gt;='Gastos com Pessoal'!$E$513:$E$522)*(AS$3&lt;='Gastos com Pessoal'!$F$513:$F$522)*(IF('Gastos com Pessoal'!$M$513:$M$522&lt;=AS$3,1,0))*OFFSET('Gastos com Pessoal'!$H$512,1,MATCH(2&amp;$B48,'Gastos com Pessoal'!$I$532:$AJ$532&amp;'Gastos com Pessoal'!$I$512:$AJ$512,0),10,1)),0)
+_xlfn.IFNA(SUM((AS$3&gt;='Gastos com Pessoal'!$E$513:$E$522)*(AS$3&lt;='Gastos com Pessoal'!$F$513:$F$522)*(IF('Gastos com Pessoal'!$S$513:$S$522&lt;=AS$3,1,0))*OFFSET('Gastos com Pessoal'!$H$512,1,MATCH(3&amp;$B48,'Gastos com Pessoal'!$I$532:$AJ$532&amp;'Gastos com Pessoal'!$I$512:$AJ$512,0),10,1)),0)
+_xlfn.IFNA(SUM((AS$3&gt;='Gastos com Pessoal'!$E$513:$E$522)*(AS$3&lt;='Gastos com Pessoal'!$F$513:$F$522)*(IF('Gastos com Pessoal'!$Y$513:$Y$522&lt;=AS$3,1,0))*OFFSET('Gastos com Pessoal'!$H$512,1,MATCH(4&amp;$B48,'Gastos com Pessoal'!$I$532:$AJ$532&amp;'Gastos com Pessoal'!$I$512:$AJ$512,0),10,1)),0)
+_xlfn.IFNA(SUM((AS$3&gt;='Gastos com Pessoal'!$E$513:$E$522)*(AS$3&lt;='Gastos com Pessoal'!$F$513:$F$522)*(IF('Gastos com Pessoal'!$AE$513:$AE$522&lt;=AS$3,1,0))*OFFSET('Gastos com Pessoal'!$H$512,1,MATCH(5&amp;$B48,'Gastos com Pessoal'!$I$532:$AJ$532&amp;'Gastos com Pessoal'!$I$512:$AJ$512,0),10,1)),0)</f>
        <v>0</v>
      </c>
      <c r="AT48" s="32">
        <f t="array" aca="1" ref="AT48" ca="1">_xlfn.IFNA(SUM((AT$3&gt;='Gastos com Pessoal'!$E$7:$E$506)*(AT$3&lt;='Gastos com Pessoal'!$F$7:$F$506)*OFFSET('Encargos e Benefícios'!$D$5,1,MATCH($B48,'Encargos e Benefícios'!$E$5:$AB$5,0),500,1)),0)
+_xlfn.IFNA(SUM((AT$3&gt;='Gastos com Pessoal'!$E$513:$E$522)*(AT$3&lt;='Gastos com Pessoal'!$F$513:$F$522)*OFFSET('Encargos e Benefícios'!$D$511,1,MATCH($B48,'Encargos e Benefícios'!$E$511:$AB$511,0),10,1)),0)
+_xlfn.IFNA(SUM((AT$3&gt;='Gastos com Pessoal'!$E$7:$E$506)*(AT$3&lt;='Gastos com Pessoal'!$F$7:$F$506)*(IF('Gastos com Pessoal'!$G$7:$G$506&lt;=AT$3,1,0))*OFFSET('Gastos com Pessoal'!$H$6,1,MATCH(1&amp;$B48,'Gastos com Pessoal'!$I$532:$AJ$532&amp;'Gastos com Pessoal'!$I$6:$AJ$6,0),500,1)),0)
+_xlfn.IFNA(SUM((AT$3&gt;='Gastos com Pessoal'!$E$7:$E$506)*(AT$3&lt;='Gastos com Pessoal'!$F$7:$F$506)*(IF('Gastos com Pessoal'!$M$7:$M$506&lt;=AT$3,1,0))*OFFSET('Gastos com Pessoal'!$H$6,1,MATCH(2&amp;$B48,'Gastos com Pessoal'!$I$532:$AJ$532&amp;'Gastos com Pessoal'!$I$6:$AJ$6,0),500,1)),0)
+_xlfn.IFNA(SUM((AT$3&gt;='Gastos com Pessoal'!$E$7:$E$506)*(AT$3&lt;='Gastos com Pessoal'!$F$7:$F$506)*(IF('Gastos com Pessoal'!$S$7:$S$506&lt;=AT$3,1,0))*OFFSET('Gastos com Pessoal'!$H$6,1,MATCH(3&amp;$B48,'Gastos com Pessoal'!$I$532:$AJ$532&amp;'Gastos com Pessoal'!$I$6:$AJ$6,0),500,1)),0)
+_xlfn.IFNA(SUM((AT$3&gt;='Gastos com Pessoal'!$E$7:$E$506)*(AT$3&lt;='Gastos com Pessoal'!$F$7:$F$506)*(IF('Gastos com Pessoal'!$Y$7:$Y$506&lt;=AT$3,1,0))*OFFSET('Gastos com Pessoal'!$H$6,1,MATCH(4&amp;$B48,'Gastos com Pessoal'!$I$532:$AJ$532&amp;'Gastos com Pessoal'!$I$6:$AJ$6,0),500,1)),0)
+_xlfn.IFNA(SUM((AT$3&gt;='Gastos com Pessoal'!$E$7:$E$506)*(AT$3&lt;='Gastos com Pessoal'!$F$7:$F$506)*(IF('Gastos com Pessoal'!$AE$7:$AE$506&lt;=AT$3,1,0))*OFFSET('Gastos com Pessoal'!$H$6,1,MATCH(5&amp;$B48,'Gastos com Pessoal'!$I$532:$AJ$532&amp;'Gastos com Pessoal'!$I$6:$AJ$6,0),500,1)),0)
+_xlfn.IFNA(SUM((AT$3&gt;='Gastos com Pessoal'!$E$513:$E$522)*(AT$3&lt;='Gastos com Pessoal'!$F$513:$F$522)*(IF('Gastos com Pessoal'!$G$513:$G$522&lt;=AT$3,1,0))*OFFSET('Gastos com Pessoal'!$H$512,1,MATCH(1&amp;$B48,'Gastos com Pessoal'!$I$532:$AJ$532&amp;'Gastos com Pessoal'!$I$512:$AJ$512,0),10,1)),0)
+_xlfn.IFNA(SUM((AT$3&gt;='Gastos com Pessoal'!$E$513:$E$522)*(AT$3&lt;='Gastos com Pessoal'!$F$513:$F$522)*(IF('Gastos com Pessoal'!$M$513:$M$522&lt;=AT$3,1,0))*OFFSET('Gastos com Pessoal'!$H$512,1,MATCH(2&amp;$B48,'Gastos com Pessoal'!$I$532:$AJ$532&amp;'Gastos com Pessoal'!$I$512:$AJ$512,0),10,1)),0)
+_xlfn.IFNA(SUM((AT$3&gt;='Gastos com Pessoal'!$E$513:$E$522)*(AT$3&lt;='Gastos com Pessoal'!$F$513:$F$522)*(IF('Gastos com Pessoal'!$S$513:$S$522&lt;=AT$3,1,0))*OFFSET('Gastos com Pessoal'!$H$512,1,MATCH(3&amp;$B48,'Gastos com Pessoal'!$I$532:$AJ$532&amp;'Gastos com Pessoal'!$I$512:$AJ$512,0),10,1)),0)
+_xlfn.IFNA(SUM((AT$3&gt;='Gastos com Pessoal'!$E$513:$E$522)*(AT$3&lt;='Gastos com Pessoal'!$F$513:$F$522)*(IF('Gastos com Pessoal'!$Y$513:$Y$522&lt;=AT$3,1,0))*OFFSET('Gastos com Pessoal'!$H$512,1,MATCH(4&amp;$B48,'Gastos com Pessoal'!$I$532:$AJ$532&amp;'Gastos com Pessoal'!$I$512:$AJ$512,0),10,1)),0)
+_xlfn.IFNA(SUM((AT$3&gt;='Gastos com Pessoal'!$E$513:$E$522)*(AT$3&lt;='Gastos com Pessoal'!$F$513:$F$522)*(IF('Gastos com Pessoal'!$AE$513:$AE$522&lt;=AT$3,1,0))*OFFSET('Gastos com Pessoal'!$H$512,1,MATCH(5&amp;$B48,'Gastos com Pessoal'!$I$532:$AJ$532&amp;'Gastos com Pessoal'!$I$512:$AJ$512,0),10,1)),0)</f>
        <v>0</v>
      </c>
      <c r="AU48" s="32">
        <f t="array" aca="1" ref="AU48" ca="1">_xlfn.IFNA(SUM((AU$3&gt;='Gastos com Pessoal'!$E$7:$E$506)*(AU$3&lt;='Gastos com Pessoal'!$F$7:$F$506)*OFFSET('Encargos e Benefícios'!$D$5,1,MATCH($B48,'Encargos e Benefícios'!$E$5:$AB$5,0),500,1)),0)
+_xlfn.IFNA(SUM((AU$3&gt;='Gastos com Pessoal'!$E$513:$E$522)*(AU$3&lt;='Gastos com Pessoal'!$F$513:$F$522)*OFFSET('Encargos e Benefícios'!$D$511,1,MATCH($B48,'Encargos e Benefícios'!$E$511:$AB$511,0),10,1)),0)
+_xlfn.IFNA(SUM((AU$3&gt;='Gastos com Pessoal'!$E$7:$E$506)*(AU$3&lt;='Gastos com Pessoal'!$F$7:$F$506)*(IF('Gastos com Pessoal'!$G$7:$G$506&lt;=AU$3,1,0))*OFFSET('Gastos com Pessoal'!$H$6,1,MATCH(1&amp;$B48,'Gastos com Pessoal'!$I$532:$AJ$532&amp;'Gastos com Pessoal'!$I$6:$AJ$6,0),500,1)),0)
+_xlfn.IFNA(SUM((AU$3&gt;='Gastos com Pessoal'!$E$7:$E$506)*(AU$3&lt;='Gastos com Pessoal'!$F$7:$F$506)*(IF('Gastos com Pessoal'!$M$7:$M$506&lt;=AU$3,1,0))*OFFSET('Gastos com Pessoal'!$H$6,1,MATCH(2&amp;$B48,'Gastos com Pessoal'!$I$532:$AJ$532&amp;'Gastos com Pessoal'!$I$6:$AJ$6,0),500,1)),0)
+_xlfn.IFNA(SUM((AU$3&gt;='Gastos com Pessoal'!$E$7:$E$506)*(AU$3&lt;='Gastos com Pessoal'!$F$7:$F$506)*(IF('Gastos com Pessoal'!$S$7:$S$506&lt;=AU$3,1,0))*OFFSET('Gastos com Pessoal'!$H$6,1,MATCH(3&amp;$B48,'Gastos com Pessoal'!$I$532:$AJ$532&amp;'Gastos com Pessoal'!$I$6:$AJ$6,0),500,1)),0)
+_xlfn.IFNA(SUM((AU$3&gt;='Gastos com Pessoal'!$E$7:$E$506)*(AU$3&lt;='Gastos com Pessoal'!$F$7:$F$506)*(IF('Gastos com Pessoal'!$Y$7:$Y$506&lt;=AU$3,1,0))*OFFSET('Gastos com Pessoal'!$H$6,1,MATCH(4&amp;$B48,'Gastos com Pessoal'!$I$532:$AJ$532&amp;'Gastos com Pessoal'!$I$6:$AJ$6,0),500,1)),0)
+_xlfn.IFNA(SUM((AU$3&gt;='Gastos com Pessoal'!$E$7:$E$506)*(AU$3&lt;='Gastos com Pessoal'!$F$7:$F$506)*(IF('Gastos com Pessoal'!$AE$7:$AE$506&lt;=AU$3,1,0))*OFFSET('Gastos com Pessoal'!$H$6,1,MATCH(5&amp;$B48,'Gastos com Pessoal'!$I$532:$AJ$532&amp;'Gastos com Pessoal'!$I$6:$AJ$6,0),500,1)),0)
+_xlfn.IFNA(SUM((AU$3&gt;='Gastos com Pessoal'!$E$513:$E$522)*(AU$3&lt;='Gastos com Pessoal'!$F$513:$F$522)*(IF('Gastos com Pessoal'!$G$513:$G$522&lt;=AU$3,1,0))*OFFSET('Gastos com Pessoal'!$H$512,1,MATCH(1&amp;$B48,'Gastos com Pessoal'!$I$532:$AJ$532&amp;'Gastos com Pessoal'!$I$512:$AJ$512,0),10,1)),0)
+_xlfn.IFNA(SUM((AU$3&gt;='Gastos com Pessoal'!$E$513:$E$522)*(AU$3&lt;='Gastos com Pessoal'!$F$513:$F$522)*(IF('Gastos com Pessoal'!$M$513:$M$522&lt;=AU$3,1,0))*OFFSET('Gastos com Pessoal'!$H$512,1,MATCH(2&amp;$B48,'Gastos com Pessoal'!$I$532:$AJ$532&amp;'Gastos com Pessoal'!$I$512:$AJ$512,0),10,1)),0)
+_xlfn.IFNA(SUM((AU$3&gt;='Gastos com Pessoal'!$E$513:$E$522)*(AU$3&lt;='Gastos com Pessoal'!$F$513:$F$522)*(IF('Gastos com Pessoal'!$S$513:$S$522&lt;=AU$3,1,0))*OFFSET('Gastos com Pessoal'!$H$512,1,MATCH(3&amp;$B48,'Gastos com Pessoal'!$I$532:$AJ$532&amp;'Gastos com Pessoal'!$I$512:$AJ$512,0),10,1)),0)
+_xlfn.IFNA(SUM((AU$3&gt;='Gastos com Pessoal'!$E$513:$E$522)*(AU$3&lt;='Gastos com Pessoal'!$F$513:$F$522)*(IF('Gastos com Pessoal'!$Y$513:$Y$522&lt;=AU$3,1,0))*OFFSET('Gastos com Pessoal'!$H$512,1,MATCH(4&amp;$B48,'Gastos com Pessoal'!$I$532:$AJ$532&amp;'Gastos com Pessoal'!$I$512:$AJ$512,0),10,1)),0)
+_xlfn.IFNA(SUM((AU$3&gt;='Gastos com Pessoal'!$E$513:$E$522)*(AU$3&lt;='Gastos com Pessoal'!$F$513:$F$522)*(IF('Gastos com Pessoal'!$AE$513:$AE$522&lt;=AU$3,1,0))*OFFSET('Gastos com Pessoal'!$H$512,1,MATCH(5&amp;$B48,'Gastos com Pessoal'!$I$532:$AJ$532&amp;'Gastos com Pessoal'!$I$512:$AJ$512,0),10,1)),0)</f>
        <v>0</v>
      </c>
      <c r="AV48" s="32">
        <f t="array" aca="1" ref="AV48" ca="1">_xlfn.IFNA(SUM((AV$3&gt;='Gastos com Pessoal'!$E$7:$E$506)*(AV$3&lt;='Gastos com Pessoal'!$F$7:$F$506)*OFFSET('Encargos e Benefícios'!$D$5,1,MATCH($B48,'Encargos e Benefícios'!$E$5:$AB$5,0),500,1)),0)
+_xlfn.IFNA(SUM((AV$3&gt;='Gastos com Pessoal'!$E$513:$E$522)*(AV$3&lt;='Gastos com Pessoal'!$F$513:$F$522)*OFFSET('Encargos e Benefícios'!$D$511,1,MATCH($B48,'Encargos e Benefícios'!$E$511:$AB$511,0),10,1)),0)
+_xlfn.IFNA(SUM((AV$3&gt;='Gastos com Pessoal'!$E$7:$E$506)*(AV$3&lt;='Gastos com Pessoal'!$F$7:$F$506)*(IF('Gastos com Pessoal'!$G$7:$G$506&lt;=AV$3,1,0))*OFFSET('Gastos com Pessoal'!$H$6,1,MATCH(1&amp;$B48,'Gastos com Pessoal'!$I$532:$AJ$532&amp;'Gastos com Pessoal'!$I$6:$AJ$6,0),500,1)),0)
+_xlfn.IFNA(SUM((AV$3&gt;='Gastos com Pessoal'!$E$7:$E$506)*(AV$3&lt;='Gastos com Pessoal'!$F$7:$F$506)*(IF('Gastos com Pessoal'!$M$7:$M$506&lt;=AV$3,1,0))*OFFSET('Gastos com Pessoal'!$H$6,1,MATCH(2&amp;$B48,'Gastos com Pessoal'!$I$532:$AJ$532&amp;'Gastos com Pessoal'!$I$6:$AJ$6,0),500,1)),0)
+_xlfn.IFNA(SUM((AV$3&gt;='Gastos com Pessoal'!$E$7:$E$506)*(AV$3&lt;='Gastos com Pessoal'!$F$7:$F$506)*(IF('Gastos com Pessoal'!$S$7:$S$506&lt;=AV$3,1,0))*OFFSET('Gastos com Pessoal'!$H$6,1,MATCH(3&amp;$B48,'Gastos com Pessoal'!$I$532:$AJ$532&amp;'Gastos com Pessoal'!$I$6:$AJ$6,0),500,1)),0)
+_xlfn.IFNA(SUM((AV$3&gt;='Gastos com Pessoal'!$E$7:$E$506)*(AV$3&lt;='Gastos com Pessoal'!$F$7:$F$506)*(IF('Gastos com Pessoal'!$Y$7:$Y$506&lt;=AV$3,1,0))*OFFSET('Gastos com Pessoal'!$H$6,1,MATCH(4&amp;$B48,'Gastos com Pessoal'!$I$532:$AJ$532&amp;'Gastos com Pessoal'!$I$6:$AJ$6,0),500,1)),0)
+_xlfn.IFNA(SUM((AV$3&gt;='Gastos com Pessoal'!$E$7:$E$506)*(AV$3&lt;='Gastos com Pessoal'!$F$7:$F$506)*(IF('Gastos com Pessoal'!$AE$7:$AE$506&lt;=AV$3,1,0))*OFFSET('Gastos com Pessoal'!$H$6,1,MATCH(5&amp;$B48,'Gastos com Pessoal'!$I$532:$AJ$532&amp;'Gastos com Pessoal'!$I$6:$AJ$6,0),500,1)),0)
+_xlfn.IFNA(SUM((AV$3&gt;='Gastos com Pessoal'!$E$513:$E$522)*(AV$3&lt;='Gastos com Pessoal'!$F$513:$F$522)*(IF('Gastos com Pessoal'!$G$513:$G$522&lt;=AV$3,1,0))*OFFSET('Gastos com Pessoal'!$H$512,1,MATCH(1&amp;$B48,'Gastos com Pessoal'!$I$532:$AJ$532&amp;'Gastos com Pessoal'!$I$512:$AJ$512,0),10,1)),0)
+_xlfn.IFNA(SUM((AV$3&gt;='Gastos com Pessoal'!$E$513:$E$522)*(AV$3&lt;='Gastos com Pessoal'!$F$513:$F$522)*(IF('Gastos com Pessoal'!$M$513:$M$522&lt;=AV$3,1,0))*OFFSET('Gastos com Pessoal'!$H$512,1,MATCH(2&amp;$B48,'Gastos com Pessoal'!$I$532:$AJ$532&amp;'Gastos com Pessoal'!$I$512:$AJ$512,0),10,1)),0)
+_xlfn.IFNA(SUM((AV$3&gt;='Gastos com Pessoal'!$E$513:$E$522)*(AV$3&lt;='Gastos com Pessoal'!$F$513:$F$522)*(IF('Gastos com Pessoal'!$S$513:$S$522&lt;=AV$3,1,0))*OFFSET('Gastos com Pessoal'!$H$512,1,MATCH(3&amp;$B48,'Gastos com Pessoal'!$I$532:$AJ$532&amp;'Gastos com Pessoal'!$I$512:$AJ$512,0),10,1)),0)
+_xlfn.IFNA(SUM((AV$3&gt;='Gastos com Pessoal'!$E$513:$E$522)*(AV$3&lt;='Gastos com Pessoal'!$F$513:$F$522)*(IF('Gastos com Pessoal'!$Y$513:$Y$522&lt;=AV$3,1,0))*OFFSET('Gastos com Pessoal'!$H$512,1,MATCH(4&amp;$B48,'Gastos com Pessoal'!$I$532:$AJ$532&amp;'Gastos com Pessoal'!$I$512:$AJ$512,0),10,1)),0)
+_xlfn.IFNA(SUM((AV$3&gt;='Gastos com Pessoal'!$E$513:$E$522)*(AV$3&lt;='Gastos com Pessoal'!$F$513:$F$522)*(IF('Gastos com Pessoal'!$AE$513:$AE$522&lt;=AV$3,1,0))*OFFSET('Gastos com Pessoal'!$H$512,1,MATCH(5&amp;$B48,'Gastos com Pessoal'!$I$532:$AJ$532&amp;'Gastos com Pessoal'!$I$512:$AJ$512,0),10,1)),0)</f>
        <v>0</v>
      </c>
      <c r="AW48" s="32">
        <f t="array" aca="1" ref="AW48" ca="1">_xlfn.IFNA(SUM((AW$3&gt;='Gastos com Pessoal'!$E$7:$E$506)*(AW$3&lt;='Gastos com Pessoal'!$F$7:$F$506)*OFFSET('Encargos e Benefícios'!$D$5,1,MATCH($B48,'Encargos e Benefícios'!$E$5:$AB$5,0),500,1)),0)
+_xlfn.IFNA(SUM((AW$3&gt;='Gastos com Pessoal'!$E$513:$E$522)*(AW$3&lt;='Gastos com Pessoal'!$F$513:$F$522)*OFFSET('Encargos e Benefícios'!$D$511,1,MATCH($B48,'Encargos e Benefícios'!$E$511:$AB$511,0),10,1)),0)
+_xlfn.IFNA(SUM((AW$3&gt;='Gastos com Pessoal'!$E$7:$E$506)*(AW$3&lt;='Gastos com Pessoal'!$F$7:$F$506)*(IF('Gastos com Pessoal'!$G$7:$G$506&lt;=AW$3,1,0))*OFFSET('Gastos com Pessoal'!$H$6,1,MATCH(1&amp;$B48,'Gastos com Pessoal'!$I$532:$AJ$532&amp;'Gastos com Pessoal'!$I$6:$AJ$6,0),500,1)),0)
+_xlfn.IFNA(SUM((AW$3&gt;='Gastos com Pessoal'!$E$7:$E$506)*(AW$3&lt;='Gastos com Pessoal'!$F$7:$F$506)*(IF('Gastos com Pessoal'!$M$7:$M$506&lt;=AW$3,1,0))*OFFSET('Gastos com Pessoal'!$H$6,1,MATCH(2&amp;$B48,'Gastos com Pessoal'!$I$532:$AJ$532&amp;'Gastos com Pessoal'!$I$6:$AJ$6,0),500,1)),0)
+_xlfn.IFNA(SUM((AW$3&gt;='Gastos com Pessoal'!$E$7:$E$506)*(AW$3&lt;='Gastos com Pessoal'!$F$7:$F$506)*(IF('Gastos com Pessoal'!$S$7:$S$506&lt;=AW$3,1,0))*OFFSET('Gastos com Pessoal'!$H$6,1,MATCH(3&amp;$B48,'Gastos com Pessoal'!$I$532:$AJ$532&amp;'Gastos com Pessoal'!$I$6:$AJ$6,0),500,1)),0)
+_xlfn.IFNA(SUM((AW$3&gt;='Gastos com Pessoal'!$E$7:$E$506)*(AW$3&lt;='Gastos com Pessoal'!$F$7:$F$506)*(IF('Gastos com Pessoal'!$Y$7:$Y$506&lt;=AW$3,1,0))*OFFSET('Gastos com Pessoal'!$H$6,1,MATCH(4&amp;$B48,'Gastos com Pessoal'!$I$532:$AJ$532&amp;'Gastos com Pessoal'!$I$6:$AJ$6,0),500,1)),0)
+_xlfn.IFNA(SUM((AW$3&gt;='Gastos com Pessoal'!$E$7:$E$506)*(AW$3&lt;='Gastos com Pessoal'!$F$7:$F$506)*(IF('Gastos com Pessoal'!$AE$7:$AE$506&lt;=AW$3,1,0))*OFFSET('Gastos com Pessoal'!$H$6,1,MATCH(5&amp;$B48,'Gastos com Pessoal'!$I$532:$AJ$532&amp;'Gastos com Pessoal'!$I$6:$AJ$6,0),500,1)),0)
+_xlfn.IFNA(SUM((AW$3&gt;='Gastos com Pessoal'!$E$513:$E$522)*(AW$3&lt;='Gastos com Pessoal'!$F$513:$F$522)*(IF('Gastos com Pessoal'!$G$513:$G$522&lt;=AW$3,1,0))*OFFSET('Gastos com Pessoal'!$H$512,1,MATCH(1&amp;$B48,'Gastos com Pessoal'!$I$532:$AJ$532&amp;'Gastos com Pessoal'!$I$512:$AJ$512,0),10,1)),0)
+_xlfn.IFNA(SUM((AW$3&gt;='Gastos com Pessoal'!$E$513:$E$522)*(AW$3&lt;='Gastos com Pessoal'!$F$513:$F$522)*(IF('Gastos com Pessoal'!$M$513:$M$522&lt;=AW$3,1,0))*OFFSET('Gastos com Pessoal'!$H$512,1,MATCH(2&amp;$B48,'Gastos com Pessoal'!$I$532:$AJ$532&amp;'Gastos com Pessoal'!$I$512:$AJ$512,0),10,1)),0)
+_xlfn.IFNA(SUM((AW$3&gt;='Gastos com Pessoal'!$E$513:$E$522)*(AW$3&lt;='Gastos com Pessoal'!$F$513:$F$522)*(IF('Gastos com Pessoal'!$S$513:$S$522&lt;=AW$3,1,0))*OFFSET('Gastos com Pessoal'!$H$512,1,MATCH(3&amp;$B48,'Gastos com Pessoal'!$I$532:$AJ$532&amp;'Gastos com Pessoal'!$I$512:$AJ$512,0),10,1)),0)
+_xlfn.IFNA(SUM((AW$3&gt;='Gastos com Pessoal'!$E$513:$E$522)*(AW$3&lt;='Gastos com Pessoal'!$F$513:$F$522)*(IF('Gastos com Pessoal'!$Y$513:$Y$522&lt;=AW$3,1,0))*OFFSET('Gastos com Pessoal'!$H$512,1,MATCH(4&amp;$B48,'Gastos com Pessoal'!$I$532:$AJ$532&amp;'Gastos com Pessoal'!$I$512:$AJ$512,0),10,1)),0)
+_xlfn.IFNA(SUM((AW$3&gt;='Gastos com Pessoal'!$E$513:$E$522)*(AW$3&lt;='Gastos com Pessoal'!$F$513:$F$522)*(IF('Gastos com Pessoal'!$AE$513:$AE$522&lt;=AW$3,1,0))*OFFSET('Gastos com Pessoal'!$H$512,1,MATCH(5&amp;$B48,'Gastos com Pessoal'!$I$532:$AJ$532&amp;'Gastos com Pessoal'!$I$512:$AJ$512,0),10,1)),0)</f>
        <v>0</v>
      </c>
      <c r="AX48" s="32">
        <f t="array" aca="1" ref="AX48" ca="1">_xlfn.IFNA(SUM((AX$3&gt;='Gastos com Pessoal'!$E$7:$E$506)*(AX$3&lt;='Gastos com Pessoal'!$F$7:$F$506)*OFFSET('Encargos e Benefícios'!$D$5,1,MATCH($B48,'Encargos e Benefícios'!$E$5:$AB$5,0),500,1)),0)
+_xlfn.IFNA(SUM((AX$3&gt;='Gastos com Pessoal'!$E$513:$E$522)*(AX$3&lt;='Gastos com Pessoal'!$F$513:$F$522)*OFFSET('Encargos e Benefícios'!$D$511,1,MATCH($B48,'Encargos e Benefícios'!$E$511:$AB$511,0),10,1)),0)
+_xlfn.IFNA(SUM((AX$3&gt;='Gastos com Pessoal'!$E$7:$E$506)*(AX$3&lt;='Gastos com Pessoal'!$F$7:$F$506)*(IF('Gastos com Pessoal'!$G$7:$G$506&lt;=AX$3,1,0))*OFFSET('Gastos com Pessoal'!$H$6,1,MATCH(1&amp;$B48,'Gastos com Pessoal'!$I$532:$AJ$532&amp;'Gastos com Pessoal'!$I$6:$AJ$6,0),500,1)),0)
+_xlfn.IFNA(SUM((AX$3&gt;='Gastos com Pessoal'!$E$7:$E$506)*(AX$3&lt;='Gastos com Pessoal'!$F$7:$F$506)*(IF('Gastos com Pessoal'!$M$7:$M$506&lt;=AX$3,1,0))*OFFSET('Gastos com Pessoal'!$H$6,1,MATCH(2&amp;$B48,'Gastos com Pessoal'!$I$532:$AJ$532&amp;'Gastos com Pessoal'!$I$6:$AJ$6,0),500,1)),0)
+_xlfn.IFNA(SUM((AX$3&gt;='Gastos com Pessoal'!$E$7:$E$506)*(AX$3&lt;='Gastos com Pessoal'!$F$7:$F$506)*(IF('Gastos com Pessoal'!$S$7:$S$506&lt;=AX$3,1,0))*OFFSET('Gastos com Pessoal'!$H$6,1,MATCH(3&amp;$B48,'Gastos com Pessoal'!$I$532:$AJ$532&amp;'Gastos com Pessoal'!$I$6:$AJ$6,0),500,1)),0)
+_xlfn.IFNA(SUM((AX$3&gt;='Gastos com Pessoal'!$E$7:$E$506)*(AX$3&lt;='Gastos com Pessoal'!$F$7:$F$506)*(IF('Gastos com Pessoal'!$Y$7:$Y$506&lt;=AX$3,1,0))*OFFSET('Gastos com Pessoal'!$H$6,1,MATCH(4&amp;$B48,'Gastos com Pessoal'!$I$532:$AJ$532&amp;'Gastos com Pessoal'!$I$6:$AJ$6,0),500,1)),0)
+_xlfn.IFNA(SUM((AX$3&gt;='Gastos com Pessoal'!$E$7:$E$506)*(AX$3&lt;='Gastos com Pessoal'!$F$7:$F$506)*(IF('Gastos com Pessoal'!$AE$7:$AE$506&lt;=AX$3,1,0))*OFFSET('Gastos com Pessoal'!$H$6,1,MATCH(5&amp;$B48,'Gastos com Pessoal'!$I$532:$AJ$532&amp;'Gastos com Pessoal'!$I$6:$AJ$6,0),500,1)),0)
+_xlfn.IFNA(SUM((AX$3&gt;='Gastos com Pessoal'!$E$513:$E$522)*(AX$3&lt;='Gastos com Pessoal'!$F$513:$F$522)*(IF('Gastos com Pessoal'!$G$513:$G$522&lt;=AX$3,1,0))*OFFSET('Gastos com Pessoal'!$H$512,1,MATCH(1&amp;$B48,'Gastos com Pessoal'!$I$532:$AJ$532&amp;'Gastos com Pessoal'!$I$512:$AJ$512,0),10,1)),0)
+_xlfn.IFNA(SUM((AX$3&gt;='Gastos com Pessoal'!$E$513:$E$522)*(AX$3&lt;='Gastos com Pessoal'!$F$513:$F$522)*(IF('Gastos com Pessoal'!$M$513:$M$522&lt;=AX$3,1,0))*OFFSET('Gastos com Pessoal'!$H$512,1,MATCH(2&amp;$B48,'Gastos com Pessoal'!$I$532:$AJ$532&amp;'Gastos com Pessoal'!$I$512:$AJ$512,0),10,1)),0)
+_xlfn.IFNA(SUM((AX$3&gt;='Gastos com Pessoal'!$E$513:$E$522)*(AX$3&lt;='Gastos com Pessoal'!$F$513:$F$522)*(IF('Gastos com Pessoal'!$S$513:$S$522&lt;=AX$3,1,0))*OFFSET('Gastos com Pessoal'!$H$512,1,MATCH(3&amp;$B48,'Gastos com Pessoal'!$I$532:$AJ$532&amp;'Gastos com Pessoal'!$I$512:$AJ$512,0),10,1)),0)
+_xlfn.IFNA(SUM((AX$3&gt;='Gastos com Pessoal'!$E$513:$E$522)*(AX$3&lt;='Gastos com Pessoal'!$F$513:$F$522)*(IF('Gastos com Pessoal'!$Y$513:$Y$522&lt;=AX$3,1,0))*OFFSET('Gastos com Pessoal'!$H$512,1,MATCH(4&amp;$B48,'Gastos com Pessoal'!$I$532:$AJ$532&amp;'Gastos com Pessoal'!$I$512:$AJ$512,0),10,1)),0)
+_xlfn.IFNA(SUM((AX$3&gt;='Gastos com Pessoal'!$E$513:$E$522)*(AX$3&lt;='Gastos com Pessoal'!$F$513:$F$522)*(IF('Gastos com Pessoal'!$AE$513:$AE$522&lt;=AX$3,1,0))*OFFSET('Gastos com Pessoal'!$H$512,1,MATCH(5&amp;$B48,'Gastos com Pessoal'!$I$532:$AJ$532&amp;'Gastos com Pessoal'!$I$512:$AJ$512,0),10,1)),0)</f>
        <v>0</v>
      </c>
      <c r="AY48" s="32">
        <f t="array" aca="1" ref="AY48" ca="1">_xlfn.IFNA(SUM((AY$3&gt;='Gastos com Pessoal'!$E$7:$E$506)*(AY$3&lt;='Gastos com Pessoal'!$F$7:$F$506)*OFFSET('Encargos e Benefícios'!$D$5,1,MATCH($B48,'Encargos e Benefícios'!$E$5:$AB$5,0),500,1)),0)
+_xlfn.IFNA(SUM((AY$3&gt;='Gastos com Pessoal'!$E$513:$E$522)*(AY$3&lt;='Gastos com Pessoal'!$F$513:$F$522)*OFFSET('Encargos e Benefícios'!$D$511,1,MATCH($B48,'Encargos e Benefícios'!$E$511:$AB$511,0),10,1)),0)
+_xlfn.IFNA(SUM((AY$3&gt;='Gastos com Pessoal'!$E$7:$E$506)*(AY$3&lt;='Gastos com Pessoal'!$F$7:$F$506)*(IF('Gastos com Pessoal'!$G$7:$G$506&lt;=AY$3,1,0))*OFFSET('Gastos com Pessoal'!$H$6,1,MATCH(1&amp;$B48,'Gastos com Pessoal'!$I$532:$AJ$532&amp;'Gastos com Pessoal'!$I$6:$AJ$6,0),500,1)),0)
+_xlfn.IFNA(SUM((AY$3&gt;='Gastos com Pessoal'!$E$7:$E$506)*(AY$3&lt;='Gastos com Pessoal'!$F$7:$F$506)*(IF('Gastos com Pessoal'!$M$7:$M$506&lt;=AY$3,1,0))*OFFSET('Gastos com Pessoal'!$H$6,1,MATCH(2&amp;$B48,'Gastos com Pessoal'!$I$532:$AJ$532&amp;'Gastos com Pessoal'!$I$6:$AJ$6,0),500,1)),0)
+_xlfn.IFNA(SUM((AY$3&gt;='Gastos com Pessoal'!$E$7:$E$506)*(AY$3&lt;='Gastos com Pessoal'!$F$7:$F$506)*(IF('Gastos com Pessoal'!$S$7:$S$506&lt;=AY$3,1,0))*OFFSET('Gastos com Pessoal'!$H$6,1,MATCH(3&amp;$B48,'Gastos com Pessoal'!$I$532:$AJ$532&amp;'Gastos com Pessoal'!$I$6:$AJ$6,0),500,1)),0)
+_xlfn.IFNA(SUM((AY$3&gt;='Gastos com Pessoal'!$E$7:$E$506)*(AY$3&lt;='Gastos com Pessoal'!$F$7:$F$506)*(IF('Gastos com Pessoal'!$Y$7:$Y$506&lt;=AY$3,1,0))*OFFSET('Gastos com Pessoal'!$H$6,1,MATCH(4&amp;$B48,'Gastos com Pessoal'!$I$532:$AJ$532&amp;'Gastos com Pessoal'!$I$6:$AJ$6,0),500,1)),0)
+_xlfn.IFNA(SUM((AY$3&gt;='Gastos com Pessoal'!$E$7:$E$506)*(AY$3&lt;='Gastos com Pessoal'!$F$7:$F$506)*(IF('Gastos com Pessoal'!$AE$7:$AE$506&lt;=AY$3,1,0))*OFFSET('Gastos com Pessoal'!$H$6,1,MATCH(5&amp;$B48,'Gastos com Pessoal'!$I$532:$AJ$532&amp;'Gastos com Pessoal'!$I$6:$AJ$6,0),500,1)),0)
+_xlfn.IFNA(SUM((AY$3&gt;='Gastos com Pessoal'!$E$513:$E$522)*(AY$3&lt;='Gastos com Pessoal'!$F$513:$F$522)*(IF('Gastos com Pessoal'!$G$513:$G$522&lt;=AY$3,1,0))*OFFSET('Gastos com Pessoal'!$H$512,1,MATCH(1&amp;$B48,'Gastos com Pessoal'!$I$532:$AJ$532&amp;'Gastos com Pessoal'!$I$512:$AJ$512,0),10,1)),0)
+_xlfn.IFNA(SUM((AY$3&gt;='Gastos com Pessoal'!$E$513:$E$522)*(AY$3&lt;='Gastos com Pessoal'!$F$513:$F$522)*(IF('Gastos com Pessoal'!$M$513:$M$522&lt;=AY$3,1,0))*OFFSET('Gastos com Pessoal'!$H$512,1,MATCH(2&amp;$B48,'Gastos com Pessoal'!$I$532:$AJ$532&amp;'Gastos com Pessoal'!$I$512:$AJ$512,0),10,1)),0)
+_xlfn.IFNA(SUM((AY$3&gt;='Gastos com Pessoal'!$E$513:$E$522)*(AY$3&lt;='Gastos com Pessoal'!$F$513:$F$522)*(IF('Gastos com Pessoal'!$S$513:$S$522&lt;=AY$3,1,0))*OFFSET('Gastos com Pessoal'!$H$512,1,MATCH(3&amp;$B48,'Gastos com Pessoal'!$I$532:$AJ$532&amp;'Gastos com Pessoal'!$I$512:$AJ$512,0),10,1)),0)
+_xlfn.IFNA(SUM((AY$3&gt;='Gastos com Pessoal'!$E$513:$E$522)*(AY$3&lt;='Gastos com Pessoal'!$F$513:$F$522)*(IF('Gastos com Pessoal'!$Y$513:$Y$522&lt;=AY$3,1,0))*OFFSET('Gastos com Pessoal'!$H$512,1,MATCH(4&amp;$B48,'Gastos com Pessoal'!$I$532:$AJ$532&amp;'Gastos com Pessoal'!$I$512:$AJ$512,0),10,1)),0)
+_xlfn.IFNA(SUM((AY$3&gt;='Gastos com Pessoal'!$E$513:$E$522)*(AY$3&lt;='Gastos com Pessoal'!$F$513:$F$522)*(IF('Gastos com Pessoal'!$AE$513:$AE$522&lt;=AY$3,1,0))*OFFSET('Gastos com Pessoal'!$H$512,1,MATCH(5&amp;$B48,'Gastos com Pessoal'!$I$532:$AJ$532&amp;'Gastos com Pessoal'!$I$512:$AJ$512,0),10,1)),0)</f>
        <v>0</v>
      </c>
      <c r="AZ48" s="32">
        <f t="array" aca="1" ref="AZ48" ca="1">_xlfn.IFNA(SUM((AZ$3&gt;='Gastos com Pessoal'!$E$7:$E$506)*(AZ$3&lt;='Gastos com Pessoal'!$F$7:$F$506)*OFFSET('Encargos e Benefícios'!$D$5,1,MATCH($B48,'Encargos e Benefícios'!$E$5:$AB$5,0),500,1)),0)
+_xlfn.IFNA(SUM((AZ$3&gt;='Gastos com Pessoal'!$E$513:$E$522)*(AZ$3&lt;='Gastos com Pessoal'!$F$513:$F$522)*OFFSET('Encargos e Benefícios'!$D$511,1,MATCH($B48,'Encargos e Benefícios'!$E$511:$AB$511,0),10,1)),0)
+_xlfn.IFNA(SUM((AZ$3&gt;='Gastos com Pessoal'!$E$7:$E$506)*(AZ$3&lt;='Gastos com Pessoal'!$F$7:$F$506)*(IF('Gastos com Pessoal'!$G$7:$G$506&lt;=AZ$3,1,0))*OFFSET('Gastos com Pessoal'!$H$6,1,MATCH(1&amp;$B48,'Gastos com Pessoal'!$I$532:$AJ$532&amp;'Gastos com Pessoal'!$I$6:$AJ$6,0),500,1)),0)
+_xlfn.IFNA(SUM((AZ$3&gt;='Gastos com Pessoal'!$E$7:$E$506)*(AZ$3&lt;='Gastos com Pessoal'!$F$7:$F$506)*(IF('Gastos com Pessoal'!$M$7:$M$506&lt;=AZ$3,1,0))*OFFSET('Gastos com Pessoal'!$H$6,1,MATCH(2&amp;$B48,'Gastos com Pessoal'!$I$532:$AJ$532&amp;'Gastos com Pessoal'!$I$6:$AJ$6,0),500,1)),0)
+_xlfn.IFNA(SUM((AZ$3&gt;='Gastos com Pessoal'!$E$7:$E$506)*(AZ$3&lt;='Gastos com Pessoal'!$F$7:$F$506)*(IF('Gastos com Pessoal'!$S$7:$S$506&lt;=AZ$3,1,0))*OFFSET('Gastos com Pessoal'!$H$6,1,MATCH(3&amp;$B48,'Gastos com Pessoal'!$I$532:$AJ$532&amp;'Gastos com Pessoal'!$I$6:$AJ$6,0),500,1)),0)
+_xlfn.IFNA(SUM((AZ$3&gt;='Gastos com Pessoal'!$E$7:$E$506)*(AZ$3&lt;='Gastos com Pessoal'!$F$7:$F$506)*(IF('Gastos com Pessoal'!$Y$7:$Y$506&lt;=AZ$3,1,0))*OFFSET('Gastos com Pessoal'!$H$6,1,MATCH(4&amp;$B48,'Gastos com Pessoal'!$I$532:$AJ$532&amp;'Gastos com Pessoal'!$I$6:$AJ$6,0),500,1)),0)
+_xlfn.IFNA(SUM((AZ$3&gt;='Gastos com Pessoal'!$E$7:$E$506)*(AZ$3&lt;='Gastos com Pessoal'!$F$7:$F$506)*(IF('Gastos com Pessoal'!$AE$7:$AE$506&lt;=AZ$3,1,0))*OFFSET('Gastos com Pessoal'!$H$6,1,MATCH(5&amp;$B48,'Gastos com Pessoal'!$I$532:$AJ$532&amp;'Gastos com Pessoal'!$I$6:$AJ$6,0),500,1)),0)
+_xlfn.IFNA(SUM((AZ$3&gt;='Gastos com Pessoal'!$E$513:$E$522)*(AZ$3&lt;='Gastos com Pessoal'!$F$513:$F$522)*(IF('Gastos com Pessoal'!$G$513:$G$522&lt;=AZ$3,1,0))*OFFSET('Gastos com Pessoal'!$H$512,1,MATCH(1&amp;$B48,'Gastos com Pessoal'!$I$532:$AJ$532&amp;'Gastos com Pessoal'!$I$512:$AJ$512,0),10,1)),0)
+_xlfn.IFNA(SUM((AZ$3&gt;='Gastos com Pessoal'!$E$513:$E$522)*(AZ$3&lt;='Gastos com Pessoal'!$F$513:$F$522)*(IF('Gastos com Pessoal'!$M$513:$M$522&lt;=AZ$3,1,0))*OFFSET('Gastos com Pessoal'!$H$512,1,MATCH(2&amp;$B48,'Gastos com Pessoal'!$I$532:$AJ$532&amp;'Gastos com Pessoal'!$I$512:$AJ$512,0),10,1)),0)
+_xlfn.IFNA(SUM((AZ$3&gt;='Gastos com Pessoal'!$E$513:$E$522)*(AZ$3&lt;='Gastos com Pessoal'!$F$513:$F$522)*(IF('Gastos com Pessoal'!$S$513:$S$522&lt;=AZ$3,1,0))*OFFSET('Gastos com Pessoal'!$H$512,1,MATCH(3&amp;$B48,'Gastos com Pessoal'!$I$532:$AJ$532&amp;'Gastos com Pessoal'!$I$512:$AJ$512,0),10,1)),0)
+_xlfn.IFNA(SUM((AZ$3&gt;='Gastos com Pessoal'!$E$513:$E$522)*(AZ$3&lt;='Gastos com Pessoal'!$F$513:$F$522)*(IF('Gastos com Pessoal'!$Y$513:$Y$522&lt;=AZ$3,1,0))*OFFSET('Gastos com Pessoal'!$H$512,1,MATCH(4&amp;$B48,'Gastos com Pessoal'!$I$532:$AJ$532&amp;'Gastos com Pessoal'!$I$512:$AJ$512,0),10,1)),0)
+_xlfn.IFNA(SUM((AZ$3&gt;='Gastos com Pessoal'!$E$513:$E$522)*(AZ$3&lt;='Gastos com Pessoal'!$F$513:$F$522)*(IF('Gastos com Pessoal'!$AE$513:$AE$522&lt;=AZ$3,1,0))*OFFSET('Gastos com Pessoal'!$H$512,1,MATCH(5&amp;$B48,'Gastos com Pessoal'!$I$532:$AJ$532&amp;'Gastos com Pessoal'!$I$512:$AJ$512,0),10,1)),0)</f>
        <v>0</v>
      </c>
      <c r="BA48" s="32">
        <f t="array" aca="1" ref="BA48" ca="1">_xlfn.IFNA(SUM((BA$3&gt;='Gastos com Pessoal'!$E$7:$E$506)*(BA$3&lt;='Gastos com Pessoal'!$F$7:$F$506)*OFFSET('Encargos e Benefícios'!$D$5,1,MATCH($B48,'Encargos e Benefícios'!$E$5:$AB$5,0),500,1)),0)
+_xlfn.IFNA(SUM((BA$3&gt;='Gastos com Pessoal'!$E$513:$E$522)*(BA$3&lt;='Gastos com Pessoal'!$F$513:$F$522)*OFFSET('Encargos e Benefícios'!$D$511,1,MATCH($B48,'Encargos e Benefícios'!$E$511:$AB$511,0),10,1)),0)
+_xlfn.IFNA(SUM((BA$3&gt;='Gastos com Pessoal'!$E$7:$E$506)*(BA$3&lt;='Gastos com Pessoal'!$F$7:$F$506)*(IF('Gastos com Pessoal'!$G$7:$G$506&lt;=BA$3,1,0))*OFFSET('Gastos com Pessoal'!$H$6,1,MATCH(1&amp;$B48,'Gastos com Pessoal'!$I$532:$AJ$532&amp;'Gastos com Pessoal'!$I$6:$AJ$6,0),500,1)),0)
+_xlfn.IFNA(SUM((BA$3&gt;='Gastos com Pessoal'!$E$7:$E$506)*(BA$3&lt;='Gastos com Pessoal'!$F$7:$F$506)*(IF('Gastos com Pessoal'!$M$7:$M$506&lt;=BA$3,1,0))*OFFSET('Gastos com Pessoal'!$H$6,1,MATCH(2&amp;$B48,'Gastos com Pessoal'!$I$532:$AJ$532&amp;'Gastos com Pessoal'!$I$6:$AJ$6,0),500,1)),0)
+_xlfn.IFNA(SUM((BA$3&gt;='Gastos com Pessoal'!$E$7:$E$506)*(BA$3&lt;='Gastos com Pessoal'!$F$7:$F$506)*(IF('Gastos com Pessoal'!$S$7:$S$506&lt;=BA$3,1,0))*OFFSET('Gastos com Pessoal'!$H$6,1,MATCH(3&amp;$B48,'Gastos com Pessoal'!$I$532:$AJ$532&amp;'Gastos com Pessoal'!$I$6:$AJ$6,0),500,1)),0)
+_xlfn.IFNA(SUM((BA$3&gt;='Gastos com Pessoal'!$E$7:$E$506)*(BA$3&lt;='Gastos com Pessoal'!$F$7:$F$506)*(IF('Gastos com Pessoal'!$Y$7:$Y$506&lt;=BA$3,1,0))*OFFSET('Gastos com Pessoal'!$H$6,1,MATCH(4&amp;$B48,'Gastos com Pessoal'!$I$532:$AJ$532&amp;'Gastos com Pessoal'!$I$6:$AJ$6,0),500,1)),0)
+_xlfn.IFNA(SUM((BA$3&gt;='Gastos com Pessoal'!$E$7:$E$506)*(BA$3&lt;='Gastos com Pessoal'!$F$7:$F$506)*(IF('Gastos com Pessoal'!$AE$7:$AE$506&lt;=BA$3,1,0))*OFFSET('Gastos com Pessoal'!$H$6,1,MATCH(5&amp;$B48,'Gastos com Pessoal'!$I$532:$AJ$532&amp;'Gastos com Pessoal'!$I$6:$AJ$6,0),500,1)),0)
+_xlfn.IFNA(SUM((BA$3&gt;='Gastos com Pessoal'!$E$513:$E$522)*(BA$3&lt;='Gastos com Pessoal'!$F$513:$F$522)*(IF('Gastos com Pessoal'!$G$513:$G$522&lt;=BA$3,1,0))*OFFSET('Gastos com Pessoal'!$H$512,1,MATCH(1&amp;$B48,'Gastos com Pessoal'!$I$532:$AJ$532&amp;'Gastos com Pessoal'!$I$512:$AJ$512,0),10,1)),0)
+_xlfn.IFNA(SUM((BA$3&gt;='Gastos com Pessoal'!$E$513:$E$522)*(BA$3&lt;='Gastos com Pessoal'!$F$513:$F$522)*(IF('Gastos com Pessoal'!$M$513:$M$522&lt;=BA$3,1,0))*OFFSET('Gastos com Pessoal'!$H$512,1,MATCH(2&amp;$B48,'Gastos com Pessoal'!$I$532:$AJ$532&amp;'Gastos com Pessoal'!$I$512:$AJ$512,0),10,1)),0)
+_xlfn.IFNA(SUM((BA$3&gt;='Gastos com Pessoal'!$E$513:$E$522)*(BA$3&lt;='Gastos com Pessoal'!$F$513:$F$522)*(IF('Gastos com Pessoal'!$S$513:$S$522&lt;=BA$3,1,0))*OFFSET('Gastos com Pessoal'!$H$512,1,MATCH(3&amp;$B48,'Gastos com Pessoal'!$I$532:$AJ$532&amp;'Gastos com Pessoal'!$I$512:$AJ$512,0),10,1)),0)
+_xlfn.IFNA(SUM((BA$3&gt;='Gastos com Pessoal'!$E$513:$E$522)*(BA$3&lt;='Gastos com Pessoal'!$F$513:$F$522)*(IF('Gastos com Pessoal'!$Y$513:$Y$522&lt;=BA$3,1,0))*OFFSET('Gastos com Pessoal'!$H$512,1,MATCH(4&amp;$B48,'Gastos com Pessoal'!$I$532:$AJ$532&amp;'Gastos com Pessoal'!$I$512:$AJ$512,0),10,1)),0)
+_xlfn.IFNA(SUM((BA$3&gt;='Gastos com Pessoal'!$E$513:$E$522)*(BA$3&lt;='Gastos com Pessoal'!$F$513:$F$522)*(IF('Gastos com Pessoal'!$AE$513:$AE$522&lt;=BA$3,1,0))*OFFSET('Gastos com Pessoal'!$H$512,1,MATCH(5&amp;$B48,'Gastos com Pessoal'!$I$532:$AJ$532&amp;'Gastos com Pessoal'!$I$512:$AJ$512,0),10,1)),0)</f>
        <v>0</v>
      </c>
      <c r="BB48" s="32">
        <f t="array" aca="1" ref="BB48" ca="1">_xlfn.IFNA(SUM((BB$3&gt;='Gastos com Pessoal'!$E$7:$E$506)*(BB$3&lt;='Gastos com Pessoal'!$F$7:$F$506)*OFFSET('Encargos e Benefícios'!$D$5,1,MATCH($B48,'Encargos e Benefícios'!$E$5:$AB$5,0),500,1)),0)
+_xlfn.IFNA(SUM((BB$3&gt;='Gastos com Pessoal'!$E$513:$E$522)*(BB$3&lt;='Gastos com Pessoal'!$F$513:$F$522)*OFFSET('Encargos e Benefícios'!$D$511,1,MATCH($B48,'Encargos e Benefícios'!$E$511:$AB$511,0),10,1)),0)
+_xlfn.IFNA(SUM((BB$3&gt;='Gastos com Pessoal'!$E$7:$E$506)*(BB$3&lt;='Gastos com Pessoal'!$F$7:$F$506)*(IF('Gastos com Pessoal'!$G$7:$G$506&lt;=BB$3,1,0))*OFFSET('Gastos com Pessoal'!$H$6,1,MATCH(1&amp;$B48,'Gastos com Pessoal'!$I$532:$AJ$532&amp;'Gastos com Pessoal'!$I$6:$AJ$6,0),500,1)),0)
+_xlfn.IFNA(SUM((BB$3&gt;='Gastos com Pessoal'!$E$7:$E$506)*(BB$3&lt;='Gastos com Pessoal'!$F$7:$F$506)*(IF('Gastos com Pessoal'!$M$7:$M$506&lt;=BB$3,1,0))*OFFSET('Gastos com Pessoal'!$H$6,1,MATCH(2&amp;$B48,'Gastos com Pessoal'!$I$532:$AJ$532&amp;'Gastos com Pessoal'!$I$6:$AJ$6,0),500,1)),0)
+_xlfn.IFNA(SUM((BB$3&gt;='Gastos com Pessoal'!$E$7:$E$506)*(BB$3&lt;='Gastos com Pessoal'!$F$7:$F$506)*(IF('Gastos com Pessoal'!$S$7:$S$506&lt;=BB$3,1,0))*OFFSET('Gastos com Pessoal'!$H$6,1,MATCH(3&amp;$B48,'Gastos com Pessoal'!$I$532:$AJ$532&amp;'Gastos com Pessoal'!$I$6:$AJ$6,0),500,1)),0)
+_xlfn.IFNA(SUM((BB$3&gt;='Gastos com Pessoal'!$E$7:$E$506)*(BB$3&lt;='Gastos com Pessoal'!$F$7:$F$506)*(IF('Gastos com Pessoal'!$Y$7:$Y$506&lt;=BB$3,1,0))*OFFSET('Gastos com Pessoal'!$H$6,1,MATCH(4&amp;$B48,'Gastos com Pessoal'!$I$532:$AJ$532&amp;'Gastos com Pessoal'!$I$6:$AJ$6,0),500,1)),0)
+_xlfn.IFNA(SUM((BB$3&gt;='Gastos com Pessoal'!$E$7:$E$506)*(BB$3&lt;='Gastos com Pessoal'!$F$7:$F$506)*(IF('Gastos com Pessoal'!$AE$7:$AE$506&lt;=BB$3,1,0))*OFFSET('Gastos com Pessoal'!$H$6,1,MATCH(5&amp;$B48,'Gastos com Pessoal'!$I$532:$AJ$532&amp;'Gastos com Pessoal'!$I$6:$AJ$6,0),500,1)),0)
+_xlfn.IFNA(SUM((BB$3&gt;='Gastos com Pessoal'!$E$513:$E$522)*(BB$3&lt;='Gastos com Pessoal'!$F$513:$F$522)*(IF('Gastos com Pessoal'!$G$513:$G$522&lt;=BB$3,1,0))*OFFSET('Gastos com Pessoal'!$H$512,1,MATCH(1&amp;$B48,'Gastos com Pessoal'!$I$532:$AJ$532&amp;'Gastos com Pessoal'!$I$512:$AJ$512,0),10,1)),0)
+_xlfn.IFNA(SUM((BB$3&gt;='Gastos com Pessoal'!$E$513:$E$522)*(BB$3&lt;='Gastos com Pessoal'!$F$513:$F$522)*(IF('Gastos com Pessoal'!$M$513:$M$522&lt;=BB$3,1,0))*OFFSET('Gastos com Pessoal'!$H$512,1,MATCH(2&amp;$B48,'Gastos com Pessoal'!$I$532:$AJ$532&amp;'Gastos com Pessoal'!$I$512:$AJ$512,0),10,1)),0)
+_xlfn.IFNA(SUM((BB$3&gt;='Gastos com Pessoal'!$E$513:$E$522)*(BB$3&lt;='Gastos com Pessoal'!$F$513:$F$522)*(IF('Gastos com Pessoal'!$S$513:$S$522&lt;=BB$3,1,0))*OFFSET('Gastos com Pessoal'!$H$512,1,MATCH(3&amp;$B48,'Gastos com Pessoal'!$I$532:$AJ$532&amp;'Gastos com Pessoal'!$I$512:$AJ$512,0),10,1)),0)
+_xlfn.IFNA(SUM((BB$3&gt;='Gastos com Pessoal'!$E$513:$E$522)*(BB$3&lt;='Gastos com Pessoal'!$F$513:$F$522)*(IF('Gastos com Pessoal'!$Y$513:$Y$522&lt;=BB$3,1,0))*OFFSET('Gastos com Pessoal'!$H$512,1,MATCH(4&amp;$B48,'Gastos com Pessoal'!$I$532:$AJ$532&amp;'Gastos com Pessoal'!$I$512:$AJ$512,0),10,1)),0)
+_xlfn.IFNA(SUM((BB$3&gt;='Gastos com Pessoal'!$E$513:$E$522)*(BB$3&lt;='Gastos com Pessoal'!$F$513:$F$522)*(IF('Gastos com Pessoal'!$AE$513:$AE$522&lt;=BB$3,1,0))*OFFSET('Gastos com Pessoal'!$H$512,1,MATCH(5&amp;$B48,'Gastos com Pessoal'!$I$532:$AJ$532&amp;'Gastos com Pessoal'!$I$512:$AJ$512,0),10,1)),0)</f>
        <v>0</v>
      </c>
      <c r="BC48" s="32">
        <f t="array" aca="1" ref="BC48" ca="1">_xlfn.IFNA(SUM((BC$3&gt;='Gastos com Pessoal'!$E$7:$E$506)*(BC$3&lt;='Gastos com Pessoal'!$F$7:$F$506)*OFFSET('Encargos e Benefícios'!$D$5,1,MATCH($B48,'Encargos e Benefícios'!$E$5:$AB$5,0),500,1)),0)
+_xlfn.IFNA(SUM((BC$3&gt;='Gastos com Pessoal'!$E$513:$E$522)*(BC$3&lt;='Gastos com Pessoal'!$F$513:$F$522)*OFFSET('Encargos e Benefícios'!$D$511,1,MATCH($B48,'Encargos e Benefícios'!$E$511:$AB$511,0),10,1)),0)
+_xlfn.IFNA(SUM((BC$3&gt;='Gastos com Pessoal'!$E$7:$E$506)*(BC$3&lt;='Gastos com Pessoal'!$F$7:$F$506)*(IF('Gastos com Pessoal'!$G$7:$G$506&lt;=BC$3,1,0))*OFFSET('Gastos com Pessoal'!$H$6,1,MATCH(1&amp;$B48,'Gastos com Pessoal'!$I$532:$AJ$532&amp;'Gastos com Pessoal'!$I$6:$AJ$6,0),500,1)),0)
+_xlfn.IFNA(SUM((BC$3&gt;='Gastos com Pessoal'!$E$7:$E$506)*(BC$3&lt;='Gastos com Pessoal'!$F$7:$F$506)*(IF('Gastos com Pessoal'!$M$7:$M$506&lt;=BC$3,1,0))*OFFSET('Gastos com Pessoal'!$H$6,1,MATCH(2&amp;$B48,'Gastos com Pessoal'!$I$532:$AJ$532&amp;'Gastos com Pessoal'!$I$6:$AJ$6,0),500,1)),0)
+_xlfn.IFNA(SUM((BC$3&gt;='Gastos com Pessoal'!$E$7:$E$506)*(BC$3&lt;='Gastos com Pessoal'!$F$7:$F$506)*(IF('Gastos com Pessoal'!$S$7:$S$506&lt;=BC$3,1,0))*OFFSET('Gastos com Pessoal'!$H$6,1,MATCH(3&amp;$B48,'Gastos com Pessoal'!$I$532:$AJ$532&amp;'Gastos com Pessoal'!$I$6:$AJ$6,0),500,1)),0)
+_xlfn.IFNA(SUM((BC$3&gt;='Gastos com Pessoal'!$E$7:$E$506)*(BC$3&lt;='Gastos com Pessoal'!$F$7:$F$506)*(IF('Gastos com Pessoal'!$Y$7:$Y$506&lt;=BC$3,1,0))*OFFSET('Gastos com Pessoal'!$H$6,1,MATCH(4&amp;$B48,'Gastos com Pessoal'!$I$532:$AJ$532&amp;'Gastos com Pessoal'!$I$6:$AJ$6,0),500,1)),0)
+_xlfn.IFNA(SUM((BC$3&gt;='Gastos com Pessoal'!$E$7:$E$506)*(BC$3&lt;='Gastos com Pessoal'!$F$7:$F$506)*(IF('Gastos com Pessoal'!$AE$7:$AE$506&lt;=BC$3,1,0))*OFFSET('Gastos com Pessoal'!$H$6,1,MATCH(5&amp;$B48,'Gastos com Pessoal'!$I$532:$AJ$532&amp;'Gastos com Pessoal'!$I$6:$AJ$6,0),500,1)),0)
+_xlfn.IFNA(SUM((BC$3&gt;='Gastos com Pessoal'!$E$513:$E$522)*(BC$3&lt;='Gastos com Pessoal'!$F$513:$F$522)*(IF('Gastos com Pessoal'!$G$513:$G$522&lt;=BC$3,1,0))*OFFSET('Gastos com Pessoal'!$H$512,1,MATCH(1&amp;$B48,'Gastos com Pessoal'!$I$532:$AJ$532&amp;'Gastos com Pessoal'!$I$512:$AJ$512,0),10,1)),0)
+_xlfn.IFNA(SUM((BC$3&gt;='Gastos com Pessoal'!$E$513:$E$522)*(BC$3&lt;='Gastos com Pessoal'!$F$513:$F$522)*(IF('Gastos com Pessoal'!$M$513:$M$522&lt;=BC$3,1,0))*OFFSET('Gastos com Pessoal'!$H$512,1,MATCH(2&amp;$B48,'Gastos com Pessoal'!$I$532:$AJ$532&amp;'Gastos com Pessoal'!$I$512:$AJ$512,0),10,1)),0)
+_xlfn.IFNA(SUM((BC$3&gt;='Gastos com Pessoal'!$E$513:$E$522)*(BC$3&lt;='Gastos com Pessoal'!$F$513:$F$522)*(IF('Gastos com Pessoal'!$S$513:$S$522&lt;=BC$3,1,0))*OFFSET('Gastos com Pessoal'!$H$512,1,MATCH(3&amp;$B48,'Gastos com Pessoal'!$I$532:$AJ$532&amp;'Gastos com Pessoal'!$I$512:$AJ$512,0),10,1)),0)
+_xlfn.IFNA(SUM((BC$3&gt;='Gastos com Pessoal'!$E$513:$E$522)*(BC$3&lt;='Gastos com Pessoal'!$F$513:$F$522)*(IF('Gastos com Pessoal'!$Y$513:$Y$522&lt;=BC$3,1,0))*OFFSET('Gastos com Pessoal'!$H$512,1,MATCH(4&amp;$B48,'Gastos com Pessoal'!$I$532:$AJ$532&amp;'Gastos com Pessoal'!$I$512:$AJ$512,0),10,1)),0)
+_xlfn.IFNA(SUM((BC$3&gt;='Gastos com Pessoal'!$E$513:$E$522)*(BC$3&lt;='Gastos com Pessoal'!$F$513:$F$522)*(IF('Gastos com Pessoal'!$AE$513:$AE$522&lt;=BC$3,1,0))*OFFSET('Gastos com Pessoal'!$H$512,1,MATCH(5&amp;$B48,'Gastos com Pessoal'!$I$532:$AJ$532&amp;'Gastos com Pessoal'!$I$512:$AJ$512,0),10,1)),0)</f>
        <v>0</v>
      </c>
      <c r="BD48" s="32">
        <f t="array" aca="1" ref="BD48" ca="1">_xlfn.IFNA(SUM((BD$3&gt;='Gastos com Pessoal'!$E$7:$E$506)*(BD$3&lt;='Gastos com Pessoal'!$F$7:$F$506)*OFFSET('Encargos e Benefícios'!$D$5,1,MATCH($B48,'Encargos e Benefícios'!$E$5:$AB$5,0),500,1)),0)
+_xlfn.IFNA(SUM((BD$3&gt;='Gastos com Pessoal'!$E$513:$E$522)*(BD$3&lt;='Gastos com Pessoal'!$F$513:$F$522)*OFFSET('Encargos e Benefícios'!$D$511,1,MATCH($B48,'Encargos e Benefícios'!$E$511:$AB$511,0),10,1)),0)
+_xlfn.IFNA(SUM((BD$3&gt;='Gastos com Pessoal'!$E$7:$E$506)*(BD$3&lt;='Gastos com Pessoal'!$F$7:$F$506)*(IF('Gastos com Pessoal'!$G$7:$G$506&lt;=BD$3,1,0))*OFFSET('Gastos com Pessoal'!$H$6,1,MATCH(1&amp;$B48,'Gastos com Pessoal'!$I$532:$AJ$532&amp;'Gastos com Pessoal'!$I$6:$AJ$6,0),500,1)),0)
+_xlfn.IFNA(SUM((BD$3&gt;='Gastos com Pessoal'!$E$7:$E$506)*(BD$3&lt;='Gastos com Pessoal'!$F$7:$F$506)*(IF('Gastos com Pessoal'!$M$7:$M$506&lt;=BD$3,1,0))*OFFSET('Gastos com Pessoal'!$H$6,1,MATCH(2&amp;$B48,'Gastos com Pessoal'!$I$532:$AJ$532&amp;'Gastos com Pessoal'!$I$6:$AJ$6,0),500,1)),0)
+_xlfn.IFNA(SUM((BD$3&gt;='Gastos com Pessoal'!$E$7:$E$506)*(BD$3&lt;='Gastos com Pessoal'!$F$7:$F$506)*(IF('Gastos com Pessoal'!$S$7:$S$506&lt;=BD$3,1,0))*OFFSET('Gastos com Pessoal'!$H$6,1,MATCH(3&amp;$B48,'Gastos com Pessoal'!$I$532:$AJ$532&amp;'Gastos com Pessoal'!$I$6:$AJ$6,0),500,1)),0)
+_xlfn.IFNA(SUM((BD$3&gt;='Gastos com Pessoal'!$E$7:$E$506)*(BD$3&lt;='Gastos com Pessoal'!$F$7:$F$506)*(IF('Gastos com Pessoal'!$Y$7:$Y$506&lt;=BD$3,1,0))*OFFSET('Gastos com Pessoal'!$H$6,1,MATCH(4&amp;$B48,'Gastos com Pessoal'!$I$532:$AJ$532&amp;'Gastos com Pessoal'!$I$6:$AJ$6,0),500,1)),0)
+_xlfn.IFNA(SUM((BD$3&gt;='Gastos com Pessoal'!$E$7:$E$506)*(BD$3&lt;='Gastos com Pessoal'!$F$7:$F$506)*(IF('Gastos com Pessoal'!$AE$7:$AE$506&lt;=BD$3,1,0))*OFFSET('Gastos com Pessoal'!$H$6,1,MATCH(5&amp;$B48,'Gastos com Pessoal'!$I$532:$AJ$532&amp;'Gastos com Pessoal'!$I$6:$AJ$6,0),500,1)),0)
+_xlfn.IFNA(SUM((BD$3&gt;='Gastos com Pessoal'!$E$513:$E$522)*(BD$3&lt;='Gastos com Pessoal'!$F$513:$F$522)*(IF('Gastos com Pessoal'!$G$513:$G$522&lt;=BD$3,1,0))*OFFSET('Gastos com Pessoal'!$H$512,1,MATCH(1&amp;$B48,'Gastos com Pessoal'!$I$532:$AJ$532&amp;'Gastos com Pessoal'!$I$512:$AJ$512,0),10,1)),0)
+_xlfn.IFNA(SUM((BD$3&gt;='Gastos com Pessoal'!$E$513:$E$522)*(BD$3&lt;='Gastos com Pessoal'!$F$513:$F$522)*(IF('Gastos com Pessoal'!$M$513:$M$522&lt;=BD$3,1,0))*OFFSET('Gastos com Pessoal'!$H$512,1,MATCH(2&amp;$B48,'Gastos com Pessoal'!$I$532:$AJ$532&amp;'Gastos com Pessoal'!$I$512:$AJ$512,0),10,1)),0)
+_xlfn.IFNA(SUM((BD$3&gt;='Gastos com Pessoal'!$E$513:$E$522)*(BD$3&lt;='Gastos com Pessoal'!$F$513:$F$522)*(IF('Gastos com Pessoal'!$S$513:$S$522&lt;=BD$3,1,0))*OFFSET('Gastos com Pessoal'!$H$512,1,MATCH(3&amp;$B48,'Gastos com Pessoal'!$I$532:$AJ$532&amp;'Gastos com Pessoal'!$I$512:$AJ$512,0),10,1)),0)
+_xlfn.IFNA(SUM((BD$3&gt;='Gastos com Pessoal'!$E$513:$E$522)*(BD$3&lt;='Gastos com Pessoal'!$F$513:$F$522)*(IF('Gastos com Pessoal'!$Y$513:$Y$522&lt;=BD$3,1,0))*OFFSET('Gastos com Pessoal'!$H$512,1,MATCH(4&amp;$B48,'Gastos com Pessoal'!$I$532:$AJ$532&amp;'Gastos com Pessoal'!$I$512:$AJ$512,0),10,1)),0)
+_xlfn.IFNA(SUM((BD$3&gt;='Gastos com Pessoal'!$E$513:$E$522)*(BD$3&lt;='Gastos com Pessoal'!$F$513:$F$522)*(IF('Gastos com Pessoal'!$AE$513:$AE$522&lt;=BD$3,1,0))*OFFSET('Gastos com Pessoal'!$H$512,1,MATCH(5&amp;$B48,'Gastos com Pessoal'!$I$532:$AJ$532&amp;'Gastos com Pessoal'!$I$512:$AJ$512,0),10,1)),0)</f>
        <v>0</v>
      </c>
      <c r="BE48" s="32">
        <f t="array" aca="1" ref="BE48" ca="1">_xlfn.IFNA(SUM((BE$3&gt;='Gastos com Pessoal'!$E$7:$E$506)*(BE$3&lt;='Gastos com Pessoal'!$F$7:$F$506)*OFFSET('Encargos e Benefícios'!$D$5,1,MATCH($B48,'Encargos e Benefícios'!$E$5:$AB$5,0),500,1)),0)
+_xlfn.IFNA(SUM((BE$3&gt;='Gastos com Pessoal'!$E$513:$E$522)*(BE$3&lt;='Gastos com Pessoal'!$F$513:$F$522)*OFFSET('Encargos e Benefícios'!$D$511,1,MATCH($B48,'Encargos e Benefícios'!$E$511:$AB$511,0),10,1)),0)
+_xlfn.IFNA(SUM((BE$3&gt;='Gastos com Pessoal'!$E$7:$E$506)*(BE$3&lt;='Gastos com Pessoal'!$F$7:$F$506)*(IF('Gastos com Pessoal'!$G$7:$G$506&lt;=BE$3,1,0))*OFFSET('Gastos com Pessoal'!$H$6,1,MATCH(1&amp;$B48,'Gastos com Pessoal'!$I$532:$AJ$532&amp;'Gastos com Pessoal'!$I$6:$AJ$6,0),500,1)),0)
+_xlfn.IFNA(SUM((BE$3&gt;='Gastos com Pessoal'!$E$7:$E$506)*(BE$3&lt;='Gastos com Pessoal'!$F$7:$F$506)*(IF('Gastos com Pessoal'!$M$7:$M$506&lt;=BE$3,1,0))*OFFSET('Gastos com Pessoal'!$H$6,1,MATCH(2&amp;$B48,'Gastos com Pessoal'!$I$532:$AJ$532&amp;'Gastos com Pessoal'!$I$6:$AJ$6,0),500,1)),0)
+_xlfn.IFNA(SUM((BE$3&gt;='Gastos com Pessoal'!$E$7:$E$506)*(BE$3&lt;='Gastos com Pessoal'!$F$7:$F$506)*(IF('Gastos com Pessoal'!$S$7:$S$506&lt;=BE$3,1,0))*OFFSET('Gastos com Pessoal'!$H$6,1,MATCH(3&amp;$B48,'Gastos com Pessoal'!$I$532:$AJ$532&amp;'Gastos com Pessoal'!$I$6:$AJ$6,0),500,1)),0)
+_xlfn.IFNA(SUM((BE$3&gt;='Gastos com Pessoal'!$E$7:$E$506)*(BE$3&lt;='Gastos com Pessoal'!$F$7:$F$506)*(IF('Gastos com Pessoal'!$Y$7:$Y$506&lt;=BE$3,1,0))*OFFSET('Gastos com Pessoal'!$H$6,1,MATCH(4&amp;$B48,'Gastos com Pessoal'!$I$532:$AJ$532&amp;'Gastos com Pessoal'!$I$6:$AJ$6,0),500,1)),0)
+_xlfn.IFNA(SUM((BE$3&gt;='Gastos com Pessoal'!$E$7:$E$506)*(BE$3&lt;='Gastos com Pessoal'!$F$7:$F$506)*(IF('Gastos com Pessoal'!$AE$7:$AE$506&lt;=BE$3,1,0))*OFFSET('Gastos com Pessoal'!$H$6,1,MATCH(5&amp;$B48,'Gastos com Pessoal'!$I$532:$AJ$532&amp;'Gastos com Pessoal'!$I$6:$AJ$6,0),500,1)),0)
+_xlfn.IFNA(SUM((BE$3&gt;='Gastos com Pessoal'!$E$513:$E$522)*(BE$3&lt;='Gastos com Pessoal'!$F$513:$F$522)*(IF('Gastos com Pessoal'!$G$513:$G$522&lt;=BE$3,1,0))*OFFSET('Gastos com Pessoal'!$H$512,1,MATCH(1&amp;$B48,'Gastos com Pessoal'!$I$532:$AJ$532&amp;'Gastos com Pessoal'!$I$512:$AJ$512,0),10,1)),0)
+_xlfn.IFNA(SUM((BE$3&gt;='Gastos com Pessoal'!$E$513:$E$522)*(BE$3&lt;='Gastos com Pessoal'!$F$513:$F$522)*(IF('Gastos com Pessoal'!$M$513:$M$522&lt;=BE$3,1,0))*OFFSET('Gastos com Pessoal'!$H$512,1,MATCH(2&amp;$B48,'Gastos com Pessoal'!$I$532:$AJ$532&amp;'Gastos com Pessoal'!$I$512:$AJ$512,0),10,1)),0)
+_xlfn.IFNA(SUM((BE$3&gt;='Gastos com Pessoal'!$E$513:$E$522)*(BE$3&lt;='Gastos com Pessoal'!$F$513:$F$522)*(IF('Gastos com Pessoal'!$S$513:$S$522&lt;=BE$3,1,0))*OFFSET('Gastos com Pessoal'!$H$512,1,MATCH(3&amp;$B48,'Gastos com Pessoal'!$I$532:$AJ$532&amp;'Gastos com Pessoal'!$I$512:$AJ$512,0),10,1)),0)
+_xlfn.IFNA(SUM((BE$3&gt;='Gastos com Pessoal'!$E$513:$E$522)*(BE$3&lt;='Gastos com Pessoal'!$F$513:$F$522)*(IF('Gastos com Pessoal'!$Y$513:$Y$522&lt;=BE$3,1,0))*OFFSET('Gastos com Pessoal'!$H$512,1,MATCH(4&amp;$B48,'Gastos com Pessoal'!$I$532:$AJ$532&amp;'Gastos com Pessoal'!$I$512:$AJ$512,0),10,1)),0)
+_xlfn.IFNA(SUM((BE$3&gt;='Gastos com Pessoal'!$E$513:$E$522)*(BE$3&lt;='Gastos com Pessoal'!$F$513:$F$522)*(IF('Gastos com Pessoal'!$AE$513:$AE$522&lt;=BE$3,1,0))*OFFSET('Gastos com Pessoal'!$H$512,1,MATCH(5&amp;$B48,'Gastos com Pessoal'!$I$532:$AJ$532&amp;'Gastos com Pessoal'!$I$512:$AJ$512,0),10,1)),0)</f>
        <v>0</v>
      </c>
      <c r="BF48" s="32">
        <f t="array" aca="1" ref="BF48" ca="1">_xlfn.IFNA(SUM((BF$3&gt;='Gastos com Pessoal'!$E$7:$E$506)*(BF$3&lt;='Gastos com Pessoal'!$F$7:$F$506)*OFFSET('Encargos e Benefícios'!$D$5,1,MATCH($B48,'Encargos e Benefícios'!$E$5:$AB$5,0),500,1)),0)
+_xlfn.IFNA(SUM((BF$3&gt;='Gastos com Pessoal'!$E$513:$E$522)*(BF$3&lt;='Gastos com Pessoal'!$F$513:$F$522)*OFFSET('Encargos e Benefícios'!$D$511,1,MATCH($B48,'Encargos e Benefícios'!$E$511:$AB$511,0),10,1)),0)
+_xlfn.IFNA(SUM((BF$3&gt;='Gastos com Pessoal'!$E$7:$E$506)*(BF$3&lt;='Gastos com Pessoal'!$F$7:$F$506)*(IF('Gastos com Pessoal'!$G$7:$G$506&lt;=BF$3,1,0))*OFFSET('Gastos com Pessoal'!$H$6,1,MATCH(1&amp;$B48,'Gastos com Pessoal'!$I$532:$AJ$532&amp;'Gastos com Pessoal'!$I$6:$AJ$6,0),500,1)),0)
+_xlfn.IFNA(SUM((BF$3&gt;='Gastos com Pessoal'!$E$7:$E$506)*(BF$3&lt;='Gastos com Pessoal'!$F$7:$F$506)*(IF('Gastos com Pessoal'!$M$7:$M$506&lt;=BF$3,1,0))*OFFSET('Gastos com Pessoal'!$H$6,1,MATCH(2&amp;$B48,'Gastos com Pessoal'!$I$532:$AJ$532&amp;'Gastos com Pessoal'!$I$6:$AJ$6,0),500,1)),0)
+_xlfn.IFNA(SUM((BF$3&gt;='Gastos com Pessoal'!$E$7:$E$506)*(BF$3&lt;='Gastos com Pessoal'!$F$7:$F$506)*(IF('Gastos com Pessoal'!$S$7:$S$506&lt;=BF$3,1,0))*OFFSET('Gastos com Pessoal'!$H$6,1,MATCH(3&amp;$B48,'Gastos com Pessoal'!$I$532:$AJ$532&amp;'Gastos com Pessoal'!$I$6:$AJ$6,0),500,1)),0)
+_xlfn.IFNA(SUM((BF$3&gt;='Gastos com Pessoal'!$E$7:$E$506)*(BF$3&lt;='Gastos com Pessoal'!$F$7:$F$506)*(IF('Gastos com Pessoal'!$Y$7:$Y$506&lt;=BF$3,1,0))*OFFSET('Gastos com Pessoal'!$H$6,1,MATCH(4&amp;$B48,'Gastos com Pessoal'!$I$532:$AJ$532&amp;'Gastos com Pessoal'!$I$6:$AJ$6,0),500,1)),0)
+_xlfn.IFNA(SUM((BF$3&gt;='Gastos com Pessoal'!$E$7:$E$506)*(BF$3&lt;='Gastos com Pessoal'!$F$7:$F$506)*(IF('Gastos com Pessoal'!$AE$7:$AE$506&lt;=BF$3,1,0))*OFFSET('Gastos com Pessoal'!$H$6,1,MATCH(5&amp;$B48,'Gastos com Pessoal'!$I$532:$AJ$532&amp;'Gastos com Pessoal'!$I$6:$AJ$6,0),500,1)),0)
+_xlfn.IFNA(SUM((BF$3&gt;='Gastos com Pessoal'!$E$513:$E$522)*(BF$3&lt;='Gastos com Pessoal'!$F$513:$F$522)*(IF('Gastos com Pessoal'!$G$513:$G$522&lt;=BF$3,1,0))*OFFSET('Gastos com Pessoal'!$H$512,1,MATCH(1&amp;$B48,'Gastos com Pessoal'!$I$532:$AJ$532&amp;'Gastos com Pessoal'!$I$512:$AJ$512,0),10,1)),0)
+_xlfn.IFNA(SUM((BF$3&gt;='Gastos com Pessoal'!$E$513:$E$522)*(BF$3&lt;='Gastos com Pessoal'!$F$513:$F$522)*(IF('Gastos com Pessoal'!$M$513:$M$522&lt;=BF$3,1,0))*OFFSET('Gastos com Pessoal'!$H$512,1,MATCH(2&amp;$B48,'Gastos com Pessoal'!$I$532:$AJ$532&amp;'Gastos com Pessoal'!$I$512:$AJ$512,0),10,1)),0)
+_xlfn.IFNA(SUM((BF$3&gt;='Gastos com Pessoal'!$E$513:$E$522)*(BF$3&lt;='Gastos com Pessoal'!$F$513:$F$522)*(IF('Gastos com Pessoal'!$S$513:$S$522&lt;=BF$3,1,0))*OFFSET('Gastos com Pessoal'!$H$512,1,MATCH(3&amp;$B48,'Gastos com Pessoal'!$I$532:$AJ$532&amp;'Gastos com Pessoal'!$I$512:$AJ$512,0),10,1)),0)
+_xlfn.IFNA(SUM((BF$3&gt;='Gastos com Pessoal'!$E$513:$E$522)*(BF$3&lt;='Gastos com Pessoal'!$F$513:$F$522)*(IF('Gastos com Pessoal'!$Y$513:$Y$522&lt;=BF$3,1,0))*OFFSET('Gastos com Pessoal'!$H$512,1,MATCH(4&amp;$B48,'Gastos com Pessoal'!$I$532:$AJ$532&amp;'Gastos com Pessoal'!$I$512:$AJ$512,0),10,1)),0)
+_xlfn.IFNA(SUM((BF$3&gt;='Gastos com Pessoal'!$E$513:$E$522)*(BF$3&lt;='Gastos com Pessoal'!$F$513:$F$522)*(IF('Gastos com Pessoal'!$AE$513:$AE$522&lt;=BF$3,1,0))*OFFSET('Gastos com Pessoal'!$H$512,1,MATCH(5&amp;$B48,'Gastos com Pessoal'!$I$532:$AJ$532&amp;'Gastos com Pessoal'!$I$512:$AJ$512,0),10,1)),0)</f>
        <v>0</v>
      </c>
      <c r="BG48" s="32">
        <f t="array" aca="1" ref="BG48" ca="1">_xlfn.IFNA(SUM((BG$3&gt;='Gastos com Pessoal'!$E$7:$E$506)*(BG$3&lt;='Gastos com Pessoal'!$F$7:$F$506)*OFFSET('Encargos e Benefícios'!$D$5,1,MATCH($B48,'Encargos e Benefícios'!$E$5:$AB$5,0),500,1)),0)
+_xlfn.IFNA(SUM((BG$3&gt;='Gastos com Pessoal'!$E$513:$E$522)*(BG$3&lt;='Gastos com Pessoal'!$F$513:$F$522)*OFFSET('Encargos e Benefícios'!$D$511,1,MATCH($B48,'Encargos e Benefícios'!$E$511:$AB$511,0),10,1)),0)
+_xlfn.IFNA(SUM((BG$3&gt;='Gastos com Pessoal'!$E$7:$E$506)*(BG$3&lt;='Gastos com Pessoal'!$F$7:$F$506)*(IF('Gastos com Pessoal'!$G$7:$G$506&lt;=BG$3,1,0))*OFFSET('Gastos com Pessoal'!$H$6,1,MATCH(1&amp;$B48,'Gastos com Pessoal'!$I$532:$AJ$532&amp;'Gastos com Pessoal'!$I$6:$AJ$6,0),500,1)),0)
+_xlfn.IFNA(SUM((BG$3&gt;='Gastos com Pessoal'!$E$7:$E$506)*(BG$3&lt;='Gastos com Pessoal'!$F$7:$F$506)*(IF('Gastos com Pessoal'!$M$7:$M$506&lt;=BG$3,1,0))*OFFSET('Gastos com Pessoal'!$H$6,1,MATCH(2&amp;$B48,'Gastos com Pessoal'!$I$532:$AJ$532&amp;'Gastos com Pessoal'!$I$6:$AJ$6,0),500,1)),0)
+_xlfn.IFNA(SUM((BG$3&gt;='Gastos com Pessoal'!$E$7:$E$506)*(BG$3&lt;='Gastos com Pessoal'!$F$7:$F$506)*(IF('Gastos com Pessoal'!$S$7:$S$506&lt;=BG$3,1,0))*OFFSET('Gastos com Pessoal'!$H$6,1,MATCH(3&amp;$B48,'Gastos com Pessoal'!$I$532:$AJ$532&amp;'Gastos com Pessoal'!$I$6:$AJ$6,0),500,1)),0)
+_xlfn.IFNA(SUM((BG$3&gt;='Gastos com Pessoal'!$E$7:$E$506)*(BG$3&lt;='Gastos com Pessoal'!$F$7:$F$506)*(IF('Gastos com Pessoal'!$Y$7:$Y$506&lt;=BG$3,1,0))*OFFSET('Gastos com Pessoal'!$H$6,1,MATCH(4&amp;$B48,'Gastos com Pessoal'!$I$532:$AJ$532&amp;'Gastos com Pessoal'!$I$6:$AJ$6,0),500,1)),0)
+_xlfn.IFNA(SUM((BG$3&gt;='Gastos com Pessoal'!$E$7:$E$506)*(BG$3&lt;='Gastos com Pessoal'!$F$7:$F$506)*(IF('Gastos com Pessoal'!$AE$7:$AE$506&lt;=BG$3,1,0))*OFFSET('Gastos com Pessoal'!$H$6,1,MATCH(5&amp;$B48,'Gastos com Pessoal'!$I$532:$AJ$532&amp;'Gastos com Pessoal'!$I$6:$AJ$6,0),500,1)),0)
+_xlfn.IFNA(SUM((BG$3&gt;='Gastos com Pessoal'!$E$513:$E$522)*(BG$3&lt;='Gastos com Pessoal'!$F$513:$F$522)*(IF('Gastos com Pessoal'!$G$513:$G$522&lt;=BG$3,1,0))*OFFSET('Gastos com Pessoal'!$H$512,1,MATCH(1&amp;$B48,'Gastos com Pessoal'!$I$532:$AJ$532&amp;'Gastos com Pessoal'!$I$512:$AJ$512,0),10,1)),0)
+_xlfn.IFNA(SUM((BG$3&gt;='Gastos com Pessoal'!$E$513:$E$522)*(BG$3&lt;='Gastos com Pessoal'!$F$513:$F$522)*(IF('Gastos com Pessoal'!$M$513:$M$522&lt;=BG$3,1,0))*OFFSET('Gastos com Pessoal'!$H$512,1,MATCH(2&amp;$B48,'Gastos com Pessoal'!$I$532:$AJ$532&amp;'Gastos com Pessoal'!$I$512:$AJ$512,0),10,1)),0)
+_xlfn.IFNA(SUM((BG$3&gt;='Gastos com Pessoal'!$E$513:$E$522)*(BG$3&lt;='Gastos com Pessoal'!$F$513:$F$522)*(IF('Gastos com Pessoal'!$S$513:$S$522&lt;=BG$3,1,0))*OFFSET('Gastos com Pessoal'!$H$512,1,MATCH(3&amp;$B48,'Gastos com Pessoal'!$I$532:$AJ$532&amp;'Gastos com Pessoal'!$I$512:$AJ$512,0),10,1)),0)
+_xlfn.IFNA(SUM((BG$3&gt;='Gastos com Pessoal'!$E$513:$E$522)*(BG$3&lt;='Gastos com Pessoal'!$F$513:$F$522)*(IF('Gastos com Pessoal'!$Y$513:$Y$522&lt;=BG$3,1,0))*OFFSET('Gastos com Pessoal'!$H$512,1,MATCH(4&amp;$B48,'Gastos com Pessoal'!$I$532:$AJ$532&amp;'Gastos com Pessoal'!$I$512:$AJ$512,0),10,1)),0)
+_xlfn.IFNA(SUM((BG$3&gt;='Gastos com Pessoal'!$E$513:$E$522)*(BG$3&lt;='Gastos com Pessoal'!$F$513:$F$522)*(IF('Gastos com Pessoal'!$AE$513:$AE$522&lt;=BG$3,1,0))*OFFSET('Gastos com Pessoal'!$H$512,1,MATCH(5&amp;$B48,'Gastos com Pessoal'!$I$532:$AJ$532&amp;'Gastos com Pessoal'!$I$512:$AJ$512,0),10,1)),0)</f>
        <v>0</v>
      </c>
      <c r="BH48" s="32">
        <f t="array" aca="1" ref="BH48" ca="1">_xlfn.IFNA(SUM((BH$3&gt;='Gastos com Pessoal'!$E$7:$E$506)*(BH$3&lt;='Gastos com Pessoal'!$F$7:$F$506)*OFFSET('Encargos e Benefícios'!$D$5,1,MATCH($B48,'Encargos e Benefícios'!$E$5:$AB$5,0),500,1)),0)
+_xlfn.IFNA(SUM((BH$3&gt;='Gastos com Pessoal'!$E$513:$E$522)*(BH$3&lt;='Gastos com Pessoal'!$F$513:$F$522)*OFFSET('Encargos e Benefícios'!$D$511,1,MATCH($B48,'Encargos e Benefícios'!$E$511:$AB$511,0),10,1)),0)
+_xlfn.IFNA(SUM((BH$3&gt;='Gastos com Pessoal'!$E$7:$E$506)*(BH$3&lt;='Gastos com Pessoal'!$F$7:$F$506)*(IF('Gastos com Pessoal'!$G$7:$G$506&lt;=BH$3,1,0))*OFFSET('Gastos com Pessoal'!$H$6,1,MATCH(1&amp;$B48,'Gastos com Pessoal'!$I$532:$AJ$532&amp;'Gastos com Pessoal'!$I$6:$AJ$6,0),500,1)),0)
+_xlfn.IFNA(SUM((BH$3&gt;='Gastos com Pessoal'!$E$7:$E$506)*(BH$3&lt;='Gastos com Pessoal'!$F$7:$F$506)*(IF('Gastos com Pessoal'!$M$7:$M$506&lt;=BH$3,1,0))*OFFSET('Gastos com Pessoal'!$H$6,1,MATCH(2&amp;$B48,'Gastos com Pessoal'!$I$532:$AJ$532&amp;'Gastos com Pessoal'!$I$6:$AJ$6,0),500,1)),0)
+_xlfn.IFNA(SUM((BH$3&gt;='Gastos com Pessoal'!$E$7:$E$506)*(BH$3&lt;='Gastos com Pessoal'!$F$7:$F$506)*(IF('Gastos com Pessoal'!$S$7:$S$506&lt;=BH$3,1,0))*OFFSET('Gastos com Pessoal'!$H$6,1,MATCH(3&amp;$B48,'Gastos com Pessoal'!$I$532:$AJ$532&amp;'Gastos com Pessoal'!$I$6:$AJ$6,0),500,1)),0)
+_xlfn.IFNA(SUM((BH$3&gt;='Gastos com Pessoal'!$E$7:$E$506)*(BH$3&lt;='Gastos com Pessoal'!$F$7:$F$506)*(IF('Gastos com Pessoal'!$Y$7:$Y$506&lt;=BH$3,1,0))*OFFSET('Gastos com Pessoal'!$H$6,1,MATCH(4&amp;$B48,'Gastos com Pessoal'!$I$532:$AJ$532&amp;'Gastos com Pessoal'!$I$6:$AJ$6,0),500,1)),0)
+_xlfn.IFNA(SUM((BH$3&gt;='Gastos com Pessoal'!$E$7:$E$506)*(BH$3&lt;='Gastos com Pessoal'!$F$7:$F$506)*(IF('Gastos com Pessoal'!$AE$7:$AE$506&lt;=BH$3,1,0))*OFFSET('Gastos com Pessoal'!$H$6,1,MATCH(5&amp;$B48,'Gastos com Pessoal'!$I$532:$AJ$532&amp;'Gastos com Pessoal'!$I$6:$AJ$6,0),500,1)),0)
+_xlfn.IFNA(SUM((BH$3&gt;='Gastos com Pessoal'!$E$513:$E$522)*(BH$3&lt;='Gastos com Pessoal'!$F$513:$F$522)*(IF('Gastos com Pessoal'!$G$513:$G$522&lt;=BH$3,1,0))*OFFSET('Gastos com Pessoal'!$H$512,1,MATCH(1&amp;$B48,'Gastos com Pessoal'!$I$532:$AJ$532&amp;'Gastos com Pessoal'!$I$512:$AJ$512,0),10,1)),0)
+_xlfn.IFNA(SUM((BH$3&gt;='Gastos com Pessoal'!$E$513:$E$522)*(BH$3&lt;='Gastos com Pessoal'!$F$513:$F$522)*(IF('Gastos com Pessoal'!$M$513:$M$522&lt;=BH$3,1,0))*OFFSET('Gastos com Pessoal'!$H$512,1,MATCH(2&amp;$B48,'Gastos com Pessoal'!$I$532:$AJ$532&amp;'Gastos com Pessoal'!$I$512:$AJ$512,0),10,1)),0)
+_xlfn.IFNA(SUM((BH$3&gt;='Gastos com Pessoal'!$E$513:$E$522)*(BH$3&lt;='Gastos com Pessoal'!$F$513:$F$522)*(IF('Gastos com Pessoal'!$S$513:$S$522&lt;=BH$3,1,0))*OFFSET('Gastos com Pessoal'!$H$512,1,MATCH(3&amp;$B48,'Gastos com Pessoal'!$I$532:$AJ$532&amp;'Gastos com Pessoal'!$I$512:$AJ$512,0),10,1)),0)
+_xlfn.IFNA(SUM((BH$3&gt;='Gastos com Pessoal'!$E$513:$E$522)*(BH$3&lt;='Gastos com Pessoal'!$F$513:$F$522)*(IF('Gastos com Pessoal'!$Y$513:$Y$522&lt;=BH$3,1,0))*OFFSET('Gastos com Pessoal'!$H$512,1,MATCH(4&amp;$B48,'Gastos com Pessoal'!$I$532:$AJ$532&amp;'Gastos com Pessoal'!$I$512:$AJ$512,0),10,1)),0)
+_xlfn.IFNA(SUM((BH$3&gt;='Gastos com Pessoal'!$E$513:$E$522)*(BH$3&lt;='Gastos com Pessoal'!$F$513:$F$522)*(IF('Gastos com Pessoal'!$AE$513:$AE$522&lt;=BH$3,1,0))*OFFSET('Gastos com Pessoal'!$H$512,1,MATCH(5&amp;$B48,'Gastos com Pessoal'!$I$532:$AJ$532&amp;'Gastos com Pessoal'!$I$512:$AJ$512,0),10,1)),0)</f>
        <v>0</v>
      </c>
      <c r="BI48" s="32">
        <f t="array" aca="1" ref="BI48" ca="1">_xlfn.IFNA(SUM((BI$3&gt;='Gastos com Pessoal'!$E$7:$E$506)*(BI$3&lt;='Gastos com Pessoal'!$F$7:$F$506)*OFFSET('Encargos e Benefícios'!$D$5,1,MATCH($B48,'Encargos e Benefícios'!$E$5:$AB$5,0),500,1)),0)
+_xlfn.IFNA(SUM((BI$3&gt;='Gastos com Pessoal'!$E$513:$E$522)*(BI$3&lt;='Gastos com Pessoal'!$F$513:$F$522)*OFFSET('Encargos e Benefícios'!$D$511,1,MATCH($B48,'Encargos e Benefícios'!$E$511:$AB$511,0),10,1)),0)
+_xlfn.IFNA(SUM((BI$3&gt;='Gastos com Pessoal'!$E$7:$E$506)*(BI$3&lt;='Gastos com Pessoal'!$F$7:$F$506)*(IF('Gastos com Pessoal'!$G$7:$G$506&lt;=BI$3,1,0))*OFFSET('Gastos com Pessoal'!$H$6,1,MATCH(1&amp;$B48,'Gastos com Pessoal'!$I$532:$AJ$532&amp;'Gastos com Pessoal'!$I$6:$AJ$6,0),500,1)),0)
+_xlfn.IFNA(SUM((BI$3&gt;='Gastos com Pessoal'!$E$7:$E$506)*(BI$3&lt;='Gastos com Pessoal'!$F$7:$F$506)*(IF('Gastos com Pessoal'!$M$7:$M$506&lt;=BI$3,1,0))*OFFSET('Gastos com Pessoal'!$H$6,1,MATCH(2&amp;$B48,'Gastos com Pessoal'!$I$532:$AJ$532&amp;'Gastos com Pessoal'!$I$6:$AJ$6,0),500,1)),0)
+_xlfn.IFNA(SUM((BI$3&gt;='Gastos com Pessoal'!$E$7:$E$506)*(BI$3&lt;='Gastos com Pessoal'!$F$7:$F$506)*(IF('Gastos com Pessoal'!$S$7:$S$506&lt;=BI$3,1,0))*OFFSET('Gastos com Pessoal'!$H$6,1,MATCH(3&amp;$B48,'Gastos com Pessoal'!$I$532:$AJ$532&amp;'Gastos com Pessoal'!$I$6:$AJ$6,0),500,1)),0)
+_xlfn.IFNA(SUM((BI$3&gt;='Gastos com Pessoal'!$E$7:$E$506)*(BI$3&lt;='Gastos com Pessoal'!$F$7:$F$506)*(IF('Gastos com Pessoal'!$Y$7:$Y$506&lt;=BI$3,1,0))*OFFSET('Gastos com Pessoal'!$H$6,1,MATCH(4&amp;$B48,'Gastos com Pessoal'!$I$532:$AJ$532&amp;'Gastos com Pessoal'!$I$6:$AJ$6,0),500,1)),0)
+_xlfn.IFNA(SUM((BI$3&gt;='Gastos com Pessoal'!$E$7:$E$506)*(BI$3&lt;='Gastos com Pessoal'!$F$7:$F$506)*(IF('Gastos com Pessoal'!$AE$7:$AE$506&lt;=BI$3,1,0))*OFFSET('Gastos com Pessoal'!$H$6,1,MATCH(5&amp;$B48,'Gastos com Pessoal'!$I$532:$AJ$532&amp;'Gastos com Pessoal'!$I$6:$AJ$6,0),500,1)),0)
+_xlfn.IFNA(SUM((BI$3&gt;='Gastos com Pessoal'!$E$513:$E$522)*(BI$3&lt;='Gastos com Pessoal'!$F$513:$F$522)*(IF('Gastos com Pessoal'!$G$513:$G$522&lt;=BI$3,1,0))*OFFSET('Gastos com Pessoal'!$H$512,1,MATCH(1&amp;$B48,'Gastos com Pessoal'!$I$532:$AJ$532&amp;'Gastos com Pessoal'!$I$512:$AJ$512,0),10,1)),0)
+_xlfn.IFNA(SUM((BI$3&gt;='Gastos com Pessoal'!$E$513:$E$522)*(BI$3&lt;='Gastos com Pessoal'!$F$513:$F$522)*(IF('Gastos com Pessoal'!$M$513:$M$522&lt;=BI$3,1,0))*OFFSET('Gastos com Pessoal'!$H$512,1,MATCH(2&amp;$B48,'Gastos com Pessoal'!$I$532:$AJ$532&amp;'Gastos com Pessoal'!$I$512:$AJ$512,0),10,1)),0)
+_xlfn.IFNA(SUM((BI$3&gt;='Gastos com Pessoal'!$E$513:$E$522)*(BI$3&lt;='Gastos com Pessoal'!$F$513:$F$522)*(IF('Gastos com Pessoal'!$S$513:$S$522&lt;=BI$3,1,0))*OFFSET('Gastos com Pessoal'!$H$512,1,MATCH(3&amp;$B48,'Gastos com Pessoal'!$I$532:$AJ$532&amp;'Gastos com Pessoal'!$I$512:$AJ$512,0),10,1)),0)
+_xlfn.IFNA(SUM((BI$3&gt;='Gastos com Pessoal'!$E$513:$E$522)*(BI$3&lt;='Gastos com Pessoal'!$F$513:$F$522)*(IF('Gastos com Pessoal'!$Y$513:$Y$522&lt;=BI$3,1,0))*OFFSET('Gastos com Pessoal'!$H$512,1,MATCH(4&amp;$B48,'Gastos com Pessoal'!$I$532:$AJ$532&amp;'Gastos com Pessoal'!$I$512:$AJ$512,0),10,1)),0)
+_xlfn.IFNA(SUM((BI$3&gt;='Gastos com Pessoal'!$E$513:$E$522)*(BI$3&lt;='Gastos com Pessoal'!$F$513:$F$522)*(IF('Gastos com Pessoal'!$AE$513:$AE$522&lt;=BI$3,1,0))*OFFSET('Gastos com Pessoal'!$H$512,1,MATCH(5&amp;$B48,'Gastos com Pessoal'!$I$532:$AJ$532&amp;'Gastos com Pessoal'!$I$512:$AJ$512,0),10,1)),0)</f>
        <v>0</v>
      </c>
      <c r="BJ48" s="32">
        <f t="array" aca="1" ref="BJ48" ca="1">_xlfn.IFNA(SUM((BJ$3&gt;='Gastos com Pessoal'!$E$7:$E$506)*(BJ$3&lt;='Gastos com Pessoal'!$F$7:$F$506)*OFFSET('Encargos e Benefícios'!$D$5,1,MATCH($B48,'Encargos e Benefícios'!$E$5:$AB$5,0),500,1)),0)
+_xlfn.IFNA(SUM((BJ$3&gt;='Gastos com Pessoal'!$E$513:$E$522)*(BJ$3&lt;='Gastos com Pessoal'!$F$513:$F$522)*OFFSET('Encargos e Benefícios'!$D$511,1,MATCH($B48,'Encargos e Benefícios'!$E$511:$AB$511,0),10,1)),0)
+_xlfn.IFNA(SUM((BJ$3&gt;='Gastos com Pessoal'!$E$7:$E$506)*(BJ$3&lt;='Gastos com Pessoal'!$F$7:$F$506)*(IF('Gastos com Pessoal'!$G$7:$G$506&lt;=BJ$3,1,0))*OFFSET('Gastos com Pessoal'!$H$6,1,MATCH(1&amp;$B48,'Gastos com Pessoal'!$I$532:$AJ$532&amp;'Gastos com Pessoal'!$I$6:$AJ$6,0),500,1)),0)
+_xlfn.IFNA(SUM((BJ$3&gt;='Gastos com Pessoal'!$E$7:$E$506)*(BJ$3&lt;='Gastos com Pessoal'!$F$7:$F$506)*(IF('Gastos com Pessoal'!$M$7:$M$506&lt;=BJ$3,1,0))*OFFSET('Gastos com Pessoal'!$H$6,1,MATCH(2&amp;$B48,'Gastos com Pessoal'!$I$532:$AJ$532&amp;'Gastos com Pessoal'!$I$6:$AJ$6,0),500,1)),0)
+_xlfn.IFNA(SUM((BJ$3&gt;='Gastos com Pessoal'!$E$7:$E$506)*(BJ$3&lt;='Gastos com Pessoal'!$F$7:$F$506)*(IF('Gastos com Pessoal'!$S$7:$S$506&lt;=BJ$3,1,0))*OFFSET('Gastos com Pessoal'!$H$6,1,MATCH(3&amp;$B48,'Gastos com Pessoal'!$I$532:$AJ$532&amp;'Gastos com Pessoal'!$I$6:$AJ$6,0),500,1)),0)
+_xlfn.IFNA(SUM((BJ$3&gt;='Gastos com Pessoal'!$E$7:$E$506)*(BJ$3&lt;='Gastos com Pessoal'!$F$7:$F$506)*(IF('Gastos com Pessoal'!$Y$7:$Y$506&lt;=BJ$3,1,0))*OFFSET('Gastos com Pessoal'!$H$6,1,MATCH(4&amp;$B48,'Gastos com Pessoal'!$I$532:$AJ$532&amp;'Gastos com Pessoal'!$I$6:$AJ$6,0),500,1)),0)
+_xlfn.IFNA(SUM((BJ$3&gt;='Gastos com Pessoal'!$E$7:$E$506)*(BJ$3&lt;='Gastos com Pessoal'!$F$7:$F$506)*(IF('Gastos com Pessoal'!$AE$7:$AE$506&lt;=BJ$3,1,0))*OFFSET('Gastos com Pessoal'!$H$6,1,MATCH(5&amp;$B48,'Gastos com Pessoal'!$I$532:$AJ$532&amp;'Gastos com Pessoal'!$I$6:$AJ$6,0),500,1)),0)
+_xlfn.IFNA(SUM((BJ$3&gt;='Gastos com Pessoal'!$E$513:$E$522)*(BJ$3&lt;='Gastos com Pessoal'!$F$513:$F$522)*(IF('Gastos com Pessoal'!$G$513:$G$522&lt;=BJ$3,1,0))*OFFSET('Gastos com Pessoal'!$H$512,1,MATCH(1&amp;$B48,'Gastos com Pessoal'!$I$532:$AJ$532&amp;'Gastos com Pessoal'!$I$512:$AJ$512,0),10,1)),0)
+_xlfn.IFNA(SUM((BJ$3&gt;='Gastos com Pessoal'!$E$513:$E$522)*(BJ$3&lt;='Gastos com Pessoal'!$F$513:$F$522)*(IF('Gastos com Pessoal'!$M$513:$M$522&lt;=BJ$3,1,0))*OFFSET('Gastos com Pessoal'!$H$512,1,MATCH(2&amp;$B48,'Gastos com Pessoal'!$I$532:$AJ$532&amp;'Gastos com Pessoal'!$I$512:$AJ$512,0),10,1)),0)
+_xlfn.IFNA(SUM((BJ$3&gt;='Gastos com Pessoal'!$E$513:$E$522)*(BJ$3&lt;='Gastos com Pessoal'!$F$513:$F$522)*(IF('Gastos com Pessoal'!$S$513:$S$522&lt;=BJ$3,1,0))*OFFSET('Gastos com Pessoal'!$H$512,1,MATCH(3&amp;$B48,'Gastos com Pessoal'!$I$532:$AJ$532&amp;'Gastos com Pessoal'!$I$512:$AJ$512,0),10,1)),0)
+_xlfn.IFNA(SUM((BJ$3&gt;='Gastos com Pessoal'!$E$513:$E$522)*(BJ$3&lt;='Gastos com Pessoal'!$F$513:$F$522)*(IF('Gastos com Pessoal'!$Y$513:$Y$522&lt;=BJ$3,1,0))*OFFSET('Gastos com Pessoal'!$H$512,1,MATCH(4&amp;$B48,'Gastos com Pessoal'!$I$532:$AJ$532&amp;'Gastos com Pessoal'!$I$512:$AJ$512,0),10,1)),0)
+_xlfn.IFNA(SUM((BJ$3&gt;='Gastos com Pessoal'!$E$513:$E$522)*(BJ$3&lt;='Gastos com Pessoal'!$F$513:$F$522)*(IF('Gastos com Pessoal'!$AE$513:$AE$522&lt;=BJ$3,1,0))*OFFSET('Gastos com Pessoal'!$H$512,1,MATCH(5&amp;$B48,'Gastos com Pessoal'!$I$532:$AJ$532&amp;'Gastos com Pessoal'!$I$512:$AJ$512,0),10,1)),0)</f>
        <v>0</v>
      </c>
      <c r="BK48" s="71">
        <f t="shared" ref="BK48:BK52" ca="1" si="20">SUM(C48:BJ48)</f>
        <v>8549855.9654247481</v>
      </c>
      <c r="BL48" s="76">
        <f t="shared" ref="BL48:BL58" ca="1" si="21">IF($BK$155=0,0,BK48/$BK$155)</f>
        <v>2.3320573668905647E-2</v>
      </c>
    </row>
    <row r="49" spans="1:64" s="49" customFormat="1" ht="23.25" customHeight="1" x14ac:dyDescent="0.2">
      <c r="A49" s="18" t="s">
        <v>171</v>
      </c>
      <c r="B49" s="12" t="s">
        <v>172</v>
      </c>
      <c r="C49" s="32">
        <f t="array" aca="1" ref="C49" ca="1">_xlfn.IFNA(SUM((C$3&gt;='Gastos com Pessoal'!$E$7:$E$506)*(C$3&lt;='Gastos com Pessoal'!$F$7:$F$506)*OFFSET('Encargos e Benefícios'!$D$5,1,MATCH($B49,'Encargos e Benefícios'!$E$5:$AB$5,0),500,1)),0)
+_xlfn.IFNA(SUM((C$3&gt;='Gastos com Pessoal'!$E$513:$E$522)*(C$3&lt;='Gastos com Pessoal'!$F$513:$F$522)*OFFSET('Encargos e Benefícios'!$D$511,1,MATCH($B49,'Encargos e Benefícios'!$E$511:$AB$511,0),10,1)),0)
+_xlfn.IFNA(SUM((C$3&gt;='Gastos com Pessoal'!$E$7:$E$506)*(C$3&lt;='Gastos com Pessoal'!$F$7:$F$506)*(IF('Gastos com Pessoal'!$G$7:$G$506&lt;=C$3,1,0))*OFFSET('Gastos com Pessoal'!$H$6,1,MATCH(1&amp;$B49,'Gastos com Pessoal'!$I$532:$AJ$532&amp;'Gastos com Pessoal'!$I$6:$AJ$6,0),500,1)),0)
+_xlfn.IFNA(SUM((C$3&gt;='Gastos com Pessoal'!$E$7:$E$506)*(C$3&lt;='Gastos com Pessoal'!$F$7:$F$506)*(IF('Gastos com Pessoal'!$M$7:$M$506&lt;=C$3,1,0))*OFFSET('Gastos com Pessoal'!$H$6,1,MATCH(2&amp;$B49,'Gastos com Pessoal'!$I$532:$AJ$532&amp;'Gastos com Pessoal'!$I$6:$AJ$6,0),500,1)),0)
+_xlfn.IFNA(SUM((C$3&gt;='Gastos com Pessoal'!$E$7:$E$506)*(C$3&lt;='Gastos com Pessoal'!$F$7:$F$506)*(IF('Gastos com Pessoal'!$S$7:$S$506&lt;=C$3,1,0))*OFFSET('Gastos com Pessoal'!$H$6,1,MATCH(3&amp;$B49,'Gastos com Pessoal'!$I$532:$AJ$532&amp;'Gastos com Pessoal'!$I$6:$AJ$6,0),500,1)),0)
+_xlfn.IFNA(SUM((C$3&gt;='Gastos com Pessoal'!$E$7:$E$506)*(C$3&lt;='Gastos com Pessoal'!$F$7:$F$506)*(IF('Gastos com Pessoal'!$Y$7:$Y$506&lt;=C$3,1,0))*OFFSET('Gastos com Pessoal'!$H$6,1,MATCH(4&amp;$B49,'Gastos com Pessoal'!$I$532:$AJ$532&amp;'Gastos com Pessoal'!$I$6:$AJ$6,0),500,1)),0)
+_xlfn.IFNA(SUM((C$3&gt;='Gastos com Pessoal'!$E$7:$E$506)*(C$3&lt;='Gastos com Pessoal'!$F$7:$F$506)*(IF('Gastos com Pessoal'!$AE$7:$AE$506&lt;=C$3,1,0))*OFFSET('Gastos com Pessoal'!$H$6,1,MATCH(5&amp;$B49,'Gastos com Pessoal'!$I$532:$AJ$532&amp;'Gastos com Pessoal'!$I$6:$AJ$6,0),500,1)),0)
+_xlfn.IFNA(SUM((C$3&gt;='Gastos com Pessoal'!$E$513:$E$522)*(C$3&lt;='Gastos com Pessoal'!$F$513:$F$522)*(IF('Gastos com Pessoal'!$G$513:$G$522&lt;=C$3,1,0))*OFFSET('Gastos com Pessoal'!$H$512,1,MATCH(1&amp;$B49,'Gastos com Pessoal'!$I$532:$AJ$532&amp;'Gastos com Pessoal'!$I$512:$AJ$512,0),10,1)),0)
+_xlfn.IFNA(SUM((C$3&gt;='Gastos com Pessoal'!$E$513:$E$522)*(C$3&lt;='Gastos com Pessoal'!$F$513:$F$522)*(IF('Gastos com Pessoal'!$M$513:$M$522&lt;=C$3,1,0))*OFFSET('Gastos com Pessoal'!$H$512,1,MATCH(2&amp;$B49,'Gastos com Pessoal'!$I$532:$AJ$532&amp;'Gastos com Pessoal'!$I$512:$AJ$512,0),10,1)),0)
+_xlfn.IFNA(SUM((C$3&gt;='Gastos com Pessoal'!$E$513:$E$522)*(C$3&lt;='Gastos com Pessoal'!$F$513:$F$522)*(IF('Gastos com Pessoal'!$S$513:$S$522&lt;=C$3,1,0))*OFFSET('Gastos com Pessoal'!$H$512,1,MATCH(3&amp;$B49,'Gastos com Pessoal'!$I$532:$AJ$532&amp;'Gastos com Pessoal'!$I$512:$AJ$512,0),10,1)),0)
+_xlfn.IFNA(SUM((C$3&gt;='Gastos com Pessoal'!$E$513:$E$522)*(C$3&lt;='Gastos com Pessoal'!$F$513:$F$522)*(IF('Gastos com Pessoal'!$Y$513:$Y$522&lt;=C$3,1,0))*OFFSET('Gastos com Pessoal'!$H$512,1,MATCH(4&amp;$B49,'Gastos com Pessoal'!$I$532:$AJ$532&amp;'Gastos com Pessoal'!$I$512:$AJ$512,0),10,1)),0)
+_xlfn.IFNA(SUM((C$3&gt;='Gastos com Pessoal'!$E$513:$E$522)*(C$3&lt;='Gastos com Pessoal'!$F$513:$F$522)*(IF('Gastos com Pessoal'!$AE$513:$AE$522&lt;=C$3,1,0))*OFFSET('Gastos com Pessoal'!$H$512,1,MATCH(5&amp;$B49,'Gastos com Pessoal'!$I$532:$AJ$532&amp;'Gastos com Pessoal'!$I$512:$AJ$512,0),10,1)),0)</f>
        <v>59800</v>
      </c>
      <c r="D49" s="32">
        <f t="array" aca="1" ref="D49" ca="1">_xlfn.IFNA(SUM((D$3&gt;='Gastos com Pessoal'!$E$7:$E$506)*(D$3&lt;='Gastos com Pessoal'!$F$7:$F$506)*OFFSET('Encargos e Benefícios'!$D$5,1,MATCH($B49,'Encargos e Benefícios'!$E$5:$AB$5,0),500,1)),0)
+_xlfn.IFNA(SUM((D$3&gt;='Gastos com Pessoal'!$E$513:$E$522)*(D$3&lt;='Gastos com Pessoal'!$F$513:$F$522)*OFFSET('Encargos e Benefícios'!$D$511,1,MATCH($B49,'Encargos e Benefícios'!$E$511:$AB$511,0),10,1)),0)
+_xlfn.IFNA(SUM((D$3&gt;='Gastos com Pessoal'!$E$7:$E$506)*(D$3&lt;='Gastos com Pessoal'!$F$7:$F$506)*(IF('Gastos com Pessoal'!$G$7:$G$506&lt;=D$3,1,0))*OFFSET('Gastos com Pessoal'!$H$6,1,MATCH(1&amp;$B49,'Gastos com Pessoal'!$I$532:$AJ$532&amp;'Gastos com Pessoal'!$I$6:$AJ$6,0),500,1)),0)
+_xlfn.IFNA(SUM((D$3&gt;='Gastos com Pessoal'!$E$7:$E$506)*(D$3&lt;='Gastos com Pessoal'!$F$7:$F$506)*(IF('Gastos com Pessoal'!$M$7:$M$506&lt;=D$3,1,0))*OFFSET('Gastos com Pessoal'!$H$6,1,MATCH(2&amp;$B49,'Gastos com Pessoal'!$I$532:$AJ$532&amp;'Gastos com Pessoal'!$I$6:$AJ$6,0),500,1)),0)
+_xlfn.IFNA(SUM((D$3&gt;='Gastos com Pessoal'!$E$7:$E$506)*(D$3&lt;='Gastos com Pessoal'!$F$7:$F$506)*(IF('Gastos com Pessoal'!$S$7:$S$506&lt;=D$3,1,0))*OFFSET('Gastos com Pessoal'!$H$6,1,MATCH(3&amp;$B49,'Gastos com Pessoal'!$I$532:$AJ$532&amp;'Gastos com Pessoal'!$I$6:$AJ$6,0),500,1)),0)
+_xlfn.IFNA(SUM((D$3&gt;='Gastos com Pessoal'!$E$7:$E$506)*(D$3&lt;='Gastos com Pessoal'!$F$7:$F$506)*(IF('Gastos com Pessoal'!$Y$7:$Y$506&lt;=D$3,1,0))*OFFSET('Gastos com Pessoal'!$H$6,1,MATCH(4&amp;$B49,'Gastos com Pessoal'!$I$532:$AJ$532&amp;'Gastos com Pessoal'!$I$6:$AJ$6,0),500,1)),0)
+_xlfn.IFNA(SUM((D$3&gt;='Gastos com Pessoal'!$E$7:$E$506)*(D$3&lt;='Gastos com Pessoal'!$F$7:$F$506)*(IF('Gastos com Pessoal'!$AE$7:$AE$506&lt;=D$3,1,0))*OFFSET('Gastos com Pessoal'!$H$6,1,MATCH(5&amp;$B49,'Gastos com Pessoal'!$I$532:$AJ$532&amp;'Gastos com Pessoal'!$I$6:$AJ$6,0),500,1)),0)
+_xlfn.IFNA(SUM((D$3&gt;='Gastos com Pessoal'!$E$513:$E$522)*(D$3&lt;='Gastos com Pessoal'!$F$513:$F$522)*(IF('Gastos com Pessoal'!$G$513:$G$522&lt;=D$3,1,0))*OFFSET('Gastos com Pessoal'!$H$512,1,MATCH(1&amp;$B49,'Gastos com Pessoal'!$I$532:$AJ$532&amp;'Gastos com Pessoal'!$I$512:$AJ$512,0),10,1)),0)
+_xlfn.IFNA(SUM((D$3&gt;='Gastos com Pessoal'!$E$513:$E$522)*(D$3&lt;='Gastos com Pessoal'!$F$513:$F$522)*(IF('Gastos com Pessoal'!$M$513:$M$522&lt;=D$3,1,0))*OFFSET('Gastos com Pessoal'!$H$512,1,MATCH(2&amp;$B49,'Gastos com Pessoal'!$I$532:$AJ$532&amp;'Gastos com Pessoal'!$I$512:$AJ$512,0),10,1)),0)
+_xlfn.IFNA(SUM((D$3&gt;='Gastos com Pessoal'!$E$513:$E$522)*(D$3&lt;='Gastos com Pessoal'!$F$513:$F$522)*(IF('Gastos com Pessoal'!$S$513:$S$522&lt;=D$3,1,0))*OFFSET('Gastos com Pessoal'!$H$512,1,MATCH(3&amp;$B49,'Gastos com Pessoal'!$I$532:$AJ$532&amp;'Gastos com Pessoal'!$I$512:$AJ$512,0),10,1)),0)
+_xlfn.IFNA(SUM((D$3&gt;='Gastos com Pessoal'!$E$513:$E$522)*(D$3&lt;='Gastos com Pessoal'!$F$513:$F$522)*(IF('Gastos com Pessoal'!$Y$513:$Y$522&lt;=D$3,1,0))*OFFSET('Gastos com Pessoal'!$H$512,1,MATCH(4&amp;$B49,'Gastos com Pessoal'!$I$532:$AJ$532&amp;'Gastos com Pessoal'!$I$512:$AJ$512,0),10,1)),0)
+_xlfn.IFNA(SUM((D$3&gt;='Gastos com Pessoal'!$E$513:$E$522)*(D$3&lt;='Gastos com Pessoal'!$F$513:$F$522)*(IF('Gastos com Pessoal'!$AE$513:$AE$522&lt;=D$3,1,0))*OFFSET('Gastos com Pessoal'!$H$512,1,MATCH(5&amp;$B49,'Gastos com Pessoal'!$I$532:$AJ$532&amp;'Gastos com Pessoal'!$I$512:$AJ$512,0),10,1)),0)</f>
        <v>59800</v>
      </c>
      <c r="E49" s="32">
        <f t="array" aca="1" ref="E49" ca="1">_xlfn.IFNA(SUM((E$3&gt;='Gastos com Pessoal'!$E$7:$E$506)*(E$3&lt;='Gastos com Pessoal'!$F$7:$F$506)*OFFSET('Encargos e Benefícios'!$D$5,1,MATCH($B49,'Encargos e Benefícios'!$E$5:$AB$5,0),500,1)),0)
+_xlfn.IFNA(SUM((E$3&gt;='Gastos com Pessoal'!$E$513:$E$522)*(E$3&lt;='Gastos com Pessoal'!$F$513:$F$522)*OFFSET('Encargos e Benefícios'!$D$511,1,MATCH($B49,'Encargos e Benefícios'!$E$511:$AB$511,0),10,1)),0)
+_xlfn.IFNA(SUM((E$3&gt;='Gastos com Pessoal'!$E$7:$E$506)*(E$3&lt;='Gastos com Pessoal'!$F$7:$F$506)*(IF('Gastos com Pessoal'!$G$7:$G$506&lt;=E$3,1,0))*OFFSET('Gastos com Pessoal'!$H$6,1,MATCH(1&amp;$B49,'Gastos com Pessoal'!$I$532:$AJ$532&amp;'Gastos com Pessoal'!$I$6:$AJ$6,0),500,1)),0)
+_xlfn.IFNA(SUM((E$3&gt;='Gastos com Pessoal'!$E$7:$E$506)*(E$3&lt;='Gastos com Pessoal'!$F$7:$F$506)*(IF('Gastos com Pessoal'!$M$7:$M$506&lt;=E$3,1,0))*OFFSET('Gastos com Pessoal'!$H$6,1,MATCH(2&amp;$B49,'Gastos com Pessoal'!$I$532:$AJ$532&amp;'Gastos com Pessoal'!$I$6:$AJ$6,0),500,1)),0)
+_xlfn.IFNA(SUM((E$3&gt;='Gastos com Pessoal'!$E$7:$E$506)*(E$3&lt;='Gastos com Pessoal'!$F$7:$F$506)*(IF('Gastos com Pessoal'!$S$7:$S$506&lt;=E$3,1,0))*OFFSET('Gastos com Pessoal'!$H$6,1,MATCH(3&amp;$B49,'Gastos com Pessoal'!$I$532:$AJ$532&amp;'Gastos com Pessoal'!$I$6:$AJ$6,0),500,1)),0)
+_xlfn.IFNA(SUM((E$3&gt;='Gastos com Pessoal'!$E$7:$E$506)*(E$3&lt;='Gastos com Pessoal'!$F$7:$F$506)*(IF('Gastos com Pessoal'!$Y$7:$Y$506&lt;=E$3,1,0))*OFFSET('Gastos com Pessoal'!$H$6,1,MATCH(4&amp;$B49,'Gastos com Pessoal'!$I$532:$AJ$532&amp;'Gastos com Pessoal'!$I$6:$AJ$6,0),500,1)),0)
+_xlfn.IFNA(SUM((E$3&gt;='Gastos com Pessoal'!$E$7:$E$506)*(E$3&lt;='Gastos com Pessoal'!$F$7:$F$506)*(IF('Gastos com Pessoal'!$AE$7:$AE$506&lt;=E$3,1,0))*OFFSET('Gastos com Pessoal'!$H$6,1,MATCH(5&amp;$B49,'Gastos com Pessoal'!$I$532:$AJ$532&amp;'Gastos com Pessoal'!$I$6:$AJ$6,0),500,1)),0)
+_xlfn.IFNA(SUM((E$3&gt;='Gastos com Pessoal'!$E$513:$E$522)*(E$3&lt;='Gastos com Pessoal'!$F$513:$F$522)*(IF('Gastos com Pessoal'!$G$513:$G$522&lt;=E$3,1,0))*OFFSET('Gastos com Pessoal'!$H$512,1,MATCH(1&amp;$B49,'Gastos com Pessoal'!$I$532:$AJ$532&amp;'Gastos com Pessoal'!$I$512:$AJ$512,0),10,1)),0)
+_xlfn.IFNA(SUM((E$3&gt;='Gastos com Pessoal'!$E$513:$E$522)*(E$3&lt;='Gastos com Pessoal'!$F$513:$F$522)*(IF('Gastos com Pessoal'!$M$513:$M$522&lt;=E$3,1,0))*OFFSET('Gastos com Pessoal'!$H$512,1,MATCH(2&amp;$B49,'Gastos com Pessoal'!$I$532:$AJ$532&amp;'Gastos com Pessoal'!$I$512:$AJ$512,0),10,1)),0)
+_xlfn.IFNA(SUM((E$3&gt;='Gastos com Pessoal'!$E$513:$E$522)*(E$3&lt;='Gastos com Pessoal'!$F$513:$F$522)*(IF('Gastos com Pessoal'!$S$513:$S$522&lt;=E$3,1,0))*OFFSET('Gastos com Pessoal'!$H$512,1,MATCH(3&amp;$B49,'Gastos com Pessoal'!$I$532:$AJ$532&amp;'Gastos com Pessoal'!$I$512:$AJ$512,0),10,1)),0)
+_xlfn.IFNA(SUM((E$3&gt;='Gastos com Pessoal'!$E$513:$E$522)*(E$3&lt;='Gastos com Pessoal'!$F$513:$F$522)*(IF('Gastos com Pessoal'!$Y$513:$Y$522&lt;=E$3,1,0))*OFFSET('Gastos com Pessoal'!$H$512,1,MATCH(4&amp;$B49,'Gastos com Pessoal'!$I$532:$AJ$532&amp;'Gastos com Pessoal'!$I$512:$AJ$512,0),10,1)),0)
+_xlfn.IFNA(SUM((E$3&gt;='Gastos com Pessoal'!$E$513:$E$522)*(E$3&lt;='Gastos com Pessoal'!$F$513:$F$522)*(IF('Gastos com Pessoal'!$AE$513:$AE$522&lt;=E$3,1,0))*OFFSET('Gastos com Pessoal'!$H$512,1,MATCH(5&amp;$B49,'Gastos com Pessoal'!$I$532:$AJ$532&amp;'Gastos com Pessoal'!$I$512:$AJ$512,0),10,1)),0)</f>
        <v>59800</v>
      </c>
      <c r="F49" s="32">
        <f t="array" aca="1" ref="F49" ca="1">_xlfn.IFNA(SUM((F$3&gt;='Gastos com Pessoal'!$E$7:$E$506)*(F$3&lt;='Gastos com Pessoal'!$F$7:$F$506)*OFFSET('Encargos e Benefícios'!$D$5,1,MATCH($B49,'Encargos e Benefícios'!$E$5:$AB$5,0),500,1)),0)
+_xlfn.IFNA(SUM((F$3&gt;='Gastos com Pessoal'!$E$513:$E$522)*(F$3&lt;='Gastos com Pessoal'!$F$513:$F$522)*OFFSET('Encargos e Benefícios'!$D$511,1,MATCH($B49,'Encargos e Benefícios'!$E$511:$AB$511,0),10,1)),0)
+_xlfn.IFNA(SUM((F$3&gt;='Gastos com Pessoal'!$E$7:$E$506)*(F$3&lt;='Gastos com Pessoal'!$F$7:$F$506)*(IF('Gastos com Pessoal'!$G$7:$G$506&lt;=F$3,1,0))*OFFSET('Gastos com Pessoal'!$H$6,1,MATCH(1&amp;$B49,'Gastos com Pessoal'!$I$532:$AJ$532&amp;'Gastos com Pessoal'!$I$6:$AJ$6,0),500,1)),0)
+_xlfn.IFNA(SUM((F$3&gt;='Gastos com Pessoal'!$E$7:$E$506)*(F$3&lt;='Gastos com Pessoal'!$F$7:$F$506)*(IF('Gastos com Pessoal'!$M$7:$M$506&lt;=F$3,1,0))*OFFSET('Gastos com Pessoal'!$H$6,1,MATCH(2&amp;$B49,'Gastos com Pessoal'!$I$532:$AJ$532&amp;'Gastos com Pessoal'!$I$6:$AJ$6,0),500,1)),0)
+_xlfn.IFNA(SUM((F$3&gt;='Gastos com Pessoal'!$E$7:$E$506)*(F$3&lt;='Gastos com Pessoal'!$F$7:$F$506)*(IF('Gastos com Pessoal'!$S$7:$S$506&lt;=F$3,1,0))*OFFSET('Gastos com Pessoal'!$H$6,1,MATCH(3&amp;$B49,'Gastos com Pessoal'!$I$532:$AJ$532&amp;'Gastos com Pessoal'!$I$6:$AJ$6,0),500,1)),0)
+_xlfn.IFNA(SUM((F$3&gt;='Gastos com Pessoal'!$E$7:$E$506)*(F$3&lt;='Gastos com Pessoal'!$F$7:$F$506)*(IF('Gastos com Pessoal'!$Y$7:$Y$506&lt;=F$3,1,0))*OFFSET('Gastos com Pessoal'!$H$6,1,MATCH(4&amp;$B49,'Gastos com Pessoal'!$I$532:$AJ$532&amp;'Gastos com Pessoal'!$I$6:$AJ$6,0),500,1)),0)
+_xlfn.IFNA(SUM((F$3&gt;='Gastos com Pessoal'!$E$7:$E$506)*(F$3&lt;='Gastos com Pessoal'!$F$7:$F$506)*(IF('Gastos com Pessoal'!$AE$7:$AE$506&lt;=F$3,1,0))*OFFSET('Gastos com Pessoal'!$H$6,1,MATCH(5&amp;$B49,'Gastos com Pessoal'!$I$532:$AJ$532&amp;'Gastos com Pessoal'!$I$6:$AJ$6,0),500,1)),0)
+_xlfn.IFNA(SUM((F$3&gt;='Gastos com Pessoal'!$E$513:$E$522)*(F$3&lt;='Gastos com Pessoal'!$F$513:$F$522)*(IF('Gastos com Pessoal'!$G$513:$G$522&lt;=F$3,1,0))*OFFSET('Gastos com Pessoal'!$H$512,1,MATCH(1&amp;$B49,'Gastos com Pessoal'!$I$532:$AJ$532&amp;'Gastos com Pessoal'!$I$512:$AJ$512,0),10,1)),0)
+_xlfn.IFNA(SUM((F$3&gt;='Gastos com Pessoal'!$E$513:$E$522)*(F$3&lt;='Gastos com Pessoal'!$F$513:$F$522)*(IF('Gastos com Pessoal'!$M$513:$M$522&lt;=F$3,1,0))*OFFSET('Gastos com Pessoal'!$H$512,1,MATCH(2&amp;$B49,'Gastos com Pessoal'!$I$532:$AJ$532&amp;'Gastos com Pessoal'!$I$512:$AJ$512,0),10,1)),0)
+_xlfn.IFNA(SUM((F$3&gt;='Gastos com Pessoal'!$E$513:$E$522)*(F$3&lt;='Gastos com Pessoal'!$F$513:$F$522)*(IF('Gastos com Pessoal'!$S$513:$S$522&lt;=F$3,1,0))*OFFSET('Gastos com Pessoal'!$H$512,1,MATCH(3&amp;$B49,'Gastos com Pessoal'!$I$532:$AJ$532&amp;'Gastos com Pessoal'!$I$512:$AJ$512,0),10,1)),0)
+_xlfn.IFNA(SUM((F$3&gt;='Gastos com Pessoal'!$E$513:$E$522)*(F$3&lt;='Gastos com Pessoal'!$F$513:$F$522)*(IF('Gastos com Pessoal'!$Y$513:$Y$522&lt;=F$3,1,0))*OFFSET('Gastos com Pessoal'!$H$512,1,MATCH(4&amp;$B49,'Gastos com Pessoal'!$I$532:$AJ$532&amp;'Gastos com Pessoal'!$I$512:$AJ$512,0),10,1)),0)
+_xlfn.IFNA(SUM((F$3&gt;='Gastos com Pessoal'!$E$513:$E$522)*(F$3&lt;='Gastos com Pessoal'!$F$513:$F$522)*(IF('Gastos com Pessoal'!$AE$513:$AE$522&lt;=F$3,1,0))*OFFSET('Gastos com Pessoal'!$H$512,1,MATCH(5&amp;$B49,'Gastos com Pessoal'!$I$532:$AJ$532&amp;'Gastos com Pessoal'!$I$512:$AJ$512,0),10,1)),0)</f>
        <v>59800</v>
      </c>
      <c r="G49" s="32">
        <f t="array" aca="1" ref="G49" ca="1">_xlfn.IFNA(SUM((G$3&gt;='Gastos com Pessoal'!$E$7:$E$506)*(G$3&lt;='Gastos com Pessoal'!$F$7:$F$506)*OFFSET('Encargos e Benefícios'!$D$5,1,MATCH($B49,'Encargos e Benefícios'!$E$5:$AB$5,0),500,1)),0)
+_xlfn.IFNA(SUM((G$3&gt;='Gastos com Pessoal'!$E$513:$E$522)*(G$3&lt;='Gastos com Pessoal'!$F$513:$F$522)*OFFSET('Encargos e Benefícios'!$D$511,1,MATCH($B49,'Encargos e Benefícios'!$E$511:$AB$511,0),10,1)),0)
+_xlfn.IFNA(SUM((G$3&gt;='Gastos com Pessoal'!$E$7:$E$506)*(G$3&lt;='Gastos com Pessoal'!$F$7:$F$506)*(IF('Gastos com Pessoal'!$G$7:$G$506&lt;=G$3,1,0))*OFFSET('Gastos com Pessoal'!$H$6,1,MATCH(1&amp;$B49,'Gastos com Pessoal'!$I$532:$AJ$532&amp;'Gastos com Pessoal'!$I$6:$AJ$6,0),500,1)),0)
+_xlfn.IFNA(SUM((G$3&gt;='Gastos com Pessoal'!$E$7:$E$506)*(G$3&lt;='Gastos com Pessoal'!$F$7:$F$506)*(IF('Gastos com Pessoal'!$M$7:$M$506&lt;=G$3,1,0))*OFFSET('Gastos com Pessoal'!$H$6,1,MATCH(2&amp;$B49,'Gastos com Pessoal'!$I$532:$AJ$532&amp;'Gastos com Pessoal'!$I$6:$AJ$6,0),500,1)),0)
+_xlfn.IFNA(SUM((G$3&gt;='Gastos com Pessoal'!$E$7:$E$506)*(G$3&lt;='Gastos com Pessoal'!$F$7:$F$506)*(IF('Gastos com Pessoal'!$S$7:$S$506&lt;=G$3,1,0))*OFFSET('Gastos com Pessoal'!$H$6,1,MATCH(3&amp;$B49,'Gastos com Pessoal'!$I$532:$AJ$532&amp;'Gastos com Pessoal'!$I$6:$AJ$6,0),500,1)),0)
+_xlfn.IFNA(SUM((G$3&gt;='Gastos com Pessoal'!$E$7:$E$506)*(G$3&lt;='Gastos com Pessoal'!$F$7:$F$506)*(IF('Gastos com Pessoal'!$Y$7:$Y$506&lt;=G$3,1,0))*OFFSET('Gastos com Pessoal'!$H$6,1,MATCH(4&amp;$B49,'Gastos com Pessoal'!$I$532:$AJ$532&amp;'Gastos com Pessoal'!$I$6:$AJ$6,0),500,1)),0)
+_xlfn.IFNA(SUM((G$3&gt;='Gastos com Pessoal'!$E$7:$E$506)*(G$3&lt;='Gastos com Pessoal'!$F$7:$F$506)*(IF('Gastos com Pessoal'!$AE$7:$AE$506&lt;=G$3,1,0))*OFFSET('Gastos com Pessoal'!$H$6,1,MATCH(5&amp;$B49,'Gastos com Pessoal'!$I$532:$AJ$532&amp;'Gastos com Pessoal'!$I$6:$AJ$6,0),500,1)),0)
+_xlfn.IFNA(SUM((G$3&gt;='Gastos com Pessoal'!$E$513:$E$522)*(G$3&lt;='Gastos com Pessoal'!$F$513:$F$522)*(IF('Gastos com Pessoal'!$G$513:$G$522&lt;=G$3,1,0))*OFFSET('Gastos com Pessoal'!$H$512,1,MATCH(1&amp;$B49,'Gastos com Pessoal'!$I$532:$AJ$532&amp;'Gastos com Pessoal'!$I$512:$AJ$512,0),10,1)),0)
+_xlfn.IFNA(SUM((G$3&gt;='Gastos com Pessoal'!$E$513:$E$522)*(G$3&lt;='Gastos com Pessoal'!$F$513:$F$522)*(IF('Gastos com Pessoal'!$M$513:$M$522&lt;=G$3,1,0))*OFFSET('Gastos com Pessoal'!$H$512,1,MATCH(2&amp;$B49,'Gastos com Pessoal'!$I$532:$AJ$532&amp;'Gastos com Pessoal'!$I$512:$AJ$512,0),10,1)),0)
+_xlfn.IFNA(SUM((G$3&gt;='Gastos com Pessoal'!$E$513:$E$522)*(G$3&lt;='Gastos com Pessoal'!$F$513:$F$522)*(IF('Gastos com Pessoal'!$S$513:$S$522&lt;=G$3,1,0))*OFFSET('Gastos com Pessoal'!$H$512,1,MATCH(3&amp;$B49,'Gastos com Pessoal'!$I$532:$AJ$532&amp;'Gastos com Pessoal'!$I$512:$AJ$512,0),10,1)),0)
+_xlfn.IFNA(SUM((G$3&gt;='Gastos com Pessoal'!$E$513:$E$522)*(G$3&lt;='Gastos com Pessoal'!$F$513:$F$522)*(IF('Gastos com Pessoal'!$Y$513:$Y$522&lt;=G$3,1,0))*OFFSET('Gastos com Pessoal'!$H$512,1,MATCH(4&amp;$B49,'Gastos com Pessoal'!$I$532:$AJ$532&amp;'Gastos com Pessoal'!$I$512:$AJ$512,0),10,1)),0)
+_xlfn.IFNA(SUM((G$3&gt;='Gastos com Pessoal'!$E$513:$E$522)*(G$3&lt;='Gastos com Pessoal'!$F$513:$F$522)*(IF('Gastos com Pessoal'!$AE$513:$AE$522&lt;=G$3,1,0))*OFFSET('Gastos com Pessoal'!$H$512,1,MATCH(5&amp;$B49,'Gastos com Pessoal'!$I$532:$AJ$532&amp;'Gastos com Pessoal'!$I$512:$AJ$512,0),10,1)),0)</f>
        <v>59800</v>
      </c>
      <c r="H49" s="32">
        <f t="array" aca="1" ref="H49" ca="1">_xlfn.IFNA(SUM((H$3&gt;='Gastos com Pessoal'!$E$7:$E$506)*(H$3&lt;='Gastos com Pessoal'!$F$7:$F$506)*OFFSET('Encargos e Benefícios'!$D$5,1,MATCH($B49,'Encargos e Benefícios'!$E$5:$AB$5,0),500,1)),0)
+_xlfn.IFNA(SUM((H$3&gt;='Gastos com Pessoal'!$E$513:$E$522)*(H$3&lt;='Gastos com Pessoal'!$F$513:$F$522)*OFFSET('Encargos e Benefícios'!$D$511,1,MATCH($B49,'Encargos e Benefícios'!$E$511:$AB$511,0),10,1)),0)
+_xlfn.IFNA(SUM((H$3&gt;='Gastos com Pessoal'!$E$7:$E$506)*(H$3&lt;='Gastos com Pessoal'!$F$7:$F$506)*(IF('Gastos com Pessoal'!$G$7:$G$506&lt;=H$3,1,0))*OFFSET('Gastos com Pessoal'!$H$6,1,MATCH(1&amp;$B49,'Gastos com Pessoal'!$I$532:$AJ$532&amp;'Gastos com Pessoal'!$I$6:$AJ$6,0),500,1)),0)
+_xlfn.IFNA(SUM((H$3&gt;='Gastos com Pessoal'!$E$7:$E$506)*(H$3&lt;='Gastos com Pessoal'!$F$7:$F$506)*(IF('Gastos com Pessoal'!$M$7:$M$506&lt;=H$3,1,0))*OFFSET('Gastos com Pessoal'!$H$6,1,MATCH(2&amp;$B49,'Gastos com Pessoal'!$I$532:$AJ$532&amp;'Gastos com Pessoal'!$I$6:$AJ$6,0),500,1)),0)
+_xlfn.IFNA(SUM((H$3&gt;='Gastos com Pessoal'!$E$7:$E$506)*(H$3&lt;='Gastos com Pessoal'!$F$7:$F$506)*(IF('Gastos com Pessoal'!$S$7:$S$506&lt;=H$3,1,0))*OFFSET('Gastos com Pessoal'!$H$6,1,MATCH(3&amp;$B49,'Gastos com Pessoal'!$I$532:$AJ$532&amp;'Gastos com Pessoal'!$I$6:$AJ$6,0),500,1)),0)
+_xlfn.IFNA(SUM((H$3&gt;='Gastos com Pessoal'!$E$7:$E$506)*(H$3&lt;='Gastos com Pessoal'!$F$7:$F$506)*(IF('Gastos com Pessoal'!$Y$7:$Y$506&lt;=H$3,1,0))*OFFSET('Gastos com Pessoal'!$H$6,1,MATCH(4&amp;$B49,'Gastos com Pessoal'!$I$532:$AJ$532&amp;'Gastos com Pessoal'!$I$6:$AJ$6,0),500,1)),0)
+_xlfn.IFNA(SUM((H$3&gt;='Gastos com Pessoal'!$E$7:$E$506)*(H$3&lt;='Gastos com Pessoal'!$F$7:$F$506)*(IF('Gastos com Pessoal'!$AE$7:$AE$506&lt;=H$3,1,0))*OFFSET('Gastos com Pessoal'!$H$6,1,MATCH(5&amp;$B49,'Gastos com Pessoal'!$I$532:$AJ$532&amp;'Gastos com Pessoal'!$I$6:$AJ$6,0),500,1)),0)
+_xlfn.IFNA(SUM((H$3&gt;='Gastos com Pessoal'!$E$513:$E$522)*(H$3&lt;='Gastos com Pessoal'!$F$513:$F$522)*(IF('Gastos com Pessoal'!$G$513:$G$522&lt;=H$3,1,0))*OFFSET('Gastos com Pessoal'!$H$512,1,MATCH(1&amp;$B49,'Gastos com Pessoal'!$I$532:$AJ$532&amp;'Gastos com Pessoal'!$I$512:$AJ$512,0),10,1)),0)
+_xlfn.IFNA(SUM((H$3&gt;='Gastos com Pessoal'!$E$513:$E$522)*(H$3&lt;='Gastos com Pessoal'!$F$513:$F$522)*(IF('Gastos com Pessoal'!$M$513:$M$522&lt;=H$3,1,0))*OFFSET('Gastos com Pessoal'!$H$512,1,MATCH(2&amp;$B49,'Gastos com Pessoal'!$I$532:$AJ$532&amp;'Gastos com Pessoal'!$I$512:$AJ$512,0),10,1)),0)
+_xlfn.IFNA(SUM((H$3&gt;='Gastos com Pessoal'!$E$513:$E$522)*(H$3&lt;='Gastos com Pessoal'!$F$513:$F$522)*(IF('Gastos com Pessoal'!$S$513:$S$522&lt;=H$3,1,0))*OFFSET('Gastos com Pessoal'!$H$512,1,MATCH(3&amp;$B49,'Gastos com Pessoal'!$I$532:$AJ$532&amp;'Gastos com Pessoal'!$I$512:$AJ$512,0),10,1)),0)
+_xlfn.IFNA(SUM((H$3&gt;='Gastos com Pessoal'!$E$513:$E$522)*(H$3&lt;='Gastos com Pessoal'!$F$513:$F$522)*(IF('Gastos com Pessoal'!$Y$513:$Y$522&lt;=H$3,1,0))*OFFSET('Gastos com Pessoal'!$H$512,1,MATCH(4&amp;$B49,'Gastos com Pessoal'!$I$532:$AJ$532&amp;'Gastos com Pessoal'!$I$512:$AJ$512,0),10,1)),0)
+_xlfn.IFNA(SUM((H$3&gt;='Gastos com Pessoal'!$E$513:$E$522)*(H$3&lt;='Gastos com Pessoal'!$F$513:$F$522)*(IF('Gastos com Pessoal'!$AE$513:$AE$522&lt;=H$3,1,0))*OFFSET('Gastos com Pessoal'!$H$512,1,MATCH(5&amp;$B49,'Gastos com Pessoal'!$I$532:$AJ$532&amp;'Gastos com Pessoal'!$I$512:$AJ$512,0),10,1)),0)</f>
        <v>59800</v>
      </c>
      <c r="I49" s="32">
        <f t="array" aca="1" ref="I49" ca="1">_xlfn.IFNA(SUM((I$3&gt;='Gastos com Pessoal'!$E$7:$E$506)*(I$3&lt;='Gastos com Pessoal'!$F$7:$F$506)*OFFSET('Encargos e Benefícios'!$D$5,1,MATCH($B49,'Encargos e Benefícios'!$E$5:$AB$5,0),500,1)),0)
+_xlfn.IFNA(SUM((I$3&gt;='Gastos com Pessoal'!$E$513:$E$522)*(I$3&lt;='Gastos com Pessoal'!$F$513:$F$522)*OFFSET('Encargos e Benefícios'!$D$511,1,MATCH($B49,'Encargos e Benefícios'!$E$511:$AB$511,0),10,1)),0)
+_xlfn.IFNA(SUM((I$3&gt;='Gastos com Pessoal'!$E$7:$E$506)*(I$3&lt;='Gastos com Pessoal'!$F$7:$F$506)*(IF('Gastos com Pessoal'!$G$7:$G$506&lt;=I$3,1,0))*OFFSET('Gastos com Pessoal'!$H$6,1,MATCH(1&amp;$B49,'Gastos com Pessoal'!$I$532:$AJ$532&amp;'Gastos com Pessoal'!$I$6:$AJ$6,0),500,1)),0)
+_xlfn.IFNA(SUM((I$3&gt;='Gastos com Pessoal'!$E$7:$E$506)*(I$3&lt;='Gastos com Pessoal'!$F$7:$F$506)*(IF('Gastos com Pessoal'!$M$7:$M$506&lt;=I$3,1,0))*OFFSET('Gastos com Pessoal'!$H$6,1,MATCH(2&amp;$B49,'Gastos com Pessoal'!$I$532:$AJ$532&amp;'Gastos com Pessoal'!$I$6:$AJ$6,0),500,1)),0)
+_xlfn.IFNA(SUM((I$3&gt;='Gastos com Pessoal'!$E$7:$E$506)*(I$3&lt;='Gastos com Pessoal'!$F$7:$F$506)*(IF('Gastos com Pessoal'!$S$7:$S$506&lt;=I$3,1,0))*OFFSET('Gastos com Pessoal'!$H$6,1,MATCH(3&amp;$B49,'Gastos com Pessoal'!$I$532:$AJ$532&amp;'Gastos com Pessoal'!$I$6:$AJ$6,0),500,1)),0)
+_xlfn.IFNA(SUM((I$3&gt;='Gastos com Pessoal'!$E$7:$E$506)*(I$3&lt;='Gastos com Pessoal'!$F$7:$F$506)*(IF('Gastos com Pessoal'!$Y$7:$Y$506&lt;=I$3,1,0))*OFFSET('Gastos com Pessoal'!$H$6,1,MATCH(4&amp;$B49,'Gastos com Pessoal'!$I$532:$AJ$532&amp;'Gastos com Pessoal'!$I$6:$AJ$6,0),500,1)),0)
+_xlfn.IFNA(SUM((I$3&gt;='Gastos com Pessoal'!$E$7:$E$506)*(I$3&lt;='Gastos com Pessoal'!$F$7:$F$506)*(IF('Gastos com Pessoal'!$AE$7:$AE$506&lt;=I$3,1,0))*OFFSET('Gastos com Pessoal'!$H$6,1,MATCH(5&amp;$B49,'Gastos com Pessoal'!$I$532:$AJ$532&amp;'Gastos com Pessoal'!$I$6:$AJ$6,0),500,1)),0)
+_xlfn.IFNA(SUM((I$3&gt;='Gastos com Pessoal'!$E$513:$E$522)*(I$3&lt;='Gastos com Pessoal'!$F$513:$F$522)*(IF('Gastos com Pessoal'!$G$513:$G$522&lt;=I$3,1,0))*OFFSET('Gastos com Pessoal'!$H$512,1,MATCH(1&amp;$B49,'Gastos com Pessoal'!$I$532:$AJ$532&amp;'Gastos com Pessoal'!$I$512:$AJ$512,0),10,1)),0)
+_xlfn.IFNA(SUM((I$3&gt;='Gastos com Pessoal'!$E$513:$E$522)*(I$3&lt;='Gastos com Pessoal'!$F$513:$F$522)*(IF('Gastos com Pessoal'!$M$513:$M$522&lt;=I$3,1,0))*OFFSET('Gastos com Pessoal'!$H$512,1,MATCH(2&amp;$B49,'Gastos com Pessoal'!$I$532:$AJ$532&amp;'Gastos com Pessoal'!$I$512:$AJ$512,0),10,1)),0)
+_xlfn.IFNA(SUM((I$3&gt;='Gastos com Pessoal'!$E$513:$E$522)*(I$3&lt;='Gastos com Pessoal'!$F$513:$F$522)*(IF('Gastos com Pessoal'!$S$513:$S$522&lt;=I$3,1,0))*OFFSET('Gastos com Pessoal'!$H$512,1,MATCH(3&amp;$B49,'Gastos com Pessoal'!$I$532:$AJ$532&amp;'Gastos com Pessoal'!$I$512:$AJ$512,0),10,1)),0)
+_xlfn.IFNA(SUM((I$3&gt;='Gastos com Pessoal'!$E$513:$E$522)*(I$3&lt;='Gastos com Pessoal'!$F$513:$F$522)*(IF('Gastos com Pessoal'!$Y$513:$Y$522&lt;=I$3,1,0))*OFFSET('Gastos com Pessoal'!$H$512,1,MATCH(4&amp;$B49,'Gastos com Pessoal'!$I$532:$AJ$532&amp;'Gastos com Pessoal'!$I$512:$AJ$512,0),10,1)),0)
+_xlfn.IFNA(SUM((I$3&gt;='Gastos com Pessoal'!$E$513:$E$522)*(I$3&lt;='Gastos com Pessoal'!$F$513:$F$522)*(IF('Gastos com Pessoal'!$AE$513:$AE$522&lt;=I$3,1,0))*OFFSET('Gastos com Pessoal'!$H$512,1,MATCH(5&amp;$B49,'Gastos com Pessoal'!$I$532:$AJ$532&amp;'Gastos com Pessoal'!$I$512:$AJ$512,0),10,1)),0)</f>
        <v>59800</v>
      </c>
      <c r="J49" s="32">
        <f t="array" aca="1" ref="J49" ca="1">_xlfn.IFNA(SUM((J$3&gt;='Gastos com Pessoal'!$E$7:$E$506)*(J$3&lt;='Gastos com Pessoal'!$F$7:$F$506)*OFFSET('Encargos e Benefícios'!$D$5,1,MATCH($B49,'Encargos e Benefícios'!$E$5:$AB$5,0),500,1)),0)
+_xlfn.IFNA(SUM((J$3&gt;='Gastos com Pessoal'!$E$513:$E$522)*(J$3&lt;='Gastos com Pessoal'!$F$513:$F$522)*OFFSET('Encargos e Benefícios'!$D$511,1,MATCH($B49,'Encargos e Benefícios'!$E$511:$AB$511,0),10,1)),0)
+_xlfn.IFNA(SUM((J$3&gt;='Gastos com Pessoal'!$E$7:$E$506)*(J$3&lt;='Gastos com Pessoal'!$F$7:$F$506)*(IF('Gastos com Pessoal'!$G$7:$G$506&lt;=J$3,1,0))*OFFSET('Gastos com Pessoal'!$H$6,1,MATCH(1&amp;$B49,'Gastos com Pessoal'!$I$532:$AJ$532&amp;'Gastos com Pessoal'!$I$6:$AJ$6,0),500,1)),0)
+_xlfn.IFNA(SUM((J$3&gt;='Gastos com Pessoal'!$E$7:$E$506)*(J$3&lt;='Gastos com Pessoal'!$F$7:$F$506)*(IF('Gastos com Pessoal'!$M$7:$M$506&lt;=J$3,1,0))*OFFSET('Gastos com Pessoal'!$H$6,1,MATCH(2&amp;$B49,'Gastos com Pessoal'!$I$532:$AJ$532&amp;'Gastos com Pessoal'!$I$6:$AJ$6,0),500,1)),0)
+_xlfn.IFNA(SUM((J$3&gt;='Gastos com Pessoal'!$E$7:$E$506)*(J$3&lt;='Gastos com Pessoal'!$F$7:$F$506)*(IF('Gastos com Pessoal'!$S$7:$S$506&lt;=J$3,1,0))*OFFSET('Gastos com Pessoal'!$H$6,1,MATCH(3&amp;$B49,'Gastos com Pessoal'!$I$532:$AJ$532&amp;'Gastos com Pessoal'!$I$6:$AJ$6,0),500,1)),0)
+_xlfn.IFNA(SUM((J$3&gt;='Gastos com Pessoal'!$E$7:$E$506)*(J$3&lt;='Gastos com Pessoal'!$F$7:$F$506)*(IF('Gastos com Pessoal'!$Y$7:$Y$506&lt;=J$3,1,0))*OFFSET('Gastos com Pessoal'!$H$6,1,MATCH(4&amp;$B49,'Gastos com Pessoal'!$I$532:$AJ$532&amp;'Gastos com Pessoal'!$I$6:$AJ$6,0),500,1)),0)
+_xlfn.IFNA(SUM((J$3&gt;='Gastos com Pessoal'!$E$7:$E$506)*(J$3&lt;='Gastos com Pessoal'!$F$7:$F$506)*(IF('Gastos com Pessoal'!$AE$7:$AE$506&lt;=J$3,1,0))*OFFSET('Gastos com Pessoal'!$H$6,1,MATCH(5&amp;$B49,'Gastos com Pessoal'!$I$532:$AJ$532&amp;'Gastos com Pessoal'!$I$6:$AJ$6,0),500,1)),0)
+_xlfn.IFNA(SUM((J$3&gt;='Gastos com Pessoal'!$E$513:$E$522)*(J$3&lt;='Gastos com Pessoal'!$F$513:$F$522)*(IF('Gastos com Pessoal'!$G$513:$G$522&lt;=J$3,1,0))*OFFSET('Gastos com Pessoal'!$H$512,1,MATCH(1&amp;$B49,'Gastos com Pessoal'!$I$532:$AJ$532&amp;'Gastos com Pessoal'!$I$512:$AJ$512,0),10,1)),0)
+_xlfn.IFNA(SUM((J$3&gt;='Gastos com Pessoal'!$E$513:$E$522)*(J$3&lt;='Gastos com Pessoal'!$F$513:$F$522)*(IF('Gastos com Pessoal'!$M$513:$M$522&lt;=J$3,1,0))*OFFSET('Gastos com Pessoal'!$H$512,1,MATCH(2&amp;$B49,'Gastos com Pessoal'!$I$532:$AJ$532&amp;'Gastos com Pessoal'!$I$512:$AJ$512,0),10,1)),0)
+_xlfn.IFNA(SUM((J$3&gt;='Gastos com Pessoal'!$E$513:$E$522)*(J$3&lt;='Gastos com Pessoal'!$F$513:$F$522)*(IF('Gastos com Pessoal'!$S$513:$S$522&lt;=J$3,1,0))*OFFSET('Gastos com Pessoal'!$H$512,1,MATCH(3&amp;$B49,'Gastos com Pessoal'!$I$532:$AJ$532&amp;'Gastos com Pessoal'!$I$512:$AJ$512,0),10,1)),0)
+_xlfn.IFNA(SUM((J$3&gt;='Gastos com Pessoal'!$E$513:$E$522)*(J$3&lt;='Gastos com Pessoal'!$F$513:$F$522)*(IF('Gastos com Pessoal'!$Y$513:$Y$522&lt;=J$3,1,0))*OFFSET('Gastos com Pessoal'!$H$512,1,MATCH(4&amp;$B49,'Gastos com Pessoal'!$I$532:$AJ$532&amp;'Gastos com Pessoal'!$I$512:$AJ$512,0),10,1)),0)
+_xlfn.IFNA(SUM((J$3&gt;='Gastos com Pessoal'!$E$513:$E$522)*(J$3&lt;='Gastos com Pessoal'!$F$513:$F$522)*(IF('Gastos com Pessoal'!$AE$513:$AE$522&lt;=J$3,1,0))*OFFSET('Gastos com Pessoal'!$H$512,1,MATCH(5&amp;$B49,'Gastos com Pessoal'!$I$532:$AJ$532&amp;'Gastos com Pessoal'!$I$512:$AJ$512,0),10,1)),0)</f>
        <v>59800</v>
      </c>
      <c r="K49" s="32">
        <f t="array" aca="1" ref="K49" ca="1">_xlfn.IFNA(SUM((K$3&gt;='Gastos com Pessoal'!$E$7:$E$506)*(K$3&lt;='Gastos com Pessoal'!$F$7:$F$506)*OFFSET('Encargos e Benefícios'!$D$5,1,MATCH($B49,'Encargos e Benefícios'!$E$5:$AB$5,0),500,1)),0)
+_xlfn.IFNA(SUM((K$3&gt;='Gastos com Pessoal'!$E$513:$E$522)*(K$3&lt;='Gastos com Pessoal'!$F$513:$F$522)*OFFSET('Encargos e Benefícios'!$D$511,1,MATCH($B49,'Encargos e Benefícios'!$E$511:$AB$511,0),10,1)),0)
+_xlfn.IFNA(SUM((K$3&gt;='Gastos com Pessoal'!$E$7:$E$506)*(K$3&lt;='Gastos com Pessoal'!$F$7:$F$506)*(IF('Gastos com Pessoal'!$G$7:$G$506&lt;=K$3,1,0))*OFFSET('Gastos com Pessoal'!$H$6,1,MATCH(1&amp;$B49,'Gastos com Pessoal'!$I$532:$AJ$532&amp;'Gastos com Pessoal'!$I$6:$AJ$6,0),500,1)),0)
+_xlfn.IFNA(SUM((K$3&gt;='Gastos com Pessoal'!$E$7:$E$506)*(K$3&lt;='Gastos com Pessoal'!$F$7:$F$506)*(IF('Gastos com Pessoal'!$M$7:$M$506&lt;=K$3,1,0))*OFFSET('Gastos com Pessoal'!$H$6,1,MATCH(2&amp;$B49,'Gastos com Pessoal'!$I$532:$AJ$532&amp;'Gastos com Pessoal'!$I$6:$AJ$6,0),500,1)),0)
+_xlfn.IFNA(SUM((K$3&gt;='Gastos com Pessoal'!$E$7:$E$506)*(K$3&lt;='Gastos com Pessoal'!$F$7:$F$506)*(IF('Gastos com Pessoal'!$S$7:$S$506&lt;=K$3,1,0))*OFFSET('Gastos com Pessoal'!$H$6,1,MATCH(3&amp;$B49,'Gastos com Pessoal'!$I$532:$AJ$532&amp;'Gastos com Pessoal'!$I$6:$AJ$6,0),500,1)),0)
+_xlfn.IFNA(SUM((K$3&gt;='Gastos com Pessoal'!$E$7:$E$506)*(K$3&lt;='Gastos com Pessoal'!$F$7:$F$506)*(IF('Gastos com Pessoal'!$Y$7:$Y$506&lt;=K$3,1,0))*OFFSET('Gastos com Pessoal'!$H$6,1,MATCH(4&amp;$B49,'Gastos com Pessoal'!$I$532:$AJ$532&amp;'Gastos com Pessoal'!$I$6:$AJ$6,0),500,1)),0)
+_xlfn.IFNA(SUM((K$3&gt;='Gastos com Pessoal'!$E$7:$E$506)*(K$3&lt;='Gastos com Pessoal'!$F$7:$F$506)*(IF('Gastos com Pessoal'!$AE$7:$AE$506&lt;=K$3,1,0))*OFFSET('Gastos com Pessoal'!$H$6,1,MATCH(5&amp;$B49,'Gastos com Pessoal'!$I$532:$AJ$532&amp;'Gastos com Pessoal'!$I$6:$AJ$6,0),500,1)),0)
+_xlfn.IFNA(SUM((K$3&gt;='Gastos com Pessoal'!$E$513:$E$522)*(K$3&lt;='Gastos com Pessoal'!$F$513:$F$522)*(IF('Gastos com Pessoal'!$G$513:$G$522&lt;=K$3,1,0))*OFFSET('Gastos com Pessoal'!$H$512,1,MATCH(1&amp;$B49,'Gastos com Pessoal'!$I$532:$AJ$532&amp;'Gastos com Pessoal'!$I$512:$AJ$512,0),10,1)),0)
+_xlfn.IFNA(SUM((K$3&gt;='Gastos com Pessoal'!$E$513:$E$522)*(K$3&lt;='Gastos com Pessoal'!$F$513:$F$522)*(IF('Gastos com Pessoal'!$M$513:$M$522&lt;=K$3,1,0))*OFFSET('Gastos com Pessoal'!$H$512,1,MATCH(2&amp;$B49,'Gastos com Pessoal'!$I$532:$AJ$532&amp;'Gastos com Pessoal'!$I$512:$AJ$512,0),10,1)),0)
+_xlfn.IFNA(SUM((K$3&gt;='Gastos com Pessoal'!$E$513:$E$522)*(K$3&lt;='Gastos com Pessoal'!$F$513:$F$522)*(IF('Gastos com Pessoal'!$S$513:$S$522&lt;=K$3,1,0))*OFFSET('Gastos com Pessoal'!$H$512,1,MATCH(3&amp;$B49,'Gastos com Pessoal'!$I$532:$AJ$532&amp;'Gastos com Pessoal'!$I$512:$AJ$512,0),10,1)),0)
+_xlfn.IFNA(SUM((K$3&gt;='Gastos com Pessoal'!$E$513:$E$522)*(K$3&lt;='Gastos com Pessoal'!$F$513:$F$522)*(IF('Gastos com Pessoal'!$Y$513:$Y$522&lt;=K$3,1,0))*OFFSET('Gastos com Pessoal'!$H$512,1,MATCH(4&amp;$B49,'Gastos com Pessoal'!$I$532:$AJ$532&amp;'Gastos com Pessoal'!$I$512:$AJ$512,0),10,1)),0)
+_xlfn.IFNA(SUM((K$3&gt;='Gastos com Pessoal'!$E$513:$E$522)*(K$3&lt;='Gastos com Pessoal'!$F$513:$F$522)*(IF('Gastos com Pessoal'!$AE$513:$AE$522&lt;=K$3,1,0))*OFFSET('Gastos com Pessoal'!$H$512,1,MATCH(5&amp;$B49,'Gastos com Pessoal'!$I$532:$AJ$532&amp;'Gastos com Pessoal'!$I$512:$AJ$512,0),10,1)),0)</f>
        <v>59800</v>
      </c>
      <c r="L49" s="32">
        <f t="array" aca="1" ref="L49" ca="1">_xlfn.IFNA(SUM((L$3&gt;='Gastos com Pessoal'!$E$7:$E$506)*(L$3&lt;='Gastos com Pessoal'!$F$7:$F$506)*OFFSET('Encargos e Benefícios'!$D$5,1,MATCH($B49,'Encargos e Benefícios'!$E$5:$AB$5,0),500,1)),0)
+_xlfn.IFNA(SUM((L$3&gt;='Gastos com Pessoal'!$E$513:$E$522)*(L$3&lt;='Gastos com Pessoal'!$F$513:$F$522)*OFFSET('Encargos e Benefícios'!$D$511,1,MATCH($B49,'Encargos e Benefícios'!$E$511:$AB$511,0),10,1)),0)
+_xlfn.IFNA(SUM((L$3&gt;='Gastos com Pessoal'!$E$7:$E$506)*(L$3&lt;='Gastos com Pessoal'!$F$7:$F$506)*(IF('Gastos com Pessoal'!$G$7:$G$506&lt;=L$3,1,0))*OFFSET('Gastos com Pessoal'!$H$6,1,MATCH(1&amp;$B49,'Gastos com Pessoal'!$I$532:$AJ$532&amp;'Gastos com Pessoal'!$I$6:$AJ$6,0),500,1)),0)
+_xlfn.IFNA(SUM((L$3&gt;='Gastos com Pessoal'!$E$7:$E$506)*(L$3&lt;='Gastos com Pessoal'!$F$7:$F$506)*(IF('Gastos com Pessoal'!$M$7:$M$506&lt;=L$3,1,0))*OFFSET('Gastos com Pessoal'!$H$6,1,MATCH(2&amp;$B49,'Gastos com Pessoal'!$I$532:$AJ$532&amp;'Gastos com Pessoal'!$I$6:$AJ$6,0),500,1)),0)
+_xlfn.IFNA(SUM((L$3&gt;='Gastos com Pessoal'!$E$7:$E$506)*(L$3&lt;='Gastos com Pessoal'!$F$7:$F$506)*(IF('Gastos com Pessoal'!$S$7:$S$506&lt;=L$3,1,0))*OFFSET('Gastos com Pessoal'!$H$6,1,MATCH(3&amp;$B49,'Gastos com Pessoal'!$I$532:$AJ$532&amp;'Gastos com Pessoal'!$I$6:$AJ$6,0),500,1)),0)
+_xlfn.IFNA(SUM((L$3&gt;='Gastos com Pessoal'!$E$7:$E$506)*(L$3&lt;='Gastos com Pessoal'!$F$7:$F$506)*(IF('Gastos com Pessoal'!$Y$7:$Y$506&lt;=L$3,1,0))*OFFSET('Gastos com Pessoal'!$H$6,1,MATCH(4&amp;$B49,'Gastos com Pessoal'!$I$532:$AJ$532&amp;'Gastos com Pessoal'!$I$6:$AJ$6,0),500,1)),0)
+_xlfn.IFNA(SUM((L$3&gt;='Gastos com Pessoal'!$E$7:$E$506)*(L$3&lt;='Gastos com Pessoal'!$F$7:$F$506)*(IF('Gastos com Pessoal'!$AE$7:$AE$506&lt;=L$3,1,0))*OFFSET('Gastos com Pessoal'!$H$6,1,MATCH(5&amp;$B49,'Gastos com Pessoal'!$I$532:$AJ$532&amp;'Gastos com Pessoal'!$I$6:$AJ$6,0),500,1)),0)
+_xlfn.IFNA(SUM((L$3&gt;='Gastos com Pessoal'!$E$513:$E$522)*(L$3&lt;='Gastos com Pessoal'!$F$513:$F$522)*(IF('Gastos com Pessoal'!$G$513:$G$522&lt;=L$3,1,0))*OFFSET('Gastos com Pessoal'!$H$512,1,MATCH(1&amp;$B49,'Gastos com Pessoal'!$I$532:$AJ$532&amp;'Gastos com Pessoal'!$I$512:$AJ$512,0),10,1)),0)
+_xlfn.IFNA(SUM((L$3&gt;='Gastos com Pessoal'!$E$513:$E$522)*(L$3&lt;='Gastos com Pessoal'!$F$513:$F$522)*(IF('Gastos com Pessoal'!$M$513:$M$522&lt;=L$3,1,0))*OFFSET('Gastos com Pessoal'!$H$512,1,MATCH(2&amp;$B49,'Gastos com Pessoal'!$I$532:$AJ$532&amp;'Gastos com Pessoal'!$I$512:$AJ$512,0),10,1)),0)
+_xlfn.IFNA(SUM((L$3&gt;='Gastos com Pessoal'!$E$513:$E$522)*(L$3&lt;='Gastos com Pessoal'!$F$513:$F$522)*(IF('Gastos com Pessoal'!$S$513:$S$522&lt;=L$3,1,0))*OFFSET('Gastos com Pessoal'!$H$512,1,MATCH(3&amp;$B49,'Gastos com Pessoal'!$I$532:$AJ$532&amp;'Gastos com Pessoal'!$I$512:$AJ$512,0),10,1)),0)
+_xlfn.IFNA(SUM((L$3&gt;='Gastos com Pessoal'!$E$513:$E$522)*(L$3&lt;='Gastos com Pessoal'!$F$513:$F$522)*(IF('Gastos com Pessoal'!$Y$513:$Y$522&lt;=L$3,1,0))*OFFSET('Gastos com Pessoal'!$H$512,1,MATCH(4&amp;$B49,'Gastos com Pessoal'!$I$532:$AJ$532&amp;'Gastos com Pessoal'!$I$512:$AJ$512,0),10,1)),0)
+_xlfn.IFNA(SUM((L$3&gt;='Gastos com Pessoal'!$E$513:$E$522)*(L$3&lt;='Gastos com Pessoal'!$F$513:$F$522)*(IF('Gastos com Pessoal'!$AE$513:$AE$522&lt;=L$3,1,0))*OFFSET('Gastos com Pessoal'!$H$512,1,MATCH(5&amp;$B49,'Gastos com Pessoal'!$I$532:$AJ$532&amp;'Gastos com Pessoal'!$I$512:$AJ$512,0),10,1)),0)</f>
        <v>59800</v>
      </c>
      <c r="M49" s="32">
        <f t="array" aca="1" ref="M49" ca="1">_xlfn.IFNA(SUM((M$3&gt;='Gastos com Pessoal'!$E$7:$E$506)*(M$3&lt;='Gastos com Pessoal'!$F$7:$F$506)*OFFSET('Encargos e Benefícios'!$D$5,1,MATCH($B49,'Encargos e Benefícios'!$E$5:$AB$5,0),500,1)),0)
+_xlfn.IFNA(SUM((M$3&gt;='Gastos com Pessoal'!$E$513:$E$522)*(M$3&lt;='Gastos com Pessoal'!$F$513:$F$522)*OFFSET('Encargos e Benefícios'!$D$511,1,MATCH($B49,'Encargos e Benefícios'!$E$511:$AB$511,0),10,1)),0)
+_xlfn.IFNA(SUM((M$3&gt;='Gastos com Pessoal'!$E$7:$E$506)*(M$3&lt;='Gastos com Pessoal'!$F$7:$F$506)*(IF('Gastos com Pessoal'!$G$7:$G$506&lt;=M$3,1,0))*OFFSET('Gastos com Pessoal'!$H$6,1,MATCH(1&amp;$B49,'Gastos com Pessoal'!$I$532:$AJ$532&amp;'Gastos com Pessoal'!$I$6:$AJ$6,0),500,1)),0)
+_xlfn.IFNA(SUM((M$3&gt;='Gastos com Pessoal'!$E$7:$E$506)*(M$3&lt;='Gastos com Pessoal'!$F$7:$F$506)*(IF('Gastos com Pessoal'!$M$7:$M$506&lt;=M$3,1,0))*OFFSET('Gastos com Pessoal'!$H$6,1,MATCH(2&amp;$B49,'Gastos com Pessoal'!$I$532:$AJ$532&amp;'Gastos com Pessoal'!$I$6:$AJ$6,0),500,1)),0)
+_xlfn.IFNA(SUM((M$3&gt;='Gastos com Pessoal'!$E$7:$E$506)*(M$3&lt;='Gastos com Pessoal'!$F$7:$F$506)*(IF('Gastos com Pessoal'!$S$7:$S$506&lt;=M$3,1,0))*OFFSET('Gastos com Pessoal'!$H$6,1,MATCH(3&amp;$B49,'Gastos com Pessoal'!$I$532:$AJ$532&amp;'Gastos com Pessoal'!$I$6:$AJ$6,0),500,1)),0)
+_xlfn.IFNA(SUM((M$3&gt;='Gastos com Pessoal'!$E$7:$E$506)*(M$3&lt;='Gastos com Pessoal'!$F$7:$F$506)*(IF('Gastos com Pessoal'!$Y$7:$Y$506&lt;=M$3,1,0))*OFFSET('Gastos com Pessoal'!$H$6,1,MATCH(4&amp;$B49,'Gastos com Pessoal'!$I$532:$AJ$532&amp;'Gastos com Pessoal'!$I$6:$AJ$6,0),500,1)),0)
+_xlfn.IFNA(SUM((M$3&gt;='Gastos com Pessoal'!$E$7:$E$506)*(M$3&lt;='Gastos com Pessoal'!$F$7:$F$506)*(IF('Gastos com Pessoal'!$AE$7:$AE$506&lt;=M$3,1,0))*OFFSET('Gastos com Pessoal'!$H$6,1,MATCH(5&amp;$B49,'Gastos com Pessoal'!$I$532:$AJ$532&amp;'Gastos com Pessoal'!$I$6:$AJ$6,0),500,1)),0)
+_xlfn.IFNA(SUM((M$3&gt;='Gastos com Pessoal'!$E$513:$E$522)*(M$3&lt;='Gastos com Pessoal'!$F$513:$F$522)*(IF('Gastos com Pessoal'!$G$513:$G$522&lt;=M$3,1,0))*OFFSET('Gastos com Pessoal'!$H$512,1,MATCH(1&amp;$B49,'Gastos com Pessoal'!$I$532:$AJ$532&amp;'Gastos com Pessoal'!$I$512:$AJ$512,0),10,1)),0)
+_xlfn.IFNA(SUM((M$3&gt;='Gastos com Pessoal'!$E$513:$E$522)*(M$3&lt;='Gastos com Pessoal'!$F$513:$F$522)*(IF('Gastos com Pessoal'!$M$513:$M$522&lt;=M$3,1,0))*OFFSET('Gastos com Pessoal'!$H$512,1,MATCH(2&amp;$B49,'Gastos com Pessoal'!$I$532:$AJ$532&amp;'Gastos com Pessoal'!$I$512:$AJ$512,0),10,1)),0)
+_xlfn.IFNA(SUM((M$3&gt;='Gastos com Pessoal'!$E$513:$E$522)*(M$3&lt;='Gastos com Pessoal'!$F$513:$F$522)*(IF('Gastos com Pessoal'!$S$513:$S$522&lt;=M$3,1,0))*OFFSET('Gastos com Pessoal'!$H$512,1,MATCH(3&amp;$B49,'Gastos com Pessoal'!$I$532:$AJ$532&amp;'Gastos com Pessoal'!$I$512:$AJ$512,0),10,1)),0)
+_xlfn.IFNA(SUM((M$3&gt;='Gastos com Pessoal'!$E$513:$E$522)*(M$3&lt;='Gastos com Pessoal'!$F$513:$F$522)*(IF('Gastos com Pessoal'!$Y$513:$Y$522&lt;=M$3,1,0))*OFFSET('Gastos com Pessoal'!$H$512,1,MATCH(4&amp;$B49,'Gastos com Pessoal'!$I$532:$AJ$532&amp;'Gastos com Pessoal'!$I$512:$AJ$512,0),10,1)),0)
+_xlfn.IFNA(SUM((M$3&gt;='Gastos com Pessoal'!$E$513:$E$522)*(M$3&lt;='Gastos com Pessoal'!$F$513:$F$522)*(IF('Gastos com Pessoal'!$AE$513:$AE$522&lt;=M$3,1,0))*OFFSET('Gastos com Pessoal'!$H$512,1,MATCH(5&amp;$B49,'Gastos com Pessoal'!$I$532:$AJ$532&amp;'Gastos com Pessoal'!$I$512:$AJ$512,0),10,1)),0)</f>
        <v>59800</v>
      </c>
      <c r="N49" s="32">
        <f t="array" aca="1" ref="N49" ca="1">_xlfn.IFNA(SUM((N$3&gt;='Gastos com Pessoal'!$E$7:$E$506)*(N$3&lt;='Gastos com Pessoal'!$F$7:$F$506)*OFFSET('Encargos e Benefícios'!$D$5,1,MATCH($B49,'Encargos e Benefícios'!$E$5:$AB$5,0),500,1)),0)
+_xlfn.IFNA(SUM((N$3&gt;='Gastos com Pessoal'!$E$513:$E$522)*(N$3&lt;='Gastos com Pessoal'!$F$513:$F$522)*OFFSET('Encargos e Benefícios'!$D$511,1,MATCH($B49,'Encargos e Benefícios'!$E$511:$AB$511,0),10,1)),0)
+_xlfn.IFNA(SUM((N$3&gt;='Gastos com Pessoal'!$E$7:$E$506)*(N$3&lt;='Gastos com Pessoal'!$F$7:$F$506)*(IF('Gastos com Pessoal'!$G$7:$G$506&lt;=N$3,1,0))*OFFSET('Gastos com Pessoal'!$H$6,1,MATCH(1&amp;$B49,'Gastos com Pessoal'!$I$532:$AJ$532&amp;'Gastos com Pessoal'!$I$6:$AJ$6,0),500,1)),0)
+_xlfn.IFNA(SUM((N$3&gt;='Gastos com Pessoal'!$E$7:$E$506)*(N$3&lt;='Gastos com Pessoal'!$F$7:$F$506)*(IF('Gastos com Pessoal'!$M$7:$M$506&lt;=N$3,1,0))*OFFSET('Gastos com Pessoal'!$H$6,1,MATCH(2&amp;$B49,'Gastos com Pessoal'!$I$532:$AJ$532&amp;'Gastos com Pessoal'!$I$6:$AJ$6,0),500,1)),0)
+_xlfn.IFNA(SUM((N$3&gt;='Gastos com Pessoal'!$E$7:$E$506)*(N$3&lt;='Gastos com Pessoal'!$F$7:$F$506)*(IF('Gastos com Pessoal'!$S$7:$S$506&lt;=N$3,1,0))*OFFSET('Gastos com Pessoal'!$H$6,1,MATCH(3&amp;$B49,'Gastos com Pessoal'!$I$532:$AJ$532&amp;'Gastos com Pessoal'!$I$6:$AJ$6,0),500,1)),0)
+_xlfn.IFNA(SUM((N$3&gt;='Gastos com Pessoal'!$E$7:$E$506)*(N$3&lt;='Gastos com Pessoal'!$F$7:$F$506)*(IF('Gastos com Pessoal'!$Y$7:$Y$506&lt;=N$3,1,0))*OFFSET('Gastos com Pessoal'!$H$6,1,MATCH(4&amp;$B49,'Gastos com Pessoal'!$I$532:$AJ$532&amp;'Gastos com Pessoal'!$I$6:$AJ$6,0),500,1)),0)
+_xlfn.IFNA(SUM((N$3&gt;='Gastos com Pessoal'!$E$7:$E$506)*(N$3&lt;='Gastos com Pessoal'!$F$7:$F$506)*(IF('Gastos com Pessoal'!$AE$7:$AE$506&lt;=N$3,1,0))*OFFSET('Gastos com Pessoal'!$H$6,1,MATCH(5&amp;$B49,'Gastos com Pessoal'!$I$532:$AJ$532&amp;'Gastos com Pessoal'!$I$6:$AJ$6,0),500,1)),0)
+_xlfn.IFNA(SUM((N$3&gt;='Gastos com Pessoal'!$E$513:$E$522)*(N$3&lt;='Gastos com Pessoal'!$F$513:$F$522)*(IF('Gastos com Pessoal'!$G$513:$G$522&lt;=N$3,1,0))*OFFSET('Gastos com Pessoal'!$H$512,1,MATCH(1&amp;$B49,'Gastos com Pessoal'!$I$532:$AJ$532&amp;'Gastos com Pessoal'!$I$512:$AJ$512,0),10,1)),0)
+_xlfn.IFNA(SUM((N$3&gt;='Gastos com Pessoal'!$E$513:$E$522)*(N$3&lt;='Gastos com Pessoal'!$F$513:$F$522)*(IF('Gastos com Pessoal'!$M$513:$M$522&lt;=N$3,1,0))*OFFSET('Gastos com Pessoal'!$H$512,1,MATCH(2&amp;$B49,'Gastos com Pessoal'!$I$532:$AJ$532&amp;'Gastos com Pessoal'!$I$512:$AJ$512,0),10,1)),0)
+_xlfn.IFNA(SUM((N$3&gt;='Gastos com Pessoal'!$E$513:$E$522)*(N$3&lt;='Gastos com Pessoal'!$F$513:$F$522)*(IF('Gastos com Pessoal'!$S$513:$S$522&lt;=N$3,1,0))*OFFSET('Gastos com Pessoal'!$H$512,1,MATCH(3&amp;$B49,'Gastos com Pessoal'!$I$532:$AJ$532&amp;'Gastos com Pessoal'!$I$512:$AJ$512,0),10,1)),0)
+_xlfn.IFNA(SUM((N$3&gt;='Gastos com Pessoal'!$E$513:$E$522)*(N$3&lt;='Gastos com Pessoal'!$F$513:$F$522)*(IF('Gastos com Pessoal'!$Y$513:$Y$522&lt;=N$3,1,0))*OFFSET('Gastos com Pessoal'!$H$512,1,MATCH(4&amp;$B49,'Gastos com Pessoal'!$I$532:$AJ$532&amp;'Gastos com Pessoal'!$I$512:$AJ$512,0),10,1)),0)
+_xlfn.IFNA(SUM((N$3&gt;='Gastos com Pessoal'!$E$513:$E$522)*(N$3&lt;='Gastos com Pessoal'!$F$513:$F$522)*(IF('Gastos com Pessoal'!$AE$513:$AE$522&lt;=N$3,1,0))*OFFSET('Gastos com Pessoal'!$H$512,1,MATCH(5&amp;$B49,'Gastos com Pessoal'!$I$532:$AJ$532&amp;'Gastos com Pessoal'!$I$512:$AJ$512,0),10,1)),0)</f>
        <v>59800</v>
      </c>
      <c r="O49" s="32">
        <f t="array" aca="1" ref="O49" ca="1">_xlfn.IFNA(SUM((O$3&gt;='Gastos com Pessoal'!$E$7:$E$506)*(O$3&lt;='Gastos com Pessoal'!$F$7:$F$506)*OFFSET('Encargos e Benefícios'!$D$5,1,MATCH($B49,'Encargos e Benefícios'!$E$5:$AB$5,0),500,1)),0)
+_xlfn.IFNA(SUM((O$3&gt;='Gastos com Pessoal'!$E$513:$E$522)*(O$3&lt;='Gastos com Pessoal'!$F$513:$F$522)*OFFSET('Encargos e Benefícios'!$D$511,1,MATCH($B49,'Encargos e Benefícios'!$E$511:$AB$511,0),10,1)),0)
+_xlfn.IFNA(SUM((O$3&gt;='Gastos com Pessoal'!$E$7:$E$506)*(O$3&lt;='Gastos com Pessoal'!$F$7:$F$506)*(IF('Gastos com Pessoal'!$G$7:$G$506&lt;=O$3,1,0))*OFFSET('Gastos com Pessoal'!$H$6,1,MATCH(1&amp;$B49,'Gastos com Pessoal'!$I$532:$AJ$532&amp;'Gastos com Pessoal'!$I$6:$AJ$6,0),500,1)),0)
+_xlfn.IFNA(SUM((O$3&gt;='Gastos com Pessoal'!$E$7:$E$506)*(O$3&lt;='Gastos com Pessoal'!$F$7:$F$506)*(IF('Gastos com Pessoal'!$M$7:$M$506&lt;=O$3,1,0))*OFFSET('Gastos com Pessoal'!$H$6,1,MATCH(2&amp;$B49,'Gastos com Pessoal'!$I$532:$AJ$532&amp;'Gastos com Pessoal'!$I$6:$AJ$6,0),500,1)),0)
+_xlfn.IFNA(SUM((O$3&gt;='Gastos com Pessoal'!$E$7:$E$506)*(O$3&lt;='Gastos com Pessoal'!$F$7:$F$506)*(IF('Gastos com Pessoal'!$S$7:$S$506&lt;=O$3,1,0))*OFFSET('Gastos com Pessoal'!$H$6,1,MATCH(3&amp;$B49,'Gastos com Pessoal'!$I$532:$AJ$532&amp;'Gastos com Pessoal'!$I$6:$AJ$6,0),500,1)),0)
+_xlfn.IFNA(SUM((O$3&gt;='Gastos com Pessoal'!$E$7:$E$506)*(O$3&lt;='Gastos com Pessoal'!$F$7:$F$506)*(IF('Gastos com Pessoal'!$Y$7:$Y$506&lt;=O$3,1,0))*OFFSET('Gastos com Pessoal'!$H$6,1,MATCH(4&amp;$B49,'Gastos com Pessoal'!$I$532:$AJ$532&amp;'Gastos com Pessoal'!$I$6:$AJ$6,0),500,1)),0)
+_xlfn.IFNA(SUM((O$3&gt;='Gastos com Pessoal'!$E$7:$E$506)*(O$3&lt;='Gastos com Pessoal'!$F$7:$F$506)*(IF('Gastos com Pessoal'!$AE$7:$AE$506&lt;=O$3,1,0))*OFFSET('Gastos com Pessoal'!$H$6,1,MATCH(5&amp;$B49,'Gastos com Pessoal'!$I$532:$AJ$532&amp;'Gastos com Pessoal'!$I$6:$AJ$6,0),500,1)),0)
+_xlfn.IFNA(SUM((O$3&gt;='Gastos com Pessoal'!$E$513:$E$522)*(O$3&lt;='Gastos com Pessoal'!$F$513:$F$522)*(IF('Gastos com Pessoal'!$G$513:$G$522&lt;=O$3,1,0))*OFFSET('Gastos com Pessoal'!$H$512,1,MATCH(1&amp;$B49,'Gastos com Pessoal'!$I$532:$AJ$532&amp;'Gastos com Pessoal'!$I$512:$AJ$512,0),10,1)),0)
+_xlfn.IFNA(SUM((O$3&gt;='Gastos com Pessoal'!$E$513:$E$522)*(O$3&lt;='Gastos com Pessoal'!$F$513:$F$522)*(IF('Gastos com Pessoal'!$M$513:$M$522&lt;=O$3,1,0))*OFFSET('Gastos com Pessoal'!$H$512,1,MATCH(2&amp;$B49,'Gastos com Pessoal'!$I$532:$AJ$532&amp;'Gastos com Pessoal'!$I$512:$AJ$512,0),10,1)),0)
+_xlfn.IFNA(SUM((O$3&gt;='Gastos com Pessoal'!$E$513:$E$522)*(O$3&lt;='Gastos com Pessoal'!$F$513:$F$522)*(IF('Gastos com Pessoal'!$S$513:$S$522&lt;=O$3,1,0))*OFFSET('Gastos com Pessoal'!$H$512,1,MATCH(3&amp;$B49,'Gastos com Pessoal'!$I$532:$AJ$532&amp;'Gastos com Pessoal'!$I$512:$AJ$512,0),10,1)),0)
+_xlfn.IFNA(SUM((O$3&gt;='Gastos com Pessoal'!$E$513:$E$522)*(O$3&lt;='Gastos com Pessoal'!$F$513:$F$522)*(IF('Gastos com Pessoal'!$Y$513:$Y$522&lt;=O$3,1,0))*OFFSET('Gastos com Pessoal'!$H$512,1,MATCH(4&amp;$B49,'Gastos com Pessoal'!$I$532:$AJ$532&amp;'Gastos com Pessoal'!$I$512:$AJ$512,0),10,1)),0)
+_xlfn.IFNA(SUM((O$3&gt;='Gastos com Pessoal'!$E$513:$E$522)*(O$3&lt;='Gastos com Pessoal'!$F$513:$F$522)*(IF('Gastos com Pessoal'!$AE$513:$AE$522&lt;=O$3,1,0))*OFFSET('Gastos com Pessoal'!$H$512,1,MATCH(5&amp;$B49,'Gastos com Pessoal'!$I$532:$AJ$532&amp;'Gastos com Pessoal'!$I$512:$AJ$512,0),10,1)),0)</f>
        <v>48100</v>
      </c>
      <c r="P49" s="32">
        <f t="array" aca="1" ref="P49" ca="1">_xlfn.IFNA(SUM((P$3&gt;='Gastos com Pessoal'!$E$7:$E$506)*(P$3&lt;='Gastos com Pessoal'!$F$7:$F$506)*OFFSET('Encargos e Benefícios'!$D$5,1,MATCH($B49,'Encargos e Benefícios'!$E$5:$AB$5,0),500,1)),0)
+_xlfn.IFNA(SUM((P$3&gt;='Gastos com Pessoal'!$E$513:$E$522)*(P$3&lt;='Gastos com Pessoal'!$F$513:$F$522)*OFFSET('Encargos e Benefícios'!$D$511,1,MATCH($B49,'Encargos e Benefícios'!$E$511:$AB$511,0),10,1)),0)
+_xlfn.IFNA(SUM((P$3&gt;='Gastos com Pessoal'!$E$7:$E$506)*(P$3&lt;='Gastos com Pessoal'!$F$7:$F$506)*(IF('Gastos com Pessoal'!$G$7:$G$506&lt;=P$3,1,0))*OFFSET('Gastos com Pessoal'!$H$6,1,MATCH(1&amp;$B49,'Gastos com Pessoal'!$I$532:$AJ$532&amp;'Gastos com Pessoal'!$I$6:$AJ$6,0),500,1)),0)
+_xlfn.IFNA(SUM((P$3&gt;='Gastos com Pessoal'!$E$7:$E$506)*(P$3&lt;='Gastos com Pessoal'!$F$7:$F$506)*(IF('Gastos com Pessoal'!$M$7:$M$506&lt;=P$3,1,0))*OFFSET('Gastos com Pessoal'!$H$6,1,MATCH(2&amp;$B49,'Gastos com Pessoal'!$I$532:$AJ$532&amp;'Gastos com Pessoal'!$I$6:$AJ$6,0),500,1)),0)
+_xlfn.IFNA(SUM((P$3&gt;='Gastos com Pessoal'!$E$7:$E$506)*(P$3&lt;='Gastos com Pessoal'!$F$7:$F$506)*(IF('Gastos com Pessoal'!$S$7:$S$506&lt;=P$3,1,0))*OFFSET('Gastos com Pessoal'!$H$6,1,MATCH(3&amp;$B49,'Gastos com Pessoal'!$I$532:$AJ$532&amp;'Gastos com Pessoal'!$I$6:$AJ$6,0),500,1)),0)
+_xlfn.IFNA(SUM((P$3&gt;='Gastos com Pessoal'!$E$7:$E$506)*(P$3&lt;='Gastos com Pessoal'!$F$7:$F$506)*(IF('Gastos com Pessoal'!$Y$7:$Y$506&lt;=P$3,1,0))*OFFSET('Gastos com Pessoal'!$H$6,1,MATCH(4&amp;$B49,'Gastos com Pessoal'!$I$532:$AJ$532&amp;'Gastos com Pessoal'!$I$6:$AJ$6,0),500,1)),0)
+_xlfn.IFNA(SUM((P$3&gt;='Gastos com Pessoal'!$E$7:$E$506)*(P$3&lt;='Gastos com Pessoal'!$F$7:$F$506)*(IF('Gastos com Pessoal'!$AE$7:$AE$506&lt;=P$3,1,0))*OFFSET('Gastos com Pessoal'!$H$6,1,MATCH(5&amp;$B49,'Gastos com Pessoal'!$I$532:$AJ$532&amp;'Gastos com Pessoal'!$I$6:$AJ$6,0),500,1)),0)
+_xlfn.IFNA(SUM((P$3&gt;='Gastos com Pessoal'!$E$513:$E$522)*(P$3&lt;='Gastos com Pessoal'!$F$513:$F$522)*(IF('Gastos com Pessoal'!$G$513:$G$522&lt;=P$3,1,0))*OFFSET('Gastos com Pessoal'!$H$512,1,MATCH(1&amp;$B49,'Gastos com Pessoal'!$I$532:$AJ$532&amp;'Gastos com Pessoal'!$I$512:$AJ$512,0),10,1)),0)
+_xlfn.IFNA(SUM((P$3&gt;='Gastos com Pessoal'!$E$513:$E$522)*(P$3&lt;='Gastos com Pessoal'!$F$513:$F$522)*(IF('Gastos com Pessoal'!$M$513:$M$522&lt;=P$3,1,0))*OFFSET('Gastos com Pessoal'!$H$512,1,MATCH(2&amp;$B49,'Gastos com Pessoal'!$I$532:$AJ$532&amp;'Gastos com Pessoal'!$I$512:$AJ$512,0),10,1)),0)
+_xlfn.IFNA(SUM((P$3&gt;='Gastos com Pessoal'!$E$513:$E$522)*(P$3&lt;='Gastos com Pessoal'!$F$513:$F$522)*(IF('Gastos com Pessoal'!$S$513:$S$522&lt;=P$3,1,0))*OFFSET('Gastos com Pessoal'!$H$512,1,MATCH(3&amp;$B49,'Gastos com Pessoal'!$I$532:$AJ$532&amp;'Gastos com Pessoal'!$I$512:$AJ$512,0),10,1)),0)
+_xlfn.IFNA(SUM((P$3&gt;='Gastos com Pessoal'!$E$513:$E$522)*(P$3&lt;='Gastos com Pessoal'!$F$513:$F$522)*(IF('Gastos com Pessoal'!$Y$513:$Y$522&lt;=P$3,1,0))*OFFSET('Gastos com Pessoal'!$H$512,1,MATCH(4&amp;$B49,'Gastos com Pessoal'!$I$532:$AJ$532&amp;'Gastos com Pessoal'!$I$512:$AJ$512,0),10,1)),0)
+_xlfn.IFNA(SUM((P$3&gt;='Gastos com Pessoal'!$E$513:$E$522)*(P$3&lt;='Gastos com Pessoal'!$F$513:$F$522)*(IF('Gastos com Pessoal'!$AE$513:$AE$522&lt;=P$3,1,0))*OFFSET('Gastos com Pessoal'!$H$512,1,MATCH(5&amp;$B49,'Gastos com Pessoal'!$I$532:$AJ$532&amp;'Gastos com Pessoal'!$I$512:$AJ$512,0),10,1)),0)</f>
        <v>48100</v>
      </c>
      <c r="Q49" s="32">
        <f t="array" aca="1" ref="Q49" ca="1">_xlfn.IFNA(SUM((Q$3&gt;='Gastos com Pessoal'!$E$7:$E$506)*(Q$3&lt;='Gastos com Pessoal'!$F$7:$F$506)*OFFSET('Encargos e Benefícios'!$D$5,1,MATCH($B49,'Encargos e Benefícios'!$E$5:$AB$5,0),500,1)),0)
+_xlfn.IFNA(SUM((Q$3&gt;='Gastos com Pessoal'!$E$513:$E$522)*(Q$3&lt;='Gastos com Pessoal'!$F$513:$F$522)*OFFSET('Encargos e Benefícios'!$D$511,1,MATCH($B49,'Encargos e Benefícios'!$E$511:$AB$511,0),10,1)),0)
+_xlfn.IFNA(SUM((Q$3&gt;='Gastos com Pessoal'!$E$7:$E$506)*(Q$3&lt;='Gastos com Pessoal'!$F$7:$F$506)*(IF('Gastos com Pessoal'!$G$7:$G$506&lt;=Q$3,1,0))*OFFSET('Gastos com Pessoal'!$H$6,1,MATCH(1&amp;$B49,'Gastos com Pessoal'!$I$532:$AJ$532&amp;'Gastos com Pessoal'!$I$6:$AJ$6,0),500,1)),0)
+_xlfn.IFNA(SUM((Q$3&gt;='Gastos com Pessoal'!$E$7:$E$506)*(Q$3&lt;='Gastos com Pessoal'!$F$7:$F$506)*(IF('Gastos com Pessoal'!$M$7:$M$506&lt;=Q$3,1,0))*OFFSET('Gastos com Pessoal'!$H$6,1,MATCH(2&amp;$B49,'Gastos com Pessoal'!$I$532:$AJ$532&amp;'Gastos com Pessoal'!$I$6:$AJ$6,0),500,1)),0)
+_xlfn.IFNA(SUM((Q$3&gt;='Gastos com Pessoal'!$E$7:$E$506)*(Q$3&lt;='Gastos com Pessoal'!$F$7:$F$506)*(IF('Gastos com Pessoal'!$S$7:$S$506&lt;=Q$3,1,0))*OFFSET('Gastos com Pessoal'!$H$6,1,MATCH(3&amp;$B49,'Gastos com Pessoal'!$I$532:$AJ$532&amp;'Gastos com Pessoal'!$I$6:$AJ$6,0),500,1)),0)
+_xlfn.IFNA(SUM((Q$3&gt;='Gastos com Pessoal'!$E$7:$E$506)*(Q$3&lt;='Gastos com Pessoal'!$F$7:$F$506)*(IF('Gastos com Pessoal'!$Y$7:$Y$506&lt;=Q$3,1,0))*OFFSET('Gastos com Pessoal'!$H$6,1,MATCH(4&amp;$B49,'Gastos com Pessoal'!$I$532:$AJ$532&amp;'Gastos com Pessoal'!$I$6:$AJ$6,0),500,1)),0)
+_xlfn.IFNA(SUM((Q$3&gt;='Gastos com Pessoal'!$E$7:$E$506)*(Q$3&lt;='Gastos com Pessoal'!$F$7:$F$506)*(IF('Gastos com Pessoal'!$AE$7:$AE$506&lt;=Q$3,1,0))*OFFSET('Gastos com Pessoal'!$H$6,1,MATCH(5&amp;$B49,'Gastos com Pessoal'!$I$532:$AJ$532&amp;'Gastos com Pessoal'!$I$6:$AJ$6,0),500,1)),0)
+_xlfn.IFNA(SUM((Q$3&gt;='Gastos com Pessoal'!$E$513:$E$522)*(Q$3&lt;='Gastos com Pessoal'!$F$513:$F$522)*(IF('Gastos com Pessoal'!$G$513:$G$522&lt;=Q$3,1,0))*OFFSET('Gastos com Pessoal'!$H$512,1,MATCH(1&amp;$B49,'Gastos com Pessoal'!$I$532:$AJ$532&amp;'Gastos com Pessoal'!$I$512:$AJ$512,0),10,1)),0)
+_xlfn.IFNA(SUM((Q$3&gt;='Gastos com Pessoal'!$E$513:$E$522)*(Q$3&lt;='Gastos com Pessoal'!$F$513:$F$522)*(IF('Gastos com Pessoal'!$M$513:$M$522&lt;=Q$3,1,0))*OFFSET('Gastos com Pessoal'!$H$512,1,MATCH(2&amp;$B49,'Gastos com Pessoal'!$I$532:$AJ$532&amp;'Gastos com Pessoal'!$I$512:$AJ$512,0),10,1)),0)
+_xlfn.IFNA(SUM((Q$3&gt;='Gastos com Pessoal'!$E$513:$E$522)*(Q$3&lt;='Gastos com Pessoal'!$F$513:$F$522)*(IF('Gastos com Pessoal'!$S$513:$S$522&lt;=Q$3,1,0))*OFFSET('Gastos com Pessoal'!$H$512,1,MATCH(3&amp;$B49,'Gastos com Pessoal'!$I$532:$AJ$532&amp;'Gastos com Pessoal'!$I$512:$AJ$512,0),10,1)),0)
+_xlfn.IFNA(SUM((Q$3&gt;='Gastos com Pessoal'!$E$513:$E$522)*(Q$3&lt;='Gastos com Pessoal'!$F$513:$F$522)*(IF('Gastos com Pessoal'!$Y$513:$Y$522&lt;=Q$3,1,0))*OFFSET('Gastos com Pessoal'!$H$512,1,MATCH(4&amp;$B49,'Gastos com Pessoal'!$I$532:$AJ$532&amp;'Gastos com Pessoal'!$I$512:$AJ$512,0),10,1)),0)
+_xlfn.IFNA(SUM((Q$3&gt;='Gastos com Pessoal'!$E$513:$E$522)*(Q$3&lt;='Gastos com Pessoal'!$F$513:$F$522)*(IF('Gastos com Pessoal'!$AE$513:$AE$522&lt;=Q$3,1,0))*OFFSET('Gastos com Pessoal'!$H$512,1,MATCH(5&amp;$B49,'Gastos com Pessoal'!$I$532:$AJ$532&amp;'Gastos com Pessoal'!$I$512:$AJ$512,0),10,1)),0)</f>
        <v>48100</v>
      </c>
      <c r="R49" s="32">
        <f t="array" aca="1" ref="R49" ca="1">_xlfn.IFNA(SUM((R$3&gt;='Gastos com Pessoal'!$E$7:$E$506)*(R$3&lt;='Gastos com Pessoal'!$F$7:$F$506)*OFFSET('Encargos e Benefícios'!$D$5,1,MATCH($B49,'Encargos e Benefícios'!$E$5:$AB$5,0),500,1)),0)
+_xlfn.IFNA(SUM((R$3&gt;='Gastos com Pessoal'!$E$513:$E$522)*(R$3&lt;='Gastos com Pessoal'!$F$513:$F$522)*OFFSET('Encargos e Benefícios'!$D$511,1,MATCH($B49,'Encargos e Benefícios'!$E$511:$AB$511,0),10,1)),0)
+_xlfn.IFNA(SUM((R$3&gt;='Gastos com Pessoal'!$E$7:$E$506)*(R$3&lt;='Gastos com Pessoal'!$F$7:$F$506)*(IF('Gastos com Pessoal'!$G$7:$G$506&lt;=R$3,1,0))*OFFSET('Gastos com Pessoal'!$H$6,1,MATCH(1&amp;$B49,'Gastos com Pessoal'!$I$532:$AJ$532&amp;'Gastos com Pessoal'!$I$6:$AJ$6,0),500,1)),0)
+_xlfn.IFNA(SUM((R$3&gt;='Gastos com Pessoal'!$E$7:$E$506)*(R$3&lt;='Gastos com Pessoal'!$F$7:$F$506)*(IF('Gastos com Pessoal'!$M$7:$M$506&lt;=R$3,1,0))*OFFSET('Gastos com Pessoal'!$H$6,1,MATCH(2&amp;$B49,'Gastos com Pessoal'!$I$532:$AJ$532&amp;'Gastos com Pessoal'!$I$6:$AJ$6,0),500,1)),0)
+_xlfn.IFNA(SUM((R$3&gt;='Gastos com Pessoal'!$E$7:$E$506)*(R$3&lt;='Gastos com Pessoal'!$F$7:$F$506)*(IF('Gastos com Pessoal'!$S$7:$S$506&lt;=R$3,1,0))*OFFSET('Gastos com Pessoal'!$H$6,1,MATCH(3&amp;$B49,'Gastos com Pessoal'!$I$532:$AJ$532&amp;'Gastos com Pessoal'!$I$6:$AJ$6,0),500,1)),0)
+_xlfn.IFNA(SUM((R$3&gt;='Gastos com Pessoal'!$E$7:$E$506)*(R$3&lt;='Gastos com Pessoal'!$F$7:$F$506)*(IF('Gastos com Pessoal'!$Y$7:$Y$506&lt;=R$3,1,0))*OFFSET('Gastos com Pessoal'!$H$6,1,MATCH(4&amp;$B49,'Gastos com Pessoal'!$I$532:$AJ$532&amp;'Gastos com Pessoal'!$I$6:$AJ$6,0),500,1)),0)
+_xlfn.IFNA(SUM((R$3&gt;='Gastos com Pessoal'!$E$7:$E$506)*(R$3&lt;='Gastos com Pessoal'!$F$7:$F$506)*(IF('Gastos com Pessoal'!$AE$7:$AE$506&lt;=R$3,1,0))*OFFSET('Gastos com Pessoal'!$H$6,1,MATCH(5&amp;$B49,'Gastos com Pessoal'!$I$532:$AJ$532&amp;'Gastos com Pessoal'!$I$6:$AJ$6,0),500,1)),0)
+_xlfn.IFNA(SUM((R$3&gt;='Gastos com Pessoal'!$E$513:$E$522)*(R$3&lt;='Gastos com Pessoal'!$F$513:$F$522)*(IF('Gastos com Pessoal'!$G$513:$G$522&lt;=R$3,1,0))*OFFSET('Gastos com Pessoal'!$H$512,1,MATCH(1&amp;$B49,'Gastos com Pessoal'!$I$532:$AJ$532&amp;'Gastos com Pessoal'!$I$512:$AJ$512,0),10,1)),0)
+_xlfn.IFNA(SUM((R$3&gt;='Gastos com Pessoal'!$E$513:$E$522)*(R$3&lt;='Gastos com Pessoal'!$F$513:$F$522)*(IF('Gastos com Pessoal'!$M$513:$M$522&lt;=R$3,1,0))*OFFSET('Gastos com Pessoal'!$H$512,1,MATCH(2&amp;$B49,'Gastos com Pessoal'!$I$532:$AJ$532&amp;'Gastos com Pessoal'!$I$512:$AJ$512,0),10,1)),0)
+_xlfn.IFNA(SUM((R$3&gt;='Gastos com Pessoal'!$E$513:$E$522)*(R$3&lt;='Gastos com Pessoal'!$F$513:$F$522)*(IF('Gastos com Pessoal'!$S$513:$S$522&lt;=R$3,1,0))*OFFSET('Gastos com Pessoal'!$H$512,1,MATCH(3&amp;$B49,'Gastos com Pessoal'!$I$532:$AJ$532&amp;'Gastos com Pessoal'!$I$512:$AJ$512,0),10,1)),0)
+_xlfn.IFNA(SUM((R$3&gt;='Gastos com Pessoal'!$E$513:$E$522)*(R$3&lt;='Gastos com Pessoal'!$F$513:$F$522)*(IF('Gastos com Pessoal'!$Y$513:$Y$522&lt;=R$3,1,0))*OFFSET('Gastos com Pessoal'!$H$512,1,MATCH(4&amp;$B49,'Gastos com Pessoal'!$I$532:$AJ$532&amp;'Gastos com Pessoal'!$I$512:$AJ$512,0),10,1)),0)
+_xlfn.IFNA(SUM((R$3&gt;='Gastos com Pessoal'!$E$513:$E$522)*(R$3&lt;='Gastos com Pessoal'!$F$513:$F$522)*(IF('Gastos com Pessoal'!$AE$513:$AE$522&lt;=R$3,1,0))*OFFSET('Gastos com Pessoal'!$H$512,1,MATCH(5&amp;$B49,'Gastos com Pessoal'!$I$532:$AJ$532&amp;'Gastos com Pessoal'!$I$512:$AJ$512,0),10,1)),0)</f>
        <v>48100</v>
      </c>
      <c r="S49" s="32">
        <f t="array" aca="1" ref="S49" ca="1">_xlfn.IFNA(SUM((S$3&gt;='Gastos com Pessoal'!$E$7:$E$506)*(S$3&lt;='Gastos com Pessoal'!$F$7:$F$506)*OFFSET('Encargos e Benefícios'!$D$5,1,MATCH($B49,'Encargos e Benefícios'!$E$5:$AB$5,0),500,1)),0)
+_xlfn.IFNA(SUM((S$3&gt;='Gastos com Pessoal'!$E$513:$E$522)*(S$3&lt;='Gastos com Pessoal'!$F$513:$F$522)*OFFSET('Encargos e Benefícios'!$D$511,1,MATCH($B49,'Encargos e Benefícios'!$E$511:$AB$511,0),10,1)),0)
+_xlfn.IFNA(SUM((S$3&gt;='Gastos com Pessoal'!$E$7:$E$506)*(S$3&lt;='Gastos com Pessoal'!$F$7:$F$506)*(IF('Gastos com Pessoal'!$G$7:$G$506&lt;=S$3,1,0))*OFFSET('Gastos com Pessoal'!$H$6,1,MATCH(1&amp;$B49,'Gastos com Pessoal'!$I$532:$AJ$532&amp;'Gastos com Pessoal'!$I$6:$AJ$6,0),500,1)),0)
+_xlfn.IFNA(SUM((S$3&gt;='Gastos com Pessoal'!$E$7:$E$506)*(S$3&lt;='Gastos com Pessoal'!$F$7:$F$506)*(IF('Gastos com Pessoal'!$M$7:$M$506&lt;=S$3,1,0))*OFFSET('Gastos com Pessoal'!$H$6,1,MATCH(2&amp;$B49,'Gastos com Pessoal'!$I$532:$AJ$532&amp;'Gastos com Pessoal'!$I$6:$AJ$6,0),500,1)),0)
+_xlfn.IFNA(SUM((S$3&gt;='Gastos com Pessoal'!$E$7:$E$506)*(S$3&lt;='Gastos com Pessoal'!$F$7:$F$506)*(IF('Gastos com Pessoal'!$S$7:$S$506&lt;=S$3,1,0))*OFFSET('Gastos com Pessoal'!$H$6,1,MATCH(3&amp;$B49,'Gastos com Pessoal'!$I$532:$AJ$532&amp;'Gastos com Pessoal'!$I$6:$AJ$6,0),500,1)),0)
+_xlfn.IFNA(SUM((S$3&gt;='Gastos com Pessoal'!$E$7:$E$506)*(S$3&lt;='Gastos com Pessoal'!$F$7:$F$506)*(IF('Gastos com Pessoal'!$Y$7:$Y$506&lt;=S$3,1,0))*OFFSET('Gastos com Pessoal'!$H$6,1,MATCH(4&amp;$B49,'Gastos com Pessoal'!$I$532:$AJ$532&amp;'Gastos com Pessoal'!$I$6:$AJ$6,0),500,1)),0)
+_xlfn.IFNA(SUM((S$3&gt;='Gastos com Pessoal'!$E$7:$E$506)*(S$3&lt;='Gastos com Pessoal'!$F$7:$F$506)*(IF('Gastos com Pessoal'!$AE$7:$AE$506&lt;=S$3,1,0))*OFFSET('Gastos com Pessoal'!$H$6,1,MATCH(5&amp;$B49,'Gastos com Pessoal'!$I$532:$AJ$532&amp;'Gastos com Pessoal'!$I$6:$AJ$6,0),500,1)),0)
+_xlfn.IFNA(SUM((S$3&gt;='Gastos com Pessoal'!$E$513:$E$522)*(S$3&lt;='Gastos com Pessoal'!$F$513:$F$522)*(IF('Gastos com Pessoal'!$G$513:$G$522&lt;=S$3,1,0))*OFFSET('Gastos com Pessoal'!$H$512,1,MATCH(1&amp;$B49,'Gastos com Pessoal'!$I$532:$AJ$532&amp;'Gastos com Pessoal'!$I$512:$AJ$512,0),10,1)),0)
+_xlfn.IFNA(SUM((S$3&gt;='Gastos com Pessoal'!$E$513:$E$522)*(S$3&lt;='Gastos com Pessoal'!$F$513:$F$522)*(IF('Gastos com Pessoal'!$M$513:$M$522&lt;=S$3,1,0))*OFFSET('Gastos com Pessoal'!$H$512,1,MATCH(2&amp;$B49,'Gastos com Pessoal'!$I$532:$AJ$532&amp;'Gastos com Pessoal'!$I$512:$AJ$512,0),10,1)),0)
+_xlfn.IFNA(SUM((S$3&gt;='Gastos com Pessoal'!$E$513:$E$522)*(S$3&lt;='Gastos com Pessoal'!$F$513:$F$522)*(IF('Gastos com Pessoal'!$S$513:$S$522&lt;=S$3,1,0))*OFFSET('Gastos com Pessoal'!$H$512,1,MATCH(3&amp;$B49,'Gastos com Pessoal'!$I$532:$AJ$532&amp;'Gastos com Pessoal'!$I$512:$AJ$512,0),10,1)),0)
+_xlfn.IFNA(SUM((S$3&gt;='Gastos com Pessoal'!$E$513:$E$522)*(S$3&lt;='Gastos com Pessoal'!$F$513:$F$522)*(IF('Gastos com Pessoal'!$Y$513:$Y$522&lt;=S$3,1,0))*OFFSET('Gastos com Pessoal'!$H$512,1,MATCH(4&amp;$B49,'Gastos com Pessoal'!$I$532:$AJ$532&amp;'Gastos com Pessoal'!$I$512:$AJ$512,0),10,1)),0)
+_xlfn.IFNA(SUM((S$3&gt;='Gastos com Pessoal'!$E$513:$E$522)*(S$3&lt;='Gastos com Pessoal'!$F$513:$F$522)*(IF('Gastos com Pessoal'!$AE$513:$AE$522&lt;=S$3,1,0))*OFFSET('Gastos com Pessoal'!$H$512,1,MATCH(5&amp;$B49,'Gastos com Pessoal'!$I$532:$AJ$532&amp;'Gastos com Pessoal'!$I$512:$AJ$512,0),10,1)),0)</f>
        <v>48100</v>
      </c>
      <c r="T49" s="32">
        <f t="array" aca="1" ref="T49" ca="1">_xlfn.IFNA(SUM((T$3&gt;='Gastos com Pessoal'!$E$7:$E$506)*(T$3&lt;='Gastos com Pessoal'!$F$7:$F$506)*OFFSET('Encargos e Benefícios'!$D$5,1,MATCH($B49,'Encargos e Benefícios'!$E$5:$AB$5,0),500,1)),0)
+_xlfn.IFNA(SUM((T$3&gt;='Gastos com Pessoal'!$E$513:$E$522)*(T$3&lt;='Gastos com Pessoal'!$F$513:$F$522)*OFFSET('Encargos e Benefícios'!$D$511,1,MATCH($B49,'Encargos e Benefícios'!$E$511:$AB$511,0),10,1)),0)
+_xlfn.IFNA(SUM((T$3&gt;='Gastos com Pessoal'!$E$7:$E$506)*(T$3&lt;='Gastos com Pessoal'!$F$7:$F$506)*(IF('Gastos com Pessoal'!$G$7:$G$506&lt;=T$3,1,0))*OFFSET('Gastos com Pessoal'!$H$6,1,MATCH(1&amp;$B49,'Gastos com Pessoal'!$I$532:$AJ$532&amp;'Gastos com Pessoal'!$I$6:$AJ$6,0),500,1)),0)
+_xlfn.IFNA(SUM((T$3&gt;='Gastos com Pessoal'!$E$7:$E$506)*(T$3&lt;='Gastos com Pessoal'!$F$7:$F$506)*(IF('Gastos com Pessoal'!$M$7:$M$506&lt;=T$3,1,0))*OFFSET('Gastos com Pessoal'!$H$6,1,MATCH(2&amp;$B49,'Gastos com Pessoal'!$I$532:$AJ$532&amp;'Gastos com Pessoal'!$I$6:$AJ$6,0),500,1)),0)
+_xlfn.IFNA(SUM((T$3&gt;='Gastos com Pessoal'!$E$7:$E$506)*(T$3&lt;='Gastos com Pessoal'!$F$7:$F$506)*(IF('Gastos com Pessoal'!$S$7:$S$506&lt;=T$3,1,0))*OFFSET('Gastos com Pessoal'!$H$6,1,MATCH(3&amp;$B49,'Gastos com Pessoal'!$I$532:$AJ$532&amp;'Gastos com Pessoal'!$I$6:$AJ$6,0),500,1)),0)
+_xlfn.IFNA(SUM((T$3&gt;='Gastos com Pessoal'!$E$7:$E$506)*(T$3&lt;='Gastos com Pessoal'!$F$7:$F$506)*(IF('Gastos com Pessoal'!$Y$7:$Y$506&lt;=T$3,1,0))*OFFSET('Gastos com Pessoal'!$H$6,1,MATCH(4&amp;$B49,'Gastos com Pessoal'!$I$532:$AJ$532&amp;'Gastos com Pessoal'!$I$6:$AJ$6,0),500,1)),0)
+_xlfn.IFNA(SUM((T$3&gt;='Gastos com Pessoal'!$E$7:$E$506)*(T$3&lt;='Gastos com Pessoal'!$F$7:$F$506)*(IF('Gastos com Pessoal'!$AE$7:$AE$506&lt;=T$3,1,0))*OFFSET('Gastos com Pessoal'!$H$6,1,MATCH(5&amp;$B49,'Gastos com Pessoal'!$I$532:$AJ$532&amp;'Gastos com Pessoal'!$I$6:$AJ$6,0),500,1)),0)
+_xlfn.IFNA(SUM((T$3&gt;='Gastos com Pessoal'!$E$513:$E$522)*(T$3&lt;='Gastos com Pessoal'!$F$513:$F$522)*(IF('Gastos com Pessoal'!$G$513:$G$522&lt;=T$3,1,0))*OFFSET('Gastos com Pessoal'!$H$512,1,MATCH(1&amp;$B49,'Gastos com Pessoal'!$I$532:$AJ$532&amp;'Gastos com Pessoal'!$I$512:$AJ$512,0),10,1)),0)
+_xlfn.IFNA(SUM((T$3&gt;='Gastos com Pessoal'!$E$513:$E$522)*(T$3&lt;='Gastos com Pessoal'!$F$513:$F$522)*(IF('Gastos com Pessoal'!$M$513:$M$522&lt;=T$3,1,0))*OFFSET('Gastos com Pessoal'!$H$512,1,MATCH(2&amp;$B49,'Gastos com Pessoal'!$I$532:$AJ$532&amp;'Gastos com Pessoal'!$I$512:$AJ$512,0),10,1)),0)
+_xlfn.IFNA(SUM((T$3&gt;='Gastos com Pessoal'!$E$513:$E$522)*(T$3&lt;='Gastos com Pessoal'!$F$513:$F$522)*(IF('Gastos com Pessoal'!$S$513:$S$522&lt;=T$3,1,0))*OFFSET('Gastos com Pessoal'!$H$512,1,MATCH(3&amp;$B49,'Gastos com Pessoal'!$I$532:$AJ$532&amp;'Gastos com Pessoal'!$I$512:$AJ$512,0),10,1)),0)
+_xlfn.IFNA(SUM((T$3&gt;='Gastos com Pessoal'!$E$513:$E$522)*(T$3&lt;='Gastos com Pessoal'!$F$513:$F$522)*(IF('Gastos com Pessoal'!$Y$513:$Y$522&lt;=T$3,1,0))*OFFSET('Gastos com Pessoal'!$H$512,1,MATCH(4&amp;$B49,'Gastos com Pessoal'!$I$532:$AJ$532&amp;'Gastos com Pessoal'!$I$512:$AJ$512,0),10,1)),0)
+_xlfn.IFNA(SUM((T$3&gt;='Gastos com Pessoal'!$E$513:$E$522)*(T$3&lt;='Gastos com Pessoal'!$F$513:$F$522)*(IF('Gastos com Pessoal'!$AE$513:$AE$522&lt;=T$3,1,0))*OFFSET('Gastos com Pessoal'!$H$512,1,MATCH(5&amp;$B49,'Gastos com Pessoal'!$I$532:$AJ$532&amp;'Gastos com Pessoal'!$I$512:$AJ$512,0),10,1)),0)</f>
        <v>48100</v>
      </c>
      <c r="U49" s="32">
        <f t="array" aca="1" ref="U49" ca="1">_xlfn.IFNA(SUM((U$3&gt;='Gastos com Pessoal'!$E$7:$E$506)*(U$3&lt;='Gastos com Pessoal'!$F$7:$F$506)*OFFSET('Encargos e Benefícios'!$D$5,1,MATCH($B49,'Encargos e Benefícios'!$E$5:$AB$5,0),500,1)),0)
+_xlfn.IFNA(SUM((U$3&gt;='Gastos com Pessoal'!$E$513:$E$522)*(U$3&lt;='Gastos com Pessoal'!$F$513:$F$522)*OFFSET('Encargos e Benefícios'!$D$511,1,MATCH($B49,'Encargos e Benefícios'!$E$511:$AB$511,0),10,1)),0)
+_xlfn.IFNA(SUM((U$3&gt;='Gastos com Pessoal'!$E$7:$E$506)*(U$3&lt;='Gastos com Pessoal'!$F$7:$F$506)*(IF('Gastos com Pessoal'!$G$7:$G$506&lt;=U$3,1,0))*OFFSET('Gastos com Pessoal'!$H$6,1,MATCH(1&amp;$B49,'Gastos com Pessoal'!$I$532:$AJ$532&amp;'Gastos com Pessoal'!$I$6:$AJ$6,0),500,1)),0)
+_xlfn.IFNA(SUM((U$3&gt;='Gastos com Pessoal'!$E$7:$E$506)*(U$3&lt;='Gastos com Pessoal'!$F$7:$F$506)*(IF('Gastos com Pessoal'!$M$7:$M$506&lt;=U$3,1,0))*OFFSET('Gastos com Pessoal'!$H$6,1,MATCH(2&amp;$B49,'Gastos com Pessoal'!$I$532:$AJ$532&amp;'Gastos com Pessoal'!$I$6:$AJ$6,0),500,1)),0)
+_xlfn.IFNA(SUM((U$3&gt;='Gastos com Pessoal'!$E$7:$E$506)*(U$3&lt;='Gastos com Pessoal'!$F$7:$F$506)*(IF('Gastos com Pessoal'!$S$7:$S$506&lt;=U$3,1,0))*OFFSET('Gastos com Pessoal'!$H$6,1,MATCH(3&amp;$B49,'Gastos com Pessoal'!$I$532:$AJ$532&amp;'Gastos com Pessoal'!$I$6:$AJ$6,0),500,1)),0)
+_xlfn.IFNA(SUM((U$3&gt;='Gastos com Pessoal'!$E$7:$E$506)*(U$3&lt;='Gastos com Pessoal'!$F$7:$F$506)*(IF('Gastos com Pessoal'!$Y$7:$Y$506&lt;=U$3,1,0))*OFFSET('Gastos com Pessoal'!$H$6,1,MATCH(4&amp;$B49,'Gastos com Pessoal'!$I$532:$AJ$532&amp;'Gastos com Pessoal'!$I$6:$AJ$6,0),500,1)),0)
+_xlfn.IFNA(SUM((U$3&gt;='Gastos com Pessoal'!$E$7:$E$506)*(U$3&lt;='Gastos com Pessoal'!$F$7:$F$506)*(IF('Gastos com Pessoal'!$AE$7:$AE$506&lt;=U$3,1,0))*OFFSET('Gastos com Pessoal'!$H$6,1,MATCH(5&amp;$B49,'Gastos com Pessoal'!$I$532:$AJ$532&amp;'Gastos com Pessoal'!$I$6:$AJ$6,0),500,1)),0)
+_xlfn.IFNA(SUM((U$3&gt;='Gastos com Pessoal'!$E$513:$E$522)*(U$3&lt;='Gastos com Pessoal'!$F$513:$F$522)*(IF('Gastos com Pessoal'!$G$513:$G$522&lt;=U$3,1,0))*OFFSET('Gastos com Pessoal'!$H$512,1,MATCH(1&amp;$B49,'Gastos com Pessoal'!$I$532:$AJ$532&amp;'Gastos com Pessoal'!$I$512:$AJ$512,0),10,1)),0)
+_xlfn.IFNA(SUM((U$3&gt;='Gastos com Pessoal'!$E$513:$E$522)*(U$3&lt;='Gastos com Pessoal'!$F$513:$F$522)*(IF('Gastos com Pessoal'!$M$513:$M$522&lt;=U$3,1,0))*OFFSET('Gastos com Pessoal'!$H$512,1,MATCH(2&amp;$B49,'Gastos com Pessoal'!$I$532:$AJ$532&amp;'Gastos com Pessoal'!$I$512:$AJ$512,0),10,1)),0)
+_xlfn.IFNA(SUM((U$3&gt;='Gastos com Pessoal'!$E$513:$E$522)*(U$3&lt;='Gastos com Pessoal'!$F$513:$F$522)*(IF('Gastos com Pessoal'!$S$513:$S$522&lt;=U$3,1,0))*OFFSET('Gastos com Pessoal'!$H$512,1,MATCH(3&amp;$B49,'Gastos com Pessoal'!$I$532:$AJ$532&amp;'Gastos com Pessoal'!$I$512:$AJ$512,0),10,1)),0)
+_xlfn.IFNA(SUM((U$3&gt;='Gastos com Pessoal'!$E$513:$E$522)*(U$3&lt;='Gastos com Pessoal'!$F$513:$F$522)*(IF('Gastos com Pessoal'!$Y$513:$Y$522&lt;=U$3,1,0))*OFFSET('Gastos com Pessoal'!$H$512,1,MATCH(4&amp;$B49,'Gastos com Pessoal'!$I$532:$AJ$532&amp;'Gastos com Pessoal'!$I$512:$AJ$512,0),10,1)),0)
+_xlfn.IFNA(SUM((U$3&gt;='Gastos com Pessoal'!$E$513:$E$522)*(U$3&lt;='Gastos com Pessoal'!$F$513:$F$522)*(IF('Gastos com Pessoal'!$AE$513:$AE$522&lt;=U$3,1,0))*OFFSET('Gastos com Pessoal'!$H$512,1,MATCH(5&amp;$B49,'Gastos com Pessoal'!$I$532:$AJ$532&amp;'Gastos com Pessoal'!$I$512:$AJ$512,0),10,1)),0)</f>
        <v>48100</v>
      </c>
      <c r="V49" s="32">
        <f t="array" aca="1" ref="V49" ca="1">_xlfn.IFNA(SUM((V$3&gt;='Gastos com Pessoal'!$E$7:$E$506)*(V$3&lt;='Gastos com Pessoal'!$F$7:$F$506)*OFFSET('Encargos e Benefícios'!$D$5,1,MATCH($B49,'Encargos e Benefícios'!$E$5:$AB$5,0),500,1)),0)
+_xlfn.IFNA(SUM((V$3&gt;='Gastos com Pessoal'!$E$513:$E$522)*(V$3&lt;='Gastos com Pessoal'!$F$513:$F$522)*OFFSET('Encargos e Benefícios'!$D$511,1,MATCH($B49,'Encargos e Benefícios'!$E$511:$AB$511,0),10,1)),0)
+_xlfn.IFNA(SUM((V$3&gt;='Gastos com Pessoal'!$E$7:$E$506)*(V$3&lt;='Gastos com Pessoal'!$F$7:$F$506)*(IF('Gastos com Pessoal'!$G$7:$G$506&lt;=V$3,1,0))*OFFSET('Gastos com Pessoal'!$H$6,1,MATCH(1&amp;$B49,'Gastos com Pessoal'!$I$532:$AJ$532&amp;'Gastos com Pessoal'!$I$6:$AJ$6,0),500,1)),0)
+_xlfn.IFNA(SUM((V$3&gt;='Gastos com Pessoal'!$E$7:$E$506)*(V$3&lt;='Gastos com Pessoal'!$F$7:$F$506)*(IF('Gastos com Pessoal'!$M$7:$M$506&lt;=V$3,1,0))*OFFSET('Gastos com Pessoal'!$H$6,1,MATCH(2&amp;$B49,'Gastos com Pessoal'!$I$532:$AJ$532&amp;'Gastos com Pessoal'!$I$6:$AJ$6,0),500,1)),0)
+_xlfn.IFNA(SUM((V$3&gt;='Gastos com Pessoal'!$E$7:$E$506)*(V$3&lt;='Gastos com Pessoal'!$F$7:$F$506)*(IF('Gastos com Pessoal'!$S$7:$S$506&lt;=V$3,1,0))*OFFSET('Gastos com Pessoal'!$H$6,1,MATCH(3&amp;$B49,'Gastos com Pessoal'!$I$532:$AJ$532&amp;'Gastos com Pessoal'!$I$6:$AJ$6,0),500,1)),0)
+_xlfn.IFNA(SUM((V$3&gt;='Gastos com Pessoal'!$E$7:$E$506)*(V$3&lt;='Gastos com Pessoal'!$F$7:$F$506)*(IF('Gastos com Pessoal'!$Y$7:$Y$506&lt;=V$3,1,0))*OFFSET('Gastos com Pessoal'!$H$6,1,MATCH(4&amp;$B49,'Gastos com Pessoal'!$I$532:$AJ$532&amp;'Gastos com Pessoal'!$I$6:$AJ$6,0),500,1)),0)
+_xlfn.IFNA(SUM((V$3&gt;='Gastos com Pessoal'!$E$7:$E$506)*(V$3&lt;='Gastos com Pessoal'!$F$7:$F$506)*(IF('Gastos com Pessoal'!$AE$7:$AE$506&lt;=V$3,1,0))*OFFSET('Gastos com Pessoal'!$H$6,1,MATCH(5&amp;$B49,'Gastos com Pessoal'!$I$532:$AJ$532&amp;'Gastos com Pessoal'!$I$6:$AJ$6,0),500,1)),0)
+_xlfn.IFNA(SUM((V$3&gt;='Gastos com Pessoal'!$E$513:$E$522)*(V$3&lt;='Gastos com Pessoal'!$F$513:$F$522)*(IF('Gastos com Pessoal'!$G$513:$G$522&lt;=V$3,1,0))*OFFSET('Gastos com Pessoal'!$H$512,1,MATCH(1&amp;$B49,'Gastos com Pessoal'!$I$532:$AJ$532&amp;'Gastos com Pessoal'!$I$512:$AJ$512,0),10,1)),0)
+_xlfn.IFNA(SUM((V$3&gt;='Gastos com Pessoal'!$E$513:$E$522)*(V$3&lt;='Gastos com Pessoal'!$F$513:$F$522)*(IF('Gastos com Pessoal'!$M$513:$M$522&lt;=V$3,1,0))*OFFSET('Gastos com Pessoal'!$H$512,1,MATCH(2&amp;$B49,'Gastos com Pessoal'!$I$532:$AJ$532&amp;'Gastos com Pessoal'!$I$512:$AJ$512,0),10,1)),0)
+_xlfn.IFNA(SUM((V$3&gt;='Gastos com Pessoal'!$E$513:$E$522)*(V$3&lt;='Gastos com Pessoal'!$F$513:$F$522)*(IF('Gastos com Pessoal'!$S$513:$S$522&lt;=V$3,1,0))*OFFSET('Gastos com Pessoal'!$H$512,1,MATCH(3&amp;$B49,'Gastos com Pessoal'!$I$532:$AJ$532&amp;'Gastos com Pessoal'!$I$512:$AJ$512,0),10,1)),0)
+_xlfn.IFNA(SUM((V$3&gt;='Gastos com Pessoal'!$E$513:$E$522)*(V$3&lt;='Gastos com Pessoal'!$F$513:$F$522)*(IF('Gastos com Pessoal'!$Y$513:$Y$522&lt;=V$3,1,0))*OFFSET('Gastos com Pessoal'!$H$512,1,MATCH(4&amp;$B49,'Gastos com Pessoal'!$I$532:$AJ$532&amp;'Gastos com Pessoal'!$I$512:$AJ$512,0),10,1)),0)
+_xlfn.IFNA(SUM((V$3&gt;='Gastos com Pessoal'!$E$513:$E$522)*(V$3&lt;='Gastos com Pessoal'!$F$513:$F$522)*(IF('Gastos com Pessoal'!$AE$513:$AE$522&lt;=V$3,1,0))*OFFSET('Gastos com Pessoal'!$H$512,1,MATCH(5&amp;$B49,'Gastos com Pessoal'!$I$532:$AJ$532&amp;'Gastos com Pessoal'!$I$512:$AJ$512,0),10,1)),0)</f>
        <v>48100</v>
      </c>
      <c r="W49" s="32">
        <f t="array" aca="1" ref="W49" ca="1">_xlfn.IFNA(SUM((W$3&gt;='Gastos com Pessoal'!$E$7:$E$506)*(W$3&lt;='Gastos com Pessoal'!$F$7:$F$506)*OFFSET('Encargos e Benefícios'!$D$5,1,MATCH($B49,'Encargos e Benefícios'!$E$5:$AB$5,0),500,1)),0)
+_xlfn.IFNA(SUM((W$3&gt;='Gastos com Pessoal'!$E$513:$E$522)*(W$3&lt;='Gastos com Pessoal'!$F$513:$F$522)*OFFSET('Encargos e Benefícios'!$D$511,1,MATCH($B49,'Encargos e Benefícios'!$E$511:$AB$511,0),10,1)),0)
+_xlfn.IFNA(SUM((W$3&gt;='Gastos com Pessoal'!$E$7:$E$506)*(W$3&lt;='Gastos com Pessoal'!$F$7:$F$506)*(IF('Gastos com Pessoal'!$G$7:$G$506&lt;=W$3,1,0))*OFFSET('Gastos com Pessoal'!$H$6,1,MATCH(1&amp;$B49,'Gastos com Pessoal'!$I$532:$AJ$532&amp;'Gastos com Pessoal'!$I$6:$AJ$6,0),500,1)),0)
+_xlfn.IFNA(SUM((W$3&gt;='Gastos com Pessoal'!$E$7:$E$506)*(W$3&lt;='Gastos com Pessoal'!$F$7:$F$506)*(IF('Gastos com Pessoal'!$M$7:$M$506&lt;=W$3,1,0))*OFFSET('Gastos com Pessoal'!$H$6,1,MATCH(2&amp;$B49,'Gastos com Pessoal'!$I$532:$AJ$532&amp;'Gastos com Pessoal'!$I$6:$AJ$6,0),500,1)),0)
+_xlfn.IFNA(SUM((W$3&gt;='Gastos com Pessoal'!$E$7:$E$506)*(W$3&lt;='Gastos com Pessoal'!$F$7:$F$506)*(IF('Gastos com Pessoal'!$S$7:$S$506&lt;=W$3,1,0))*OFFSET('Gastos com Pessoal'!$H$6,1,MATCH(3&amp;$B49,'Gastos com Pessoal'!$I$532:$AJ$532&amp;'Gastos com Pessoal'!$I$6:$AJ$6,0),500,1)),0)
+_xlfn.IFNA(SUM((W$3&gt;='Gastos com Pessoal'!$E$7:$E$506)*(W$3&lt;='Gastos com Pessoal'!$F$7:$F$506)*(IF('Gastos com Pessoal'!$Y$7:$Y$506&lt;=W$3,1,0))*OFFSET('Gastos com Pessoal'!$H$6,1,MATCH(4&amp;$B49,'Gastos com Pessoal'!$I$532:$AJ$532&amp;'Gastos com Pessoal'!$I$6:$AJ$6,0),500,1)),0)
+_xlfn.IFNA(SUM((W$3&gt;='Gastos com Pessoal'!$E$7:$E$506)*(W$3&lt;='Gastos com Pessoal'!$F$7:$F$506)*(IF('Gastos com Pessoal'!$AE$7:$AE$506&lt;=W$3,1,0))*OFFSET('Gastos com Pessoal'!$H$6,1,MATCH(5&amp;$B49,'Gastos com Pessoal'!$I$532:$AJ$532&amp;'Gastos com Pessoal'!$I$6:$AJ$6,0),500,1)),0)
+_xlfn.IFNA(SUM((W$3&gt;='Gastos com Pessoal'!$E$513:$E$522)*(W$3&lt;='Gastos com Pessoal'!$F$513:$F$522)*(IF('Gastos com Pessoal'!$G$513:$G$522&lt;=W$3,1,0))*OFFSET('Gastos com Pessoal'!$H$512,1,MATCH(1&amp;$B49,'Gastos com Pessoal'!$I$532:$AJ$532&amp;'Gastos com Pessoal'!$I$512:$AJ$512,0),10,1)),0)
+_xlfn.IFNA(SUM((W$3&gt;='Gastos com Pessoal'!$E$513:$E$522)*(W$3&lt;='Gastos com Pessoal'!$F$513:$F$522)*(IF('Gastos com Pessoal'!$M$513:$M$522&lt;=W$3,1,0))*OFFSET('Gastos com Pessoal'!$H$512,1,MATCH(2&amp;$B49,'Gastos com Pessoal'!$I$532:$AJ$532&amp;'Gastos com Pessoal'!$I$512:$AJ$512,0),10,1)),0)
+_xlfn.IFNA(SUM((W$3&gt;='Gastos com Pessoal'!$E$513:$E$522)*(W$3&lt;='Gastos com Pessoal'!$F$513:$F$522)*(IF('Gastos com Pessoal'!$S$513:$S$522&lt;=W$3,1,0))*OFFSET('Gastos com Pessoal'!$H$512,1,MATCH(3&amp;$B49,'Gastos com Pessoal'!$I$532:$AJ$532&amp;'Gastos com Pessoal'!$I$512:$AJ$512,0),10,1)),0)
+_xlfn.IFNA(SUM((W$3&gt;='Gastos com Pessoal'!$E$513:$E$522)*(W$3&lt;='Gastos com Pessoal'!$F$513:$F$522)*(IF('Gastos com Pessoal'!$Y$513:$Y$522&lt;=W$3,1,0))*OFFSET('Gastos com Pessoal'!$H$512,1,MATCH(4&amp;$B49,'Gastos com Pessoal'!$I$532:$AJ$532&amp;'Gastos com Pessoal'!$I$512:$AJ$512,0),10,1)),0)
+_xlfn.IFNA(SUM((W$3&gt;='Gastos com Pessoal'!$E$513:$E$522)*(W$3&lt;='Gastos com Pessoal'!$F$513:$F$522)*(IF('Gastos com Pessoal'!$AE$513:$AE$522&lt;=W$3,1,0))*OFFSET('Gastos com Pessoal'!$H$512,1,MATCH(5&amp;$B49,'Gastos com Pessoal'!$I$532:$AJ$532&amp;'Gastos com Pessoal'!$I$512:$AJ$512,0),10,1)),0)</f>
        <v>48100</v>
      </c>
      <c r="X49" s="32">
        <f t="array" aca="1" ref="X49" ca="1">_xlfn.IFNA(SUM((X$3&gt;='Gastos com Pessoal'!$E$7:$E$506)*(X$3&lt;='Gastos com Pessoal'!$F$7:$F$506)*OFFSET('Encargos e Benefícios'!$D$5,1,MATCH($B49,'Encargos e Benefícios'!$E$5:$AB$5,0),500,1)),0)
+_xlfn.IFNA(SUM((X$3&gt;='Gastos com Pessoal'!$E$513:$E$522)*(X$3&lt;='Gastos com Pessoal'!$F$513:$F$522)*OFFSET('Encargos e Benefícios'!$D$511,1,MATCH($B49,'Encargos e Benefícios'!$E$511:$AB$511,0),10,1)),0)
+_xlfn.IFNA(SUM((X$3&gt;='Gastos com Pessoal'!$E$7:$E$506)*(X$3&lt;='Gastos com Pessoal'!$F$7:$F$506)*(IF('Gastos com Pessoal'!$G$7:$G$506&lt;=X$3,1,0))*OFFSET('Gastos com Pessoal'!$H$6,1,MATCH(1&amp;$B49,'Gastos com Pessoal'!$I$532:$AJ$532&amp;'Gastos com Pessoal'!$I$6:$AJ$6,0),500,1)),0)
+_xlfn.IFNA(SUM((X$3&gt;='Gastos com Pessoal'!$E$7:$E$506)*(X$3&lt;='Gastos com Pessoal'!$F$7:$F$506)*(IF('Gastos com Pessoal'!$M$7:$M$506&lt;=X$3,1,0))*OFFSET('Gastos com Pessoal'!$H$6,1,MATCH(2&amp;$B49,'Gastos com Pessoal'!$I$532:$AJ$532&amp;'Gastos com Pessoal'!$I$6:$AJ$6,0),500,1)),0)
+_xlfn.IFNA(SUM((X$3&gt;='Gastos com Pessoal'!$E$7:$E$506)*(X$3&lt;='Gastos com Pessoal'!$F$7:$F$506)*(IF('Gastos com Pessoal'!$S$7:$S$506&lt;=X$3,1,0))*OFFSET('Gastos com Pessoal'!$H$6,1,MATCH(3&amp;$B49,'Gastos com Pessoal'!$I$532:$AJ$532&amp;'Gastos com Pessoal'!$I$6:$AJ$6,0),500,1)),0)
+_xlfn.IFNA(SUM((X$3&gt;='Gastos com Pessoal'!$E$7:$E$506)*(X$3&lt;='Gastos com Pessoal'!$F$7:$F$506)*(IF('Gastos com Pessoal'!$Y$7:$Y$506&lt;=X$3,1,0))*OFFSET('Gastos com Pessoal'!$H$6,1,MATCH(4&amp;$B49,'Gastos com Pessoal'!$I$532:$AJ$532&amp;'Gastos com Pessoal'!$I$6:$AJ$6,0),500,1)),0)
+_xlfn.IFNA(SUM((X$3&gt;='Gastos com Pessoal'!$E$7:$E$506)*(X$3&lt;='Gastos com Pessoal'!$F$7:$F$506)*(IF('Gastos com Pessoal'!$AE$7:$AE$506&lt;=X$3,1,0))*OFFSET('Gastos com Pessoal'!$H$6,1,MATCH(5&amp;$B49,'Gastos com Pessoal'!$I$532:$AJ$532&amp;'Gastos com Pessoal'!$I$6:$AJ$6,0),500,1)),0)
+_xlfn.IFNA(SUM((X$3&gt;='Gastos com Pessoal'!$E$513:$E$522)*(X$3&lt;='Gastos com Pessoal'!$F$513:$F$522)*(IF('Gastos com Pessoal'!$G$513:$G$522&lt;=X$3,1,0))*OFFSET('Gastos com Pessoal'!$H$512,1,MATCH(1&amp;$B49,'Gastos com Pessoal'!$I$532:$AJ$532&amp;'Gastos com Pessoal'!$I$512:$AJ$512,0),10,1)),0)
+_xlfn.IFNA(SUM((X$3&gt;='Gastos com Pessoal'!$E$513:$E$522)*(X$3&lt;='Gastos com Pessoal'!$F$513:$F$522)*(IF('Gastos com Pessoal'!$M$513:$M$522&lt;=X$3,1,0))*OFFSET('Gastos com Pessoal'!$H$512,1,MATCH(2&amp;$B49,'Gastos com Pessoal'!$I$532:$AJ$532&amp;'Gastos com Pessoal'!$I$512:$AJ$512,0),10,1)),0)
+_xlfn.IFNA(SUM((X$3&gt;='Gastos com Pessoal'!$E$513:$E$522)*(X$3&lt;='Gastos com Pessoal'!$F$513:$F$522)*(IF('Gastos com Pessoal'!$S$513:$S$522&lt;=X$3,1,0))*OFFSET('Gastos com Pessoal'!$H$512,1,MATCH(3&amp;$B49,'Gastos com Pessoal'!$I$532:$AJ$532&amp;'Gastos com Pessoal'!$I$512:$AJ$512,0),10,1)),0)
+_xlfn.IFNA(SUM((X$3&gt;='Gastos com Pessoal'!$E$513:$E$522)*(X$3&lt;='Gastos com Pessoal'!$F$513:$F$522)*(IF('Gastos com Pessoal'!$Y$513:$Y$522&lt;=X$3,1,0))*OFFSET('Gastos com Pessoal'!$H$512,1,MATCH(4&amp;$B49,'Gastos com Pessoal'!$I$532:$AJ$532&amp;'Gastos com Pessoal'!$I$512:$AJ$512,0),10,1)),0)
+_xlfn.IFNA(SUM((X$3&gt;='Gastos com Pessoal'!$E$513:$E$522)*(X$3&lt;='Gastos com Pessoal'!$F$513:$F$522)*(IF('Gastos com Pessoal'!$AE$513:$AE$522&lt;=X$3,1,0))*OFFSET('Gastos com Pessoal'!$H$512,1,MATCH(5&amp;$B49,'Gastos com Pessoal'!$I$532:$AJ$532&amp;'Gastos com Pessoal'!$I$512:$AJ$512,0),10,1)),0)</f>
        <v>48100</v>
      </c>
      <c r="Y49" s="32">
        <f t="array" aca="1" ref="Y49" ca="1">_xlfn.IFNA(SUM((Y$3&gt;='Gastos com Pessoal'!$E$7:$E$506)*(Y$3&lt;='Gastos com Pessoal'!$F$7:$F$506)*OFFSET('Encargos e Benefícios'!$D$5,1,MATCH($B49,'Encargos e Benefícios'!$E$5:$AB$5,0),500,1)),0)
+_xlfn.IFNA(SUM((Y$3&gt;='Gastos com Pessoal'!$E$513:$E$522)*(Y$3&lt;='Gastos com Pessoal'!$F$513:$F$522)*OFFSET('Encargos e Benefícios'!$D$511,1,MATCH($B49,'Encargos e Benefícios'!$E$511:$AB$511,0),10,1)),0)
+_xlfn.IFNA(SUM((Y$3&gt;='Gastos com Pessoal'!$E$7:$E$506)*(Y$3&lt;='Gastos com Pessoal'!$F$7:$F$506)*(IF('Gastos com Pessoal'!$G$7:$G$506&lt;=Y$3,1,0))*OFFSET('Gastos com Pessoal'!$H$6,1,MATCH(1&amp;$B49,'Gastos com Pessoal'!$I$532:$AJ$532&amp;'Gastos com Pessoal'!$I$6:$AJ$6,0),500,1)),0)
+_xlfn.IFNA(SUM((Y$3&gt;='Gastos com Pessoal'!$E$7:$E$506)*(Y$3&lt;='Gastos com Pessoal'!$F$7:$F$506)*(IF('Gastos com Pessoal'!$M$7:$M$506&lt;=Y$3,1,0))*OFFSET('Gastos com Pessoal'!$H$6,1,MATCH(2&amp;$B49,'Gastos com Pessoal'!$I$532:$AJ$532&amp;'Gastos com Pessoal'!$I$6:$AJ$6,0),500,1)),0)
+_xlfn.IFNA(SUM((Y$3&gt;='Gastos com Pessoal'!$E$7:$E$506)*(Y$3&lt;='Gastos com Pessoal'!$F$7:$F$506)*(IF('Gastos com Pessoal'!$S$7:$S$506&lt;=Y$3,1,0))*OFFSET('Gastos com Pessoal'!$H$6,1,MATCH(3&amp;$B49,'Gastos com Pessoal'!$I$532:$AJ$532&amp;'Gastos com Pessoal'!$I$6:$AJ$6,0),500,1)),0)
+_xlfn.IFNA(SUM((Y$3&gt;='Gastos com Pessoal'!$E$7:$E$506)*(Y$3&lt;='Gastos com Pessoal'!$F$7:$F$506)*(IF('Gastos com Pessoal'!$Y$7:$Y$506&lt;=Y$3,1,0))*OFFSET('Gastos com Pessoal'!$H$6,1,MATCH(4&amp;$B49,'Gastos com Pessoal'!$I$532:$AJ$532&amp;'Gastos com Pessoal'!$I$6:$AJ$6,0),500,1)),0)
+_xlfn.IFNA(SUM((Y$3&gt;='Gastos com Pessoal'!$E$7:$E$506)*(Y$3&lt;='Gastos com Pessoal'!$F$7:$F$506)*(IF('Gastos com Pessoal'!$AE$7:$AE$506&lt;=Y$3,1,0))*OFFSET('Gastos com Pessoal'!$H$6,1,MATCH(5&amp;$B49,'Gastos com Pessoal'!$I$532:$AJ$532&amp;'Gastos com Pessoal'!$I$6:$AJ$6,0),500,1)),0)
+_xlfn.IFNA(SUM((Y$3&gt;='Gastos com Pessoal'!$E$513:$E$522)*(Y$3&lt;='Gastos com Pessoal'!$F$513:$F$522)*(IF('Gastos com Pessoal'!$G$513:$G$522&lt;=Y$3,1,0))*OFFSET('Gastos com Pessoal'!$H$512,1,MATCH(1&amp;$B49,'Gastos com Pessoal'!$I$532:$AJ$532&amp;'Gastos com Pessoal'!$I$512:$AJ$512,0),10,1)),0)
+_xlfn.IFNA(SUM((Y$3&gt;='Gastos com Pessoal'!$E$513:$E$522)*(Y$3&lt;='Gastos com Pessoal'!$F$513:$F$522)*(IF('Gastos com Pessoal'!$M$513:$M$522&lt;=Y$3,1,0))*OFFSET('Gastos com Pessoal'!$H$512,1,MATCH(2&amp;$B49,'Gastos com Pessoal'!$I$532:$AJ$532&amp;'Gastos com Pessoal'!$I$512:$AJ$512,0),10,1)),0)
+_xlfn.IFNA(SUM((Y$3&gt;='Gastos com Pessoal'!$E$513:$E$522)*(Y$3&lt;='Gastos com Pessoal'!$F$513:$F$522)*(IF('Gastos com Pessoal'!$S$513:$S$522&lt;=Y$3,1,0))*OFFSET('Gastos com Pessoal'!$H$512,1,MATCH(3&amp;$B49,'Gastos com Pessoal'!$I$532:$AJ$532&amp;'Gastos com Pessoal'!$I$512:$AJ$512,0),10,1)),0)
+_xlfn.IFNA(SUM((Y$3&gt;='Gastos com Pessoal'!$E$513:$E$522)*(Y$3&lt;='Gastos com Pessoal'!$F$513:$F$522)*(IF('Gastos com Pessoal'!$Y$513:$Y$522&lt;=Y$3,1,0))*OFFSET('Gastos com Pessoal'!$H$512,1,MATCH(4&amp;$B49,'Gastos com Pessoal'!$I$532:$AJ$532&amp;'Gastos com Pessoal'!$I$512:$AJ$512,0),10,1)),0)
+_xlfn.IFNA(SUM((Y$3&gt;='Gastos com Pessoal'!$E$513:$E$522)*(Y$3&lt;='Gastos com Pessoal'!$F$513:$F$522)*(IF('Gastos com Pessoal'!$AE$513:$AE$522&lt;=Y$3,1,0))*OFFSET('Gastos com Pessoal'!$H$512,1,MATCH(5&amp;$B49,'Gastos com Pessoal'!$I$532:$AJ$532&amp;'Gastos com Pessoal'!$I$512:$AJ$512,0),10,1)),0)</f>
        <v>48100</v>
      </c>
      <c r="Z49" s="32">
        <f t="array" aca="1" ref="Z49" ca="1">_xlfn.IFNA(SUM((Z$3&gt;='Gastos com Pessoal'!$E$7:$E$506)*(Z$3&lt;='Gastos com Pessoal'!$F$7:$F$506)*OFFSET('Encargos e Benefícios'!$D$5,1,MATCH($B49,'Encargos e Benefícios'!$E$5:$AB$5,0),500,1)),0)
+_xlfn.IFNA(SUM((Z$3&gt;='Gastos com Pessoal'!$E$513:$E$522)*(Z$3&lt;='Gastos com Pessoal'!$F$513:$F$522)*OFFSET('Encargos e Benefícios'!$D$511,1,MATCH($B49,'Encargos e Benefícios'!$E$511:$AB$511,0),10,1)),0)
+_xlfn.IFNA(SUM((Z$3&gt;='Gastos com Pessoal'!$E$7:$E$506)*(Z$3&lt;='Gastos com Pessoal'!$F$7:$F$506)*(IF('Gastos com Pessoal'!$G$7:$G$506&lt;=Z$3,1,0))*OFFSET('Gastos com Pessoal'!$H$6,1,MATCH(1&amp;$B49,'Gastos com Pessoal'!$I$532:$AJ$532&amp;'Gastos com Pessoal'!$I$6:$AJ$6,0),500,1)),0)
+_xlfn.IFNA(SUM((Z$3&gt;='Gastos com Pessoal'!$E$7:$E$506)*(Z$3&lt;='Gastos com Pessoal'!$F$7:$F$506)*(IF('Gastos com Pessoal'!$M$7:$M$506&lt;=Z$3,1,0))*OFFSET('Gastos com Pessoal'!$H$6,1,MATCH(2&amp;$B49,'Gastos com Pessoal'!$I$532:$AJ$532&amp;'Gastos com Pessoal'!$I$6:$AJ$6,0),500,1)),0)
+_xlfn.IFNA(SUM((Z$3&gt;='Gastos com Pessoal'!$E$7:$E$506)*(Z$3&lt;='Gastos com Pessoal'!$F$7:$F$506)*(IF('Gastos com Pessoal'!$S$7:$S$506&lt;=Z$3,1,0))*OFFSET('Gastos com Pessoal'!$H$6,1,MATCH(3&amp;$B49,'Gastos com Pessoal'!$I$532:$AJ$532&amp;'Gastos com Pessoal'!$I$6:$AJ$6,0),500,1)),0)
+_xlfn.IFNA(SUM((Z$3&gt;='Gastos com Pessoal'!$E$7:$E$506)*(Z$3&lt;='Gastos com Pessoal'!$F$7:$F$506)*(IF('Gastos com Pessoal'!$Y$7:$Y$506&lt;=Z$3,1,0))*OFFSET('Gastos com Pessoal'!$H$6,1,MATCH(4&amp;$B49,'Gastos com Pessoal'!$I$532:$AJ$532&amp;'Gastos com Pessoal'!$I$6:$AJ$6,0),500,1)),0)
+_xlfn.IFNA(SUM((Z$3&gt;='Gastos com Pessoal'!$E$7:$E$506)*(Z$3&lt;='Gastos com Pessoal'!$F$7:$F$506)*(IF('Gastos com Pessoal'!$AE$7:$AE$506&lt;=Z$3,1,0))*OFFSET('Gastos com Pessoal'!$H$6,1,MATCH(5&amp;$B49,'Gastos com Pessoal'!$I$532:$AJ$532&amp;'Gastos com Pessoal'!$I$6:$AJ$6,0),500,1)),0)
+_xlfn.IFNA(SUM((Z$3&gt;='Gastos com Pessoal'!$E$513:$E$522)*(Z$3&lt;='Gastos com Pessoal'!$F$513:$F$522)*(IF('Gastos com Pessoal'!$G$513:$G$522&lt;=Z$3,1,0))*OFFSET('Gastos com Pessoal'!$H$512,1,MATCH(1&amp;$B49,'Gastos com Pessoal'!$I$532:$AJ$532&amp;'Gastos com Pessoal'!$I$512:$AJ$512,0),10,1)),0)
+_xlfn.IFNA(SUM((Z$3&gt;='Gastos com Pessoal'!$E$513:$E$522)*(Z$3&lt;='Gastos com Pessoal'!$F$513:$F$522)*(IF('Gastos com Pessoal'!$M$513:$M$522&lt;=Z$3,1,0))*OFFSET('Gastos com Pessoal'!$H$512,1,MATCH(2&amp;$B49,'Gastos com Pessoal'!$I$532:$AJ$532&amp;'Gastos com Pessoal'!$I$512:$AJ$512,0),10,1)),0)
+_xlfn.IFNA(SUM((Z$3&gt;='Gastos com Pessoal'!$E$513:$E$522)*(Z$3&lt;='Gastos com Pessoal'!$F$513:$F$522)*(IF('Gastos com Pessoal'!$S$513:$S$522&lt;=Z$3,1,0))*OFFSET('Gastos com Pessoal'!$H$512,1,MATCH(3&amp;$B49,'Gastos com Pessoal'!$I$532:$AJ$532&amp;'Gastos com Pessoal'!$I$512:$AJ$512,0),10,1)),0)
+_xlfn.IFNA(SUM((Z$3&gt;='Gastos com Pessoal'!$E$513:$E$522)*(Z$3&lt;='Gastos com Pessoal'!$F$513:$F$522)*(IF('Gastos com Pessoal'!$Y$513:$Y$522&lt;=Z$3,1,0))*OFFSET('Gastos com Pessoal'!$H$512,1,MATCH(4&amp;$B49,'Gastos com Pessoal'!$I$532:$AJ$532&amp;'Gastos com Pessoal'!$I$512:$AJ$512,0),10,1)),0)
+_xlfn.IFNA(SUM((Z$3&gt;='Gastos com Pessoal'!$E$513:$E$522)*(Z$3&lt;='Gastos com Pessoal'!$F$513:$F$522)*(IF('Gastos com Pessoal'!$AE$513:$AE$522&lt;=Z$3,1,0))*OFFSET('Gastos com Pessoal'!$H$512,1,MATCH(5&amp;$B49,'Gastos com Pessoal'!$I$532:$AJ$532&amp;'Gastos com Pessoal'!$I$512:$AJ$512,0),10,1)),0)</f>
        <v>48100</v>
      </c>
      <c r="AA49" s="32">
        <f t="array" aca="1" ref="AA49" ca="1">_xlfn.IFNA(SUM((AA$3&gt;='Gastos com Pessoal'!$E$7:$E$506)*(AA$3&lt;='Gastos com Pessoal'!$F$7:$F$506)*OFFSET('Encargos e Benefícios'!$D$5,1,MATCH($B49,'Encargos e Benefícios'!$E$5:$AB$5,0),500,1)),0)
+_xlfn.IFNA(SUM((AA$3&gt;='Gastos com Pessoal'!$E$513:$E$522)*(AA$3&lt;='Gastos com Pessoal'!$F$513:$F$522)*OFFSET('Encargos e Benefícios'!$D$511,1,MATCH($B49,'Encargos e Benefícios'!$E$511:$AB$511,0),10,1)),0)
+_xlfn.IFNA(SUM((AA$3&gt;='Gastos com Pessoal'!$E$7:$E$506)*(AA$3&lt;='Gastos com Pessoal'!$F$7:$F$506)*(IF('Gastos com Pessoal'!$G$7:$G$506&lt;=AA$3,1,0))*OFFSET('Gastos com Pessoal'!$H$6,1,MATCH(1&amp;$B49,'Gastos com Pessoal'!$I$532:$AJ$532&amp;'Gastos com Pessoal'!$I$6:$AJ$6,0),500,1)),0)
+_xlfn.IFNA(SUM((AA$3&gt;='Gastos com Pessoal'!$E$7:$E$506)*(AA$3&lt;='Gastos com Pessoal'!$F$7:$F$506)*(IF('Gastos com Pessoal'!$M$7:$M$506&lt;=AA$3,1,0))*OFFSET('Gastos com Pessoal'!$H$6,1,MATCH(2&amp;$B49,'Gastos com Pessoal'!$I$532:$AJ$532&amp;'Gastos com Pessoal'!$I$6:$AJ$6,0),500,1)),0)
+_xlfn.IFNA(SUM((AA$3&gt;='Gastos com Pessoal'!$E$7:$E$506)*(AA$3&lt;='Gastos com Pessoal'!$F$7:$F$506)*(IF('Gastos com Pessoal'!$S$7:$S$506&lt;=AA$3,1,0))*OFFSET('Gastos com Pessoal'!$H$6,1,MATCH(3&amp;$B49,'Gastos com Pessoal'!$I$532:$AJ$532&amp;'Gastos com Pessoal'!$I$6:$AJ$6,0),500,1)),0)
+_xlfn.IFNA(SUM((AA$3&gt;='Gastos com Pessoal'!$E$7:$E$506)*(AA$3&lt;='Gastos com Pessoal'!$F$7:$F$506)*(IF('Gastos com Pessoal'!$Y$7:$Y$506&lt;=AA$3,1,0))*OFFSET('Gastos com Pessoal'!$H$6,1,MATCH(4&amp;$B49,'Gastos com Pessoal'!$I$532:$AJ$532&amp;'Gastos com Pessoal'!$I$6:$AJ$6,0),500,1)),0)
+_xlfn.IFNA(SUM((AA$3&gt;='Gastos com Pessoal'!$E$7:$E$506)*(AA$3&lt;='Gastos com Pessoal'!$F$7:$F$506)*(IF('Gastos com Pessoal'!$AE$7:$AE$506&lt;=AA$3,1,0))*OFFSET('Gastos com Pessoal'!$H$6,1,MATCH(5&amp;$B49,'Gastos com Pessoal'!$I$532:$AJ$532&amp;'Gastos com Pessoal'!$I$6:$AJ$6,0),500,1)),0)
+_xlfn.IFNA(SUM((AA$3&gt;='Gastos com Pessoal'!$E$513:$E$522)*(AA$3&lt;='Gastos com Pessoal'!$F$513:$F$522)*(IF('Gastos com Pessoal'!$G$513:$G$522&lt;=AA$3,1,0))*OFFSET('Gastos com Pessoal'!$H$512,1,MATCH(1&amp;$B49,'Gastos com Pessoal'!$I$532:$AJ$532&amp;'Gastos com Pessoal'!$I$512:$AJ$512,0),10,1)),0)
+_xlfn.IFNA(SUM((AA$3&gt;='Gastos com Pessoal'!$E$513:$E$522)*(AA$3&lt;='Gastos com Pessoal'!$F$513:$F$522)*(IF('Gastos com Pessoal'!$M$513:$M$522&lt;=AA$3,1,0))*OFFSET('Gastos com Pessoal'!$H$512,1,MATCH(2&amp;$B49,'Gastos com Pessoal'!$I$532:$AJ$532&amp;'Gastos com Pessoal'!$I$512:$AJ$512,0),10,1)),0)
+_xlfn.IFNA(SUM((AA$3&gt;='Gastos com Pessoal'!$E$513:$E$522)*(AA$3&lt;='Gastos com Pessoal'!$F$513:$F$522)*(IF('Gastos com Pessoal'!$S$513:$S$522&lt;=AA$3,1,0))*OFFSET('Gastos com Pessoal'!$H$512,1,MATCH(3&amp;$B49,'Gastos com Pessoal'!$I$532:$AJ$532&amp;'Gastos com Pessoal'!$I$512:$AJ$512,0),10,1)),0)
+_xlfn.IFNA(SUM((AA$3&gt;='Gastos com Pessoal'!$E$513:$E$522)*(AA$3&lt;='Gastos com Pessoal'!$F$513:$F$522)*(IF('Gastos com Pessoal'!$Y$513:$Y$522&lt;=AA$3,1,0))*OFFSET('Gastos com Pessoal'!$H$512,1,MATCH(4&amp;$B49,'Gastos com Pessoal'!$I$532:$AJ$532&amp;'Gastos com Pessoal'!$I$512:$AJ$512,0),10,1)),0)
+_xlfn.IFNA(SUM((AA$3&gt;='Gastos com Pessoal'!$E$513:$E$522)*(AA$3&lt;='Gastos com Pessoal'!$F$513:$F$522)*(IF('Gastos com Pessoal'!$AE$513:$AE$522&lt;=AA$3,1,0))*OFFSET('Gastos com Pessoal'!$H$512,1,MATCH(5&amp;$B49,'Gastos com Pessoal'!$I$532:$AJ$532&amp;'Gastos com Pessoal'!$I$512:$AJ$512,0),10,1)),0)</f>
        <v>48100</v>
      </c>
      <c r="AB49" s="32">
        <f t="array" aca="1" ref="AB49" ca="1">_xlfn.IFNA(SUM((AB$3&gt;='Gastos com Pessoal'!$E$7:$E$506)*(AB$3&lt;='Gastos com Pessoal'!$F$7:$F$506)*OFFSET('Encargos e Benefícios'!$D$5,1,MATCH($B49,'Encargos e Benefícios'!$E$5:$AB$5,0),500,1)),0)
+_xlfn.IFNA(SUM((AB$3&gt;='Gastos com Pessoal'!$E$513:$E$522)*(AB$3&lt;='Gastos com Pessoal'!$F$513:$F$522)*OFFSET('Encargos e Benefícios'!$D$511,1,MATCH($B49,'Encargos e Benefícios'!$E$511:$AB$511,0),10,1)),0)
+_xlfn.IFNA(SUM((AB$3&gt;='Gastos com Pessoal'!$E$7:$E$506)*(AB$3&lt;='Gastos com Pessoal'!$F$7:$F$506)*(IF('Gastos com Pessoal'!$G$7:$G$506&lt;=AB$3,1,0))*OFFSET('Gastos com Pessoal'!$H$6,1,MATCH(1&amp;$B49,'Gastos com Pessoal'!$I$532:$AJ$532&amp;'Gastos com Pessoal'!$I$6:$AJ$6,0),500,1)),0)
+_xlfn.IFNA(SUM((AB$3&gt;='Gastos com Pessoal'!$E$7:$E$506)*(AB$3&lt;='Gastos com Pessoal'!$F$7:$F$506)*(IF('Gastos com Pessoal'!$M$7:$M$506&lt;=AB$3,1,0))*OFFSET('Gastos com Pessoal'!$H$6,1,MATCH(2&amp;$B49,'Gastos com Pessoal'!$I$532:$AJ$532&amp;'Gastos com Pessoal'!$I$6:$AJ$6,0),500,1)),0)
+_xlfn.IFNA(SUM((AB$3&gt;='Gastos com Pessoal'!$E$7:$E$506)*(AB$3&lt;='Gastos com Pessoal'!$F$7:$F$506)*(IF('Gastos com Pessoal'!$S$7:$S$506&lt;=AB$3,1,0))*OFFSET('Gastos com Pessoal'!$H$6,1,MATCH(3&amp;$B49,'Gastos com Pessoal'!$I$532:$AJ$532&amp;'Gastos com Pessoal'!$I$6:$AJ$6,0),500,1)),0)
+_xlfn.IFNA(SUM((AB$3&gt;='Gastos com Pessoal'!$E$7:$E$506)*(AB$3&lt;='Gastos com Pessoal'!$F$7:$F$506)*(IF('Gastos com Pessoal'!$Y$7:$Y$506&lt;=AB$3,1,0))*OFFSET('Gastos com Pessoal'!$H$6,1,MATCH(4&amp;$B49,'Gastos com Pessoal'!$I$532:$AJ$532&amp;'Gastos com Pessoal'!$I$6:$AJ$6,0),500,1)),0)
+_xlfn.IFNA(SUM((AB$3&gt;='Gastos com Pessoal'!$E$7:$E$506)*(AB$3&lt;='Gastos com Pessoal'!$F$7:$F$506)*(IF('Gastos com Pessoal'!$AE$7:$AE$506&lt;=AB$3,1,0))*OFFSET('Gastos com Pessoal'!$H$6,1,MATCH(5&amp;$B49,'Gastos com Pessoal'!$I$532:$AJ$532&amp;'Gastos com Pessoal'!$I$6:$AJ$6,0),500,1)),0)
+_xlfn.IFNA(SUM((AB$3&gt;='Gastos com Pessoal'!$E$513:$E$522)*(AB$3&lt;='Gastos com Pessoal'!$F$513:$F$522)*(IF('Gastos com Pessoal'!$G$513:$G$522&lt;=AB$3,1,0))*OFFSET('Gastos com Pessoal'!$H$512,1,MATCH(1&amp;$B49,'Gastos com Pessoal'!$I$532:$AJ$532&amp;'Gastos com Pessoal'!$I$512:$AJ$512,0),10,1)),0)
+_xlfn.IFNA(SUM((AB$3&gt;='Gastos com Pessoal'!$E$513:$E$522)*(AB$3&lt;='Gastos com Pessoal'!$F$513:$F$522)*(IF('Gastos com Pessoal'!$M$513:$M$522&lt;=AB$3,1,0))*OFFSET('Gastos com Pessoal'!$H$512,1,MATCH(2&amp;$B49,'Gastos com Pessoal'!$I$532:$AJ$532&amp;'Gastos com Pessoal'!$I$512:$AJ$512,0),10,1)),0)
+_xlfn.IFNA(SUM((AB$3&gt;='Gastos com Pessoal'!$E$513:$E$522)*(AB$3&lt;='Gastos com Pessoal'!$F$513:$F$522)*(IF('Gastos com Pessoal'!$S$513:$S$522&lt;=AB$3,1,0))*OFFSET('Gastos com Pessoal'!$H$512,1,MATCH(3&amp;$B49,'Gastos com Pessoal'!$I$532:$AJ$532&amp;'Gastos com Pessoal'!$I$512:$AJ$512,0),10,1)),0)
+_xlfn.IFNA(SUM((AB$3&gt;='Gastos com Pessoal'!$E$513:$E$522)*(AB$3&lt;='Gastos com Pessoal'!$F$513:$F$522)*(IF('Gastos com Pessoal'!$Y$513:$Y$522&lt;=AB$3,1,0))*OFFSET('Gastos com Pessoal'!$H$512,1,MATCH(4&amp;$B49,'Gastos com Pessoal'!$I$532:$AJ$532&amp;'Gastos com Pessoal'!$I$512:$AJ$512,0),10,1)),0)
+_xlfn.IFNA(SUM((AB$3&gt;='Gastos com Pessoal'!$E$513:$E$522)*(AB$3&lt;='Gastos com Pessoal'!$F$513:$F$522)*(IF('Gastos com Pessoal'!$AE$513:$AE$522&lt;=AB$3,1,0))*OFFSET('Gastos com Pessoal'!$H$512,1,MATCH(5&amp;$B49,'Gastos com Pessoal'!$I$532:$AJ$532&amp;'Gastos com Pessoal'!$I$512:$AJ$512,0),10,1)),0)</f>
        <v>48100</v>
      </c>
      <c r="AC49" s="32">
        <f t="array" aca="1" ref="AC49" ca="1">_xlfn.IFNA(SUM((AC$3&gt;='Gastos com Pessoal'!$E$7:$E$506)*(AC$3&lt;='Gastos com Pessoal'!$F$7:$F$506)*OFFSET('Encargos e Benefícios'!$D$5,1,MATCH($B49,'Encargos e Benefícios'!$E$5:$AB$5,0),500,1)),0)
+_xlfn.IFNA(SUM((AC$3&gt;='Gastos com Pessoal'!$E$513:$E$522)*(AC$3&lt;='Gastos com Pessoal'!$F$513:$F$522)*OFFSET('Encargos e Benefícios'!$D$511,1,MATCH($B49,'Encargos e Benefícios'!$E$511:$AB$511,0),10,1)),0)
+_xlfn.IFNA(SUM((AC$3&gt;='Gastos com Pessoal'!$E$7:$E$506)*(AC$3&lt;='Gastos com Pessoal'!$F$7:$F$506)*(IF('Gastos com Pessoal'!$G$7:$G$506&lt;=AC$3,1,0))*OFFSET('Gastos com Pessoal'!$H$6,1,MATCH(1&amp;$B49,'Gastos com Pessoal'!$I$532:$AJ$532&amp;'Gastos com Pessoal'!$I$6:$AJ$6,0),500,1)),0)
+_xlfn.IFNA(SUM((AC$3&gt;='Gastos com Pessoal'!$E$7:$E$506)*(AC$3&lt;='Gastos com Pessoal'!$F$7:$F$506)*(IF('Gastos com Pessoal'!$M$7:$M$506&lt;=AC$3,1,0))*OFFSET('Gastos com Pessoal'!$H$6,1,MATCH(2&amp;$B49,'Gastos com Pessoal'!$I$532:$AJ$532&amp;'Gastos com Pessoal'!$I$6:$AJ$6,0),500,1)),0)
+_xlfn.IFNA(SUM((AC$3&gt;='Gastos com Pessoal'!$E$7:$E$506)*(AC$3&lt;='Gastos com Pessoal'!$F$7:$F$506)*(IF('Gastos com Pessoal'!$S$7:$S$506&lt;=AC$3,1,0))*OFFSET('Gastos com Pessoal'!$H$6,1,MATCH(3&amp;$B49,'Gastos com Pessoal'!$I$532:$AJ$532&amp;'Gastos com Pessoal'!$I$6:$AJ$6,0),500,1)),0)
+_xlfn.IFNA(SUM((AC$3&gt;='Gastos com Pessoal'!$E$7:$E$506)*(AC$3&lt;='Gastos com Pessoal'!$F$7:$F$506)*(IF('Gastos com Pessoal'!$Y$7:$Y$506&lt;=AC$3,1,0))*OFFSET('Gastos com Pessoal'!$H$6,1,MATCH(4&amp;$B49,'Gastos com Pessoal'!$I$532:$AJ$532&amp;'Gastos com Pessoal'!$I$6:$AJ$6,0),500,1)),0)
+_xlfn.IFNA(SUM((AC$3&gt;='Gastos com Pessoal'!$E$7:$E$506)*(AC$3&lt;='Gastos com Pessoal'!$F$7:$F$506)*(IF('Gastos com Pessoal'!$AE$7:$AE$506&lt;=AC$3,1,0))*OFFSET('Gastos com Pessoal'!$H$6,1,MATCH(5&amp;$B49,'Gastos com Pessoal'!$I$532:$AJ$532&amp;'Gastos com Pessoal'!$I$6:$AJ$6,0),500,1)),0)
+_xlfn.IFNA(SUM((AC$3&gt;='Gastos com Pessoal'!$E$513:$E$522)*(AC$3&lt;='Gastos com Pessoal'!$F$513:$F$522)*(IF('Gastos com Pessoal'!$G$513:$G$522&lt;=AC$3,1,0))*OFFSET('Gastos com Pessoal'!$H$512,1,MATCH(1&amp;$B49,'Gastos com Pessoal'!$I$532:$AJ$532&amp;'Gastos com Pessoal'!$I$512:$AJ$512,0),10,1)),0)
+_xlfn.IFNA(SUM((AC$3&gt;='Gastos com Pessoal'!$E$513:$E$522)*(AC$3&lt;='Gastos com Pessoal'!$F$513:$F$522)*(IF('Gastos com Pessoal'!$M$513:$M$522&lt;=AC$3,1,0))*OFFSET('Gastos com Pessoal'!$H$512,1,MATCH(2&amp;$B49,'Gastos com Pessoal'!$I$532:$AJ$532&amp;'Gastos com Pessoal'!$I$512:$AJ$512,0),10,1)),0)
+_xlfn.IFNA(SUM((AC$3&gt;='Gastos com Pessoal'!$E$513:$E$522)*(AC$3&lt;='Gastos com Pessoal'!$F$513:$F$522)*(IF('Gastos com Pessoal'!$S$513:$S$522&lt;=AC$3,1,0))*OFFSET('Gastos com Pessoal'!$H$512,1,MATCH(3&amp;$B49,'Gastos com Pessoal'!$I$532:$AJ$532&amp;'Gastos com Pessoal'!$I$512:$AJ$512,0),10,1)),0)
+_xlfn.IFNA(SUM((AC$3&gt;='Gastos com Pessoal'!$E$513:$E$522)*(AC$3&lt;='Gastos com Pessoal'!$F$513:$F$522)*(IF('Gastos com Pessoal'!$Y$513:$Y$522&lt;=AC$3,1,0))*OFFSET('Gastos com Pessoal'!$H$512,1,MATCH(4&amp;$B49,'Gastos com Pessoal'!$I$532:$AJ$532&amp;'Gastos com Pessoal'!$I$512:$AJ$512,0),10,1)),0)
+_xlfn.IFNA(SUM((AC$3&gt;='Gastos com Pessoal'!$E$513:$E$522)*(AC$3&lt;='Gastos com Pessoal'!$F$513:$F$522)*(IF('Gastos com Pessoal'!$AE$513:$AE$522&lt;=AC$3,1,0))*OFFSET('Gastos com Pessoal'!$H$512,1,MATCH(5&amp;$B49,'Gastos com Pessoal'!$I$532:$AJ$532&amp;'Gastos com Pessoal'!$I$512:$AJ$512,0),10,1)),0)</f>
        <v>48100</v>
      </c>
      <c r="AD49" s="32">
        <f t="array" aca="1" ref="AD49" ca="1">_xlfn.IFNA(SUM((AD$3&gt;='Gastos com Pessoal'!$E$7:$E$506)*(AD$3&lt;='Gastos com Pessoal'!$F$7:$F$506)*OFFSET('Encargos e Benefícios'!$D$5,1,MATCH($B49,'Encargos e Benefícios'!$E$5:$AB$5,0),500,1)),0)
+_xlfn.IFNA(SUM((AD$3&gt;='Gastos com Pessoal'!$E$513:$E$522)*(AD$3&lt;='Gastos com Pessoal'!$F$513:$F$522)*OFFSET('Encargos e Benefícios'!$D$511,1,MATCH($B49,'Encargos e Benefícios'!$E$511:$AB$511,0),10,1)),0)
+_xlfn.IFNA(SUM((AD$3&gt;='Gastos com Pessoal'!$E$7:$E$506)*(AD$3&lt;='Gastos com Pessoal'!$F$7:$F$506)*(IF('Gastos com Pessoal'!$G$7:$G$506&lt;=AD$3,1,0))*OFFSET('Gastos com Pessoal'!$H$6,1,MATCH(1&amp;$B49,'Gastos com Pessoal'!$I$532:$AJ$532&amp;'Gastos com Pessoal'!$I$6:$AJ$6,0),500,1)),0)
+_xlfn.IFNA(SUM((AD$3&gt;='Gastos com Pessoal'!$E$7:$E$506)*(AD$3&lt;='Gastos com Pessoal'!$F$7:$F$506)*(IF('Gastos com Pessoal'!$M$7:$M$506&lt;=AD$3,1,0))*OFFSET('Gastos com Pessoal'!$H$6,1,MATCH(2&amp;$B49,'Gastos com Pessoal'!$I$532:$AJ$532&amp;'Gastos com Pessoal'!$I$6:$AJ$6,0),500,1)),0)
+_xlfn.IFNA(SUM((AD$3&gt;='Gastos com Pessoal'!$E$7:$E$506)*(AD$3&lt;='Gastos com Pessoal'!$F$7:$F$506)*(IF('Gastos com Pessoal'!$S$7:$S$506&lt;=AD$3,1,0))*OFFSET('Gastos com Pessoal'!$H$6,1,MATCH(3&amp;$B49,'Gastos com Pessoal'!$I$532:$AJ$532&amp;'Gastos com Pessoal'!$I$6:$AJ$6,0),500,1)),0)
+_xlfn.IFNA(SUM((AD$3&gt;='Gastos com Pessoal'!$E$7:$E$506)*(AD$3&lt;='Gastos com Pessoal'!$F$7:$F$506)*(IF('Gastos com Pessoal'!$Y$7:$Y$506&lt;=AD$3,1,0))*OFFSET('Gastos com Pessoal'!$H$6,1,MATCH(4&amp;$B49,'Gastos com Pessoal'!$I$532:$AJ$532&amp;'Gastos com Pessoal'!$I$6:$AJ$6,0),500,1)),0)
+_xlfn.IFNA(SUM((AD$3&gt;='Gastos com Pessoal'!$E$7:$E$506)*(AD$3&lt;='Gastos com Pessoal'!$F$7:$F$506)*(IF('Gastos com Pessoal'!$AE$7:$AE$506&lt;=AD$3,1,0))*OFFSET('Gastos com Pessoal'!$H$6,1,MATCH(5&amp;$B49,'Gastos com Pessoal'!$I$532:$AJ$532&amp;'Gastos com Pessoal'!$I$6:$AJ$6,0),500,1)),0)
+_xlfn.IFNA(SUM((AD$3&gt;='Gastos com Pessoal'!$E$513:$E$522)*(AD$3&lt;='Gastos com Pessoal'!$F$513:$F$522)*(IF('Gastos com Pessoal'!$G$513:$G$522&lt;=AD$3,1,0))*OFFSET('Gastos com Pessoal'!$H$512,1,MATCH(1&amp;$B49,'Gastos com Pessoal'!$I$532:$AJ$532&amp;'Gastos com Pessoal'!$I$512:$AJ$512,0),10,1)),0)
+_xlfn.IFNA(SUM((AD$3&gt;='Gastos com Pessoal'!$E$513:$E$522)*(AD$3&lt;='Gastos com Pessoal'!$F$513:$F$522)*(IF('Gastos com Pessoal'!$M$513:$M$522&lt;=AD$3,1,0))*OFFSET('Gastos com Pessoal'!$H$512,1,MATCH(2&amp;$B49,'Gastos com Pessoal'!$I$532:$AJ$532&amp;'Gastos com Pessoal'!$I$512:$AJ$512,0),10,1)),0)
+_xlfn.IFNA(SUM((AD$3&gt;='Gastos com Pessoal'!$E$513:$E$522)*(AD$3&lt;='Gastos com Pessoal'!$F$513:$F$522)*(IF('Gastos com Pessoal'!$S$513:$S$522&lt;=AD$3,1,0))*OFFSET('Gastos com Pessoal'!$H$512,1,MATCH(3&amp;$B49,'Gastos com Pessoal'!$I$532:$AJ$532&amp;'Gastos com Pessoal'!$I$512:$AJ$512,0),10,1)),0)
+_xlfn.IFNA(SUM((AD$3&gt;='Gastos com Pessoal'!$E$513:$E$522)*(AD$3&lt;='Gastos com Pessoal'!$F$513:$F$522)*(IF('Gastos com Pessoal'!$Y$513:$Y$522&lt;=AD$3,1,0))*OFFSET('Gastos com Pessoal'!$H$512,1,MATCH(4&amp;$B49,'Gastos com Pessoal'!$I$532:$AJ$532&amp;'Gastos com Pessoal'!$I$512:$AJ$512,0),10,1)),0)
+_xlfn.IFNA(SUM((AD$3&gt;='Gastos com Pessoal'!$E$513:$E$522)*(AD$3&lt;='Gastos com Pessoal'!$F$513:$F$522)*(IF('Gastos com Pessoal'!$AE$513:$AE$522&lt;=AD$3,1,0))*OFFSET('Gastos com Pessoal'!$H$512,1,MATCH(5&amp;$B49,'Gastos com Pessoal'!$I$532:$AJ$532&amp;'Gastos com Pessoal'!$I$512:$AJ$512,0),10,1)),0)</f>
        <v>48100</v>
      </c>
      <c r="AE49" s="32">
        <f t="array" aca="1" ref="AE49" ca="1">_xlfn.IFNA(SUM((AE$3&gt;='Gastos com Pessoal'!$E$7:$E$506)*(AE$3&lt;='Gastos com Pessoal'!$F$7:$F$506)*OFFSET('Encargos e Benefícios'!$D$5,1,MATCH($B49,'Encargos e Benefícios'!$E$5:$AB$5,0),500,1)),0)
+_xlfn.IFNA(SUM((AE$3&gt;='Gastos com Pessoal'!$E$513:$E$522)*(AE$3&lt;='Gastos com Pessoal'!$F$513:$F$522)*OFFSET('Encargos e Benefícios'!$D$511,1,MATCH($B49,'Encargos e Benefícios'!$E$511:$AB$511,0),10,1)),0)
+_xlfn.IFNA(SUM((AE$3&gt;='Gastos com Pessoal'!$E$7:$E$506)*(AE$3&lt;='Gastos com Pessoal'!$F$7:$F$506)*(IF('Gastos com Pessoal'!$G$7:$G$506&lt;=AE$3,1,0))*OFFSET('Gastos com Pessoal'!$H$6,1,MATCH(1&amp;$B49,'Gastos com Pessoal'!$I$532:$AJ$532&amp;'Gastos com Pessoal'!$I$6:$AJ$6,0),500,1)),0)
+_xlfn.IFNA(SUM((AE$3&gt;='Gastos com Pessoal'!$E$7:$E$506)*(AE$3&lt;='Gastos com Pessoal'!$F$7:$F$506)*(IF('Gastos com Pessoal'!$M$7:$M$506&lt;=AE$3,1,0))*OFFSET('Gastos com Pessoal'!$H$6,1,MATCH(2&amp;$B49,'Gastos com Pessoal'!$I$532:$AJ$532&amp;'Gastos com Pessoal'!$I$6:$AJ$6,0),500,1)),0)
+_xlfn.IFNA(SUM((AE$3&gt;='Gastos com Pessoal'!$E$7:$E$506)*(AE$3&lt;='Gastos com Pessoal'!$F$7:$F$506)*(IF('Gastos com Pessoal'!$S$7:$S$506&lt;=AE$3,1,0))*OFFSET('Gastos com Pessoal'!$H$6,1,MATCH(3&amp;$B49,'Gastos com Pessoal'!$I$532:$AJ$532&amp;'Gastos com Pessoal'!$I$6:$AJ$6,0),500,1)),0)
+_xlfn.IFNA(SUM((AE$3&gt;='Gastos com Pessoal'!$E$7:$E$506)*(AE$3&lt;='Gastos com Pessoal'!$F$7:$F$506)*(IF('Gastos com Pessoal'!$Y$7:$Y$506&lt;=AE$3,1,0))*OFFSET('Gastos com Pessoal'!$H$6,1,MATCH(4&amp;$B49,'Gastos com Pessoal'!$I$532:$AJ$532&amp;'Gastos com Pessoal'!$I$6:$AJ$6,0),500,1)),0)
+_xlfn.IFNA(SUM((AE$3&gt;='Gastos com Pessoal'!$E$7:$E$506)*(AE$3&lt;='Gastos com Pessoal'!$F$7:$F$506)*(IF('Gastos com Pessoal'!$AE$7:$AE$506&lt;=AE$3,1,0))*OFFSET('Gastos com Pessoal'!$H$6,1,MATCH(5&amp;$B49,'Gastos com Pessoal'!$I$532:$AJ$532&amp;'Gastos com Pessoal'!$I$6:$AJ$6,0),500,1)),0)
+_xlfn.IFNA(SUM((AE$3&gt;='Gastos com Pessoal'!$E$513:$E$522)*(AE$3&lt;='Gastos com Pessoal'!$F$513:$F$522)*(IF('Gastos com Pessoal'!$G$513:$G$522&lt;=AE$3,1,0))*OFFSET('Gastos com Pessoal'!$H$512,1,MATCH(1&amp;$B49,'Gastos com Pessoal'!$I$532:$AJ$532&amp;'Gastos com Pessoal'!$I$512:$AJ$512,0),10,1)),0)
+_xlfn.IFNA(SUM((AE$3&gt;='Gastos com Pessoal'!$E$513:$E$522)*(AE$3&lt;='Gastos com Pessoal'!$F$513:$F$522)*(IF('Gastos com Pessoal'!$M$513:$M$522&lt;=AE$3,1,0))*OFFSET('Gastos com Pessoal'!$H$512,1,MATCH(2&amp;$B49,'Gastos com Pessoal'!$I$532:$AJ$532&amp;'Gastos com Pessoal'!$I$512:$AJ$512,0),10,1)),0)
+_xlfn.IFNA(SUM((AE$3&gt;='Gastos com Pessoal'!$E$513:$E$522)*(AE$3&lt;='Gastos com Pessoal'!$F$513:$F$522)*(IF('Gastos com Pessoal'!$S$513:$S$522&lt;=AE$3,1,0))*OFFSET('Gastos com Pessoal'!$H$512,1,MATCH(3&amp;$B49,'Gastos com Pessoal'!$I$532:$AJ$532&amp;'Gastos com Pessoal'!$I$512:$AJ$512,0),10,1)),0)
+_xlfn.IFNA(SUM((AE$3&gt;='Gastos com Pessoal'!$E$513:$E$522)*(AE$3&lt;='Gastos com Pessoal'!$F$513:$F$522)*(IF('Gastos com Pessoal'!$Y$513:$Y$522&lt;=AE$3,1,0))*OFFSET('Gastos com Pessoal'!$H$512,1,MATCH(4&amp;$B49,'Gastos com Pessoal'!$I$532:$AJ$532&amp;'Gastos com Pessoal'!$I$512:$AJ$512,0),10,1)),0)
+_xlfn.IFNA(SUM((AE$3&gt;='Gastos com Pessoal'!$E$513:$E$522)*(AE$3&lt;='Gastos com Pessoal'!$F$513:$F$522)*(IF('Gastos com Pessoal'!$AE$513:$AE$522&lt;=AE$3,1,0))*OFFSET('Gastos com Pessoal'!$H$512,1,MATCH(5&amp;$B49,'Gastos com Pessoal'!$I$532:$AJ$532&amp;'Gastos com Pessoal'!$I$512:$AJ$512,0),10,1)),0)</f>
        <v>48100</v>
      </c>
      <c r="AF49" s="32">
        <f t="array" aca="1" ref="AF49" ca="1">_xlfn.IFNA(SUM((AF$3&gt;='Gastos com Pessoal'!$E$7:$E$506)*(AF$3&lt;='Gastos com Pessoal'!$F$7:$F$506)*OFFSET('Encargos e Benefícios'!$D$5,1,MATCH($B49,'Encargos e Benefícios'!$E$5:$AB$5,0),500,1)),0)
+_xlfn.IFNA(SUM((AF$3&gt;='Gastos com Pessoal'!$E$513:$E$522)*(AF$3&lt;='Gastos com Pessoal'!$F$513:$F$522)*OFFSET('Encargos e Benefícios'!$D$511,1,MATCH($B49,'Encargos e Benefícios'!$E$511:$AB$511,0),10,1)),0)
+_xlfn.IFNA(SUM((AF$3&gt;='Gastos com Pessoal'!$E$7:$E$506)*(AF$3&lt;='Gastos com Pessoal'!$F$7:$F$506)*(IF('Gastos com Pessoal'!$G$7:$G$506&lt;=AF$3,1,0))*OFFSET('Gastos com Pessoal'!$H$6,1,MATCH(1&amp;$B49,'Gastos com Pessoal'!$I$532:$AJ$532&amp;'Gastos com Pessoal'!$I$6:$AJ$6,0),500,1)),0)
+_xlfn.IFNA(SUM((AF$3&gt;='Gastos com Pessoal'!$E$7:$E$506)*(AF$3&lt;='Gastos com Pessoal'!$F$7:$F$506)*(IF('Gastos com Pessoal'!$M$7:$M$506&lt;=AF$3,1,0))*OFFSET('Gastos com Pessoal'!$H$6,1,MATCH(2&amp;$B49,'Gastos com Pessoal'!$I$532:$AJ$532&amp;'Gastos com Pessoal'!$I$6:$AJ$6,0),500,1)),0)
+_xlfn.IFNA(SUM((AF$3&gt;='Gastos com Pessoal'!$E$7:$E$506)*(AF$3&lt;='Gastos com Pessoal'!$F$7:$F$506)*(IF('Gastos com Pessoal'!$S$7:$S$506&lt;=AF$3,1,0))*OFFSET('Gastos com Pessoal'!$H$6,1,MATCH(3&amp;$B49,'Gastos com Pessoal'!$I$532:$AJ$532&amp;'Gastos com Pessoal'!$I$6:$AJ$6,0),500,1)),0)
+_xlfn.IFNA(SUM((AF$3&gt;='Gastos com Pessoal'!$E$7:$E$506)*(AF$3&lt;='Gastos com Pessoal'!$F$7:$F$506)*(IF('Gastos com Pessoal'!$Y$7:$Y$506&lt;=AF$3,1,0))*OFFSET('Gastos com Pessoal'!$H$6,1,MATCH(4&amp;$B49,'Gastos com Pessoal'!$I$532:$AJ$532&amp;'Gastos com Pessoal'!$I$6:$AJ$6,0),500,1)),0)
+_xlfn.IFNA(SUM((AF$3&gt;='Gastos com Pessoal'!$E$7:$E$506)*(AF$3&lt;='Gastos com Pessoal'!$F$7:$F$506)*(IF('Gastos com Pessoal'!$AE$7:$AE$506&lt;=AF$3,1,0))*OFFSET('Gastos com Pessoal'!$H$6,1,MATCH(5&amp;$B49,'Gastos com Pessoal'!$I$532:$AJ$532&amp;'Gastos com Pessoal'!$I$6:$AJ$6,0),500,1)),0)
+_xlfn.IFNA(SUM((AF$3&gt;='Gastos com Pessoal'!$E$513:$E$522)*(AF$3&lt;='Gastos com Pessoal'!$F$513:$F$522)*(IF('Gastos com Pessoal'!$G$513:$G$522&lt;=AF$3,1,0))*OFFSET('Gastos com Pessoal'!$H$512,1,MATCH(1&amp;$B49,'Gastos com Pessoal'!$I$532:$AJ$532&amp;'Gastos com Pessoal'!$I$512:$AJ$512,0),10,1)),0)
+_xlfn.IFNA(SUM((AF$3&gt;='Gastos com Pessoal'!$E$513:$E$522)*(AF$3&lt;='Gastos com Pessoal'!$F$513:$F$522)*(IF('Gastos com Pessoal'!$M$513:$M$522&lt;=AF$3,1,0))*OFFSET('Gastos com Pessoal'!$H$512,1,MATCH(2&amp;$B49,'Gastos com Pessoal'!$I$532:$AJ$532&amp;'Gastos com Pessoal'!$I$512:$AJ$512,0),10,1)),0)
+_xlfn.IFNA(SUM((AF$3&gt;='Gastos com Pessoal'!$E$513:$E$522)*(AF$3&lt;='Gastos com Pessoal'!$F$513:$F$522)*(IF('Gastos com Pessoal'!$S$513:$S$522&lt;=AF$3,1,0))*OFFSET('Gastos com Pessoal'!$H$512,1,MATCH(3&amp;$B49,'Gastos com Pessoal'!$I$532:$AJ$532&amp;'Gastos com Pessoal'!$I$512:$AJ$512,0),10,1)),0)
+_xlfn.IFNA(SUM((AF$3&gt;='Gastos com Pessoal'!$E$513:$E$522)*(AF$3&lt;='Gastos com Pessoal'!$F$513:$F$522)*(IF('Gastos com Pessoal'!$Y$513:$Y$522&lt;=AF$3,1,0))*OFFSET('Gastos com Pessoal'!$H$512,1,MATCH(4&amp;$B49,'Gastos com Pessoal'!$I$532:$AJ$532&amp;'Gastos com Pessoal'!$I$512:$AJ$512,0),10,1)),0)
+_xlfn.IFNA(SUM((AF$3&gt;='Gastos com Pessoal'!$E$513:$E$522)*(AF$3&lt;='Gastos com Pessoal'!$F$513:$F$522)*(IF('Gastos com Pessoal'!$AE$513:$AE$522&lt;=AF$3,1,0))*OFFSET('Gastos com Pessoal'!$H$512,1,MATCH(5&amp;$B49,'Gastos com Pessoal'!$I$532:$AJ$532&amp;'Gastos com Pessoal'!$I$512:$AJ$512,0),10,1)),0)</f>
        <v>48100</v>
      </c>
      <c r="AG49" s="32">
        <f t="array" aca="1" ref="AG49" ca="1">_xlfn.IFNA(SUM((AG$3&gt;='Gastos com Pessoal'!$E$7:$E$506)*(AG$3&lt;='Gastos com Pessoal'!$F$7:$F$506)*OFFSET('Encargos e Benefícios'!$D$5,1,MATCH($B49,'Encargos e Benefícios'!$E$5:$AB$5,0),500,1)),0)
+_xlfn.IFNA(SUM((AG$3&gt;='Gastos com Pessoal'!$E$513:$E$522)*(AG$3&lt;='Gastos com Pessoal'!$F$513:$F$522)*OFFSET('Encargos e Benefícios'!$D$511,1,MATCH($B49,'Encargos e Benefícios'!$E$511:$AB$511,0),10,1)),0)
+_xlfn.IFNA(SUM((AG$3&gt;='Gastos com Pessoal'!$E$7:$E$506)*(AG$3&lt;='Gastos com Pessoal'!$F$7:$F$506)*(IF('Gastos com Pessoal'!$G$7:$G$506&lt;=AG$3,1,0))*OFFSET('Gastos com Pessoal'!$H$6,1,MATCH(1&amp;$B49,'Gastos com Pessoal'!$I$532:$AJ$532&amp;'Gastos com Pessoal'!$I$6:$AJ$6,0),500,1)),0)
+_xlfn.IFNA(SUM((AG$3&gt;='Gastos com Pessoal'!$E$7:$E$506)*(AG$3&lt;='Gastos com Pessoal'!$F$7:$F$506)*(IF('Gastos com Pessoal'!$M$7:$M$506&lt;=AG$3,1,0))*OFFSET('Gastos com Pessoal'!$H$6,1,MATCH(2&amp;$B49,'Gastos com Pessoal'!$I$532:$AJ$532&amp;'Gastos com Pessoal'!$I$6:$AJ$6,0),500,1)),0)
+_xlfn.IFNA(SUM((AG$3&gt;='Gastos com Pessoal'!$E$7:$E$506)*(AG$3&lt;='Gastos com Pessoal'!$F$7:$F$506)*(IF('Gastos com Pessoal'!$S$7:$S$506&lt;=AG$3,1,0))*OFFSET('Gastos com Pessoal'!$H$6,1,MATCH(3&amp;$B49,'Gastos com Pessoal'!$I$532:$AJ$532&amp;'Gastos com Pessoal'!$I$6:$AJ$6,0),500,1)),0)
+_xlfn.IFNA(SUM((AG$3&gt;='Gastos com Pessoal'!$E$7:$E$506)*(AG$3&lt;='Gastos com Pessoal'!$F$7:$F$506)*(IF('Gastos com Pessoal'!$Y$7:$Y$506&lt;=AG$3,1,0))*OFFSET('Gastos com Pessoal'!$H$6,1,MATCH(4&amp;$B49,'Gastos com Pessoal'!$I$532:$AJ$532&amp;'Gastos com Pessoal'!$I$6:$AJ$6,0),500,1)),0)
+_xlfn.IFNA(SUM((AG$3&gt;='Gastos com Pessoal'!$E$7:$E$506)*(AG$3&lt;='Gastos com Pessoal'!$F$7:$F$506)*(IF('Gastos com Pessoal'!$AE$7:$AE$506&lt;=AG$3,1,0))*OFFSET('Gastos com Pessoal'!$H$6,1,MATCH(5&amp;$B49,'Gastos com Pessoal'!$I$532:$AJ$532&amp;'Gastos com Pessoal'!$I$6:$AJ$6,0),500,1)),0)
+_xlfn.IFNA(SUM((AG$3&gt;='Gastos com Pessoal'!$E$513:$E$522)*(AG$3&lt;='Gastos com Pessoal'!$F$513:$F$522)*(IF('Gastos com Pessoal'!$G$513:$G$522&lt;=AG$3,1,0))*OFFSET('Gastos com Pessoal'!$H$512,1,MATCH(1&amp;$B49,'Gastos com Pessoal'!$I$532:$AJ$532&amp;'Gastos com Pessoal'!$I$512:$AJ$512,0),10,1)),0)
+_xlfn.IFNA(SUM((AG$3&gt;='Gastos com Pessoal'!$E$513:$E$522)*(AG$3&lt;='Gastos com Pessoal'!$F$513:$F$522)*(IF('Gastos com Pessoal'!$M$513:$M$522&lt;=AG$3,1,0))*OFFSET('Gastos com Pessoal'!$H$512,1,MATCH(2&amp;$B49,'Gastos com Pessoal'!$I$532:$AJ$532&amp;'Gastos com Pessoal'!$I$512:$AJ$512,0),10,1)),0)
+_xlfn.IFNA(SUM((AG$3&gt;='Gastos com Pessoal'!$E$513:$E$522)*(AG$3&lt;='Gastos com Pessoal'!$F$513:$F$522)*(IF('Gastos com Pessoal'!$S$513:$S$522&lt;=AG$3,1,0))*OFFSET('Gastos com Pessoal'!$H$512,1,MATCH(3&amp;$B49,'Gastos com Pessoal'!$I$532:$AJ$532&amp;'Gastos com Pessoal'!$I$512:$AJ$512,0),10,1)),0)
+_xlfn.IFNA(SUM((AG$3&gt;='Gastos com Pessoal'!$E$513:$E$522)*(AG$3&lt;='Gastos com Pessoal'!$F$513:$F$522)*(IF('Gastos com Pessoal'!$Y$513:$Y$522&lt;=AG$3,1,0))*OFFSET('Gastos com Pessoal'!$H$512,1,MATCH(4&amp;$B49,'Gastos com Pessoal'!$I$532:$AJ$532&amp;'Gastos com Pessoal'!$I$512:$AJ$512,0),10,1)),0)
+_xlfn.IFNA(SUM((AG$3&gt;='Gastos com Pessoal'!$E$513:$E$522)*(AG$3&lt;='Gastos com Pessoal'!$F$513:$F$522)*(IF('Gastos com Pessoal'!$AE$513:$AE$522&lt;=AG$3,1,0))*OFFSET('Gastos com Pessoal'!$H$512,1,MATCH(5&amp;$B49,'Gastos com Pessoal'!$I$532:$AJ$532&amp;'Gastos com Pessoal'!$I$512:$AJ$512,0),10,1)),0)</f>
        <v>48100</v>
      </c>
      <c r="AH49" s="32">
        <f t="array" aca="1" ref="AH49" ca="1">_xlfn.IFNA(SUM((AH$3&gt;='Gastos com Pessoal'!$E$7:$E$506)*(AH$3&lt;='Gastos com Pessoal'!$F$7:$F$506)*OFFSET('Encargos e Benefícios'!$D$5,1,MATCH($B49,'Encargos e Benefícios'!$E$5:$AB$5,0),500,1)),0)
+_xlfn.IFNA(SUM((AH$3&gt;='Gastos com Pessoal'!$E$513:$E$522)*(AH$3&lt;='Gastos com Pessoal'!$F$513:$F$522)*OFFSET('Encargos e Benefícios'!$D$511,1,MATCH($B49,'Encargos e Benefícios'!$E$511:$AB$511,0),10,1)),0)
+_xlfn.IFNA(SUM((AH$3&gt;='Gastos com Pessoal'!$E$7:$E$506)*(AH$3&lt;='Gastos com Pessoal'!$F$7:$F$506)*(IF('Gastos com Pessoal'!$G$7:$G$506&lt;=AH$3,1,0))*OFFSET('Gastos com Pessoal'!$H$6,1,MATCH(1&amp;$B49,'Gastos com Pessoal'!$I$532:$AJ$532&amp;'Gastos com Pessoal'!$I$6:$AJ$6,0),500,1)),0)
+_xlfn.IFNA(SUM((AH$3&gt;='Gastos com Pessoal'!$E$7:$E$506)*(AH$3&lt;='Gastos com Pessoal'!$F$7:$F$506)*(IF('Gastos com Pessoal'!$M$7:$M$506&lt;=AH$3,1,0))*OFFSET('Gastos com Pessoal'!$H$6,1,MATCH(2&amp;$B49,'Gastos com Pessoal'!$I$532:$AJ$532&amp;'Gastos com Pessoal'!$I$6:$AJ$6,0),500,1)),0)
+_xlfn.IFNA(SUM((AH$3&gt;='Gastos com Pessoal'!$E$7:$E$506)*(AH$3&lt;='Gastos com Pessoal'!$F$7:$F$506)*(IF('Gastos com Pessoal'!$S$7:$S$506&lt;=AH$3,1,0))*OFFSET('Gastos com Pessoal'!$H$6,1,MATCH(3&amp;$B49,'Gastos com Pessoal'!$I$532:$AJ$532&amp;'Gastos com Pessoal'!$I$6:$AJ$6,0),500,1)),0)
+_xlfn.IFNA(SUM((AH$3&gt;='Gastos com Pessoal'!$E$7:$E$506)*(AH$3&lt;='Gastos com Pessoal'!$F$7:$F$506)*(IF('Gastos com Pessoal'!$Y$7:$Y$506&lt;=AH$3,1,0))*OFFSET('Gastos com Pessoal'!$H$6,1,MATCH(4&amp;$B49,'Gastos com Pessoal'!$I$532:$AJ$532&amp;'Gastos com Pessoal'!$I$6:$AJ$6,0),500,1)),0)
+_xlfn.IFNA(SUM((AH$3&gt;='Gastos com Pessoal'!$E$7:$E$506)*(AH$3&lt;='Gastos com Pessoal'!$F$7:$F$506)*(IF('Gastos com Pessoal'!$AE$7:$AE$506&lt;=AH$3,1,0))*OFFSET('Gastos com Pessoal'!$H$6,1,MATCH(5&amp;$B49,'Gastos com Pessoal'!$I$532:$AJ$532&amp;'Gastos com Pessoal'!$I$6:$AJ$6,0),500,1)),0)
+_xlfn.IFNA(SUM((AH$3&gt;='Gastos com Pessoal'!$E$513:$E$522)*(AH$3&lt;='Gastos com Pessoal'!$F$513:$F$522)*(IF('Gastos com Pessoal'!$G$513:$G$522&lt;=AH$3,1,0))*OFFSET('Gastos com Pessoal'!$H$512,1,MATCH(1&amp;$B49,'Gastos com Pessoal'!$I$532:$AJ$532&amp;'Gastos com Pessoal'!$I$512:$AJ$512,0),10,1)),0)
+_xlfn.IFNA(SUM((AH$3&gt;='Gastos com Pessoal'!$E$513:$E$522)*(AH$3&lt;='Gastos com Pessoal'!$F$513:$F$522)*(IF('Gastos com Pessoal'!$M$513:$M$522&lt;=AH$3,1,0))*OFFSET('Gastos com Pessoal'!$H$512,1,MATCH(2&amp;$B49,'Gastos com Pessoal'!$I$532:$AJ$532&amp;'Gastos com Pessoal'!$I$512:$AJ$512,0),10,1)),0)
+_xlfn.IFNA(SUM((AH$3&gt;='Gastos com Pessoal'!$E$513:$E$522)*(AH$3&lt;='Gastos com Pessoal'!$F$513:$F$522)*(IF('Gastos com Pessoal'!$S$513:$S$522&lt;=AH$3,1,0))*OFFSET('Gastos com Pessoal'!$H$512,1,MATCH(3&amp;$B49,'Gastos com Pessoal'!$I$532:$AJ$532&amp;'Gastos com Pessoal'!$I$512:$AJ$512,0),10,1)),0)
+_xlfn.IFNA(SUM((AH$3&gt;='Gastos com Pessoal'!$E$513:$E$522)*(AH$3&lt;='Gastos com Pessoal'!$F$513:$F$522)*(IF('Gastos com Pessoal'!$Y$513:$Y$522&lt;=AH$3,1,0))*OFFSET('Gastos com Pessoal'!$H$512,1,MATCH(4&amp;$B49,'Gastos com Pessoal'!$I$532:$AJ$532&amp;'Gastos com Pessoal'!$I$512:$AJ$512,0),10,1)),0)
+_xlfn.IFNA(SUM((AH$3&gt;='Gastos com Pessoal'!$E$513:$E$522)*(AH$3&lt;='Gastos com Pessoal'!$F$513:$F$522)*(IF('Gastos com Pessoal'!$AE$513:$AE$522&lt;=AH$3,1,0))*OFFSET('Gastos com Pessoal'!$H$512,1,MATCH(5&amp;$B49,'Gastos com Pessoal'!$I$532:$AJ$532&amp;'Gastos com Pessoal'!$I$512:$AJ$512,0),10,1)),0)</f>
        <v>48100</v>
      </c>
      <c r="AI49" s="32">
        <f t="array" aca="1" ref="AI49" ca="1">_xlfn.IFNA(SUM((AI$3&gt;='Gastos com Pessoal'!$E$7:$E$506)*(AI$3&lt;='Gastos com Pessoal'!$F$7:$F$506)*OFFSET('Encargos e Benefícios'!$D$5,1,MATCH($B49,'Encargos e Benefícios'!$E$5:$AB$5,0),500,1)),0)
+_xlfn.IFNA(SUM((AI$3&gt;='Gastos com Pessoal'!$E$513:$E$522)*(AI$3&lt;='Gastos com Pessoal'!$F$513:$F$522)*OFFSET('Encargos e Benefícios'!$D$511,1,MATCH($B49,'Encargos e Benefícios'!$E$511:$AB$511,0),10,1)),0)
+_xlfn.IFNA(SUM((AI$3&gt;='Gastos com Pessoal'!$E$7:$E$506)*(AI$3&lt;='Gastos com Pessoal'!$F$7:$F$506)*(IF('Gastos com Pessoal'!$G$7:$G$506&lt;=AI$3,1,0))*OFFSET('Gastos com Pessoal'!$H$6,1,MATCH(1&amp;$B49,'Gastos com Pessoal'!$I$532:$AJ$532&amp;'Gastos com Pessoal'!$I$6:$AJ$6,0),500,1)),0)
+_xlfn.IFNA(SUM((AI$3&gt;='Gastos com Pessoal'!$E$7:$E$506)*(AI$3&lt;='Gastos com Pessoal'!$F$7:$F$506)*(IF('Gastos com Pessoal'!$M$7:$M$506&lt;=AI$3,1,0))*OFFSET('Gastos com Pessoal'!$H$6,1,MATCH(2&amp;$B49,'Gastos com Pessoal'!$I$532:$AJ$532&amp;'Gastos com Pessoal'!$I$6:$AJ$6,0),500,1)),0)
+_xlfn.IFNA(SUM((AI$3&gt;='Gastos com Pessoal'!$E$7:$E$506)*(AI$3&lt;='Gastos com Pessoal'!$F$7:$F$506)*(IF('Gastos com Pessoal'!$S$7:$S$506&lt;=AI$3,1,0))*OFFSET('Gastos com Pessoal'!$H$6,1,MATCH(3&amp;$B49,'Gastos com Pessoal'!$I$532:$AJ$532&amp;'Gastos com Pessoal'!$I$6:$AJ$6,0),500,1)),0)
+_xlfn.IFNA(SUM((AI$3&gt;='Gastos com Pessoal'!$E$7:$E$506)*(AI$3&lt;='Gastos com Pessoal'!$F$7:$F$506)*(IF('Gastos com Pessoal'!$Y$7:$Y$506&lt;=AI$3,1,0))*OFFSET('Gastos com Pessoal'!$H$6,1,MATCH(4&amp;$B49,'Gastos com Pessoal'!$I$532:$AJ$532&amp;'Gastos com Pessoal'!$I$6:$AJ$6,0),500,1)),0)
+_xlfn.IFNA(SUM((AI$3&gt;='Gastos com Pessoal'!$E$7:$E$506)*(AI$3&lt;='Gastos com Pessoal'!$F$7:$F$506)*(IF('Gastos com Pessoal'!$AE$7:$AE$506&lt;=AI$3,1,0))*OFFSET('Gastos com Pessoal'!$H$6,1,MATCH(5&amp;$B49,'Gastos com Pessoal'!$I$532:$AJ$532&amp;'Gastos com Pessoal'!$I$6:$AJ$6,0),500,1)),0)
+_xlfn.IFNA(SUM((AI$3&gt;='Gastos com Pessoal'!$E$513:$E$522)*(AI$3&lt;='Gastos com Pessoal'!$F$513:$F$522)*(IF('Gastos com Pessoal'!$G$513:$G$522&lt;=AI$3,1,0))*OFFSET('Gastos com Pessoal'!$H$512,1,MATCH(1&amp;$B49,'Gastos com Pessoal'!$I$532:$AJ$532&amp;'Gastos com Pessoal'!$I$512:$AJ$512,0),10,1)),0)
+_xlfn.IFNA(SUM((AI$3&gt;='Gastos com Pessoal'!$E$513:$E$522)*(AI$3&lt;='Gastos com Pessoal'!$F$513:$F$522)*(IF('Gastos com Pessoal'!$M$513:$M$522&lt;=AI$3,1,0))*OFFSET('Gastos com Pessoal'!$H$512,1,MATCH(2&amp;$B49,'Gastos com Pessoal'!$I$532:$AJ$532&amp;'Gastos com Pessoal'!$I$512:$AJ$512,0),10,1)),0)
+_xlfn.IFNA(SUM((AI$3&gt;='Gastos com Pessoal'!$E$513:$E$522)*(AI$3&lt;='Gastos com Pessoal'!$F$513:$F$522)*(IF('Gastos com Pessoal'!$S$513:$S$522&lt;=AI$3,1,0))*OFFSET('Gastos com Pessoal'!$H$512,1,MATCH(3&amp;$B49,'Gastos com Pessoal'!$I$532:$AJ$532&amp;'Gastos com Pessoal'!$I$512:$AJ$512,0),10,1)),0)
+_xlfn.IFNA(SUM((AI$3&gt;='Gastos com Pessoal'!$E$513:$E$522)*(AI$3&lt;='Gastos com Pessoal'!$F$513:$F$522)*(IF('Gastos com Pessoal'!$Y$513:$Y$522&lt;=AI$3,1,0))*OFFSET('Gastos com Pessoal'!$H$512,1,MATCH(4&amp;$B49,'Gastos com Pessoal'!$I$532:$AJ$532&amp;'Gastos com Pessoal'!$I$512:$AJ$512,0),10,1)),0)
+_xlfn.IFNA(SUM((AI$3&gt;='Gastos com Pessoal'!$E$513:$E$522)*(AI$3&lt;='Gastos com Pessoal'!$F$513:$F$522)*(IF('Gastos com Pessoal'!$AE$513:$AE$522&lt;=AI$3,1,0))*OFFSET('Gastos com Pessoal'!$H$512,1,MATCH(5&amp;$B49,'Gastos com Pessoal'!$I$532:$AJ$532&amp;'Gastos com Pessoal'!$I$512:$AJ$512,0),10,1)),0)</f>
        <v>48100</v>
      </c>
      <c r="AJ49" s="32">
        <f t="array" aca="1" ref="AJ49" ca="1">_xlfn.IFNA(SUM((AJ$3&gt;='Gastos com Pessoal'!$E$7:$E$506)*(AJ$3&lt;='Gastos com Pessoal'!$F$7:$F$506)*OFFSET('Encargos e Benefícios'!$D$5,1,MATCH($B49,'Encargos e Benefícios'!$E$5:$AB$5,0),500,1)),0)
+_xlfn.IFNA(SUM((AJ$3&gt;='Gastos com Pessoal'!$E$513:$E$522)*(AJ$3&lt;='Gastos com Pessoal'!$F$513:$F$522)*OFFSET('Encargos e Benefícios'!$D$511,1,MATCH($B49,'Encargos e Benefícios'!$E$511:$AB$511,0),10,1)),0)
+_xlfn.IFNA(SUM((AJ$3&gt;='Gastos com Pessoal'!$E$7:$E$506)*(AJ$3&lt;='Gastos com Pessoal'!$F$7:$F$506)*(IF('Gastos com Pessoal'!$G$7:$G$506&lt;=AJ$3,1,0))*OFFSET('Gastos com Pessoal'!$H$6,1,MATCH(1&amp;$B49,'Gastos com Pessoal'!$I$532:$AJ$532&amp;'Gastos com Pessoal'!$I$6:$AJ$6,0),500,1)),0)
+_xlfn.IFNA(SUM((AJ$3&gt;='Gastos com Pessoal'!$E$7:$E$506)*(AJ$3&lt;='Gastos com Pessoal'!$F$7:$F$506)*(IF('Gastos com Pessoal'!$M$7:$M$506&lt;=AJ$3,1,0))*OFFSET('Gastos com Pessoal'!$H$6,1,MATCH(2&amp;$B49,'Gastos com Pessoal'!$I$532:$AJ$532&amp;'Gastos com Pessoal'!$I$6:$AJ$6,0),500,1)),0)
+_xlfn.IFNA(SUM((AJ$3&gt;='Gastos com Pessoal'!$E$7:$E$506)*(AJ$3&lt;='Gastos com Pessoal'!$F$7:$F$506)*(IF('Gastos com Pessoal'!$S$7:$S$506&lt;=AJ$3,1,0))*OFFSET('Gastos com Pessoal'!$H$6,1,MATCH(3&amp;$B49,'Gastos com Pessoal'!$I$532:$AJ$532&amp;'Gastos com Pessoal'!$I$6:$AJ$6,0),500,1)),0)
+_xlfn.IFNA(SUM((AJ$3&gt;='Gastos com Pessoal'!$E$7:$E$506)*(AJ$3&lt;='Gastos com Pessoal'!$F$7:$F$506)*(IF('Gastos com Pessoal'!$Y$7:$Y$506&lt;=AJ$3,1,0))*OFFSET('Gastos com Pessoal'!$H$6,1,MATCH(4&amp;$B49,'Gastos com Pessoal'!$I$532:$AJ$532&amp;'Gastos com Pessoal'!$I$6:$AJ$6,0),500,1)),0)
+_xlfn.IFNA(SUM((AJ$3&gt;='Gastos com Pessoal'!$E$7:$E$506)*(AJ$3&lt;='Gastos com Pessoal'!$F$7:$F$506)*(IF('Gastos com Pessoal'!$AE$7:$AE$506&lt;=AJ$3,1,0))*OFFSET('Gastos com Pessoal'!$H$6,1,MATCH(5&amp;$B49,'Gastos com Pessoal'!$I$532:$AJ$532&amp;'Gastos com Pessoal'!$I$6:$AJ$6,0),500,1)),0)
+_xlfn.IFNA(SUM((AJ$3&gt;='Gastos com Pessoal'!$E$513:$E$522)*(AJ$3&lt;='Gastos com Pessoal'!$F$513:$F$522)*(IF('Gastos com Pessoal'!$G$513:$G$522&lt;=AJ$3,1,0))*OFFSET('Gastos com Pessoal'!$H$512,1,MATCH(1&amp;$B49,'Gastos com Pessoal'!$I$532:$AJ$532&amp;'Gastos com Pessoal'!$I$512:$AJ$512,0),10,1)),0)
+_xlfn.IFNA(SUM((AJ$3&gt;='Gastos com Pessoal'!$E$513:$E$522)*(AJ$3&lt;='Gastos com Pessoal'!$F$513:$F$522)*(IF('Gastos com Pessoal'!$M$513:$M$522&lt;=AJ$3,1,0))*OFFSET('Gastos com Pessoal'!$H$512,1,MATCH(2&amp;$B49,'Gastos com Pessoal'!$I$532:$AJ$532&amp;'Gastos com Pessoal'!$I$512:$AJ$512,0),10,1)),0)
+_xlfn.IFNA(SUM((AJ$3&gt;='Gastos com Pessoal'!$E$513:$E$522)*(AJ$3&lt;='Gastos com Pessoal'!$F$513:$F$522)*(IF('Gastos com Pessoal'!$S$513:$S$522&lt;=AJ$3,1,0))*OFFSET('Gastos com Pessoal'!$H$512,1,MATCH(3&amp;$B49,'Gastos com Pessoal'!$I$532:$AJ$532&amp;'Gastos com Pessoal'!$I$512:$AJ$512,0),10,1)),0)
+_xlfn.IFNA(SUM((AJ$3&gt;='Gastos com Pessoal'!$E$513:$E$522)*(AJ$3&lt;='Gastos com Pessoal'!$F$513:$F$522)*(IF('Gastos com Pessoal'!$Y$513:$Y$522&lt;=AJ$3,1,0))*OFFSET('Gastos com Pessoal'!$H$512,1,MATCH(4&amp;$B49,'Gastos com Pessoal'!$I$532:$AJ$532&amp;'Gastos com Pessoal'!$I$512:$AJ$512,0),10,1)),0)
+_xlfn.IFNA(SUM((AJ$3&gt;='Gastos com Pessoal'!$E$513:$E$522)*(AJ$3&lt;='Gastos com Pessoal'!$F$513:$F$522)*(IF('Gastos com Pessoal'!$AE$513:$AE$522&lt;=AJ$3,1,0))*OFFSET('Gastos com Pessoal'!$H$512,1,MATCH(5&amp;$B49,'Gastos com Pessoal'!$I$532:$AJ$532&amp;'Gastos com Pessoal'!$I$512:$AJ$512,0),10,1)),0)</f>
        <v>48100</v>
      </c>
      <c r="AK49" s="32">
        <f t="array" aca="1" ref="AK49" ca="1">_xlfn.IFNA(SUM((AK$3&gt;='Gastos com Pessoal'!$E$7:$E$506)*(AK$3&lt;='Gastos com Pessoal'!$F$7:$F$506)*OFFSET('Encargos e Benefícios'!$D$5,1,MATCH($B49,'Encargos e Benefícios'!$E$5:$AB$5,0),500,1)),0)
+_xlfn.IFNA(SUM((AK$3&gt;='Gastos com Pessoal'!$E$513:$E$522)*(AK$3&lt;='Gastos com Pessoal'!$F$513:$F$522)*OFFSET('Encargos e Benefícios'!$D$511,1,MATCH($B49,'Encargos e Benefícios'!$E$511:$AB$511,0),10,1)),0)
+_xlfn.IFNA(SUM((AK$3&gt;='Gastos com Pessoal'!$E$7:$E$506)*(AK$3&lt;='Gastos com Pessoal'!$F$7:$F$506)*(IF('Gastos com Pessoal'!$G$7:$G$506&lt;=AK$3,1,0))*OFFSET('Gastos com Pessoal'!$H$6,1,MATCH(1&amp;$B49,'Gastos com Pessoal'!$I$532:$AJ$532&amp;'Gastos com Pessoal'!$I$6:$AJ$6,0),500,1)),0)
+_xlfn.IFNA(SUM((AK$3&gt;='Gastos com Pessoal'!$E$7:$E$506)*(AK$3&lt;='Gastos com Pessoal'!$F$7:$F$506)*(IF('Gastos com Pessoal'!$M$7:$M$506&lt;=AK$3,1,0))*OFFSET('Gastos com Pessoal'!$H$6,1,MATCH(2&amp;$B49,'Gastos com Pessoal'!$I$532:$AJ$532&amp;'Gastos com Pessoal'!$I$6:$AJ$6,0),500,1)),0)
+_xlfn.IFNA(SUM((AK$3&gt;='Gastos com Pessoal'!$E$7:$E$506)*(AK$3&lt;='Gastos com Pessoal'!$F$7:$F$506)*(IF('Gastos com Pessoal'!$S$7:$S$506&lt;=AK$3,1,0))*OFFSET('Gastos com Pessoal'!$H$6,1,MATCH(3&amp;$B49,'Gastos com Pessoal'!$I$532:$AJ$532&amp;'Gastos com Pessoal'!$I$6:$AJ$6,0),500,1)),0)
+_xlfn.IFNA(SUM((AK$3&gt;='Gastos com Pessoal'!$E$7:$E$506)*(AK$3&lt;='Gastos com Pessoal'!$F$7:$F$506)*(IF('Gastos com Pessoal'!$Y$7:$Y$506&lt;=AK$3,1,0))*OFFSET('Gastos com Pessoal'!$H$6,1,MATCH(4&amp;$B49,'Gastos com Pessoal'!$I$532:$AJ$532&amp;'Gastos com Pessoal'!$I$6:$AJ$6,0),500,1)),0)
+_xlfn.IFNA(SUM((AK$3&gt;='Gastos com Pessoal'!$E$7:$E$506)*(AK$3&lt;='Gastos com Pessoal'!$F$7:$F$506)*(IF('Gastos com Pessoal'!$AE$7:$AE$506&lt;=AK$3,1,0))*OFFSET('Gastos com Pessoal'!$H$6,1,MATCH(5&amp;$B49,'Gastos com Pessoal'!$I$532:$AJ$532&amp;'Gastos com Pessoal'!$I$6:$AJ$6,0),500,1)),0)
+_xlfn.IFNA(SUM((AK$3&gt;='Gastos com Pessoal'!$E$513:$E$522)*(AK$3&lt;='Gastos com Pessoal'!$F$513:$F$522)*(IF('Gastos com Pessoal'!$G$513:$G$522&lt;=AK$3,1,0))*OFFSET('Gastos com Pessoal'!$H$512,1,MATCH(1&amp;$B49,'Gastos com Pessoal'!$I$532:$AJ$532&amp;'Gastos com Pessoal'!$I$512:$AJ$512,0),10,1)),0)
+_xlfn.IFNA(SUM((AK$3&gt;='Gastos com Pessoal'!$E$513:$E$522)*(AK$3&lt;='Gastos com Pessoal'!$F$513:$F$522)*(IF('Gastos com Pessoal'!$M$513:$M$522&lt;=AK$3,1,0))*OFFSET('Gastos com Pessoal'!$H$512,1,MATCH(2&amp;$B49,'Gastos com Pessoal'!$I$532:$AJ$532&amp;'Gastos com Pessoal'!$I$512:$AJ$512,0),10,1)),0)
+_xlfn.IFNA(SUM((AK$3&gt;='Gastos com Pessoal'!$E$513:$E$522)*(AK$3&lt;='Gastos com Pessoal'!$F$513:$F$522)*(IF('Gastos com Pessoal'!$S$513:$S$522&lt;=AK$3,1,0))*OFFSET('Gastos com Pessoal'!$H$512,1,MATCH(3&amp;$B49,'Gastos com Pessoal'!$I$532:$AJ$532&amp;'Gastos com Pessoal'!$I$512:$AJ$512,0),10,1)),0)
+_xlfn.IFNA(SUM((AK$3&gt;='Gastos com Pessoal'!$E$513:$E$522)*(AK$3&lt;='Gastos com Pessoal'!$F$513:$F$522)*(IF('Gastos com Pessoal'!$Y$513:$Y$522&lt;=AK$3,1,0))*OFFSET('Gastos com Pessoal'!$H$512,1,MATCH(4&amp;$B49,'Gastos com Pessoal'!$I$532:$AJ$532&amp;'Gastos com Pessoal'!$I$512:$AJ$512,0),10,1)),0)
+_xlfn.IFNA(SUM((AK$3&gt;='Gastos com Pessoal'!$E$513:$E$522)*(AK$3&lt;='Gastos com Pessoal'!$F$513:$F$522)*(IF('Gastos com Pessoal'!$AE$513:$AE$522&lt;=AK$3,1,0))*OFFSET('Gastos com Pessoal'!$H$512,1,MATCH(5&amp;$B49,'Gastos com Pessoal'!$I$532:$AJ$532&amp;'Gastos com Pessoal'!$I$512:$AJ$512,0),10,1)),0)</f>
        <v>48100</v>
      </c>
      <c r="AL49" s="32">
        <f t="array" aca="1" ref="AL49" ca="1">_xlfn.IFNA(SUM((AL$3&gt;='Gastos com Pessoal'!$E$7:$E$506)*(AL$3&lt;='Gastos com Pessoal'!$F$7:$F$506)*OFFSET('Encargos e Benefícios'!$D$5,1,MATCH($B49,'Encargos e Benefícios'!$E$5:$AB$5,0),500,1)),0)
+_xlfn.IFNA(SUM((AL$3&gt;='Gastos com Pessoal'!$E$513:$E$522)*(AL$3&lt;='Gastos com Pessoal'!$F$513:$F$522)*OFFSET('Encargos e Benefícios'!$D$511,1,MATCH($B49,'Encargos e Benefícios'!$E$511:$AB$511,0),10,1)),0)
+_xlfn.IFNA(SUM((AL$3&gt;='Gastos com Pessoal'!$E$7:$E$506)*(AL$3&lt;='Gastos com Pessoal'!$F$7:$F$506)*(IF('Gastos com Pessoal'!$G$7:$G$506&lt;=AL$3,1,0))*OFFSET('Gastos com Pessoal'!$H$6,1,MATCH(1&amp;$B49,'Gastos com Pessoal'!$I$532:$AJ$532&amp;'Gastos com Pessoal'!$I$6:$AJ$6,0),500,1)),0)
+_xlfn.IFNA(SUM((AL$3&gt;='Gastos com Pessoal'!$E$7:$E$506)*(AL$3&lt;='Gastos com Pessoal'!$F$7:$F$506)*(IF('Gastos com Pessoal'!$M$7:$M$506&lt;=AL$3,1,0))*OFFSET('Gastos com Pessoal'!$H$6,1,MATCH(2&amp;$B49,'Gastos com Pessoal'!$I$532:$AJ$532&amp;'Gastos com Pessoal'!$I$6:$AJ$6,0),500,1)),0)
+_xlfn.IFNA(SUM((AL$3&gt;='Gastos com Pessoal'!$E$7:$E$506)*(AL$3&lt;='Gastos com Pessoal'!$F$7:$F$506)*(IF('Gastos com Pessoal'!$S$7:$S$506&lt;=AL$3,1,0))*OFFSET('Gastos com Pessoal'!$H$6,1,MATCH(3&amp;$B49,'Gastos com Pessoal'!$I$532:$AJ$532&amp;'Gastos com Pessoal'!$I$6:$AJ$6,0),500,1)),0)
+_xlfn.IFNA(SUM((AL$3&gt;='Gastos com Pessoal'!$E$7:$E$506)*(AL$3&lt;='Gastos com Pessoal'!$F$7:$F$506)*(IF('Gastos com Pessoal'!$Y$7:$Y$506&lt;=AL$3,1,0))*OFFSET('Gastos com Pessoal'!$H$6,1,MATCH(4&amp;$B49,'Gastos com Pessoal'!$I$532:$AJ$532&amp;'Gastos com Pessoal'!$I$6:$AJ$6,0),500,1)),0)
+_xlfn.IFNA(SUM((AL$3&gt;='Gastos com Pessoal'!$E$7:$E$506)*(AL$3&lt;='Gastos com Pessoal'!$F$7:$F$506)*(IF('Gastos com Pessoal'!$AE$7:$AE$506&lt;=AL$3,1,0))*OFFSET('Gastos com Pessoal'!$H$6,1,MATCH(5&amp;$B49,'Gastos com Pessoal'!$I$532:$AJ$532&amp;'Gastos com Pessoal'!$I$6:$AJ$6,0),500,1)),0)
+_xlfn.IFNA(SUM((AL$3&gt;='Gastos com Pessoal'!$E$513:$E$522)*(AL$3&lt;='Gastos com Pessoal'!$F$513:$F$522)*(IF('Gastos com Pessoal'!$G$513:$G$522&lt;=AL$3,1,0))*OFFSET('Gastos com Pessoal'!$H$512,1,MATCH(1&amp;$B49,'Gastos com Pessoal'!$I$532:$AJ$532&amp;'Gastos com Pessoal'!$I$512:$AJ$512,0),10,1)),0)
+_xlfn.IFNA(SUM((AL$3&gt;='Gastos com Pessoal'!$E$513:$E$522)*(AL$3&lt;='Gastos com Pessoal'!$F$513:$F$522)*(IF('Gastos com Pessoal'!$M$513:$M$522&lt;=AL$3,1,0))*OFFSET('Gastos com Pessoal'!$H$512,1,MATCH(2&amp;$B49,'Gastos com Pessoal'!$I$532:$AJ$532&amp;'Gastos com Pessoal'!$I$512:$AJ$512,0),10,1)),0)
+_xlfn.IFNA(SUM((AL$3&gt;='Gastos com Pessoal'!$E$513:$E$522)*(AL$3&lt;='Gastos com Pessoal'!$F$513:$F$522)*(IF('Gastos com Pessoal'!$S$513:$S$522&lt;=AL$3,1,0))*OFFSET('Gastos com Pessoal'!$H$512,1,MATCH(3&amp;$B49,'Gastos com Pessoal'!$I$532:$AJ$532&amp;'Gastos com Pessoal'!$I$512:$AJ$512,0),10,1)),0)
+_xlfn.IFNA(SUM((AL$3&gt;='Gastos com Pessoal'!$E$513:$E$522)*(AL$3&lt;='Gastos com Pessoal'!$F$513:$F$522)*(IF('Gastos com Pessoal'!$Y$513:$Y$522&lt;=AL$3,1,0))*OFFSET('Gastos com Pessoal'!$H$512,1,MATCH(4&amp;$B49,'Gastos com Pessoal'!$I$532:$AJ$532&amp;'Gastos com Pessoal'!$I$512:$AJ$512,0),10,1)),0)
+_xlfn.IFNA(SUM((AL$3&gt;='Gastos com Pessoal'!$E$513:$E$522)*(AL$3&lt;='Gastos com Pessoal'!$F$513:$F$522)*(IF('Gastos com Pessoal'!$AE$513:$AE$522&lt;=AL$3,1,0))*OFFSET('Gastos com Pessoal'!$H$512,1,MATCH(5&amp;$B49,'Gastos com Pessoal'!$I$532:$AJ$532&amp;'Gastos com Pessoal'!$I$512:$AJ$512,0),10,1)),0)</f>
        <v>48100</v>
      </c>
      <c r="AM49" s="32">
        <f t="array" aca="1" ref="AM49" ca="1">_xlfn.IFNA(SUM((AM$3&gt;='Gastos com Pessoal'!$E$7:$E$506)*(AM$3&lt;='Gastos com Pessoal'!$F$7:$F$506)*OFFSET('Encargos e Benefícios'!$D$5,1,MATCH($B49,'Encargos e Benefícios'!$E$5:$AB$5,0),500,1)),0)
+_xlfn.IFNA(SUM((AM$3&gt;='Gastos com Pessoal'!$E$513:$E$522)*(AM$3&lt;='Gastos com Pessoal'!$F$513:$F$522)*OFFSET('Encargos e Benefícios'!$D$511,1,MATCH($B49,'Encargos e Benefícios'!$E$511:$AB$511,0),10,1)),0)
+_xlfn.IFNA(SUM((AM$3&gt;='Gastos com Pessoal'!$E$7:$E$506)*(AM$3&lt;='Gastos com Pessoal'!$F$7:$F$506)*(IF('Gastos com Pessoal'!$G$7:$G$506&lt;=AM$3,1,0))*OFFSET('Gastos com Pessoal'!$H$6,1,MATCH(1&amp;$B49,'Gastos com Pessoal'!$I$532:$AJ$532&amp;'Gastos com Pessoal'!$I$6:$AJ$6,0),500,1)),0)
+_xlfn.IFNA(SUM((AM$3&gt;='Gastos com Pessoal'!$E$7:$E$506)*(AM$3&lt;='Gastos com Pessoal'!$F$7:$F$506)*(IF('Gastos com Pessoal'!$M$7:$M$506&lt;=AM$3,1,0))*OFFSET('Gastos com Pessoal'!$H$6,1,MATCH(2&amp;$B49,'Gastos com Pessoal'!$I$532:$AJ$532&amp;'Gastos com Pessoal'!$I$6:$AJ$6,0),500,1)),0)
+_xlfn.IFNA(SUM((AM$3&gt;='Gastos com Pessoal'!$E$7:$E$506)*(AM$3&lt;='Gastos com Pessoal'!$F$7:$F$506)*(IF('Gastos com Pessoal'!$S$7:$S$506&lt;=AM$3,1,0))*OFFSET('Gastos com Pessoal'!$H$6,1,MATCH(3&amp;$B49,'Gastos com Pessoal'!$I$532:$AJ$532&amp;'Gastos com Pessoal'!$I$6:$AJ$6,0),500,1)),0)
+_xlfn.IFNA(SUM((AM$3&gt;='Gastos com Pessoal'!$E$7:$E$506)*(AM$3&lt;='Gastos com Pessoal'!$F$7:$F$506)*(IF('Gastos com Pessoal'!$Y$7:$Y$506&lt;=AM$3,1,0))*OFFSET('Gastos com Pessoal'!$H$6,1,MATCH(4&amp;$B49,'Gastos com Pessoal'!$I$532:$AJ$532&amp;'Gastos com Pessoal'!$I$6:$AJ$6,0),500,1)),0)
+_xlfn.IFNA(SUM((AM$3&gt;='Gastos com Pessoal'!$E$7:$E$506)*(AM$3&lt;='Gastos com Pessoal'!$F$7:$F$506)*(IF('Gastos com Pessoal'!$AE$7:$AE$506&lt;=AM$3,1,0))*OFFSET('Gastos com Pessoal'!$H$6,1,MATCH(5&amp;$B49,'Gastos com Pessoal'!$I$532:$AJ$532&amp;'Gastos com Pessoal'!$I$6:$AJ$6,0),500,1)),0)
+_xlfn.IFNA(SUM((AM$3&gt;='Gastos com Pessoal'!$E$513:$E$522)*(AM$3&lt;='Gastos com Pessoal'!$F$513:$F$522)*(IF('Gastos com Pessoal'!$G$513:$G$522&lt;=AM$3,1,0))*OFFSET('Gastos com Pessoal'!$H$512,1,MATCH(1&amp;$B49,'Gastos com Pessoal'!$I$532:$AJ$532&amp;'Gastos com Pessoal'!$I$512:$AJ$512,0),10,1)),0)
+_xlfn.IFNA(SUM((AM$3&gt;='Gastos com Pessoal'!$E$513:$E$522)*(AM$3&lt;='Gastos com Pessoal'!$F$513:$F$522)*(IF('Gastos com Pessoal'!$M$513:$M$522&lt;=AM$3,1,0))*OFFSET('Gastos com Pessoal'!$H$512,1,MATCH(2&amp;$B49,'Gastos com Pessoal'!$I$532:$AJ$532&amp;'Gastos com Pessoal'!$I$512:$AJ$512,0),10,1)),0)
+_xlfn.IFNA(SUM((AM$3&gt;='Gastos com Pessoal'!$E$513:$E$522)*(AM$3&lt;='Gastos com Pessoal'!$F$513:$F$522)*(IF('Gastos com Pessoal'!$S$513:$S$522&lt;=AM$3,1,0))*OFFSET('Gastos com Pessoal'!$H$512,1,MATCH(3&amp;$B49,'Gastos com Pessoal'!$I$532:$AJ$532&amp;'Gastos com Pessoal'!$I$512:$AJ$512,0),10,1)),0)
+_xlfn.IFNA(SUM((AM$3&gt;='Gastos com Pessoal'!$E$513:$E$522)*(AM$3&lt;='Gastos com Pessoal'!$F$513:$F$522)*(IF('Gastos com Pessoal'!$Y$513:$Y$522&lt;=AM$3,1,0))*OFFSET('Gastos com Pessoal'!$H$512,1,MATCH(4&amp;$B49,'Gastos com Pessoal'!$I$532:$AJ$532&amp;'Gastos com Pessoal'!$I$512:$AJ$512,0),10,1)),0)
+_xlfn.IFNA(SUM((AM$3&gt;='Gastos com Pessoal'!$E$513:$E$522)*(AM$3&lt;='Gastos com Pessoal'!$F$513:$F$522)*(IF('Gastos com Pessoal'!$AE$513:$AE$522&lt;=AM$3,1,0))*OFFSET('Gastos com Pessoal'!$H$512,1,MATCH(5&amp;$B49,'Gastos com Pessoal'!$I$532:$AJ$532&amp;'Gastos com Pessoal'!$I$512:$AJ$512,0),10,1)),0)</f>
        <v>0</v>
      </c>
      <c r="AN49" s="32">
        <f t="array" aca="1" ref="AN49" ca="1">_xlfn.IFNA(SUM((AN$3&gt;='Gastos com Pessoal'!$E$7:$E$506)*(AN$3&lt;='Gastos com Pessoal'!$F$7:$F$506)*OFFSET('Encargos e Benefícios'!$D$5,1,MATCH($B49,'Encargos e Benefícios'!$E$5:$AB$5,0),500,1)),0)
+_xlfn.IFNA(SUM((AN$3&gt;='Gastos com Pessoal'!$E$513:$E$522)*(AN$3&lt;='Gastos com Pessoal'!$F$513:$F$522)*OFFSET('Encargos e Benefícios'!$D$511,1,MATCH($B49,'Encargos e Benefícios'!$E$511:$AB$511,0),10,1)),0)
+_xlfn.IFNA(SUM((AN$3&gt;='Gastos com Pessoal'!$E$7:$E$506)*(AN$3&lt;='Gastos com Pessoal'!$F$7:$F$506)*(IF('Gastos com Pessoal'!$G$7:$G$506&lt;=AN$3,1,0))*OFFSET('Gastos com Pessoal'!$H$6,1,MATCH(1&amp;$B49,'Gastos com Pessoal'!$I$532:$AJ$532&amp;'Gastos com Pessoal'!$I$6:$AJ$6,0),500,1)),0)
+_xlfn.IFNA(SUM((AN$3&gt;='Gastos com Pessoal'!$E$7:$E$506)*(AN$3&lt;='Gastos com Pessoal'!$F$7:$F$506)*(IF('Gastos com Pessoal'!$M$7:$M$506&lt;=AN$3,1,0))*OFFSET('Gastos com Pessoal'!$H$6,1,MATCH(2&amp;$B49,'Gastos com Pessoal'!$I$532:$AJ$532&amp;'Gastos com Pessoal'!$I$6:$AJ$6,0),500,1)),0)
+_xlfn.IFNA(SUM((AN$3&gt;='Gastos com Pessoal'!$E$7:$E$506)*(AN$3&lt;='Gastos com Pessoal'!$F$7:$F$506)*(IF('Gastos com Pessoal'!$S$7:$S$506&lt;=AN$3,1,0))*OFFSET('Gastos com Pessoal'!$H$6,1,MATCH(3&amp;$B49,'Gastos com Pessoal'!$I$532:$AJ$532&amp;'Gastos com Pessoal'!$I$6:$AJ$6,0),500,1)),0)
+_xlfn.IFNA(SUM((AN$3&gt;='Gastos com Pessoal'!$E$7:$E$506)*(AN$3&lt;='Gastos com Pessoal'!$F$7:$F$506)*(IF('Gastos com Pessoal'!$Y$7:$Y$506&lt;=AN$3,1,0))*OFFSET('Gastos com Pessoal'!$H$6,1,MATCH(4&amp;$B49,'Gastos com Pessoal'!$I$532:$AJ$532&amp;'Gastos com Pessoal'!$I$6:$AJ$6,0),500,1)),0)
+_xlfn.IFNA(SUM((AN$3&gt;='Gastos com Pessoal'!$E$7:$E$506)*(AN$3&lt;='Gastos com Pessoal'!$F$7:$F$506)*(IF('Gastos com Pessoal'!$AE$7:$AE$506&lt;=AN$3,1,0))*OFFSET('Gastos com Pessoal'!$H$6,1,MATCH(5&amp;$B49,'Gastos com Pessoal'!$I$532:$AJ$532&amp;'Gastos com Pessoal'!$I$6:$AJ$6,0),500,1)),0)
+_xlfn.IFNA(SUM((AN$3&gt;='Gastos com Pessoal'!$E$513:$E$522)*(AN$3&lt;='Gastos com Pessoal'!$F$513:$F$522)*(IF('Gastos com Pessoal'!$G$513:$G$522&lt;=AN$3,1,0))*OFFSET('Gastos com Pessoal'!$H$512,1,MATCH(1&amp;$B49,'Gastos com Pessoal'!$I$532:$AJ$532&amp;'Gastos com Pessoal'!$I$512:$AJ$512,0),10,1)),0)
+_xlfn.IFNA(SUM((AN$3&gt;='Gastos com Pessoal'!$E$513:$E$522)*(AN$3&lt;='Gastos com Pessoal'!$F$513:$F$522)*(IF('Gastos com Pessoal'!$M$513:$M$522&lt;=AN$3,1,0))*OFFSET('Gastos com Pessoal'!$H$512,1,MATCH(2&amp;$B49,'Gastos com Pessoal'!$I$532:$AJ$532&amp;'Gastos com Pessoal'!$I$512:$AJ$512,0),10,1)),0)
+_xlfn.IFNA(SUM((AN$3&gt;='Gastos com Pessoal'!$E$513:$E$522)*(AN$3&lt;='Gastos com Pessoal'!$F$513:$F$522)*(IF('Gastos com Pessoal'!$S$513:$S$522&lt;=AN$3,1,0))*OFFSET('Gastos com Pessoal'!$H$512,1,MATCH(3&amp;$B49,'Gastos com Pessoal'!$I$532:$AJ$532&amp;'Gastos com Pessoal'!$I$512:$AJ$512,0),10,1)),0)
+_xlfn.IFNA(SUM((AN$3&gt;='Gastos com Pessoal'!$E$513:$E$522)*(AN$3&lt;='Gastos com Pessoal'!$F$513:$F$522)*(IF('Gastos com Pessoal'!$Y$513:$Y$522&lt;=AN$3,1,0))*OFFSET('Gastos com Pessoal'!$H$512,1,MATCH(4&amp;$B49,'Gastos com Pessoal'!$I$532:$AJ$532&amp;'Gastos com Pessoal'!$I$512:$AJ$512,0),10,1)),0)
+_xlfn.IFNA(SUM((AN$3&gt;='Gastos com Pessoal'!$E$513:$E$522)*(AN$3&lt;='Gastos com Pessoal'!$F$513:$F$522)*(IF('Gastos com Pessoal'!$AE$513:$AE$522&lt;=AN$3,1,0))*OFFSET('Gastos com Pessoal'!$H$512,1,MATCH(5&amp;$B49,'Gastos com Pessoal'!$I$532:$AJ$532&amp;'Gastos com Pessoal'!$I$512:$AJ$512,0),10,1)),0)</f>
        <v>0</v>
      </c>
      <c r="AO49" s="32">
        <f t="array" aca="1" ref="AO49" ca="1">_xlfn.IFNA(SUM((AO$3&gt;='Gastos com Pessoal'!$E$7:$E$506)*(AO$3&lt;='Gastos com Pessoal'!$F$7:$F$506)*OFFSET('Encargos e Benefícios'!$D$5,1,MATCH($B49,'Encargos e Benefícios'!$E$5:$AB$5,0),500,1)),0)
+_xlfn.IFNA(SUM((AO$3&gt;='Gastos com Pessoal'!$E$513:$E$522)*(AO$3&lt;='Gastos com Pessoal'!$F$513:$F$522)*OFFSET('Encargos e Benefícios'!$D$511,1,MATCH($B49,'Encargos e Benefícios'!$E$511:$AB$511,0),10,1)),0)
+_xlfn.IFNA(SUM((AO$3&gt;='Gastos com Pessoal'!$E$7:$E$506)*(AO$3&lt;='Gastos com Pessoal'!$F$7:$F$506)*(IF('Gastos com Pessoal'!$G$7:$G$506&lt;=AO$3,1,0))*OFFSET('Gastos com Pessoal'!$H$6,1,MATCH(1&amp;$B49,'Gastos com Pessoal'!$I$532:$AJ$532&amp;'Gastos com Pessoal'!$I$6:$AJ$6,0),500,1)),0)
+_xlfn.IFNA(SUM((AO$3&gt;='Gastos com Pessoal'!$E$7:$E$506)*(AO$3&lt;='Gastos com Pessoal'!$F$7:$F$506)*(IF('Gastos com Pessoal'!$M$7:$M$506&lt;=AO$3,1,0))*OFFSET('Gastos com Pessoal'!$H$6,1,MATCH(2&amp;$B49,'Gastos com Pessoal'!$I$532:$AJ$532&amp;'Gastos com Pessoal'!$I$6:$AJ$6,0),500,1)),0)
+_xlfn.IFNA(SUM((AO$3&gt;='Gastos com Pessoal'!$E$7:$E$506)*(AO$3&lt;='Gastos com Pessoal'!$F$7:$F$506)*(IF('Gastos com Pessoal'!$S$7:$S$506&lt;=AO$3,1,0))*OFFSET('Gastos com Pessoal'!$H$6,1,MATCH(3&amp;$B49,'Gastos com Pessoal'!$I$532:$AJ$532&amp;'Gastos com Pessoal'!$I$6:$AJ$6,0),500,1)),0)
+_xlfn.IFNA(SUM((AO$3&gt;='Gastos com Pessoal'!$E$7:$E$506)*(AO$3&lt;='Gastos com Pessoal'!$F$7:$F$506)*(IF('Gastos com Pessoal'!$Y$7:$Y$506&lt;=AO$3,1,0))*OFFSET('Gastos com Pessoal'!$H$6,1,MATCH(4&amp;$B49,'Gastos com Pessoal'!$I$532:$AJ$532&amp;'Gastos com Pessoal'!$I$6:$AJ$6,0),500,1)),0)
+_xlfn.IFNA(SUM((AO$3&gt;='Gastos com Pessoal'!$E$7:$E$506)*(AO$3&lt;='Gastos com Pessoal'!$F$7:$F$506)*(IF('Gastos com Pessoal'!$AE$7:$AE$506&lt;=AO$3,1,0))*OFFSET('Gastos com Pessoal'!$H$6,1,MATCH(5&amp;$B49,'Gastos com Pessoal'!$I$532:$AJ$532&amp;'Gastos com Pessoal'!$I$6:$AJ$6,0),500,1)),0)
+_xlfn.IFNA(SUM((AO$3&gt;='Gastos com Pessoal'!$E$513:$E$522)*(AO$3&lt;='Gastos com Pessoal'!$F$513:$F$522)*(IF('Gastos com Pessoal'!$G$513:$G$522&lt;=AO$3,1,0))*OFFSET('Gastos com Pessoal'!$H$512,1,MATCH(1&amp;$B49,'Gastos com Pessoal'!$I$532:$AJ$532&amp;'Gastos com Pessoal'!$I$512:$AJ$512,0),10,1)),0)
+_xlfn.IFNA(SUM((AO$3&gt;='Gastos com Pessoal'!$E$513:$E$522)*(AO$3&lt;='Gastos com Pessoal'!$F$513:$F$522)*(IF('Gastos com Pessoal'!$M$513:$M$522&lt;=AO$3,1,0))*OFFSET('Gastos com Pessoal'!$H$512,1,MATCH(2&amp;$B49,'Gastos com Pessoal'!$I$532:$AJ$532&amp;'Gastos com Pessoal'!$I$512:$AJ$512,0),10,1)),0)
+_xlfn.IFNA(SUM((AO$3&gt;='Gastos com Pessoal'!$E$513:$E$522)*(AO$3&lt;='Gastos com Pessoal'!$F$513:$F$522)*(IF('Gastos com Pessoal'!$S$513:$S$522&lt;=AO$3,1,0))*OFFSET('Gastos com Pessoal'!$H$512,1,MATCH(3&amp;$B49,'Gastos com Pessoal'!$I$532:$AJ$532&amp;'Gastos com Pessoal'!$I$512:$AJ$512,0),10,1)),0)
+_xlfn.IFNA(SUM((AO$3&gt;='Gastos com Pessoal'!$E$513:$E$522)*(AO$3&lt;='Gastos com Pessoal'!$F$513:$F$522)*(IF('Gastos com Pessoal'!$Y$513:$Y$522&lt;=AO$3,1,0))*OFFSET('Gastos com Pessoal'!$H$512,1,MATCH(4&amp;$B49,'Gastos com Pessoal'!$I$532:$AJ$532&amp;'Gastos com Pessoal'!$I$512:$AJ$512,0),10,1)),0)
+_xlfn.IFNA(SUM((AO$3&gt;='Gastos com Pessoal'!$E$513:$E$522)*(AO$3&lt;='Gastos com Pessoal'!$F$513:$F$522)*(IF('Gastos com Pessoal'!$AE$513:$AE$522&lt;=AO$3,1,0))*OFFSET('Gastos com Pessoal'!$H$512,1,MATCH(5&amp;$B49,'Gastos com Pessoal'!$I$532:$AJ$532&amp;'Gastos com Pessoal'!$I$512:$AJ$512,0),10,1)),0)</f>
        <v>0</v>
      </c>
      <c r="AP49" s="32">
        <f t="array" aca="1" ref="AP49" ca="1">_xlfn.IFNA(SUM((AP$3&gt;='Gastos com Pessoal'!$E$7:$E$506)*(AP$3&lt;='Gastos com Pessoal'!$F$7:$F$506)*OFFSET('Encargos e Benefícios'!$D$5,1,MATCH($B49,'Encargos e Benefícios'!$E$5:$AB$5,0),500,1)),0)
+_xlfn.IFNA(SUM((AP$3&gt;='Gastos com Pessoal'!$E$513:$E$522)*(AP$3&lt;='Gastos com Pessoal'!$F$513:$F$522)*OFFSET('Encargos e Benefícios'!$D$511,1,MATCH($B49,'Encargos e Benefícios'!$E$511:$AB$511,0),10,1)),0)
+_xlfn.IFNA(SUM((AP$3&gt;='Gastos com Pessoal'!$E$7:$E$506)*(AP$3&lt;='Gastos com Pessoal'!$F$7:$F$506)*(IF('Gastos com Pessoal'!$G$7:$G$506&lt;=AP$3,1,0))*OFFSET('Gastos com Pessoal'!$H$6,1,MATCH(1&amp;$B49,'Gastos com Pessoal'!$I$532:$AJ$532&amp;'Gastos com Pessoal'!$I$6:$AJ$6,0),500,1)),0)
+_xlfn.IFNA(SUM((AP$3&gt;='Gastos com Pessoal'!$E$7:$E$506)*(AP$3&lt;='Gastos com Pessoal'!$F$7:$F$506)*(IF('Gastos com Pessoal'!$M$7:$M$506&lt;=AP$3,1,0))*OFFSET('Gastos com Pessoal'!$H$6,1,MATCH(2&amp;$B49,'Gastos com Pessoal'!$I$532:$AJ$532&amp;'Gastos com Pessoal'!$I$6:$AJ$6,0),500,1)),0)
+_xlfn.IFNA(SUM((AP$3&gt;='Gastos com Pessoal'!$E$7:$E$506)*(AP$3&lt;='Gastos com Pessoal'!$F$7:$F$506)*(IF('Gastos com Pessoal'!$S$7:$S$506&lt;=AP$3,1,0))*OFFSET('Gastos com Pessoal'!$H$6,1,MATCH(3&amp;$B49,'Gastos com Pessoal'!$I$532:$AJ$532&amp;'Gastos com Pessoal'!$I$6:$AJ$6,0),500,1)),0)
+_xlfn.IFNA(SUM((AP$3&gt;='Gastos com Pessoal'!$E$7:$E$506)*(AP$3&lt;='Gastos com Pessoal'!$F$7:$F$506)*(IF('Gastos com Pessoal'!$Y$7:$Y$506&lt;=AP$3,1,0))*OFFSET('Gastos com Pessoal'!$H$6,1,MATCH(4&amp;$B49,'Gastos com Pessoal'!$I$532:$AJ$532&amp;'Gastos com Pessoal'!$I$6:$AJ$6,0),500,1)),0)
+_xlfn.IFNA(SUM((AP$3&gt;='Gastos com Pessoal'!$E$7:$E$506)*(AP$3&lt;='Gastos com Pessoal'!$F$7:$F$506)*(IF('Gastos com Pessoal'!$AE$7:$AE$506&lt;=AP$3,1,0))*OFFSET('Gastos com Pessoal'!$H$6,1,MATCH(5&amp;$B49,'Gastos com Pessoal'!$I$532:$AJ$532&amp;'Gastos com Pessoal'!$I$6:$AJ$6,0),500,1)),0)
+_xlfn.IFNA(SUM((AP$3&gt;='Gastos com Pessoal'!$E$513:$E$522)*(AP$3&lt;='Gastos com Pessoal'!$F$513:$F$522)*(IF('Gastos com Pessoal'!$G$513:$G$522&lt;=AP$3,1,0))*OFFSET('Gastos com Pessoal'!$H$512,1,MATCH(1&amp;$B49,'Gastos com Pessoal'!$I$532:$AJ$532&amp;'Gastos com Pessoal'!$I$512:$AJ$512,0),10,1)),0)
+_xlfn.IFNA(SUM((AP$3&gt;='Gastos com Pessoal'!$E$513:$E$522)*(AP$3&lt;='Gastos com Pessoal'!$F$513:$F$522)*(IF('Gastos com Pessoal'!$M$513:$M$522&lt;=AP$3,1,0))*OFFSET('Gastos com Pessoal'!$H$512,1,MATCH(2&amp;$B49,'Gastos com Pessoal'!$I$532:$AJ$532&amp;'Gastos com Pessoal'!$I$512:$AJ$512,0),10,1)),0)
+_xlfn.IFNA(SUM((AP$3&gt;='Gastos com Pessoal'!$E$513:$E$522)*(AP$3&lt;='Gastos com Pessoal'!$F$513:$F$522)*(IF('Gastos com Pessoal'!$S$513:$S$522&lt;=AP$3,1,0))*OFFSET('Gastos com Pessoal'!$H$512,1,MATCH(3&amp;$B49,'Gastos com Pessoal'!$I$532:$AJ$532&amp;'Gastos com Pessoal'!$I$512:$AJ$512,0),10,1)),0)
+_xlfn.IFNA(SUM((AP$3&gt;='Gastos com Pessoal'!$E$513:$E$522)*(AP$3&lt;='Gastos com Pessoal'!$F$513:$F$522)*(IF('Gastos com Pessoal'!$Y$513:$Y$522&lt;=AP$3,1,0))*OFFSET('Gastos com Pessoal'!$H$512,1,MATCH(4&amp;$B49,'Gastos com Pessoal'!$I$532:$AJ$532&amp;'Gastos com Pessoal'!$I$512:$AJ$512,0),10,1)),0)
+_xlfn.IFNA(SUM((AP$3&gt;='Gastos com Pessoal'!$E$513:$E$522)*(AP$3&lt;='Gastos com Pessoal'!$F$513:$F$522)*(IF('Gastos com Pessoal'!$AE$513:$AE$522&lt;=AP$3,1,0))*OFFSET('Gastos com Pessoal'!$H$512,1,MATCH(5&amp;$B49,'Gastos com Pessoal'!$I$532:$AJ$532&amp;'Gastos com Pessoal'!$I$512:$AJ$512,0),10,1)),0)</f>
        <v>0</v>
      </c>
      <c r="AQ49" s="32">
        <f t="array" aca="1" ref="AQ49" ca="1">_xlfn.IFNA(SUM((AQ$3&gt;='Gastos com Pessoal'!$E$7:$E$506)*(AQ$3&lt;='Gastos com Pessoal'!$F$7:$F$506)*OFFSET('Encargos e Benefícios'!$D$5,1,MATCH($B49,'Encargos e Benefícios'!$E$5:$AB$5,0),500,1)),0)
+_xlfn.IFNA(SUM((AQ$3&gt;='Gastos com Pessoal'!$E$513:$E$522)*(AQ$3&lt;='Gastos com Pessoal'!$F$513:$F$522)*OFFSET('Encargos e Benefícios'!$D$511,1,MATCH($B49,'Encargos e Benefícios'!$E$511:$AB$511,0),10,1)),0)
+_xlfn.IFNA(SUM((AQ$3&gt;='Gastos com Pessoal'!$E$7:$E$506)*(AQ$3&lt;='Gastos com Pessoal'!$F$7:$F$506)*(IF('Gastos com Pessoal'!$G$7:$G$506&lt;=AQ$3,1,0))*OFFSET('Gastos com Pessoal'!$H$6,1,MATCH(1&amp;$B49,'Gastos com Pessoal'!$I$532:$AJ$532&amp;'Gastos com Pessoal'!$I$6:$AJ$6,0),500,1)),0)
+_xlfn.IFNA(SUM((AQ$3&gt;='Gastos com Pessoal'!$E$7:$E$506)*(AQ$3&lt;='Gastos com Pessoal'!$F$7:$F$506)*(IF('Gastos com Pessoal'!$M$7:$M$506&lt;=AQ$3,1,0))*OFFSET('Gastos com Pessoal'!$H$6,1,MATCH(2&amp;$B49,'Gastos com Pessoal'!$I$532:$AJ$532&amp;'Gastos com Pessoal'!$I$6:$AJ$6,0),500,1)),0)
+_xlfn.IFNA(SUM((AQ$3&gt;='Gastos com Pessoal'!$E$7:$E$506)*(AQ$3&lt;='Gastos com Pessoal'!$F$7:$F$506)*(IF('Gastos com Pessoal'!$S$7:$S$506&lt;=AQ$3,1,0))*OFFSET('Gastos com Pessoal'!$H$6,1,MATCH(3&amp;$B49,'Gastos com Pessoal'!$I$532:$AJ$532&amp;'Gastos com Pessoal'!$I$6:$AJ$6,0),500,1)),0)
+_xlfn.IFNA(SUM((AQ$3&gt;='Gastos com Pessoal'!$E$7:$E$506)*(AQ$3&lt;='Gastos com Pessoal'!$F$7:$F$506)*(IF('Gastos com Pessoal'!$Y$7:$Y$506&lt;=AQ$3,1,0))*OFFSET('Gastos com Pessoal'!$H$6,1,MATCH(4&amp;$B49,'Gastos com Pessoal'!$I$532:$AJ$532&amp;'Gastos com Pessoal'!$I$6:$AJ$6,0),500,1)),0)
+_xlfn.IFNA(SUM((AQ$3&gt;='Gastos com Pessoal'!$E$7:$E$506)*(AQ$3&lt;='Gastos com Pessoal'!$F$7:$F$506)*(IF('Gastos com Pessoal'!$AE$7:$AE$506&lt;=AQ$3,1,0))*OFFSET('Gastos com Pessoal'!$H$6,1,MATCH(5&amp;$B49,'Gastos com Pessoal'!$I$532:$AJ$532&amp;'Gastos com Pessoal'!$I$6:$AJ$6,0),500,1)),0)
+_xlfn.IFNA(SUM((AQ$3&gt;='Gastos com Pessoal'!$E$513:$E$522)*(AQ$3&lt;='Gastos com Pessoal'!$F$513:$F$522)*(IF('Gastos com Pessoal'!$G$513:$G$522&lt;=AQ$3,1,0))*OFFSET('Gastos com Pessoal'!$H$512,1,MATCH(1&amp;$B49,'Gastos com Pessoal'!$I$532:$AJ$532&amp;'Gastos com Pessoal'!$I$512:$AJ$512,0),10,1)),0)
+_xlfn.IFNA(SUM((AQ$3&gt;='Gastos com Pessoal'!$E$513:$E$522)*(AQ$3&lt;='Gastos com Pessoal'!$F$513:$F$522)*(IF('Gastos com Pessoal'!$M$513:$M$522&lt;=AQ$3,1,0))*OFFSET('Gastos com Pessoal'!$H$512,1,MATCH(2&amp;$B49,'Gastos com Pessoal'!$I$532:$AJ$532&amp;'Gastos com Pessoal'!$I$512:$AJ$512,0),10,1)),0)
+_xlfn.IFNA(SUM((AQ$3&gt;='Gastos com Pessoal'!$E$513:$E$522)*(AQ$3&lt;='Gastos com Pessoal'!$F$513:$F$522)*(IF('Gastos com Pessoal'!$S$513:$S$522&lt;=AQ$3,1,0))*OFFSET('Gastos com Pessoal'!$H$512,1,MATCH(3&amp;$B49,'Gastos com Pessoal'!$I$532:$AJ$532&amp;'Gastos com Pessoal'!$I$512:$AJ$512,0),10,1)),0)
+_xlfn.IFNA(SUM((AQ$3&gt;='Gastos com Pessoal'!$E$513:$E$522)*(AQ$3&lt;='Gastos com Pessoal'!$F$513:$F$522)*(IF('Gastos com Pessoal'!$Y$513:$Y$522&lt;=AQ$3,1,0))*OFFSET('Gastos com Pessoal'!$H$512,1,MATCH(4&amp;$B49,'Gastos com Pessoal'!$I$532:$AJ$532&amp;'Gastos com Pessoal'!$I$512:$AJ$512,0),10,1)),0)
+_xlfn.IFNA(SUM((AQ$3&gt;='Gastos com Pessoal'!$E$513:$E$522)*(AQ$3&lt;='Gastos com Pessoal'!$F$513:$F$522)*(IF('Gastos com Pessoal'!$AE$513:$AE$522&lt;=AQ$3,1,0))*OFFSET('Gastos com Pessoal'!$H$512,1,MATCH(5&amp;$B49,'Gastos com Pessoal'!$I$532:$AJ$532&amp;'Gastos com Pessoal'!$I$512:$AJ$512,0),10,1)),0)</f>
        <v>0</v>
      </c>
      <c r="AR49" s="32">
        <f t="array" aca="1" ref="AR49" ca="1">_xlfn.IFNA(SUM((AR$3&gt;='Gastos com Pessoal'!$E$7:$E$506)*(AR$3&lt;='Gastos com Pessoal'!$F$7:$F$506)*OFFSET('Encargos e Benefícios'!$D$5,1,MATCH($B49,'Encargos e Benefícios'!$E$5:$AB$5,0),500,1)),0)
+_xlfn.IFNA(SUM((AR$3&gt;='Gastos com Pessoal'!$E$513:$E$522)*(AR$3&lt;='Gastos com Pessoal'!$F$513:$F$522)*OFFSET('Encargos e Benefícios'!$D$511,1,MATCH($B49,'Encargos e Benefícios'!$E$511:$AB$511,0),10,1)),0)
+_xlfn.IFNA(SUM((AR$3&gt;='Gastos com Pessoal'!$E$7:$E$506)*(AR$3&lt;='Gastos com Pessoal'!$F$7:$F$506)*(IF('Gastos com Pessoal'!$G$7:$G$506&lt;=AR$3,1,0))*OFFSET('Gastos com Pessoal'!$H$6,1,MATCH(1&amp;$B49,'Gastos com Pessoal'!$I$532:$AJ$532&amp;'Gastos com Pessoal'!$I$6:$AJ$6,0),500,1)),0)
+_xlfn.IFNA(SUM((AR$3&gt;='Gastos com Pessoal'!$E$7:$E$506)*(AR$3&lt;='Gastos com Pessoal'!$F$7:$F$506)*(IF('Gastos com Pessoal'!$M$7:$M$506&lt;=AR$3,1,0))*OFFSET('Gastos com Pessoal'!$H$6,1,MATCH(2&amp;$B49,'Gastos com Pessoal'!$I$532:$AJ$532&amp;'Gastos com Pessoal'!$I$6:$AJ$6,0),500,1)),0)
+_xlfn.IFNA(SUM((AR$3&gt;='Gastos com Pessoal'!$E$7:$E$506)*(AR$3&lt;='Gastos com Pessoal'!$F$7:$F$506)*(IF('Gastos com Pessoal'!$S$7:$S$506&lt;=AR$3,1,0))*OFFSET('Gastos com Pessoal'!$H$6,1,MATCH(3&amp;$B49,'Gastos com Pessoal'!$I$532:$AJ$532&amp;'Gastos com Pessoal'!$I$6:$AJ$6,0),500,1)),0)
+_xlfn.IFNA(SUM((AR$3&gt;='Gastos com Pessoal'!$E$7:$E$506)*(AR$3&lt;='Gastos com Pessoal'!$F$7:$F$506)*(IF('Gastos com Pessoal'!$Y$7:$Y$506&lt;=AR$3,1,0))*OFFSET('Gastos com Pessoal'!$H$6,1,MATCH(4&amp;$B49,'Gastos com Pessoal'!$I$532:$AJ$532&amp;'Gastos com Pessoal'!$I$6:$AJ$6,0),500,1)),0)
+_xlfn.IFNA(SUM((AR$3&gt;='Gastos com Pessoal'!$E$7:$E$506)*(AR$3&lt;='Gastos com Pessoal'!$F$7:$F$506)*(IF('Gastos com Pessoal'!$AE$7:$AE$506&lt;=AR$3,1,0))*OFFSET('Gastos com Pessoal'!$H$6,1,MATCH(5&amp;$B49,'Gastos com Pessoal'!$I$532:$AJ$532&amp;'Gastos com Pessoal'!$I$6:$AJ$6,0),500,1)),0)
+_xlfn.IFNA(SUM((AR$3&gt;='Gastos com Pessoal'!$E$513:$E$522)*(AR$3&lt;='Gastos com Pessoal'!$F$513:$F$522)*(IF('Gastos com Pessoal'!$G$513:$G$522&lt;=AR$3,1,0))*OFFSET('Gastos com Pessoal'!$H$512,1,MATCH(1&amp;$B49,'Gastos com Pessoal'!$I$532:$AJ$532&amp;'Gastos com Pessoal'!$I$512:$AJ$512,0),10,1)),0)
+_xlfn.IFNA(SUM((AR$3&gt;='Gastos com Pessoal'!$E$513:$E$522)*(AR$3&lt;='Gastos com Pessoal'!$F$513:$F$522)*(IF('Gastos com Pessoal'!$M$513:$M$522&lt;=AR$3,1,0))*OFFSET('Gastos com Pessoal'!$H$512,1,MATCH(2&amp;$B49,'Gastos com Pessoal'!$I$532:$AJ$532&amp;'Gastos com Pessoal'!$I$512:$AJ$512,0),10,1)),0)
+_xlfn.IFNA(SUM((AR$3&gt;='Gastos com Pessoal'!$E$513:$E$522)*(AR$3&lt;='Gastos com Pessoal'!$F$513:$F$522)*(IF('Gastos com Pessoal'!$S$513:$S$522&lt;=AR$3,1,0))*OFFSET('Gastos com Pessoal'!$H$512,1,MATCH(3&amp;$B49,'Gastos com Pessoal'!$I$532:$AJ$532&amp;'Gastos com Pessoal'!$I$512:$AJ$512,0),10,1)),0)
+_xlfn.IFNA(SUM((AR$3&gt;='Gastos com Pessoal'!$E$513:$E$522)*(AR$3&lt;='Gastos com Pessoal'!$F$513:$F$522)*(IF('Gastos com Pessoal'!$Y$513:$Y$522&lt;=AR$3,1,0))*OFFSET('Gastos com Pessoal'!$H$512,1,MATCH(4&amp;$B49,'Gastos com Pessoal'!$I$532:$AJ$532&amp;'Gastos com Pessoal'!$I$512:$AJ$512,0),10,1)),0)
+_xlfn.IFNA(SUM((AR$3&gt;='Gastos com Pessoal'!$E$513:$E$522)*(AR$3&lt;='Gastos com Pessoal'!$F$513:$F$522)*(IF('Gastos com Pessoal'!$AE$513:$AE$522&lt;=AR$3,1,0))*OFFSET('Gastos com Pessoal'!$H$512,1,MATCH(5&amp;$B49,'Gastos com Pessoal'!$I$532:$AJ$532&amp;'Gastos com Pessoal'!$I$512:$AJ$512,0),10,1)),0)</f>
        <v>0</v>
      </c>
      <c r="AS49" s="32">
        <f t="array" aca="1" ref="AS49" ca="1">_xlfn.IFNA(SUM((AS$3&gt;='Gastos com Pessoal'!$E$7:$E$506)*(AS$3&lt;='Gastos com Pessoal'!$F$7:$F$506)*OFFSET('Encargos e Benefícios'!$D$5,1,MATCH($B49,'Encargos e Benefícios'!$E$5:$AB$5,0),500,1)),0)
+_xlfn.IFNA(SUM((AS$3&gt;='Gastos com Pessoal'!$E$513:$E$522)*(AS$3&lt;='Gastos com Pessoal'!$F$513:$F$522)*OFFSET('Encargos e Benefícios'!$D$511,1,MATCH($B49,'Encargos e Benefícios'!$E$511:$AB$511,0),10,1)),0)
+_xlfn.IFNA(SUM((AS$3&gt;='Gastos com Pessoal'!$E$7:$E$506)*(AS$3&lt;='Gastos com Pessoal'!$F$7:$F$506)*(IF('Gastos com Pessoal'!$G$7:$G$506&lt;=AS$3,1,0))*OFFSET('Gastos com Pessoal'!$H$6,1,MATCH(1&amp;$B49,'Gastos com Pessoal'!$I$532:$AJ$532&amp;'Gastos com Pessoal'!$I$6:$AJ$6,0),500,1)),0)
+_xlfn.IFNA(SUM((AS$3&gt;='Gastos com Pessoal'!$E$7:$E$506)*(AS$3&lt;='Gastos com Pessoal'!$F$7:$F$506)*(IF('Gastos com Pessoal'!$M$7:$M$506&lt;=AS$3,1,0))*OFFSET('Gastos com Pessoal'!$H$6,1,MATCH(2&amp;$B49,'Gastos com Pessoal'!$I$532:$AJ$532&amp;'Gastos com Pessoal'!$I$6:$AJ$6,0),500,1)),0)
+_xlfn.IFNA(SUM((AS$3&gt;='Gastos com Pessoal'!$E$7:$E$506)*(AS$3&lt;='Gastos com Pessoal'!$F$7:$F$506)*(IF('Gastos com Pessoal'!$S$7:$S$506&lt;=AS$3,1,0))*OFFSET('Gastos com Pessoal'!$H$6,1,MATCH(3&amp;$B49,'Gastos com Pessoal'!$I$532:$AJ$532&amp;'Gastos com Pessoal'!$I$6:$AJ$6,0),500,1)),0)
+_xlfn.IFNA(SUM((AS$3&gt;='Gastos com Pessoal'!$E$7:$E$506)*(AS$3&lt;='Gastos com Pessoal'!$F$7:$F$506)*(IF('Gastos com Pessoal'!$Y$7:$Y$506&lt;=AS$3,1,0))*OFFSET('Gastos com Pessoal'!$H$6,1,MATCH(4&amp;$B49,'Gastos com Pessoal'!$I$532:$AJ$532&amp;'Gastos com Pessoal'!$I$6:$AJ$6,0),500,1)),0)
+_xlfn.IFNA(SUM((AS$3&gt;='Gastos com Pessoal'!$E$7:$E$506)*(AS$3&lt;='Gastos com Pessoal'!$F$7:$F$506)*(IF('Gastos com Pessoal'!$AE$7:$AE$506&lt;=AS$3,1,0))*OFFSET('Gastos com Pessoal'!$H$6,1,MATCH(5&amp;$B49,'Gastos com Pessoal'!$I$532:$AJ$532&amp;'Gastos com Pessoal'!$I$6:$AJ$6,0),500,1)),0)
+_xlfn.IFNA(SUM((AS$3&gt;='Gastos com Pessoal'!$E$513:$E$522)*(AS$3&lt;='Gastos com Pessoal'!$F$513:$F$522)*(IF('Gastos com Pessoal'!$G$513:$G$522&lt;=AS$3,1,0))*OFFSET('Gastos com Pessoal'!$H$512,1,MATCH(1&amp;$B49,'Gastos com Pessoal'!$I$532:$AJ$532&amp;'Gastos com Pessoal'!$I$512:$AJ$512,0),10,1)),0)
+_xlfn.IFNA(SUM((AS$3&gt;='Gastos com Pessoal'!$E$513:$E$522)*(AS$3&lt;='Gastos com Pessoal'!$F$513:$F$522)*(IF('Gastos com Pessoal'!$M$513:$M$522&lt;=AS$3,1,0))*OFFSET('Gastos com Pessoal'!$H$512,1,MATCH(2&amp;$B49,'Gastos com Pessoal'!$I$532:$AJ$532&amp;'Gastos com Pessoal'!$I$512:$AJ$512,0),10,1)),0)
+_xlfn.IFNA(SUM((AS$3&gt;='Gastos com Pessoal'!$E$513:$E$522)*(AS$3&lt;='Gastos com Pessoal'!$F$513:$F$522)*(IF('Gastos com Pessoal'!$S$513:$S$522&lt;=AS$3,1,0))*OFFSET('Gastos com Pessoal'!$H$512,1,MATCH(3&amp;$B49,'Gastos com Pessoal'!$I$532:$AJ$532&amp;'Gastos com Pessoal'!$I$512:$AJ$512,0),10,1)),0)
+_xlfn.IFNA(SUM((AS$3&gt;='Gastos com Pessoal'!$E$513:$E$522)*(AS$3&lt;='Gastos com Pessoal'!$F$513:$F$522)*(IF('Gastos com Pessoal'!$Y$513:$Y$522&lt;=AS$3,1,0))*OFFSET('Gastos com Pessoal'!$H$512,1,MATCH(4&amp;$B49,'Gastos com Pessoal'!$I$532:$AJ$532&amp;'Gastos com Pessoal'!$I$512:$AJ$512,0),10,1)),0)
+_xlfn.IFNA(SUM((AS$3&gt;='Gastos com Pessoal'!$E$513:$E$522)*(AS$3&lt;='Gastos com Pessoal'!$F$513:$F$522)*(IF('Gastos com Pessoal'!$AE$513:$AE$522&lt;=AS$3,1,0))*OFFSET('Gastos com Pessoal'!$H$512,1,MATCH(5&amp;$B49,'Gastos com Pessoal'!$I$532:$AJ$532&amp;'Gastos com Pessoal'!$I$512:$AJ$512,0),10,1)),0)</f>
        <v>0</v>
      </c>
      <c r="AT49" s="32">
        <f t="array" aca="1" ref="AT49" ca="1">_xlfn.IFNA(SUM((AT$3&gt;='Gastos com Pessoal'!$E$7:$E$506)*(AT$3&lt;='Gastos com Pessoal'!$F$7:$F$506)*OFFSET('Encargos e Benefícios'!$D$5,1,MATCH($B49,'Encargos e Benefícios'!$E$5:$AB$5,0),500,1)),0)
+_xlfn.IFNA(SUM((AT$3&gt;='Gastos com Pessoal'!$E$513:$E$522)*(AT$3&lt;='Gastos com Pessoal'!$F$513:$F$522)*OFFSET('Encargos e Benefícios'!$D$511,1,MATCH($B49,'Encargos e Benefícios'!$E$511:$AB$511,0),10,1)),0)
+_xlfn.IFNA(SUM((AT$3&gt;='Gastos com Pessoal'!$E$7:$E$506)*(AT$3&lt;='Gastos com Pessoal'!$F$7:$F$506)*(IF('Gastos com Pessoal'!$G$7:$G$506&lt;=AT$3,1,0))*OFFSET('Gastos com Pessoal'!$H$6,1,MATCH(1&amp;$B49,'Gastos com Pessoal'!$I$532:$AJ$532&amp;'Gastos com Pessoal'!$I$6:$AJ$6,0),500,1)),0)
+_xlfn.IFNA(SUM((AT$3&gt;='Gastos com Pessoal'!$E$7:$E$506)*(AT$3&lt;='Gastos com Pessoal'!$F$7:$F$506)*(IF('Gastos com Pessoal'!$M$7:$M$506&lt;=AT$3,1,0))*OFFSET('Gastos com Pessoal'!$H$6,1,MATCH(2&amp;$B49,'Gastos com Pessoal'!$I$532:$AJ$532&amp;'Gastos com Pessoal'!$I$6:$AJ$6,0),500,1)),0)
+_xlfn.IFNA(SUM((AT$3&gt;='Gastos com Pessoal'!$E$7:$E$506)*(AT$3&lt;='Gastos com Pessoal'!$F$7:$F$506)*(IF('Gastos com Pessoal'!$S$7:$S$506&lt;=AT$3,1,0))*OFFSET('Gastos com Pessoal'!$H$6,1,MATCH(3&amp;$B49,'Gastos com Pessoal'!$I$532:$AJ$532&amp;'Gastos com Pessoal'!$I$6:$AJ$6,0),500,1)),0)
+_xlfn.IFNA(SUM((AT$3&gt;='Gastos com Pessoal'!$E$7:$E$506)*(AT$3&lt;='Gastos com Pessoal'!$F$7:$F$506)*(IF('Gastos com Pessoal'!$Y$7:$Y$506&lt;=AT$3,1,0))*OFFSET('Gastos com Pessoal'!$H$6,1,MATCH(4&amp;$B49,'Gastos com Pessoal'!$I$532:$AJ$532&amp;'Gastos com Pessoal'!$I$6:$AJ$6,0),500,1)),0)
+_xlfn.IFNA(SUM((AT$3&gt;='Gastos com Pessoal'!$E$7:$E$506)*(AT$3&lt;='Gastos com Pessoal'!$F$7:$F$506)*(IF('Gastos com Pessoal'!$AE$7:$AE$506&lt;=AT$3,1,0))*OFFSET('Gastos com Pessoal'!$H$6,1,MATCH(5&amp;$B49,'Gastos com Pessoal'!$I$532:$AJ$532&amp;'Gastos com Pessoal'!$I$6:$AJ$6,0),500,1)),0)
+_xlfn.IFNA(SUM((AT$3&gt;='Gastos com Pessoal'!$E$513:$E$522)*(AT$3&lt;='Gastos com Pessoal'!$F$513:$F$522)*(IF('Gastos com Pessoal'!$G$513:$G$522&lt;=AT$3,1,0))*OFFSET('Gastos com Pessoal'!$H$512,1,MATCH(1&amp;$B49,'Gastos com Pessoal'!$I$532:$AJ$532&amp;'Gastos com Pessoal'!$I$512:$AJ$512,0),10,1)),0)
+_xlfn.IFNA(SUM((AT$3&gt;='Gastos com Pessoal'!$E$513:$E$522)*(AT$3&lt;='Gastos com Pessoal'!$F$513:$F$522)*(IF('Gastos com Pessoal'!$M$513:$M$522&lt;=AT$3,1,0))*OFFSET('Gastos com Pessoal'!$H$512,1,MATCH(2&amp;$B49,'Gastos com Pessoal'!$I$532:$AJ$532&amp;'Gastos com Pessoal'!$I$512:$AJ$512,0),10,1)),0)
+_xlfn.IFNA(SUM((AT$3&gt;='Gastos com Pessoal'!$E$513:$E$522)*(AT$3&lt;='Gastos com Pessoal'!$F$513:$F$522)*(IF('Gastos com Pessoal'!$S$513:$S$522&lt;=AT$3,1,0))*OFFSET('Gastos com Pessoal'!$H$512,1,MATCH(3&amp;$B49,'Gastos com Pessoal'!$I$532:$AJ$532&amp;'Gastos com Pessoal'!$I$512:$AJ$512,0),10,1)),0)
+_xlfn.IFNA(SUM((AT$3&gt;='Gastos com Pessoal'!$E$513:$E$522)*(AT$3&lt;='Gastos com Pessoal'!$F$513:$F$522)*(IF('Gastos com Pessoal'!$Y$513:$Y$522&lt;=AT$3,1,0))*OFFSET('Gastos com Pessoal'!$H$512,1,MATCH(4&amp;$B49,'Gastos com Pessoal'!$I$532:$AJ$532&amp;'Gastos com Pessoal'!$I$512:$AJ$512,0),10,1)),0)
+_xlfn.IFNA(SUM((AT$3&gt;='Gastos com Pessoal'!$E$513:$E$522)*(AT$3&lt;='Gastos com Pessoal'!$F$513:$F$522)*(IF('Gastos com Pessoal'!$AE$513:$AE$522&lt;=AT$3,1,0))*OFFSET('Gastos com Pessoal'!$H$512,1,MATCH(5&amp;$B49,'Gastos com Pessoal'!$I$532:$AJ$532&amp;'Gastos com Pessoal'!$I$512:$AJ$512,0),10,1)),0)</f>
        <v>0</v>
      </c>
      <c r="AU49" s="32">
        <f t="array" aca="1" ref="AU49" ca="1">_xlfn.IFNA(SUM((AU$3&gt;='Gastos com Pessoal'!$E$7:$E$506)*(AU$3&lt;='Gastos com Pessoal'!$F$7:$F$506)*OFFSET('Encargos e Benefícios'!$D$5,1,MATCH($B49,'Encargos e Benefícios'!$E$5:$AB$5,0),500,1)),0)
+_xlfn.IFNA(SUM((AU$3&gt;='Gastos com Pessoal'!$E$513:$E$522)*(AU$3&lt;='Gastos com Pessoal'!$F$513:$F$522)*OFFSET('Encargos e Benefícios'!$D$511,1,MATCH($B49,'Encargos e Benefícios'!$E$511:$AB$511,0),10,1)),0)
+_xlfn.IFNA(SUM((AU$3&gt;='Gastos com Pessoal'!$E$7:$E$506)*(AU$3&lt;='Gastos com Pessoal'!$F$7:$F$506)*(IF('Gastos com Pessoal'!$G$7:$G$506&lt;=AU$3,1,0))*OFFSET('Gastos com Pessoal'!$H$6,1,MATCH(1&amp;$B49,'Gastos com Pessoal'!$I$532:$AJ$532&amp;'Gastos com Pessoal'!$I$6:$AJ$6,0),500,1)),0)
+_xlfn.IFNA(SUM((AU$3&gt;='Gastos com Pessoal'!$E$7:$E$506)*(AU$3&lt;='Gastos com Pessoal'!$F$7:$F$506)*(IF('Gastos com Pessoal'!$M$7:$M$506&lt;=AU$3,1,0))*OFFSET('Gastos com Pessoal'!$H$6,1,MATCH(2&amp;$B49,'Gastos com Pessoal'!$I$532:$AJ$532&amp;'Gastos com Pessoal'!$I$6:$AJ$6,0),500,1)),0)
+_xlfn.IFNA(SUM((AU$3&gt;='Gastos com Pessoal'!$E$7:$E$506)*(AU$3&lt;='Gastos com Pessoal'!$F$7:$F$506)*(IF('Gastos com Pessoal'!$S$7:$S$506&lt;=AU$3,1,0))*OFFSET('Gastos com Pessoal'!$H$6,1,MATCH(3&amp;$B49,'Gastos com Pessoal'!$I$532:$AJ$532&amp;'Gastos com Pessoal'!$I$6:$AJ$6,0),500,1)),0)
+_xlfn.IFNA(SUM((AU$3&gt;='Gastos com Pessoal'!$E$7:$E$506)*(AU$3&lt;='Gastos com Pessoal'!$F$7:$F$506)*(IF('Gastos com Pessoal'!$Y$7:$Y$506&lt;=AU$3,1,0))*OFFSET('Gastos com Pessoal'!$H$6,1,MATCH(4&amp;$B49,'Gastos com Pessoal'!$I$532:$AJ$532&amp;'Gastos com Pessoal'!$I$6:$AJ$6,0),500,1)),0)
+_xlfn.IFNA(SUM((AU$3&gt;='Gastos com Pessoal'!$E$7:$E$506)*(AU$3&lt;='Gastos com Pessoal'!$F$7:$F$506)*(IF('Gastos com Pessoal'!$AE$7:$AE$506&lt;=AU$3,1,0))*OFFSET('Gastos com Pessoal'!$H$6,1,MATCH(5&amp;$B49,'Gastos com Pessoal'!$I$532:$AJ$532&amp;'Gastos com Pessoal'!$I$6:$AJ$6,0),500,1)),0)
+_xlfn.IFNA(SUM((AU$3&gt;='Gastos com Pessoal'!$E$513:$E$522)*(AU$3&lt;='Gastos com Pessoal'!$F$513:$F$522)*(IF('Gastos com Pessoal'!$G$513:$G$522&lt;=AU$3,1,0))*OFFSET('Gastos com Pessoal'!$H$512,1,MATCH(1&amp;$B49,'Gastos com Pessoal'!$I$532:$AJ$532&amp;'Gastos com Pessoal'!$I$512:$AJ$512,0),10,1)),0)
+_xlfn.IFNA(SUM((AU$3&gt;='Gastos com Pessoal'!$E$513:$E$522)*(AU$3&lt;='Gastos com Pessoal'!$F$513:$F$522)*(IF('Gastos com Pessoal'!$M$513:$M$522&lt;=AU$3,1,0))*OFFSET('Gastos com Pessoal'!$H$512,1,MATCH(2&amp;$B49,'Gastos com Pessoal'!$I$532:$AJ$532&amp;'Gastos com Pessoal'!$I$512:$AJ$512,0),10,1)),0)
+_xlfn.IFNA(SUM((AU$3&gt;='Gastos com Pessoal'!$E$513:$E$522)*(AU$3&lt;='Gastos com Pessoal'!$F$513:$F$522)*(IF('Gastos com Pessoal'!$S$513:$S$522&lt;=AU$3,1,0))*OFFSET('Gastos com Pessoal'!$H$512,1,MATCH(3&amp;$B49,'Gastos com Pessoal'!$I$532:$AJ$532&amp;'Gastos com Pessoal'!$I$512:$AJ$512,0),10,1)),0)
+_xlfn.IFNA(SUM((AU$3&gt;='Gastos com Pessoal'!$E$513:$E$522)*(AU$3&lt;='Gastos com Pessoal'!$F$513:$F$522)*(IF('Gastos com Pessoal'!$Y$513:$Y$522&lt;=AU$3,1,0))*OFFSET('Gastos com Pessoal'!$H$512,1,MATCH(4&amp;$B49,'Gastos com Pessoal'!$I$532:$AJ$532&amp;'Gastos com Pessoal'!$I$512:$AJ$512,0),10,1)),0)
+_xlfn.IFNA(SUM((AU$3&gt;='Gastos com Pessoal'!$E$513:$E$522)*(AU$3&lt;='Gastos com Pessoal'!$F$513:$F$522)*(IF('Gastos com Pessoal'!$AE$513:$AE$522&lt;=AU$3,1,0))*OFFSET('Gastos com Pessoal'!$H$512,1,MATCH(5&amp;$B49,'Gastos com Pessoal'!$I$532:$AJ$532&amp;'Gastos com Pessoal'!$I$512:$AJ$512,0),10,1)),0)</f>
        <v>0</v>
      </c>
      <c r="AV49" s="32">
        <f t="array" aca="1" ref="AV49" ca="1">_xlfn.IFNA(SUM((AV$3&gt;='Gastos com Pessoal'!$E$7:$E$506)*(AV$3&lt;='Gastos com Pessoal'!$F$7:$F$506)*OFFSET('Encargos e Benefícios'!$D$5,1,MATCH($B49,'Encargos e Benefícios'!$E$5:$AB$5,0),500,1)),0)
+_xlfn.IFNA(SUM((AV$3&gt;='Gastos com Pessoal'!$E$513:$E$522)*(AV$3&lt;='Gastos com Pessoal'!$F$513:$F$522)*OFFSET('Encargos e Benefícios'!$D$511,1,MATCH($B49,'Encargos e Benefícios'!$E$511:$AB$511,0),10,1)),0)
+_xlfn.IFNA(SUM((AV$3&gt;='Gastos com Pessoal'!$E$7:$E$506)*(AV$3&lt;='Gastos com Pessoal'!$F$7:$F$506)*(IF('Gastos com Pessoal'!$G$7:$G$506&lt;=AV$3,1,0))*OFFSET('Gastos com Pessoal'!$H$6,1,MATCH(1&amp;$B49,'Gastos com Pessoal'!$I$532:$AJ$532&amp;'Gastos com Pessoal'!$I$6:$AJ$6,0),500,1)),0)
+_xlfn.IFNA(SUM((AV$3&gt;='Gastos com Pessoal'!$E$7:$E$506)*(AV$3&lt;='Gastos com Pessoal'!$F$7:$F$506)*(IF('Gastos com Pessoal'!$M$7:$M$506&lt;=AV$3,1,0))*OFFSET('Gastos com Pessoal'!$H$6,1,MATCH(2&amp;$B49,'Gastos com Pessoal'!$I$532:$AJ$532&amp;'Gastos com Pessoal'!$I$6:$AJ$6,0),500,1)),0)
+_xlfn.IFNA(SUM((AV$3&gt;='Gastos com Pessoal'!$E$7:$E$506)*(AV$3&lt;='Gastos com Pessoal'!$F$7:$F$506)*(IF('Gastos com Pessoal'!$S$7:$S$506&lt;=AV$3,1,0))*OFFSET('Gastos com Pessoal'!$H$6,1,MATCH(3&amp;$B49,'Gastos com Pessoal'!$I$532:$AJ$532&amp;'Gastos com Pessoal'!$I$6:$AJ$6,0),500,1)),0)
+_xlfn.IFNA(SUM((AV$3&gt;='Gastos com Pessoal'!$E$7:$E$506)*(AV$3&lt;='Gastos com Pessoal'!$F$7:$F$506)*(IF('Gastos com Pessoal'!$Y$7:$Y$506&lt;=AV$3,1,0))*OFFSET('Gastos com Pessoal'!$H$6,1,MATCH(4&amp;$B49,'Gastos com Pessoal'!$I$532:$AJ$532&amp;'Gastos com Pessoal'!$I$6:$AJ$6,0),500,1)),0)
+_xlfn.IFNA(SUM((AV$3&gt;='Gastos com Pessoal'!$E$7:$E$506)*(AV$3&lt;='Gastos com Pessoal'!$F$7:$F$506)*(IF('Gastos com Pessoal'!$AE$7:$AE$506&lt;=AV$3,1,0))*OFFSET('Gastos com Pessoal'!$H$6,1,MATCH(5&amp;$B49,'Gastos com Pessoal'!$I$532:$AJ$532&amp;'Gastos com Pessoal'!$I$6:$AJ$6,0),500,1)),0)
+_xlfn.IFNA(SUM((AV$3&gt;='Gastos com Pessoal'!$E$513:$E$522)*(AV$3&lt;='Gastos com Pessoal'!$F$513:$F$522)*(IF('Gastos com Pessoal'!$G$513:$G$522&lt;=AV$3,1,0))*OFFSET('Gastos com Pessoal'!$H$512,1,MATCH(1&amp;$B49,'Gastos com Pessoal'!$I$532:$AJ$532&amp;'Gastos com Pessoal'!$I$512:$AJ$512,0),10,1)),0)
+_xlfn.IFNA(SUM((AV$3&gt;='Gastos com Pessoal'!$E$513:$E$522)*(AV$3&lt;='Gastos com Pessoal'!$F$513:$F$522)*(IF('Gastos com Pessoal'!$M$513:$M$522&lt;=AV$3,1,0))*OFFSET('Gastos com Pessoal'!$H$512,1,MATCH(2&amp;$B49,'Gastos com Pessoal'!$I$532:$AJ$532&amp;'Gastos com Pessoal'!$I$512:$AJ$512,0),10,1)),0)
+_xlfn.IFNA(SUM((AV$3&gt;='Gastos com Pessoal'!$E$513:$E$522)*(AV$3&lt;='Gastos com Pessoal'!$F$513:$F$522)*(IF('Gastos com Pessoal'!$S$513:$S$522&lt;=AV$3,1,0))*OFFSET('Gastos com Pessoal'!$H$512,1,MATCH(3&amp;$B49,'Gastos com Pessoal'!$I$532:$AJ$532&amp;'Gastos com Pessoal'!$I$512:$AJ$512,0),10,1)),0)
+_xlfn.IFNA(SUM((AV$3&gt;='Gastos com Pessoal'!$E$513:$E$522)*(AV$3&lt;='Gastos com Pessoal'!$F$513:$F$522)*(IF('Gastos com Pessoal'!$Y$513:$Y$522&lt;=AV$3,1,0))*OFFSET('Gastos com Pessoal'!$H$512,1,MATCH(4&amp;$B49,'Gastos com Pessoal'!$I$532:$AJ$532&amp;'Gastos com Pessoal'!$I$512:$AJ$512,0),10,1)),0)
+_xlfn.IFNA(SUM((AV$3&gt;='Gastos com Pessoal'!$E$513:$E$522)*(AV$3&lt;='Gastos com Pessoal'!$F$513:$F$522)*(IF('Gastos com Pessoal'!$AE$513:$AE$522&lt;=AV$3,1,0))*OFFSET('Gastos com Pessoal'!$H$512,1,MATCH(5&amp;$B49,'Gastos com Pessoal'!$I$532:$AJ$532&amp;'Gastos com Pessoal'!$I$512:$AJ$512,0),10,1)),0)</f>
        <v>0</v>
      </c>
      <c r="AW49" s="32">
        <f t="array" aca="1" ref="AW49" ca="1">_xlfn.IFNA(SUM((AW$3&gt;='Gastos com Pessoal'!$E$7:$E$506)*(AW$3&lt;='Gastos com Pessoal'!$F$7:$F$506)*OFFSET('Encargos e Benefícios'!$D$5,1,MATCH($B49,'Encargos e Benefícios'!$E$5:$AB$5,0),500,1)),0)
+_xlfn.IFNA(SUM((AW$3&gt;='Gastos com Pessoal'!$E$513:$E$522)*(AW$3&lt;='Gastos com Pessoal'!$F$513:$F$522)*OFFSET('Encargos e Benefícios'!$D$511,1,MATCH($B49,'Encargos e Benefícios'!$E$511:$AB$511,0),10,1)),0)
+_xlfn.IFNA(SUM((AW$3&gt;='Gastos com Pessoal'!$E$7:$E$506)*(AW$3&lt;='Gastos com Pessoal'!$F$7:$F$506)*(IF('Gastos com Pessoal'!$G$7:$G$506&lt;=AW$3,1,0))*OFFSET('Gastos com Pessoal'!$H$6,1,MATCH(1&amp;$B49,'Gastos com Pessoal'!$I$532:$AJ$532&amp;'Gastos com Pessoal'!$I$6:$AJ$6,0),500,1)),0)
+_xlfn.IFNA(SUM((AW$3&gt;='Gastos com Pessoal'!$E$7:$E$506)*(AW$3&lt;='Gastos com Pessoal'!$F$7:$F$506)*(IF('Gastos com Pessoal'!$M$7:$M$506&lt;=AW$3,1,0))*OFFSET('Gastos com Pessoal'!$H$6,1,MATCH(2&amp;$B49,'Gastos com Pessoal'!$I$532:$AJ$532&amp;'Gastos com Pessoal'!$I$6:$AJ$6,0),500,1)),0)
+_xlfn.IFNA(SUM((AW$3&gt;='Gastos com Pessoal'!$E$7:$E$506)*(AW$3&lt;='Gastos com Pessoal'!$F$7:$F$506)*(IF('Gastos com Pessoal'!$S$7:$S$506&lt;=AW$3,1,0))*OFFSET('Gastos com Pessoal'!$H$6,1,MATCH(3&amp;$B49,'Gastos com Pessoal'!$I$532:$AJ$532&amp;'Gastos com Pessoal'!$I$6:$AJ$6,0),500,1)),0)
+_xlfn.IFNA(SUM((AW$3&gt;='Gastos com Pessoal'!$E$7:$E$506)*(AW$3&lt;='Gastos com Pessoal'!$F$7:$F$506)*(IF('Gastos com Pessoal'!$Y$7:$Y$506&lt;=AW$3,1,0))*OFFSET('Gastos com Pessoal'!$H$6,1,MATCH(4&amp;$B49,'Gastos com Pessoal'!$I$532:$AJ$532&amp;'Gastos com Pessoal'!$I$6:$AJ$6,0),500,1)),0)
+_xlfn.IFNA(SUM((AW$3&gt;='Gastos com Pessoal'!$E$7:$E$506)*(AW$3&lt;='Gastos com Pessoal'!$F$7:$F$506)*(IF('Gastos com Pessoal'!$AE$7:$AE$506&lt;=AW$3,1,0))*OFFSET('Gastos com Pessoal'!$H$6,1,MATCH(5&amp;$B49,'Gastos com Pessoal'!$I$532:$AJ$532&amp;'Gastos com Pessoal'!$I$6:$AJ$6,0),500,1)),0)
+_xlfn.IFNA(SUM((AW$3&gt;='Gastos com Pessoal'!$E$513:$E$522)*(AW$3&lt;='Gastos com Pessoal'!$F$513:$F$522)*(IF('Gastos com Pessoal'!$G$513:$G$522&lt;=AW$3,1,0))*OFFSET('Gastos com Pessoal'!$H$512,1,MATCH(1&amp;$B49,'Gastos com Pessoal'!$I$532:$AJ$532&amp;'Gastos com Pessoal'!$I$512:$AJ$512,0),10,1)),0)
+_xlfn.IFNA(SUM((AW$3&gt;='Gastos com Pessoal'!$E$513:$E$522)*(AW$3&lt;='Gastos com Pessoal'!$F$513:$F$522)*(IF('Gastos com Pessoal'!$M$513:$M$522&lt;=AW$3,1,0))*OFFSET('Gastos com Pessoal'!$H$512,1,MATCH(2&amp;$B49,'Gastos com Pessoal'!$I$532:$AJ$532&amp;'Gastos com Pessoal'!$I$512:$AJ$512,0),10,1)),0)
+_xlfn.IFNA(SUM((AW$3&gt;='Gastos com Pessoal'!$E$513:$E$522)*(AW$3&lt;='Gastos com Pessoal'!$F$513:$F$522)*(IF('Gastos com Pessoal'!$S$513:$S$522&lt;=AW$3,1,0))*OFFSET('Gastos com Pessoal'!$H$512,1,MATCH(3&amp;$B49,'Gastos com Pessoal'!$I$532:$AJ$532&amp;'Gastos com Pessoal'!$I$512:$AJ$512,0),10,1)),0)
+_xlfn.IFNA(SUM((AW$3&gt;='Gastos com Pessoal'!$E$513:$E$522)*(AW$3&lt;='Gastos com Pessoal'!$F$513:$F$522)*(IF('Gastos com Pessoal'!$Y$513:$Y$522&lt;=AW$3,1,0))*OFFSET('Gastos com Pessoal'!$H$512,1,MATCH(4&amp;$B49,'Gastos com Pessoal'!$I$532:$AJ$532&amp;'Gastos com Pessoal'!$I$512:$AJ$512,0),10,1)),0)
+_xlfn.IFNA(SUM((AW$3&gt;='Gastos com Pessoal'!$E$513:$E$522)*(AW$3&lt;='Gastos com Pessoal'!$F$513:$F$522)*(IF('Gastos com Pessoal'!$AE$513:$AE$522&lt;=AW$3,1,0))*OFFSET('Gastos com Pessoal'!$H$512,1,MATCH(5&amp;$B49,'Gastos com Pessoal'!$I$532:$AJ$532&amp;'Gastos com Pessoal'!$I$512:$AJ$512,0),10,1)),0)</f>
        <v>0</v>
      </c>
      <c r="AX49" s="32">
        <f t="array" aca="1" ref="AX49" ca="1">_xlfn.IFNA(SUM((AX$3&gt;='Gastos com Pessoal'!$E$7:$E$506)*(AX$3&lt;='Gastos com Pessoal'!$F$7:$F$506)*OFFSET('Encargos e Benefícios'!$D$5,1,MATCH($B49,'Encargos e Benefícios'!$E$5:$AB$5,0),500,1)),0)
+_xlfn.IFNA(SUM((AX$3&gt;='Gastos com Pessoal'!$E$513:$E$522)*(AX$3&lt;='Gastos com Pessoal'!$F$513:$F$522)*OFFSET('Encargos e Benefícios'!$D$511,1,MATCH($B49,'Encargos e Benefícios'!$E$511:$AB$511,0),10,1)),0)
+_xlfn.IFNA(SUM((AX$3&gt;='Gastos com Pessoal'!$E$7:$E$506)*(AX$3&lt;='Gastos com Pessoal'!$F$7:$F$506)*(IF('Gastos com Pessoal'!$G$7:$G$506&lt;=AX$3,1,0))*OFFSET('Gastos com Pessoal'!$H$6,1,MATCH(1&amp;$B49,'Gastos com Pessoal'!$I$532:$AJ$532&amp;'Gastos com Pessoal'!$I$6:$AJ$6,0),500,1)),0)
+_xlfn.IFNA(SUM((AX$3&gt;='Gastos com Pessoal'!$E$7:$E$506)*(AX$3&lt;='Gastos com Pessoal'!$F$7:$F$506)*(IF('Gastos com Pessoal'!$M$7:$M$506&lt;=AX$3,1,0))*OFFSET('Gastos com Pessoal'!$H$6,1,MATCH(2&amp;$B49,'Gastos com Pessoal'!$I$532:$AJ$532&amp;'Gastos com Pessoal'!$I$6:$AJ$6,0),500,1)),0)
+_xlfn.IFNA(SUM((AX$3&gt;='Gastos com Pessoal'!$E$7:$E$506)*(AX$3&lt;='Gastos com Pessoal'!$F$7:$F$506)*(IF('Gastos com Pessoal'!$S$7:$S$506&lt;=AX$3,1,0))*OFFSET('Gastos com Pessoal'!$H$6,1,MATCH(3&amp;$B49,'Gastos com Pessoal'!$I$532:$AJ$532&amp;'Gastos com Pessoal'!$I$6:$AJ$6,0),500,1)),0)
+_xlfn.IFNA(SUM((AX$3&gt;='Gastos com Pessoal'!$E$7:$E$506)*(AX$3&lt;='Gastos com Pessoal'!$F$7:$F$506)*(IF('Gastos com Pessoal'!$Y$7:$Y$506&lt;=AX$3,1,0))*OFFSET('Gastos com Pessoal'!$H$6,1,MATCH(4&amp;$B49,'Gastos com Pessoal'!$I$532:$AJ$532&amp;'Gastos com Pessoal'!$I$6:$AJ$6,0),500,1)),0)
+_xlfn.IFNA(SUM((AX$3&gt;='Gastos com Pessoal'!$E$7:$E$506)*(AX$3&lt;='Gastos com Pessoal'!$F$7:$F$506)*(IF('Gastos com Pessoal'!$AE$7:$AE$506&lt;=AX$3,1,0))*OFFSET('Gastos com Pessoal'!$H$6,1,MATCH(5&amp;$B49,'Gastos com Pessoal'!$I$532:$AJ$532&amp;'Gastos com Pessoal'!$I$6:$AJ$6,0),500,1)),0)
+_xlfn.IFNA(SUM((AX$3&gt;='Gastos com Pessoal'!$E$513:$E$522)*(AX$3&lt;='Gastos com Pessoal'!$F$513:$F$522)*(IF('Gastos com Pessoal'!$G$513:$G$522&lt;=AX$3,1,0))*OFFSET('Gastos com Pessoal'!$H$512,1,MATCH(1&amp;$B49,'Gastos com Pessoal'!$I$532:$AJ$532&amp;'Gastos com Pessoal'!$I$512:$AJ$512,0),10,1)),0)
+_xlfn.IFNA(SUM((AX$3&gt;='Gastos com Pessoal'!$E$513:$E$522)*(AX$3&lt;='Gastos com Pessoal'!$F$513:$F$522)*(IF('Gastos com Pessoal'!$M$513:$M$522&lt;=AX$3,1,0))*OFFSET('Gastos com Pessoal'!$H$512,1,MATCH(2&amp;$B49,'Gastos com Pessoal'!$I$532:$AJ$532&amp;'Gastos com Pessoal'!$I$512:$AJ$512,0),10,1)),0)
+_xlfn.IFNA(SUM((AX$3&gt;='Gastos com Pessoal'!$E$513:$E$522)*(AX$3&lt;='Gastos com Pessoal'!$F$513:$F$522)*(IF('Gastos com Pessoal'!$S$513:$S$522&lt;=AX$3,1,0))*OFFSET('Gastos com Pessoal'!$H$512,1,MATCH(3&amp;$B49,'Gastos com Pessoal'!$I$532:$AJ$532&amp;'Gastos com Pessoal'!$I$512:$AJ$512,0),10,1)),0)
+_xlfn.IFNA(SUM((AX$3&gt;='Gastos com Pessoal'!$E$513:$E$522)*(AX$3&lt;='Gastos com Pessoal'!$F$513:$F$522)*(IF('Gastos com Pessoal'!$Y$513:$Y$522&lt;=AX$3,1,0))*OFFSET('Gastos com Pessoal'!$H$512,1,MATCH(4&amp;$B49,'Gastos com Pessoal'!$I$532:$AJ$532&amp;'Gastos com Pessoal'!$I$512:$AJ$512,0),10,1)),0)
+_xlfn.IFNA(SUM((AX$3&gt;='Gastos com Pessoal'!$E$513:$E$522)*(AX$3&lt;='Gastos com Pessoal'!$F$513:$F$522)*(IF('Gastos com Pessoal'!$AE$513:$AE$522&lt;=AX$3,1,0))*OFFSET('Gastos com Pessoal'!$H$512,1,MATCH(5&amp;$B49,'Gastos com Pessoal'!$I$532:$AJ$532&amp;'Gastos com Pessoal'!$I$512:$AJ$512,0),10,1)),0)</f>
        <v>0</v>
      </c>
      <c r="AY49" s="32">
        <f t="array" aca="1" ref="AY49" ca="1">_xlfn.IFNA(SUM((AY$3&gt;='Gastos com Pessoal'!$E$7:$E$506)*(AY$3&lt;='Gastos com Pessoal'!$F$7:$F$506)*OFFSET('Encargos e Benefícios'!$D$5,1,MATCH($B49,'Encargos e Benefícios'!$E$5:$AB$5,0),500,1)),0)
+_xlfn.IFNA(SUM((AY$3&gt;='Gastos com Pessoal'!$E$513:$E$522)*(AY$3&lt;='Gastos com Pessoal'!$F$513:$F$522)*OFFSET('Encargos e Benefícios'!$D$511,1,MATCH($B49,'Encargos e Benefícios'!$E$511:$AB$511,0),10,1)),0)
+_xlfn.IFNA(SUM((AY$3&gt;='Gastos com Pessoal'!$E$7:$E$506)*(AY$3&lt;='Gastos com Pessoal'!$F$7:$F$506)*(IF('Gastos com Pessoal'!$G$7:$G$506&lt;=AY$3,1,0))*OFFSET('Gastos com Pessoal'!$H$6,1,MATCH(1&amp;$B49,'Gastos com Pessoal'!$I$532:$AJ$532&amp;'Gastos com Pessoal'!$I$6:$AJ$6,0),500,1)),0)
+_xlfn.IFNA(SUM((AY$3&gt;='Gastos com Pessoal'!$E$7:$E$506)*(AY$3&lt;='Gastos com Pessoal'!$F$7:$F$506)*(IF('Gastos com Pessoal'!$M$7:$M$506&lt;=AY$3,1,0))*OFFSET('Gastos com Pessoal'!$H$6,1,MATCH(2&amp;$B49,'Gastos com Pessoal'!$I$532:$AJ$532&amp;'Gastos com Pessoal'!$I$6:$AJ$6,0),500,1)),0)
+_xlfn.IFNA(SUM((AY$3&gt;='Gastos com Pessoal'!$E$7:$E$506)*(AY$3&lt;='Gastos com Pessoal'!$F$7:$F$506)*(IF('Gastos com Pessoal'!$S$7:$S$506&lt;=AY$3,1,0))*OFFSET('Gastos com Pessoal'!$H$6,1,MATCH(3&amp;$B49,'Gastos com Pessoal'!$I$532:$AJ$532&amp;'Gastos com Pessoal'!$I$6:$AJ$6,0),500,1)),0)
+_xlfn.IFNA(SUM((AY$3&gt;='Gastos com Pessoal'!$E$7:$E$506)*(AY$3&lt;='Gastos com Pessoal'!$F$7:$F$506)*(IF('Gastos com Pessoal'!$Y$7:$Y$506&lt;=AY$3,1,0))*OFFSET('Gastos com Pessoal'!$H$6,1,MATCH(4&amp;$B49,'Gastos com Pessoal'!$I$532:$AJ$532&amp;'Gastos com Pessoal'!$I$6:$AJ$6,0),500,1)),0)
+_xlfn.IFNA(SUM((AY$3&gt;='Gastos com Pessoal'!$E$7:$E$506)*(AY$3&lt;='Gastos com Pessoal'!$F$7:$F$506)*(IF('Gastos com Pessoal'!$AE$7:$AE$506&lt;=AY$3,1,0))*OFFSET('Gastos com Pessoal'!$H$6,1,MATCH(5&amp;$B49,'Gastos com Pessoal'!$I$532:$AJ$532&amp;'Gastos com Pessoal'!$I$6:$AJ$6,0),500,1)),0)
+_xlfn.IFNA(SUM((AY$3&gt;='Gastos com Pessoal'!$E$513:$E$522)*(AY$3&lt;='Gastos com Pessoal'!$F$513:$F$522)*(IF('Gastos com Pessoal'!$G$513:$G$522&lt;=AY$3,1,0))*OFFSET('Gastos com Pessoal'!$H$512,1,MATCH(1&amp;$B49,'Gastos com Pessoal'!$I$532:$AJ$532&amp;'Gastos com Pessoal'!$I$512:$AJ$512,0),10,1)),0)
+_xlfn.IFNA(SUM((AY$3&gt;='Gastos com Pessoal'!$E$513:$E$522)*(AY$3&lt;='Gastos com Pessoal'!$F$513:$F$522)*(IF('Gastos com Pessoal'!$M$513:$M$522&lt;=AY$3,1,0))*OFFSET('Gastos com Pessoal'!$H$512,1,MATCH(2&amp;$B49,'Gastos com Pessoal'!$I$532:$AJ$532&amp;'Gastos com Pessoal'!$I$512:$AJ$512,0),10,1)),0)
+_xlfn.IFNA(SUM((AY$3&gt;='Gastos com Pessoal'!$E$513:$E$522)*(AY$3&lt;='Gastos com Pessoal'!$F$513:$F$522)*(IF('Gastos com Pessoal'!$S$513:$S$522&lt;=AY$3,1,0))*OFFSET('Gastos com Pessoal'!$H$512,1,MATCH(3&amp;$B49,'Gastos com Pessoal'!$I$532:$AJ$532&amp;'Gastos com Pessoal'!$I$512:$AJ$512,0),10,1)),0)
+_xlfn.IFNA(SUM((AY$3&gt;='Gastos com Pessoal'!$E$513:$E$522)*(AY$3&lt;='Gastos com Pessoal'!$F$513:$F$522)*(IF('Gastos com Pessoal'!$Y$513:$Y$522&lt;=AY$3,1,0))*OFFSET('Gastos com Pessoal'!$H$512,1,MATCH(4&amp;$B49,'Gastos com Pessoal'!$I$532:$AJ$532&amp;'Gastos com Pessoal'!$I$512:$AJ$512,0),10,1)),0)
+_xlfn.IFNA(SUM((AY$3&gt;='Gastos com Pessoal'!$E$513:$E$522)*(AY$3&lt;='Gastos com Pessoal'!$F$513:$F$522)*(IF('Gastos com Pessoal'!$AE$513:$AE$522&lt;=AY$3,1,0))*OFFSET('Gastos com Pessoal'!$H$512,1,MATCH(5&amp;$B49,'Gastos com Pessoal'!$I$532:$AJ$532&amp;'Gastos com Pessoal'!$I$512:$AJ$512,0),10,1)),0)</f>
        <v>0</v>
      </c>
      <c r="AZ49" s="32">
        <f t="array" aca="1" ref="AZ49" ca="1">_xlfn.IFNA(SUM((AZ$3&gt;='Gastos com Pessoal'!$E$7:$E$506)*(AZ$3&lt;='Gastos com Pessoal'!$F$7:$F$506)*OFFSET('Encargos e Benefícios'!$D$5,1,MATCH($B49,'Encargos e Benefícios'!$E$5:$AB$5,0),500,1)),0)
+_xlfn.IFNA(SUM((AZ$3&gt;='Gastos com Pessoal'!$E$513:$E$522)*(AZ$3&lt;='Gastos com Pessoal'!$F$513:$F$522)*OFFSET('Encargos e Benefícios'!$D$511,1,MATCH($B49,'Encargos e Benefícios'!$E$511:$AB$511,0),10,1)),0)
+_xlfn.IFNA(SUM((AZ$3&gt;='Gastos com Pessoal'!$E$7:$E$506)*(AZ$3&lt;='Gastos com Pessoal'!$F$7:$F$506)*(IF('Gastos com Pessoal'!$G$7:$G$506&lt;=AZ$3,1,0))*OFFSET('Gastos com Pessoal'!$H$6,1,MATCH(1&amp;$B49,'Gastos com Pessoal'!$I$532:$AJ$532&amp;'Gastos com Pessoal'!$I$6:$AJ$6,0),500,1)),0)
+_xlfn.IFNA(SUM((AZ$3&gt;='Gastos com Pessoal'!$E$7:$E$506)*(AZ$3&lt;='Gastos com Pessoal'!$F$7:$F$506)*(IF('Gastos com Pessoal'!$M$7:$M$506&lt;=AZ$3,1,0))*OFFSET('Gastos com Pessoal'!$H$6,1,MATCH(2&amp;$B49,'Gastos com Pessoal'!$I$532:$AJ$532&amp;'Gastos com Pessoal'!$I$6:$AJ$6,0),500,1)),0)
+_xlfn.IFNA(SUM((AZ$3&gt;='Gastos com Pessoal'!$E$7:$E$506)*(AZ$3&lt;='Gastos com Pessoal'!$F$7:$F$506)*(IF('Gastos com Pessoal'!$S$7:$S$506&lt;=AZ$3,1,0))*OFFSET('Gastos com Pessoal'!$H$6,1,MATCH(3&amp;$B49,'Gastos com Pessoal'!$I$532:$AJ$532&amp;'Gastos com Pessoal'!$I$6:$AJ$6,0),500,1)),0)
+_xlfn.IFNA(SUM((AZ$3&gt;='Gastos com Pessoal'!$E$7:$E$506)*(AZ$3&lt;='Gastos com Pessoal'!$F$7:$F$506)*(IF('Gastos com Pessoal'!$Y$7:$Y$506&lt;=AZ$3,1,0))*OFFSET('Gastos com Pessoal'!$H$6,1,MATCH(4&amp;$B49,'Gastos com Pessoal'!$I$532:$AJ$532&amp;'Gastos com Pessoal'!$I$6:$AJ$6,0),500,1)),0)
+_xlfn.IFNA(SUM((AZ$3&gt;='Gastos com Pessoal'!$E$7:$E$506)*(AZ$3&lt;='Gastos com Pessoal'!$F$7:$F$506)*(IF('Gastos com Pessoal'!$AE$7:$AE$506&lt;=AZ$3,1,0))*OFFSET('Gastos com Pessoal'!$H$6,1,MATCH(5&amp;$B49,'Gastos com Pessoal'!$I$532:$AJ$532&amp;'Gastos com Pessoal'!$I$6:$AJ$6,0),500,1)),0)
+_xlfn.IFNA(SUM((AZ$3&gt;='Gastos com Pessoal'!$E$513:$E$522)*(AZ$3&lt;='Gastos com Pessoal'!$F$513:$F$522)*(IF('Gastos com Pessoal'!$G$513:$G$522&lt;=AZ$3,1,0))*OFFSET('Gastos com Pessoal'!$H$512,1,MATCH(1&amp;$B49,'Gastos com Pessoal'!$I$532:$AJ$532&amp;'Gastos com Pessoal'!$I$512:$AJ$512,0),10,1)),0)
+_xlfn.IFNA(SUM((AZ$3&gt;='Gastos com Pessoal'!$E$513:$E$522)*(AZ$3&lt;='Gastos com Pessoal'!$F$513:$F$522)*(IF('Gastos com Pessoal'!$M$513:$M$522&lt;=AZ$3,1,0))*OFFSET('Gastos com Pessoal'!$H$512,1,MATCH(2&amp;$B49,'Gastos com Pessoal'!$I$532:$AJ$532&amp;'Gastos com Pessoal'!$I$512:$AJ$512,0),10,1)),0)
+_xlfn.IFNA(SUM((AZ$3&gt;='Gastos com Pessoal'!$E$513:$E$522)*(AZ$3&lt;='Gastos com Pessoal'!$F$513:$F$522)*(IF('Gastos com Pessoal'!$S$513:$S$522&lt;=AZ$3,1,0))*OFFSET('Gastos com Pessoal'!$H$512,1,MATCH(3&amp;$B49,'Gastos com Pessoal'!$I$532:$AJ$532&amp;'Gastos com Pessoal'!$I$512:$AJ$512,0),10,1)),0)
+_xlfn.IFNA(SUM((AZ$3&gt;='Gastos com Pessoal'!$E$513:$E$522)*(AZ$3&lt;='Gastos com Pessoal'!$F$513:$F$522)*(IF('Gastos com Pessoal'!$Y$513:$Y$522&lt;=AZ$3,1,0))*OFFSET('Gastos com Pessoal'!$H$512,1,MATCH(4&amp;$B49,'Gastos com Pessoal'!$I$532:$AJ$532&amp;'Gastos com Pessoal'!$I$512:$AJ$512,0),10,1)),0)
+_xlfn.IFNA(SUM((AZ$3&gt;='Gastos com Pessoal'!$E$513:$E$522)*(AZ$3&lt;='Gastos com Pessoal'!$F$513:$F$522)*(IF('Gastos com Pessoal'!$AE$513:$AE$522&lt;=AZ$3,1,0))*OFFSET('Gastos com Pessoal'!$H$512,1,MATCH(5&amp;$B49,'Gastos com Pessoal'!$I$532:$AJ$532&amp;'Gastos com Pessoal'!$I$512:$AJ$512,0),10,1)),0)</f>
        <v>0</v>
      </c>
      <c r="BA49" s="32">
        <f t="array" aca="1" ref="BA49" ca="1">_xlfn.IFNA(SUM((BA$3&gt;='Gastos com Pessoal'!$E$7:$E$506)*(BA$3&lt;='Gastos com Pessoal'!$F$7:$F$506)*OFFSET('Encargos e Benefícios'!$D$5,1,MATCH($B49,'Encargos e Benefícios'!$E$5:$AB$5,0),500,1)),0)
+_xlfn.IFNA(SUM((BA$3&gt;='Gastos com Pessoal'!$E$513:$E$522)*(BA$3&lt;='Gastos com Pessoal'!$F$513:$F$522)*OFFSET('Encargos e Benefícios'!$D$511,1,MATCH($B49,'Encargos e Benefícios'!$E$511:$AB$511,0),10,1)),0)
+_xlfn.IFNA(SUM((BA$3&gt;='Gastos com Pessoal'!$E$7:$E$506)*(BA$3&lt;='Gastos com Pessoal'!$F$7:$F$506)*(IF('Gastos com Pessoal'!$G$7:$G$506&lt;=BA$3,1,0))*OFFSET('Gastos com Pessoal'!$H$6,1,MATCH(1&amp;$B49,'Gastos com Pessoal'!$I$532:$AJ$532&amp;'Gastos com Pessoal'!$I$6:$AJ$6,0),500,1)),0)
+_xlfn.IFNA(SUM((BA$3&gt;='Gastos com Pessoal'!$E$7:$E$506)*(BA$3&lt;='Gastos com Pessoal'!$F$7:$F$506)*(IF('Gastos com Pessoal'!$M$7:$M$506&lt;=BA$3,1,0))*OFFSET('Gastos com Pessoal'!$H$6,1,MATCH(2&amp;$B49,'Gastos com Pessoal'!$I$532:$AJ$532&amp;'Gastos com Pessoal'!$I$6:$AJ$6,0),500,1)),0)
+_xlfn.IFNA(SUM((BA$3&gt;='Gastos com Pessoal'!$E$7:$E$506)*(BA$3&lt;='Gastos com Pessoal'!$F$7:$F$506)*(IF('Gastos com Pessoal'!$S$7:$S$506&lt;=BA$3,1,0))*OFFSET('Gastos com Pessoal'!$H$6,1,MATCH(3&amp;$B49,'Gastos com Pessoal'!$I$532:$AJ$532&amp;'Gastos com Pessoal'!$I$6:$AJ$6,0),500,1)),0)
+_xlfn.IFNA(SUM((BA$3&gt;='Gastos com Pessoal'!$E$7:$E$506)*(BA$3&lt;='Gastos com Pessoal'!$F$7:$F$506)*(IF('Gastos com Pessoal'!$Y$7:$Y$506&lt;=BA$3,1,0))*OFFSET('Gastos com Pessoal'!$H$6,1,MATCH(4&amp;$B49,'Gastos com Pessoal'!$I$532:$AJ$532&amp;'Gastos com Pessoal'!$I$6:$AJ$6,0),500,1)),0)
+_xlfn.IFNA(SUM((BA$3&gt;='Gastos com Pessoal'!$E$7:$E$506)*(BA$3&lt;='Gastos com Pessoal'!$F$7:$F$506)*(IF('Gastos com Pessoal'!$AE$7:$AE$506&lt;=BA$3,1,0))*OFFSET('Gastos com Pessoal'!$H$6,1,MATCH(5&amp;$B49,'Gastos com Pessoal'!$I$532:$AJ$532&amp;'Gastos com Pessoal'!$I$6:$AJ$6,0),500,1)),0)
+_xlfn.IFNA(SUM((BA$3&gt;='Gastos com Pessoal'!$E$513:$E$522)*(BA$3&lt;='Gastos com Pessoal'!$F$513:$F$522)*(IF('Gastos com Pessoal'!$G$513:$G$522&lt;=BA$3,1,0))*OFFSET('Gastos com Pessoal'!$H$512,1,MATCH(1&amp;$B49,'Gastos com Pessoal'!$I$532:$AJ$532&amp;'Gastos com Pessoal'!$I$512:$AJ$512,0),10,1)),0)
+_xlfn.IFNA(SUM((BA$3&gt;='Gastos com Pessoal'!$E$513:$E$522)*(BA$3&lt;='Gastos com Pessoal'!$F$513:$F$522)*(IF('Gastos com Pessoal'!$M$513:$M$522&lt;=BA$3,1,0))*OFFSET('Gastos com Pessoal'!$H$512,1,MATCH(2&amp;$B49,'Gastos com Pessoal'!$I$532:$AJ$532&amp;'Gastos com Pessoal'!$I$512:$AJ$512,0),10,1)),0)
+_xlfn.IFNA(SUM((BA$3&gt;='Gastos com Pessoal'!$E$513:$E$522)*(BA$3&lt;='Gastos com Pessoal'!$F$513:$F$522)*(IF('Gastos com Pessoal'!$S$513:$S$522&lt;=BA$3,1,0))*OFFSET('Gastos com Pessoal'!$H$512,1,MATCH(3&amp;$B49,'Gastos com Pessoal'!$I$532:$AJ$532&amp;'Gastos com Pessoal'!$I$512:$AJ$512,0),10,1)),0)
+_xlfn.IFNA(SUM((BA$3&gt;='Gastos com Pessoal'!$E$513:$E$522)*(BA$3&lt;='Gastos com Pessoal'!$F$513:$F$522)*(IF('Gastos com Pessoal'!$Y$513:$Y$522&lt;=BA$3,1,0))*OFFSET('Gastos com Pessoal'!$H$512,1,MATCH(4&amp;$B49,'Gastos com Pessoal'!$I$532:$AJ$532&amp;'Gastos com Pessoal'!$I$512:$AJ$512,0),10,1)),0)
+_xlfn.IFNA(SUM((BA$3&gt;='Gastos com Pessoal'!$E$513:$E$522)*(BA$3&lt;='Gastos com Pessoal'!$F$513:$F$522)*(IF('Gastos com Pessoal'!$AE$513:$AE$522&lt;=BA$3,1,0))*OFFSET('Gastos com Pessoal'!$H$512,1,MATCH(5&amp;$B49,'Gastos com Pessoal'!$I$532:$AJ$532&amp;'Gastos com Pessoal'!$I$512:$AJ$512,0),10,1)),0)</f>
        <v>0</v>
      </c>
      <c r="BB49" s="32">
        <f t="array" aca="1" ref="BB49" ca="1">_xlfn.IFNA(SUM((BB$3&gt;='Gastos com Pessoal'!$E$7:$E$506)*(BB$3&lt;='Gastos com Pessoal'!$F$7:$F$506)*OFFSET('Encargos e Benefícios'!$D$5,1,MATCH($B49,'Encargos e Benefícios'!$E$5:$AB$5,0),500,1)),0)
+_xlfn.IFNA(SUM((BB$3&gt;='Gastos com Pessoal'!$E$513:$E$522)*(BB$3&lt;='Gastos com Pessoal'!$F$513:$F$522)*OFFSET('Encargos e Benefícios'!$D$511,1,MATCH($B49,'Encargos e Benefícios'!$E$511:$AB$511,0),10,1)),0)
+_xlfn.IFNA(SUM((BB$3&gt;='Gastos com Pessoal'!$E$7:$E$506)*(BB$3&lt;='Gastos com Pessoal'!$F$7:$F$506)*(IF('Gastos com Pessoal'!$G$7:$G$506&lt;=BB$3,1,0))*OFFSET('Gastos com Pessoal'!$H$6,1,MATCH(1&amp;$B49,'Gastos com Pessoal'!$I$532:$AJ$532&amp;'Gastos com Pessoal'!$I$6:$AJ$6,0),500,1)),0)
+_xlfn.IFNA(SUM((BB$3&gt;='Gastos com Pessoal'!$E$7:$E$506)*(BB$3&lt;='Gastos com Pessoal'!$F$7:$F$506)*(IF('Gastos com Pessoal'!$M$7:$M$506&lt;=BB$3,1,0))*OFFSET('Gastos com Pessoal'!$H$6,1,MATCH(2&amp;$B49,'Gastos com Pessoal'!$I$532:$AJ$532&amp;'Gastos com Pessoal'!$I$6:$AJ$6,0),500,1)),0)
+_xlfn.IFNA(SUM((BB$3&gt;='Gastos com Pessoal'!$E$7:$E$506)*(BB$3&lt;='Gastos com Pessoal'!$F$7:$F$506)*(IF('Gastos com Pessoal'!$S$7:$S$506&lt;=BB$3,1,0))*OFFSET('Gastos com Pessoal'!$H$6,1,MATCH(3&amp;$B49,'Gastos com Pessoal'!$I$532:$AJ$532&amp;'Gastos com Pessoal'!$I$6:$AJ$6,0),500,1)),0)
+_xlfn.IFNA(SUM((BB$3&gt;='Gastos com Pessoal'!$E$7:$E$506)*(BB$3&lt;='Gastos com Pessoal'!$F$7:$F$506)*(IF('Gastos com Pessoal'!$Y$7:$Y$506&lt;=BB$3,1,0))*OFFSET('Gastos com Pessoal'!$H$6,1,MATCH(4&amp;$B49,'Gastos com Pessoal'!$I$532:$AJ$532&amp;'Gastos com Pessoal'!$I$6:$AJ$6,0),500,1)),0)
+_xlfn.IFNA(SUM((BB$3&gt;='Gastos com Pessoal'!$E$7:$E$506)*(BB$3&lt;='Gastos com Pessoal'!$F$7:$F$506)*(IF('Gastos com Pessoal'!$AE$7:$AE$506&lt;=BB$3,1,0))*OFFSET('Gastos com Pessoal'!$H$6,1,MATCH(5&amp;$B49,'Gastos com Pessoal'!$I$532:$AJ$532&amp;'Gastos com Pessoal'!$I$6:$AJ$6,0),500,1)),0)
+_xlfn.IFNA(SUM((BB$3&gt;='Gastos com Pessoal'!$E$513:$E$522)*(BB$3&lt;='Gastos com Pessoal'!$F$513:$F$522)*(IF('Gastos com Pessoal'!$G$513:$G$522&lt;=BB$3,1,0))*OFFSET('Gastos com Pessoal'!$H$512,1,MATCH(1&amp;$B49,'Gastos com Pessoal'!$I$532:$AJ$532&amp;'Gastos com Pessoal'!$I$512:$AJ$512,0),10,1)),0)
+_xlfn.IFNA(SUM((BB$3&gt;='Gastos com Pessoal'!$E$513:$E$522)*(BB$3&lt;='Gastos com Pessoal'!$F$513:$F$522)*(IF('Gastos com Pessoal'!$M$513:$M$522&lt;=BB$3,1,0))*OFFSET('Gastos com Pessoal'!$H$512,1,MATCH(2&amp;$B49,'Gastos com Pessoal'!$I$532:$AJ$532&amp;'Gastos com Pessoal'!$I$512:$AJ$512,0),10,1)),0)
+_xlfn.IFNA(SUM((BB$3&gt;='Gastos com Pessoal'!$E$513:$E$522)*(BB$3&lt;='Gastos com Pessoal'!$F$513:$F$522)*(IF('Gastos com Pessoal'!$S$513:$S$522&lt;=BB$3,1,0))*OFFSET('Gastos com Pessoal'!$H$512,1,MATCH(3&amp;$B49,'Gastos com Pessoal'!$I$532:$AJ$532&amp;'Gastos com Pessoal'!$I$512:$AJ$512,0),10,1)),0)
+_xlfn.IFNA(SUM((BB$3&gt;='Gastos com Pessoal'!$E$513:$E$522)*(BB$3&lt;='Gastos com Pessoal'!$F$513:$F$522)*(IF('Gastos com Pessoal'!$Y$513:$Y$522&lt;=BB$3,1,0))*OFFSET('Gastos com Pessoal'!$H$512,1,MATCH(4&amp;$B49,'Gastos com Pessoal'!$I$532:$AJ$532&amp;'Gastos com Pessoal'!$I$512:$AJ$512,0),10,1)),0)
+_xlfn.IFNA(SUM((BB$3&gt;='Gastos com Pessoal'!$E$513:$E$522)*(BB$3&lt;='Gastos com Pessoal'!$F$513:$F$522)*(IF('Gastos com Pessoal'!$AE$513:$AE$522&lt;=BB$3,1,0))*OFFSET('Gastos com Pessoal'!$H$512,1,MATCH(5&amp;$B49,'Gastos com Pessoal'!$I$532:$AJ$532&amp;'Gastos com Pessoal'!$I$512:$AJ$512,0),10,1)),0)</f>
        <v>0</v>
      </c>
      <c r="BC49" s="32">
        <f t="array" aca="1" ref="BC49" ca="1">_xlfn.IFNA(SUM((BC$3&gt;='Gastos com Pessoal'!$E$7:$E$506)*(BC$3&lt;='Gastos com Pessoal'!$F$7:$F$506)*OFFSET('Encargos e Benefícios'!$D$5,1,MATCH($B49,'Encargos e Benefícios'!$E$5:$AB$5,0),500,1)),0)
+_xlfn.IFNA(SUM((BC$3&gt;='Gastos com Pessoal'!$E$513:$E$522)*(BC$3&lt;='Gastos com Pessoal'!$F$513:$F$522)*OFFSET('Encargos e Benefícios'!$D$511,1,MATCH($B49,'Encargos e Benefícios'!$E$511:$AB$511,0),10,1)),0)
+_xlfn.IFNA(SUM((BC$3&gt;='Gastos com Pessoal'!$E$7:$E$506)*(BC$3&lt;='Gastos com Pessoal'!$F$7:$F$506)*(IF('Gastos com Pessoal'!$G$7:$G$506&lt;=BC$3,1,0))*OFFSET('Gastos com Pessoal'!$H$6,1,MATCH(1&amp;$B49,'Gastos com Pessoal'!$I$532:$AJ$532&amp;'Gastos com Pessoal'!$I$6:$AJ$6,0),500,1)),0)
+_xlfn.IFNA(SUM((BC$3&gt;='Gastos com Pessoal'!$E$7:$E$506)*(BC$3&lt;='Gastos com Pessoal'!$F$7:$F$506)*(IF('Gastos com Pessoal'!$M$7:$M$506&lt;=BC$3,1,0))*OFFSET('Gastos com Pessoal'!$H$6,1,MATCH(2&amp;$B49,'Gastos com Pessoal'!$I$532:$AJ$532&amp;'Gastos com Pessoal'!$I$6:$AJ$6,0),500,1)),0)
+_xlfn.IFNA(SUM((BC$3&gt;='Gastos com Pessoal'!$E$7:$E$506)*(BC$3&lt;='Gastos com Pessoal'!$F$7:$F$506)*(IF('Gastos com Pessoal'!$S$7:$S$506&lt;=BC$3,1,0))*OFFSET('Gastos com Pessoal'!$H$6,1,MATCH(3&amp;$B49,'Gastos com Pessoal'!$I$532:$AJ$532&amp;'Gastos com Pessoal'!$I$6:$AJ$6,0),500,1)),0)
+_xlfn.IFNA(SUM((BC$3&gt;='Gastos com Pessoal'!$E$7:$E$506)*(BC$3&lt;='Gastos com Pessoal'!$F$7:$F$506)*(IF('Gastos com Pessoal'!$Y$7:$Y$506&lt;=BC$3,1,0))*OFFSET('Gastos com Pessoal'!$H$6,1,MATCH(4&amp;$B49,'Gastos com Pessoal'!$I$532:$AJ$532&amp;'Gastos com Pessoal'!$I$6:$AJ$6,0),500,1)),0)
+_xlfn.IFNA(SUM((BC$3&gt;='Gastos com Pessoal'!$E$7:$E$506)*(BC$3&lt;='Gastos com Pessoal'!$F$7:$F$506)*(IF('Gastos com Pessoal'!$AE$7:$AE$506&lt;=BC$3,1,0))*OFFSET('Gastos com Pessoal'!$H$6,1,MATCH(5&amp;$B49,'Gastos com Pessoal'!$I$532:$AJ$532&amp;'Gastos com Pessoal'!$I$6:$AJ$6,0),500,1)),0)
+_xlfn.IFNA(SUM((BC$3&gt;='Gastos com Pessoal'!$E$513:$E$522)*(BC$3&lt;='Gastos com Pessoal'!$F$513:$F$522)*(IF('Gastos com Pessoal'!$G$513:$G$522&lt;=BC$3,1,0))*OFFSET('Gastos com Pessoal'!$H$512,1,MATCH(1&amp;$B49,'Gastos com Pessoal'!$I$532:$AJ$532&amp;'Gastos com Pessoal'!$I$512:$AJ$512,0),10,1)),0)
+_xlfn.IFNA(SUM((BC$3&gt;='Gastos com Pessoal'!$E$513:$E$522)*(BC$3&lt;='Gastos com Pessoal'!$F$513:$F$522)*(IF('Gastos com Pessoal'!$M$513:$M$522&lt;=BC$3,1,0))*OFFSET('Gastos com Pessoal'!$H$512,1,MATCH(2&amp;$B49,'Gastos com Pessoal'!$I$532:$AJ$532&amp;'Gastos com Pessoal'!$I$512:$AJ$512,0),10,1)),0)
+_xlfn.IFNA(SUM((BC$3&gt;='Gastos com Pessoal'!$E$513:$E$522)*(BC$3&lt;='Gastos com Pessoal'!$F$513:$F$522)*(IF('Gastos com Pessoal'!$S$513:$S$522&lt;=BC$3,1,0))*OFFSET('Gastos com Pessoal'!$H$512,1,MATCH(3&amp;$B49,'Gastos com Pessoal'!$I$532:$AJ$532&amp;'Gastos com Pessoal'!$I$512:$AJ$512,0),10,1)),0)
+_xlfn.IFNA(SUM((BC$3&gt;='Gastos com Pessoal'!$E$513:$E$522)*(BC$3&lt;='Gastos com Pessoal'!$F$513:$F$522)*(IF('Gastos com Pessoal'!$Y$513:$Y$522&lt;=BC$3,1,0))*OFFSET('Gastos com Pessoal'!$H$512,1,MATCH(4&amp;$B49,'Gastos com Pessoal'!$I$532:$AJ$532&amp;'Gastos com Pessoal'!$I$512:$AJ$512,0),10,1)),0)
+_xlfn.IFNA(SUM((BC$3&gt;='Gastos com Pessoal'!$E$513:$E$522)*(BC$3&lt;='Gastos com Pessoal'!$F$513:$F$522)*(IF('Gastos com Pessoal'!$AE$513:$AE$522&lt;=BC$3,1,0))*OFFSET('Gastos com Pessoal'!$H$512,1,MATCH(5&amp;$B49,'Gastos com Pessoal'!$I$532:$AJ$532&amp;'Gastos com Pessoal'!$I$512:$AJ$512,0),10,1)),0)</f>
        <v>0</v>
      </c>
      <c r="BD49" s="32">
        <f t="array" aca="1" ref="BD49" ca="1">_xlfn.IFNA(SUM((BD$3&gt;='Gastos com Pessoal'!$E$7:$E$506)*(BD$3&lt;='Gastos com Pessoal'!$F$7:$F$506)*OFFSET('Encargos e Benefícios'!$D$5,1,MATCH($B49,'Encargos e Benefícios'!$E$5:$AB$5,0),500,1)),0)
+_xlfn.IFNA(SUM((BD$3&gt;='Gastos com Pessoal'!$E$513:$E$522)*(BD$3&lt;='Gastos com Pessoal'!$F$513:$F$522)*OFFSET('Encargos e Benefícios'!$D$511,1,MATCH($B49,'Encargos e Benefícios'!$E$511:$AB$511,0),10,1)),0)
+_xlfn.IFNA(SUM((BD$3&gt;='Gastos com Pessoal'!$E$7:$E$506)*(BD$3&lt;='Gastos com Pessoal'!$F$7:$F$506)*(IF('Gastos com Pessoal'!$G$7:$G$506&lt;=BD$3,1,0))*OFFSET('Gastos com Pessoal'!$H$6,1,MATCH(1&amp;$B49,'Gastos com Pessoal'!$I$532:$AJ$532&amp;'Gastos com Pessoal'!$I$6:$AJ$6,0),500,1)),0)
+_xlfn.IFNA(SUM((BD$3&gt;='Gastos com Pessoal'!$E$7:$E$506)*(BD$3&lt;='Gastos com Pessoal'!$F$7:$F$506)*(IF('Gastos com Pessoal'!$M$7:$M$506&lt;=BD$3,1,0))*OFFSET('Gastos com Pessoal'!$H$6,1,MATCH(2&amp;$B49,'Gastos com Pessoal'!$I$532:$AJ$532&amp;'Gastos com Pessoal'!$I$6:$AJ$6,0),500,1)),0)
+_xlfn.IFNA(SUM((BD$3&gt;='Gastos com Pessoal'!$E$7:$E$506)*(BD$3&lt;='Gastos com Pessoal'!$F$7:$F$506)*(IF('Gastos com Pessoal'!$S$7:$S$506&lt;=BD$3,1,0))*OFFSET('Gastos com Pessoal'!$H$6,1,MATCH(3&amp;$B49,'Gastos com Pessoal'!$I$532:$AJ$532&amp;'Gastos com Pessoal'!$I$6:$AJ$6,0),500,1)),0)
+_xlfn.IFNA(SUM((BD$3&gt;='Gastos com Pessoal'!$E$7:$E$506)*(BD$3&lt;='Gastos com Pessoal'!$F$7:$F$506)*(IF('Gastos com Pessoal'!$Y$7:$Y$506&lt;=BD$3,1,0))*OFFSET('Gastos com Pessoal'!$H$6,1,MATCH(4&amp;$B49,'Gastos com Pessoal'!$I$532:$AJ$532&amp;'Gastos com Pessoal'!$I$6:$AJ$6,0),500,1)),0)
+_xlfn.IFNA(SUM((BD$3&gt;='Gastos com Pessoal'!$E$7:$E$506)*(BD$3&lt;='Gastos com Pessoal'!$F$7:$F$506)*(IF('Gastos com Pessoal'!$AE$7:$AE$506&lt;=BD$3,1,0))*OFFSET('Gastos com Pessoal'!$H$6,1,MATCH(5&amp;$B49,'Gastos com Pessoal'!$I$532:$AJ$532&amp;'Gastos com Pessoal'!$I$6:$AJ$6,0),500,1)),0)
+_xlfn.IFNA(SUM((BD$3&gt;='Gastos com Pessoal'!$E$513:$E$522)*(BD$3&lt;='Gastos com Pessoal'!$F$513:$F$522)*(IF('Gastos com Pessoal'!$G$513:$G$522&lt;=BD$3,1,0))*OFFSET('Gastos com Pessoal'!$H$512,1,MATCH(1&amp;$B49,'Gastos com Pessoal'!$I$532:$AJ$532&amp;'Gastos com Pessoal'!$I$512:$AJ$512,0),10,1)),0)
+_xlfn.IFNA(SUM((BD$3&gt;='Gastos com Pessoal'!$E$513:$E$522)*(BD$3&lt;='Gastos com Pessoal'!$F$513:$F$522)*(IF('Gastos com Pessoal'!$M$513:$M$522&lt;=BD$3,1,0))*OFFSET('Gastos com Pessoal'!$H$512,1,MATCH(2&amp;$B49,'Gastos com Pessoal'!$I$532:$AJ$532&amp;'Gastos com Pessoal'!$I$512:$AJ$512,0),10,1)),0)
+_xlfn.IFNA(SUM((BD$3&gt;='Gastos com Pessoal'!$E$513:$E$522)*(BD$3&lt;='Gastos com Pessoal'!$F$513:$F$522)*(IF('Gastos com Pessoal'!$S$513:$S$522&lt;=BD$3,1,0))*OFFSET('Gastos com Pessoal'!$H$512,1,MATCH(3&amp;$B49,'Gastos com Pessoal'!$I$532:$AJ$532&amp;'Gastos com Pessoal'!$I$512:$AJ$512,0),10,1)),0)
+_xlfn.IFNA(SUM((BD$3&gt;='Gastos com Pessoal'!$E$513:$E$522)*(BD$3&lt;='Gastos com Pessoal'!$F$513:$F$522)*(IF('Gastos com Pessoal'!$Y$513:$Y$522&lt;=BD$3,1,0))*OFFSET('Gastos com Pessoal'!$H$512,1,MATCH(4&amp;$B49,'Gastos com Pessoal'!$I$532:$AJ$532&amp;'Gastos com Pessoal'!$I$512:$AJ$512,0),10,1)),0)
+_xlfn.IFNA(SUM((BD$3&gt;='Gastos com Pessoal'!$E$513:$E$522)*(BD$3&lt;='Gastos com Pessoal'!$F$513:$F$522)*(IF('Gastos com Pessoal'!$AE$513:$AE$522&lt;=BD$3,1,0))*OFFSET('Gastos com Pessoal'!$H$512,1,MATCH(5&amp;$B49,'Gastos com Pessoal'!$I$532:$AJ$532&amp;'Gastos com Pessoal'!$I$512:$AJ$512,0),10,1)),0)</f>
        <v>0</v>
      </c>
      <c r="BE49" s="32">
        <f t="array" aca="1" ref="BE49" ca="1">_xlfn.IFNA(SUM((BE$3&gt;='Gastos com Pessoal'!$E$7:$E$506)*(BE$3&lt;='Gastos com Pessoal'!$F$7:$F$506)*OFFSET('Encargos e Benefícios'!$D$5,1,MATCH($B49,'Encargos e Benefícios'!$E$5:$AB$5,0),500,1)),0)
+_xlfn.IFNA(SUM((BE$3&gt;='Gastos com Pessoal'!$E$513:$E$522)*(BE$3&lt;='Gastos com Pessoal'!$F$513:$F$522)*OFFSET('Encargos e Benefícios'!$D$511,1,MATCH($B49,'Encargos e Benefícios'!$E$511:$AB$511,0),10,1)),0)
+_xlfn.IFNA(SUM((BE$3&gt;='Gastos com Pessoal'!$E$7:$E$506)*(BE$3&lt;='Gastos com Pessoal'!$F$7:$F$506)*(IF('Gastos com Pessoal'!$G$7:$G$506&lt;=BE$3,1,0))*OFFSET('Gastos com Pessoal'!$H$6,1,MATCH(1&amp;$B49,'Gastos com Pessoal'!$I$532:$AJ$532&amp;'Gastos com Pessoal'!$I$6:$AJ$6,0),500,1)),0)
+_xlfn.IFNA(SUM((BE$3&gt;='Gastos com Pessoal'!$E$7:$E$506)*(BE$3&lt;='Gastos com Pessoal'!$F$7:$F$506)*(IF('Gastos com Pessoal'!$M$7:$M$506&lt;=BE$3,1,0))*OFFSET('Gastos com Pessoal'!$H$6,1,MATCH(2&amp;$B49,'Gastos com Pessoal'!$I$532:$AJ$532&amp;'Gastos com Pessoal'!$I$6:$AJ$6,0),500,1)),0)
+_xlfn.IFNA(SUM((BE$3&gt;='Gastos com Pessoal'!$E$7:$E$506)*(BE$3&lt;='Gastos com Pessoal'!$F$7:$F$506)*(IF('Gastos com Pessoal'!$S$7:$S$506&lt;=BE$3,1,0))*OFFSET('Gastos com Pessoal'!$H$6,1,MATCH(3&amp;$B49,'Gastos com Pessoal'!$I$532:$AJ$532&amp;'Gastos com Pessoal'!$I$6:$AJ$6,0),500,1)),0)
+_xlfn.IFNA(SUM((BE$3&gt;='Gastos com Pessoal'!$E$7:$E$506)*(BE$3&lt;='Gastos com Pessoal'!$F$7:$F$506)*(IF('Gastos com Pessoal'!$Y$7:$Y$506&lt;=BE$3,1,0))*OFFSET('Gastos com Pessoal'!$H$6,1,MATCH(4&amp;$B49,'Gastos com Pessoal'!$I$532:$AJ$532&amp;'Gastos com Pessoal'!$I$6:$AJ$6,0),500,1)),0)
+_xlfn.IFNA(SUM((BE$3&gt;='Gastos com Pessoal'!$E$7:$E$506)*(BE$3&lt;='Gastos com Pessoal'!$F$7:$F$506)*(IF('Gastos com Pessoal'!$AE$7:$AE$506&lt;=BE$3,1,0))*OFFSET('Gastos com Pessoal'!$H$6,1,MATCH(5&amp;$B49,'Gastos com Pessoal'!$I$532:$AJ$532&amp;'Gastos com Pessoal'!$I$6:$AJ$6,0),500,1)),0)
+_xlfn.IFNA(SUM((BE$3&gt;='Gastos com Pessoal'!$E$513:$E$522)*(BE$3&lt;='Gastos com Pessoal'!$F$513:$F$522)*(IF('Gastos com Pessoal'!$G$513:$G$522&lt;=BE$3,1,0))*OFFSET('Gastos com Pessoal'!$H$512,1,MATCH(1&amp;$B49,'Gastos com Pessoal'!$I$532:$AJ$532&amp;'Gastos com Pessoal'!$I$512:$AJ$512,0),10,1)),0)
+_xlfn.IFNA(SUM((BE$3&gt;='Gastos com Pessoal'!$E$513:$E$522)*(BE$3&lt;='Gastos com Pessoal'!$F$513:$F$522)*(IF('Gastos com Pessoal'!$M$513:$M$522&lt;=BE$3,1,0))*OFFSET('Gastos com Pessoal'!$H$512,1,MATCH(2&amp;$B49,'Gastos com Pessoal'!$I$532:$AJ$532&amp;'Gastos com Pessoal'!$I$512:$AJ$512,0),10,1)),0)
+_xlfn.IFNA(SUM((BE$3&gt;='Gastos com Pessoal'!$E$513:$E$522)*(BE$3&lt;='Gastos com Pessoal'!$F$513:$F$522)*(IF('Gastos com Pessoal'!$S$513:$S$522&lt;=BE$3,1,0))*OFFSET('Gastos com Pessoal'!$H$512,1,MATCH(3&amp;$B49,'Gastos com Pessoal'!$I$532:$AJ$532&amp;'Gastos com Pessoal'!$I$512:$AJ$512,0),10,1)),0)
+_xlfn.IFNA(SUM((BE$3&gt;='Gastos com Pessoal'!$E$513:$E$522)*(BE$3&lt;='Gastos com Pessoal'!$F$513:$F$522)*(IF('Gastos com Pessoal'!$Y$513:$Y$522&lt;=BE$3,1,0))*OFFSET('Gastos com Pessoal'!$H$512,1,MATCH(4&amp;$B49,'Gastos com Pessoal'!$I$532:$AJ$532&amp;'Gastos com Pessoal'!$I$512:$AJ$512,0),10,1)),0)
+_xlfn.IFNA(SUM((BE$3&gt;='Gastos com Pessoal'!$E$513:$E$522)*(BE$3&lt;='Gastos com Pessoal'!$F$513:$F$522)*(IF('Gastos com Pessoal'!$AE$513:$AE$522&lt;=BE$3,1,0))*OFFSET('Gastos com Pessoal'!$H$512,1,MATCH(5&amp;$B49,'Gastos com Pessoal'!$I$532:$AJ$532&amp;'Gastos com Pessoal'!$I$512:$AJ$512,0),10,1)),0)</f>
        <v>0</v>
      </c>
      <c r="BF49" s="32">
        <f t="array" aca="1" ref="BF49" ca="1">_xlfn.IFNA(SUM((BF$3&gt;='Gastos com Pessoal'!$E$7:$E$506)*(BF$3&lt;='Gastos com Pessoal'!$F$7:$F$506)*OFFSET('Encargos e Benefícios'!$D$5,1,MATCH($B49,'Encargos e Benefícios'!$E$5:$AB$5,0),500,1)),0)
+_xlfn.IFNA(SUM((BF$3&gt;='Gastos com Pessoal'!$E$513:$E$522)*(BF$3&lt;='Gastos com Pessoal'!$F$513:$F$522)*OFFSET('Encargos e Benefícios'!$D$511,1,MATCH($B49,'Encargos e Benefícios'!$E$511:$AB$511,0),10,1)),0)
+_xlfn.IFNA(SUM((BF$3&gt;='Gastos com Pessoal'!$E$7:$E$506)*(BF$3&lt;='Gastos com Pessoal'!$F$7:$F$506)*(IF('Gastos com Pessoal'!$G$7:$G$506&lt;=BF$3,1,0))*OFFSET('Gastos com Pessoal'!$H$6,1,MATCH(1&amp;$B49,'Gastos com Pessoal'!$I$532:$AJ$532&amp;'Gastos com Pessoal'!$I$6:$AJ$6,0),500,1)),0)
+_xlfn.IFNA(SUM((BF$3&gt;='Gastos com Pessoal'!$E$7:$E$506)*(BF$3&lt;='Gastos com Pessoal'!$F$7:$F$506)*(IF('Gastos com Pessoal'!$M$7:$M$506&lt;=BF$3,1,0))*OFFSET('Gastos com Pessoal'!$H$6,1,MATCH(2&amp;$B49,'Gastos com Pessoal'!$I$532:$AJ$532&amp;'Gastos com Pessoal'!$I$6:$AJ$6,0),500,1)),0)
+_xlfn.IFNA(SUM((BF$3&gt;='Gastos com Pessoal'!$E$7:$E$506)*(BF$3&lt;='Gastos com Pessoal'!$F$7:$F$506)*(IF('Gastos com Pessoal'!$S$7:$S$506&lt;=BF$3,1,0))*OFFSET('Gastos com Pessoal'!$H$6,1,MATCH(3&amp;$B49,'Gastos com Pessoal'!$I$532:$AJ$532&amp;'Gastos com Pessoal'!$I$6:$AJ$6,0),500,1)),0)
+_xlfn.IFNA(SUM((BF$3&gt;='Gastos com Pessoal'!$E$7:$E$506)*(BF$3&lt;='Gastos com Pessoal'!$F$7:$F$506)*(IF('Gastos com Pessoal'!$Y$7:$Y$506&lt;=BF$3,1,0))*OFFSET('Gastos com Pessoal'!$H$6,1,MATCH(4&amp;$B49,'Gastos com Pessoal'!$I$532:$AJ$532&amp;'Gastos com Pessoal'!$I$6:$AJ$6,0),500,1)),0)
+_xlfn.IFNA(SUM((BF$3&gt;='Gastos com Pessoal'!$E$7:$E$506)*(BF$3&lt;='Gastos com Pessoal'!$F$7:$F$506)*(IF('Gastos com Pessoal'!$AE$7:$AE$506&lt;=BF$3,1,0))*OFFSET('Gastos com Pessoal'!$H$6,1,MATCH(5&amp;$B49,'Gastos com Pessoal'!$I$532:$AJ$532&amp;'Gastos com Pessoal'!$I$6:$AJ$6,0),500,1)),0)
+_xlfn.IFNA(SUM((BF$3&gt;='Gastos com Pessoal'!$E$513:$E$522)*(BF$3&lt;='Gastos com Pessoal'!$F$513:$F$522)*(IF('Gastos com Pessoal'!$G$513:$G$522&lt;=BF$3,1,0))*OFFSET('Gastos com Pessoal'!$H$512,1,MATCH(1&amp;$B49,'Gastos com Pessoal'!$I$532:$AJ$532&amp;'Gastos com Pessoal'!$I$512:$AJ$512,0),10,1)),0)
+_xlfn.IFNA(SUM((BF$3&gt;='Gastos com Pessoal'!$E$513:$E$522)*(BF$3&lt;='Gastos com Pessoal'!$F$513:$F$522)*(IF('Gastos com Pessoal'!$M$513:$M$522&lt;=BF$3,1,0))*OFFSET('Gastos com Pessoal'!$H$512,1,MATCH(2&amp;$B49,'Gastos com Pessoal'!$I$532:$AJ$532&amp;'Gastos com Pessoal'!$I$512:$AJ$512,0),10,1)),0)
+_xlfn.IFNA(SUM((BF$3&gt;='Gastos com Pessoal'!$E$513:$E$522)*(BF$3&lt;='Gastos com Pessoal'!$F$513:$F$522)*(IF('Gastos com Pessoal'!$S$513:$S$522&lt;=BF$3,1,0))*OFFSET('Gastos com Pessoal'!$H$512,1,MATCH(3&amp;$B49,'Gastos com Pessoal'!$I$532:$AJ$532&amp;'Gastos com Pessoal'!$I$512:$AJ$512,0),10,1)),0)
+_xlfn.IFNA(SUM((BF$3&gt;='Gastos com Pessoal'!$E$513:$E$522)*(BF$3&lt;='Gastos com Pessoal'!$F$513:$F$522)*(IF('Gastos com Pessoal'!$Y$513:$Y$522&lt;=BF$3,1,0))*OFFSET('Gastos com Pessoal'!$H$512,1,MATCH(4&amp;$B49,'Gastos com Pessoal'!$I$532:$AJ$532&amp;'Gastos com Pessoal'!$I$512:$AJ$512,0),10,1)),0)
+_xlfn.IFNA(SUM((BF$3&gt;='Gastos com Pessoal'!$E$513:$E$522)*(BF$3&lt;='Gastos com Pessoal'!$F$513:$F$522)*(IF('Gastos com Pessoal'!$AE$513:$AE$522&lt;=BF$3,1,0))*OFFSET('Gastos com Pessoal'!$H$512,1,MATCH(5&amp;$B49,'Gastos com Pessoal'!$I$532:$AJ$532&amp;'Gastos com Pessoal'!$I$512:$AJ$512,0),10,1)),0)</f>
        <v>0</v>
      </c>
      <c r="BG49" s="32">
        <f t="array" aca="1" ref="BG49" ca="1">_xlfn.IFNA(SUM((BG$3&gt;='Gastos com Pessoal'!$E$7:$E$506)*(BG$3&lt;='Gastos com Pessoal'!$F$7:$F$506)*OFFSET('Encargos e Benefícios'!$D$5,1,MATCH($B49,'Encargos e Benefícios'!$E$5:$AB$5,0),500,1)),0)
+_xlfn.IFNA(SUM((BG$3&gt;='Gastos com Pessoal'!$E$513:$E$522)*(BG$3&lt;='Gastos com Pessoal'!$F$513:$F$522)*OFFSET('Encargos e Benefícios'!$D$511,1,MATCH($B49,'Encargos e Benefícios'!$E$511:$AB$511,0),10,1)),0)
+_xlfn.IFNA(SUM((BG$3&gt;='Gastos com Pessoal'!$E$7:$E$506)*(BG$3&lt;='Gastos com Pessoal'!$F$7:$F$506)*(IF('Gastos com Pessoal'!$G$7:$G$506&lt;=BG$3,1,0))*OFFSET('Gastos com Pessoal'!$H$6,1,MATCH(1&amp;$B49,'Gastos com Pessoal'!$I$532:$AJ$532&amp;'Gastos com Pessoal'!$I$6:$AJ$6,0),500,1)),0)
+_xlfn.IFNA(SUM((BG$3&gt;='Gastos com Pessoal'!$E$7:$E$506)*(BG$3&lt;='Gastos com Pessoal'!$F$7:$F$506)*(IF('Gastos com Pessoal'!$M$7:$M$506&lt;=BG$3,1,0))*OFFSET('Gastos com Pessoal'!$H$6,1,MATCH(2&amp;$B49,'Gastos com Pessoal'!$I$532:$AJ$532&amp;'Gastos com Pessoal'!$I$6:$AJ$6,0),500,1)),0)
+_xlfn.IFNA(SUM((BG$3&gt;='Gastos com Pessoal'!$E$7:$E$506)*(BG$3&lt;='Gastos com Pessoal'!$F$7:$F$506)*(IF('Gastos com Pessoal'!$S$7:$S$506&lt;=BG$3,1,0))*OFFSET('Gastos com Pessoal'!$H$6,1,MATCH(3&amp;$B49,'Gastos com Pessoal'!$I$532:$AJ$532&amp;'Gastos com Pessoal'!$I$6:$AJ$6,0),500,1)),0)
+_xlfn.IFNA(SUM((BG$3&gt;='Gastos com Pessoal'!$E$7:$E$506)*(BG$3&lt;='Gastos com Pessoal'!$F$7:$F$506)*(IF('Gastos com Pessoal'!$Y$7:$Y$506&lt;=BG$3,1,0))*OFFSET('Gastos com Pessoal'!$H$6,1,MATCH(4&amp;$B49,'Gastos com Pessoal'!$I$532:$AJ$532&amp;'Gastos com Pessoal'!$I$6:$AJ$6,0),500,1)),0)
+_xlfn.IFNA(SUM((BG$3&gt;='Gastos com Pessoal'!$E$7:$E$506)*(BG$3&lt;='Gastos com Pessoal'!$F$7:$F$506)*(IF('Gastos com Pessoal'!$AE$7:$AE$506&lt;=BG$3,1,0))*OFFSET('Gastos com Pessoal'!$H$6,1,MATCH(5&amp;$B49,'Gastos com Pessoal'!$I$532:$AJ$532&amp;'Gastos com Pessoal'!$I$6:$AJ$6,0),500,1)),0)
+_xlfn.IFNA(SUM((BG$3&gt;='Gastos com Pessoal'!$E$513:$E$522)*(BG$3&lt;='Gastos com Pessoal'!$F$513:$F$522)*(IF('Gastos com Pessoal'!$G$513:$G$522&lt;=BG$3,1,0))*OFFSET('Gastos com Pessoal'!$H$512,1,MATCH(1&amp;$B49,'Gastos com Pessoal'!$I$532:$AJ$532&amp;'Gastos com Pessoal'!$I$512:$AJ$512,0),10,1)),0)
+_xlfn.IFNA(SUM((BG$3&gt;='Gastos com Pessoal'!$E$513:$E$522)*(BG$3&lt;='Gastos com Pessoal'!$F$513:$F$522)*(IF('Gastos com Pessoal'!$M$513:$M$522&lt;=BG$3,1,0))*OFFSET('Gastos com Pessoal'!$H$512,1,MATCH(2&amp;$B49,'Gastos com Pessoal'!$I$532:$AJ$532&amp;'Gastos com Pessoal'!$I$512:$AJ$512,0),10,1)),0)
+_xlfn.IFNA(SUM((BG$3&gt;='Gastos com Pessoal'!$E$513:$E$522)*(BG$3&lt;='Gastos com Pessoal'!$F$513:$F$522)*(IF('Gastos com Pessoal'!$S$513:$S$522&lt;=BG$3,1,0))*OFFSET('Gastos com Pessoal'!$H$512,1,MATCH(3&amp;$B49,'Gastos com Pessoal'!$I$532:$AJ$532&amp;'Gastos com Pessoal'!$I$512:$AJ$512,0),10,1)),0)
+_xlfn.IFNA(SUM((BG$3&gt;='Gastos com Pessoal'!$E$513:$E$522)*(BG$3&lt;='Gastos com Pessoal'!$F$513:$F$522)*(IF('Gastos com Pessoal'!$Y$513:$Y$522&lt;=BG$3,1,0))*OFFSET('Gastos com Pessoal'!$H$512,1,MATCH(4&amp;$B49,'Gastos com Pessoal'!$I$532:$AJ$532&amp;'Gastos com Pessoal'!$I$512:$AJ$512,0),10,1)),0)
+_xlfn.IFNA(SUM((BG$3&gt;='Gastos com Pessoal'!$E$513:$E$522)*(BG$3&lt;='Gastos com Pessoal'!$F$513:$F$522)*(IF('Gastos com Pessoal'!$AE$513:$AE$522&lt;=BG$3,1,0))*OFFSET('Gastos com Pessoal'!$H$512,1,MATCH(5&amp;$B49,'Gastos com Pessoal'!$I$532:$AJ$532&amp;'Gastos com Pessoal'!$I$512:$AJ$512,0),10,1)),0)</f>
        <v>0</v>
      </c>
      <c r="BH49" s="32">
        <f t="array" aca="1" ref="BH49" ca="1">_xlfn.IFNA(SUM((BH$3&gt;='Gastos com Pessoal'!$E$7:$E$506)*(BH$3&lt;='Gastos com Pessoal'!$F$7:$F$506)*OFFSET('Encargos e Benefícios'!$D$5,1,MATCH($B49,'Encargos e Benefícios'!$E$5:$AB$5,0),500,1)),0)
+_xlfn.IFNA(SUM((BH$3&gt;='Gastos com Pessoal'!$E$513:$E$522)*(BH$3&lt;='Gastos com Pessoal'!$F$513:$F$522)*OFFSET('Encargos e Benefícios'!$D$511,1,MATCH($B49,'Encargos e Benefícios'!$E$511:$AB$511,0),10,1)),0)
+_xlfn.IFNA(SUM((BH$3&gt;='Gastos com Pessoal'!$E$7:$E$506)*(BH$3&lt;='Gastos com Pessoal'!$F$7:$F$506)*(IF('Gastos com Pessoal'!$G$7:$G$506&lt;=BH$3,1,0))*OFFSET('Gastos com Pessoal'!$H$6,1,MATCH(1&amp;$B49,'Gastos com Pessoal'!$I$532:$AJ$532&amp;'Gastos com Pessoal'!$I$6:$AJ$6,0),500,1)),0)
+_xlfn.IFNA(SUM((BH$3&gt;='Gastos com Pessoal'!$E$7:$E$506)*(BH$3&lt;='Gastos com Pessoal'!$F$7:$F$506)*(IF('Gastos com Pessoal'!$M$7:$M$506&lt;=BH$3,1,0))*OFFSET('Gastos com Pessoal'!$H$6,1,MATCH(2&amp;$B49,'Gastos com Pessoal'!$I$532:$AJ$532&amp;'Gastos com Pessoal'!$I$6:$AJ$6,0),500,1)),0)
+_xlfn.IFNA(SUM((BH$3&gt;='Gastos com Pessoal'!$E$7:$E$506)*(BH$3&lt;='Gastos com Pessoal'!$F$7:$F$506)*(IF('Gastos com Pessoal'!$S$7:$S$506&lt;=BH$3,1,0))*OFFSET('Gastos com Pessoal'!$H$6,1,MATCH(3&amp;$B49,'Gastos com Pessoal'!$I$532:$AJ$532&amp;'Gastos com Pessoal'!$I$6:$AJ$6,0),500,1)),0)
+_xlfn.IFNA(SUM((BH$3&gt;='Gastos com Pessoal'!$E$7:$E$506)*(BH$3&lt;='Gastos com Pessoal'!$F$7:$F$506)*(IF('Gastos com Pessoal'!$Y$7:$Y$506&lt;=BH$3,1,0))*OFFSET('Gastos com Pessoal'!$H$6,1,MATCH(4&amp;$B49,'Gastos com Pessoal'!$I$532:$AJ$532&amp;'Gastos com Pessoal'!$I$6:$AJ$6,0),500,1)),0)
+_xlfn.IFNA(SUM((BH$3&gt;='Gastos com Pessoal'!$E$7:$E$506)*(BH$3&lt;='Gastos com Pessoal'!$F$7:$F$506)*(IF('Gastos com Pessoal'!$AE$7:$AE$506&lt;=BH$3,1,0))*OFFSET('Gastos com Pessoal'!$H$6,1,MATCH(5&amp;$B49,'Gastos com Pessoal'!$I$532:$AJ$532&amp;'Gastos com Pessoal'!$I$6:$AJ$6,0),500,1)),0)
+_xlfn.IFNA(SUM((BH$3&gt;='Gastos com Pessoal'!$E$513:$E$522)*(BH$3&lt;='Gastos com Pessoal'!$F$513:$F$522)*(IF('Gastos com Pessoal'!$G$513:$G$522&lt;=BH$3,1,0))*OFFSET('Gastos com Pessoal'!$H$512,1,MATCH(1&amp;$B49,'Gastos com Pessoal'!$I$532:$AJ$532&amp;'Gastos com Pessoal'!$I$512:$AJ$512,0),10,1)),0)
+_xlfn.IFNA(SUM((BH$3&gt;='Gastos com Pessoal'!$E$513:$E$522)*(BH$3&lt;='Gastos com Pessoal'!$F$513:$F$522)*(IF('Gastos com Pessoal'!$M$513:$M$522&lt;=BH$3,1,0))*OFFSET('Gastos com Pessoal'!$H$512,1,MATCH(2&amp;$B49,'Gastos com Pessoal'!$I$532:$AJ$532&amp;'Gastos com Pessoal'!$I$512:$AJ$512,0),10,1)),0)
+_xlfn.IFNA(SUM((BH$3&gt;='Gastos com Pessoal'!$E$513:$E$522)*(BH$3&lt;='Gastos com Pessoal'!$F$513:$F$522)*(IF('Gastos com Pessoal'!$S$513:$S$522&lt;=BH$3,1,0))*OFFSET('Gastos com Pessoal'!$H$512,1,MATCH(3&amp;$B49,'Gastos com Pessoal'!$I$532:$AJ$532&amp;'Gastos com Pessoal'!$I$512:$AJ$512,0),10,1)),0)
+_xlfn.IFNA(SUM((BH$3&gt;='Gastos com Pessoal'!$E$513:$E$522)*(BH$3&lt;='Gastos com Pessoal'!$F$513:$F$522)*(IF('Gastos com Pessoal'!$Y$513:$Y$522&lt;=BH$3,1,0))*OFFSET('Gastos com Pessoal'!$H$512,1,MATCH(4&amp;$B49,'Gastos com Pessoal'!$I$532:$AJ$532&amp;'Gastos com Pessoal'!$I$512:$AJ$512,0),10,1)),0)
+_xlfn.IFNA(SUM((BH$3&gt;='Gastos com Pessoal'!$E$513:$E$522)*(BH$3&lt;='Gastos com Pessoal'!$F$513:$F$522)*(IF('Gastos com Pessoal'!$AE$513:$AE$522&lt;=BH$3,1,0))*OFFSET('Gastos com Pessoal'!$H$512,1,MATCH(5&amp;$B49,'Gastos com Pessoal'!$I$532:$AJ$532&amp;'Gastos com Pessoal'!$I$512:$AJ$512,0),10,1)),0)</f>
        <v>0</v>
      </c>
      <c r="BI49" s="32">
        <f t="array" aca="1" ref="BI49" ca="1">_xlfn.IFNA(SUM((BI$3&gt;='Gastos com Pessoal'!$E$7:$E$506)*(BI$3&lt;='Gastos com Pessoal'!$F$7:$F$506)*OFFSET('Encargos e Benefícios'!$D$5,1,MATCH($B49,'Encargos e Benefícios'!$E$5:$AB$5,0),500,1)),0)
+_xlfn.IFNA(SUM((BI$3&gt;='Gastos com Pessoal'!$E$513:$E$522)*(BI$3&lt;='Gastos com Pessoal'!$F$513:$F$522)*OFFSET('Encargos e Benefícios'!$D$511,1,MATCH($B49,'Encargos e Benefícios'!$E$511:$AB$511,0),10,1)),0)
+_xlfn.IFNA(SUM((BI$3&gt;='Gastos com Pessoal'!$E$7:$E$506)*(BI$3&lt;='Gastos com Pessoal'!$F$7:$F$506)*(IF('Gastos com Pessoal'!$G$7:$G$506&lt;=BI$3,1,0))*OFFSET('Gastos com Pessoal'!$H$6,1,MATCH(1&amp;$B49,'Gastos com Pessoal'!$I$532:$AJ$532&amp;'Gastos com Pessoal'!$I$6:$AJ$6,0),500,1)),0)
+_xlfn.IFNA(SUM((BI$3&gt;='Gastos com Pessoal'!$E$7:$E$506)*(BI$3&lt;='Gastos com Pessoal'!$F$7:$F$506)*(IF('Gastos com Pessoal'!$M$7:$M$506&lt;=BI$3,1,0))*OFFSET('Gastos com Pessoal'!$H$6,1,MATCH(2&amp;$B49,'Gastos com Pessoal'!$I$532:$AJ$532&amp;'Gastos com Pessoal'!$I$6:$AJ$6,0),500,1)),0)
+_xlfn.IFNA(SUM((BI$3&gt;='Gastos com Pessoal'!$E$7:$E$506)*(BI$3&lt;='Gastos com Pessoal'!$F$7:$F$506)*(IF('Gastos com Pessoal'!$S$7:$S$506&lt;=BI$3,1,0))*OFFSET('Gastos com Pessoal'!$H$6,1,MATCH(3&amp;$B49,'Gastos com Pessoal'!$I$532:$AJ$532&amp;'Gastos com Pessoal'!$I$6:$AJ$6,0),500,1)),0)
+_xlfn.IFNA(SUM((BI$3&gt;='Gastos com Pessoal'!$E$7:$E$506)*(BI$3&lt;='Gastos com Pessoal'!$F$7:$F$506)*(IF('Gastos com Pessoal'!$Y$7:$Y$506&lt;=BI$3,1,0))*OFFSET('Gastos com Pessoal'!$H$6,1,MATCH(4&amp;$B49,'Gastos com Pessoal'!$I$532:$AJ$532&amp;'Gastos com Pessoal'!$I$6:$AJ$6,0),500,1)),0)
+_xlfn.IFNA(SUM((BI$3&gt;='Gastos com Pessoal'!$E$7:$E$506)*(BI$3&lt;='Gastos com Pessoal'!$F$7:$F$506)*(IF('Gastos com Pessoal'!$AE$7:$AE$506&lt;=BI$3,1,0))*OFFSET('Gastos com Pessoal'!$H$6,1,MATCH(5&amp;$B49,'Gastos com Pessoal'!$I$532:$AJ$532&amp;'Gastos com Pessoal'!$I$6:$AJ$6,0),500,1)),0)
+_xlfn.IFNA(SUM((BI$3&gt;='Gastos com Pessoal'!$E$513:$E$522)*(BI$3&lt;='Gastos com Pessoal'!$F$513:$F$522)*(IF('Gastos com Pessoal'!$G$513:$G$522&lt;=BI$3,1,0))*OFFSET('Gastos com Pessoal'!$H$512,1,MATCH(1&amp;$B49,'Gastos com Pessoal'!$I$532:$AJ$532&amp;'Gastos com Pessoal'!$I$512:$AJ$512,0),10,1)),0)
+_xlfn.IFNA(SUM((BI$3&gt;='Gastos com Pessoal'!$E$513:$E$522)*(BI$3&lt;='Gastos com Pessoal'!$F$513:$F$522)*(IF('Gastos com Pessoal'!$M$513:$M$522&lt;=BI$3,1,0))*OFFSET('Gastos com Pessoal'!$H$512,1,MATCH(2&amp;$B49,'Gastos com Pessoal'!$I$532:$AJ$532&amp;'Gastos com Pessoal'!$I$512:$AJ$512,0),10,1)),0)
+_xlfn.IFNA(SUM((BI$3&gt;='Gastos com Pessoal'!$E$513:$E$522)*(BI$3&lt;='Gastos com Pessoal'!$F$513:$F$522)*(IF('Gastos com Pessoal'!$S$513:$S$522&lt;=BI$3,1,0))*OFFSET('Gastos com Pessoal'!$H$512,1,MATCH(3&amp;$B49,'Gastos com Pessoal'!$I$532:$AJ$532&amp;'Gastos com Pessoal'!$I$512:$AJ$512,0),10,1)),0)
+_xlfn.IFNA(SUM((BI$3&gt;='Gastos com Pessoal'!$E$513:$E$522)*(BI$3&lt;='Gastos com Pessoal'!$F$513:$F$522)*(IF('Gastos com Pessoal'!$Y$513:$Y$522&lt;=BI$3,1,0))*OFFSET('Gastos com Pessoal'!$H$512,1,MATCH(4&amp;$B49,'Gastos com Pessoal'!$I$532:$AJ$532&amp;'Gastos com Pessoal'!$I$512:$AJ$512,0),10,1)),0)
+_xlfn.IFNA(SUM((BI$3&gt;='Gastos com Pessoal'!$E$513:$E$522)*(BI$3&lt;='Gastos com Pessoal'!$F$513:$F$522)*(IF('Gastos com Pessoal'!$AE$513:$AE$522&lt;=BI$3,1,0))*OFFSET('Gastos com Pessoal'!$H$512,1,MATCH(5&amp;$B49,'Gastos com Pessoal'!$I$532:$AJ$532&amp;'Gastos com Pessoal'!$I$512:$AJ$512,0),10,1)),0)</f>
        <v>0</v>
      </c>
      <c r="BJ49" s="32">
        <f t="array" aca="1" ref="BJ49" ca="1">_xlfn.IFNA(SUM((BJ$3&gt;='Gastos com Pessoal'!$E$7:$E$506)*(BJ$3&lt;='Gastos com Pessoal'!$F$7:$F$506)*OFFSET('Encargos e Benefícios'!$D$5,1,MATCH($B49,'Encargos e Benefícios'!$E$5:$AB$5,0),500,1)),0)
+_xlfn.IFNA(SUM((BJ$3&gt;='Gastos com Pessoal'!$E$513:$E$522)*(BJ$3&lt;='Gastos com Pessoal'!$F$513:$F$522)*OFFSET('Encargos e Benefícios'!$D$511,1,MATCH($B49,'Encargos e Benefícios'!$E$511:$AB$511,0),10,1)),0)
+_xlfn.IFNA(SUM((BJ$3&gt;='Gastos com Pessoal'!$E$7:$E$506)*(BJ$3&lt;='Gastos com Pessoal'!$F$7:$F$506)*(IF('Gastos com Pessoal'!$G$7:$G$506&lt;=BJ$3,1,0))*OFFSET('Gastos com Pessoal'!$H$6,1,MATCH(1&amp;$B49,'Gastos com Pessoal'!$I$532:$AJ$532&amp;'Gastos com Pessoal'!$I$6:$AJ$6,0),500,1)),0)
+_xlfn.IFNA(SUM((BJ$3&gt;='Gastos com Pessoal'!$E$7:$E$506)*(BJ$3&lt;='Gastos com Pessoal'!$F$7:$F$506)*(IF('Gastos com Pessoal'!$M$7:$M$506&lt;=BJ$3,1,0))*OFFSET('Gastos com Pessoal'!$H$6,1,MATCH(2&amp;$B49,'Gastos com Pessoal'!$I$532:$AJ$532&amp;'Gastos com Pessoal'!$I$6:$AJ$6,0),500,1)),0)
+_xlfn.IFNA(SUM((BJ$3&gt;='Gastos com Pessoal'!$E$7:$E$506)*(BJ$3&lt;='Gastos com Pessoal'!$F$7:$F$506)*(IF('Gastos com Pessoal'!$S$7:$S$506&lt;=BJ$3,1,0))*OFFSET('Gastos com Pessoal'!$H$6,1,MATCH(3&amp;$B49,'Gastos com Pessoal'!$I$532:$AJ$532&amp;'Gastos com Pessoal'!$I$6:$AJ$6,0),500,1)),0)
+_xlfn.IFNA(SUM((BJ$3&gt;='Gastos com Pessoal'!$E$7:$E$506)*(BJ$3&lt;='Gastos com Pessoal'!$F$7:$F$506)*(IF('Gastos com Pessoal'!$Y$7:$Y$506&lt;=BJ$3,1,0))*OFFSET('Gastos com Pessoal'!$H$6,1,MATCH(4&amp;$B49,'Gastos com Pessoal'!$I$532:$AJ$532&amp;'Gastos com Pessoal'!$I$6:$AJ$6,0),500,1)),0)
+_xlfn.IFNA(SUM((BJ$3&gt;='Gastos com Pessoal'!$E$7:$E$506)*(BJ$3&lt;='Gastos com Pessoal'!$F$7:$F$506)*(IF('Gastos com Pessoal'!$AE$7:$AE$506&lt;=BJ$3,1,0))*OFFSET('Gastos com Pessoal'!$H$6,1,MATCH(5&amp;$B49,'Gastos com Pessoal'!$I$532:$AJ$532&amp;'Gastos com Pessoal'!$I$6:$AJ$6,0),500,1)),0)
+_xlfn.IFNA(SUM((BJ$3&gt;='Gastos com Pessoal'!$E$513:$E$522)*(BJ$3&lt;='Gastos com Pessoal'!$F$513:$F$522)*(IF('Gastos com Pessoal'!$G$513:$G$522&lt;=BJ$3,1,0))*OFFSET('Gastos com Pessoal'!$H$512,1,MATCH(1&amp;$B49,'Gastos com Pessoal'!$I$532:$AJ$532&amp;'Gastos com Pessoal'!$I$512:$AJ$512,0),10,1)),0)
+_xlfn.IFNA(SUM((BJ$3&gt;='Gastos com Pessoal'!$E$513:$E$522)*(BJ$3&lt;='Gastos com Pessoal'!$F$513:$F$522)*(IF('Gastos com Pessoal'!$M$513:$M$522&lt;=BJ$3,1,0))*OFFSET('Gastos com Pessoal'!$H$512,1,MATCH(2&amp;$B49,'Gastos com Pessoal'!$I$532:$AJ$532&amp;'Gastos com Pessoal'!$I$512:$AJ$512,0),10,1)),0)
+_xlfn.IFNA(SUM((BJ$3&gt;='Gastos com Pessoal'!$E$513:$E$522)*(BJ$3&lt;='Gastos com Pessoal'!$F$513:$F$522)*(IF('Gastos com Pessoal'!$S$513:$S$522&lt;=BJ$3,1,0))*OFFSET('Gastos com Pessoal'!$H$512,1,MATCH(3&amp;$B49,'Gastos com Pessoal'!$I$532:$AJ$532&amp;'Gastos com Pessoal'!$I$512:$AJ$512,0),10,1)),0)
+_xlfn.IFNA(SUM((BJ$3&gt;='Gastos com Pessoal'!$E$513:$E$522)*(BJ$3&lt;='Gastos com Pessoal'!$F$513:$F$522)*(IF('Gastos com Pessoal'!$Y$513:$Y$522&lt;=BJ$3,1,0))*OFFSET('Gastos com Pessoal'!$H$512,1,MATCH(4&amp;$B49,'Gastos com Pessoal'!$I$532:$AJ$532&amp;'Gastos com Pessoal'!$I$512:$AJ$512,0),10,1)),0)
+_xlfn.IFNA(SUM((BJ$3&gt;='Gastos com Pessoal'!$E$513:$E$522)*(BJ$3&lt;='Gastos com Pessoal'!$F$513:$F$522)*(IF('Gastos com Pessoal'!$AE$513:$AE$522&lt;=BJ$3,1,0))*OFFSET('Gastos com Pessoal'!$H$512,1,MATCH(5&amp;$B49,'Gastos com Pessoal'!$I$532:$AJ$532&amp;'Gastos com Pessoal'!$I$512:$AJ$512,0),10,1)),0)</f>
        <v>0</v>
      </c>
      <c r="BK49" s="71">
        <f t="shared" ca="1" si="20"/>
        <v>1872000</v>
      </c>
      <c r="BL49" s="76">
        <f t="shared" ca="1" si="21"/>
        <v>5.10606425239616E-3</v>
      </c>
    </row>
    <row r="50" spans="1:64" s="49" customFormat="1" ht="23.25" customHeight="1" x14ac:dyDescent="0.2">
      <c r="A50" s="18" t="s">
        <v>173</v>
      </c>
      <c r="B50" s="12" t="s">
        <v>174</v>
      </c>
      <c r="C50" s="32">
        <f t="array" aca="1" ref="C50" ca="1">_xlfn.IFNA(SUM((C$3&gt;='Gastos com Pessoal'!$E$7:$E$506)*(C$3&lt;='Gastos com Pessoal'!$F$7:$F$506)*OFFSET('Encargos e Benefícios'!$D$5,1,MATCH($B50,'Encargos e Benefícios'!$E$5:$AB$5,0),500,1)),0)
+_xlfn.IFNA(SUM((C$3&gt;='Gastos com Pessoal'!$E$513:$E$522)*(C$3&lt;='Gastos com Pessoal'!$F$513:$F$522)*OFFSET('Encargos e Benefícios'!$D$511,1,MATCH($B50,'Encargos e Benefícios'!$E$511:$AB$511,0),10,1)),0)
+_xlfn.IFNA(SUM((C$3&gt;='Gastos com Pessoal'!$E$7:$E$506)*(C$3&lt;='Gastos com Pessoal'!$F$7:$F$506)*(IF('Gastos com Pessoal'!$G$7:$G$506&lt;=C$3,1,0))*OFFSET('Gastos com Pessoal'!$H$6,1,MATCH(1&amp;$B50,'Gastos com Pessoal'!$I$532:$AJ$532&amp;'Gastos com Pessoal'!$I$6:$AJ$6,0),500,1)),0)
+_xlfn.IFNA(SUM((C$3&gt;='Gastos com Pessoal'!$E$7:$E$506)*(C$3&lt;='Gastos com Pessoal'!$F$7:$F$506)*(IF('Gastos com Pessoal'!$M$7:$M$506&lt;=C$3,1,0))*OFFSET('Gastos com Pessoal'!$H$6,1,MATCH(2&amp;$B50,'Gastos com Pessoal'!$I$532:$AJ$532&amp;'Gastos com Pessoal'!$I$6:$AJ$6,0),500,1)),0)
+_xlfn.IFNA(SUM((C$3&gt;='Gastos com Pessoal'!$E$7:$E$506)*(C$3&lt;='Gastos com Pessoal'!$F$7:$F$506)*(IF('Gastos com Pessoal'!$S$7:$S$506&lt;=C$3,1,0))*OFFSET('Gastos com Pessoal'!$H$6,1,MATCH(3&amp;$B50,'Gastos com Pessoal'!$I$532:$AJ$532&amp;'Gastos com Pessoal'!$I$6:$AJ$6,0),500,1)),0)
+_xlfn.IFNA(SUM((C$3&gt;='Gastos com Pessoal'!$E$7:$E$506)*(C$3&lt;='Gastos com Pessoal'!$F$7:$F$506)*(IF('Gastos com Pessoal'!$Y$7:$Y$506&lt;=C$3,1,0))*OFFSET('Gastos com Pessoal'!$H$6,1,MATCH(4&amp;$B50,'Gastos com Pessoal'!$I$532:$AJ$532&amp;'Gastos com Pessoal'!$I$6:$AJ$6,0),500,1)),0)
+_xlfn.IFNA(SUM((C$3&gt;='Gastos com Pessoal'!$E$7:$E$506)*(C$3&lt;='Gastos com Pessoal'!$F$7:$F$506)*(IF('Gastos com Pessoal'!$AE$7:$AE$506&lt;=C$3,1,0))*OFFSET('Gastos com Pessoal'!$H$6,1,MATCH(5&amp;$B50,'Gastos com Pessoal'!$I$532:$AJ$532&amp;'Gastos com Pessoal'!$I$6:$AJ$6,0),500,1)),0)
+_xlfn.IFNA(SUM((C$3&gt;='Gastos com Pessoal'!$E$513:$E$522)*(C$3&lt;='Gastos com Pessoal'!$F$513:$F$522)*(IF('Gastos com Pessoal'!$G$513:$G$522&lt;=C$3,1,0))*OFFSET('Gastos com Pessoal'!$H$512,1,MATCH(1&amp;$B50,'Gastos com Pessoal'!$I$532:$AJ$532&amp;'Gastos com Pessoal'!$I$512:$AJ$512,0),10,1)),0)
+_xlfn.IFNA(SUM((C$3&gt;='Gastos com Pessoal'!$E$513:$E$522)*(C$3&lt;='Gastos com Pessoal'!$F$513:$F$522)*(IF('Gastos com Pessoal'!$M$513:$M$522&lt;=C$3,1,0))*OFFSET('Gastos com Pessoal'!$H$512,1,MATCH(2&amp;$B50,'Gastos com Pessoal'!$I$532:$AJ$532&amp;'Gastos com Pessoal'!$I$512:$AJ$512,0),10,1)),0)
+_xlfn.IFNA(SUM((C$3&gt;='Gastos com Pessoal'!$E$513:$E$522)*(C$3&lt;='Gastos com Pessoal'!$F$513:$F$522)*(IF('Gastos com Pessoal'!$S$513:$S$522&lt;=C$3,1,0))*OFFSET('Gastos com Pessoal'!$H$512,1,MATCH(3&amp;$B50,'Gastos com Pessoal'!$I$532:$AJ$532&amp;'Gastos com Pessoal'!$I$512:$AJ$512,0),10,1)),0)
+_xlfn.IFNA(SUM((C$3&gt;='Gastos com Pessoal'!$E$513:$E$522)*(C$3&lt;='Gastos com Pessoal'!$F$513:$F$522)*(IF('Gastos com Pessoal'!$Y$513:$Y$522&lt;=C$3,1,0))*OFFSET('Gastos com Pessoal'!$H$512,1,MATCH(4&amp;$B50,'Gastos com Pessoal'!$I$532:$AJ$532&amp;'Gastos com Pessoal'!$I$512:$AJ$512,0),10,1)),0)
+_xlfn.IFNA(SUM((C$3&gt;='Gastos com Pessoal'!$E$513:$E$522)*(C$3&lt;='Gastos com Pessoal'!$F$513:$F$522)*(IF('Gastos com Pessoal'!$AE$513:$AE$522&lt;=C$3,1,0))*OFFSET('Gastos com Pessoal'!$H$512,1,MATCH(5&amp;$B50,'Gastos com Pessoal'!$I$532:$AJ$532&amp;'Gastos com Pessoal'!$I$512:$AJ$512,0),10,1)),0)</f>
        <v>434520</v>
      </c>
      <c r="D50" s="32">
        <f t="array" aca="1" ref="D50" ca="1">_xlfn.IFNA(SUM((D$3&gt;='Gastos com Pessoal'!$E$7:$E$506)*(D$3&lt;='Gastos com Pessoal'!$F$7:$F$506)*OFFSET('Encargos e Benefícios'!$D$5,1,MATCH($B50,'Encargos e Benefícios'!$E$5:$AB$5,0),500,1)),0)
+_xlfn.IFNA(SUM((D$3&gt;='Gastos com Pessoal'!$E$513:$E$522)*(D$3&lt;='Gastos com Pessoal'!$F$513:$F$522)*OFFSET('Encargos e Benefícios'!$D$511,1,MATCH($B50,'Encargos e Benefícios'!$E$511:$AB$511,0),10,1)),0)
+_xlfn.IFNA(SUM((D$3&gt;='Gastos com Pessoal'!$E$7:$E$506)*(D$3&lt;='Gastos com Pessoal'!$F$7:$F$506)*(IF('Gastos com Pessoal'!$G$7:$G$506&lt;=D$3,1,0))*OFFSET('Gastos com Pessoal'!$H$6,1,MATCH(1&amp;$B50,'Gastos com Pessoal'!$I$532:$AJ$532&amp;'Gastos com Pessoal'!$I$6:$AJ$6,0),500,1)),0)
+_xlfn.IFNA(SUM((D$3&gt;='Gastos com Pessoal'!$E$7:$E$506)*(D$3&lt;='Gastos com Pessoal'!$F$7:$F$506)*(IF('Gastos com Pessoal'!$M$7:$M$506&lt;=D$3,1,0))*OFFSET('Gastos com Pessoal'!$H$6,1,MATCH(2&amp;$B50,'Gastos com Pessoal'!$I$532:$AJ$532&amp;'Gastos com Pessoal'!$I$6:$AJ$6,0),500,1)),0)
+_xlfn.IFNA(SUM((D$3&gt;='Gastos com Pessoal'!$E$7:$E$506)*(D$3&lt;='Gastos com Pessoal'!$F$7:$F$506)*(IF('Gastos com Pessoal'!$S$7:$S$506&lt;=D$3,1,0))*OFFSET('Gastos com Pessoal'!$H$6,1,MATCH(3&amp;$B50,'Gastos com Pessoal'!$I$532:$AJ$532&amp;'Gastos com Pessoal'!$I$6:$AJ$6,0),500,1)),0)
+_xlfn.IFNA(SUM((D$3&gt;='Gastos com Pessoal'!$E$7:$E$506)*(D$3&lt;='Gastos com Pessoal'!$F$7:$F$506)*(IF('Gastos com Pessoal'!$Y$7:$Y$506&lt;=D$3,1,0))*OFFSET('Gastos com Pessoal'!$H$6,1,MATCH(4&amp;$B50,'Gastos com Pessoal'!$I$532:$AJ$532&amp;'Gastos com Pessoal'!$I$6:$AJ$6,0),500,1)),0)
+_xlfn.IFNA(SUM((D$3&gt;='Gastos com Pessoal'!$E$7:$E$506)*(D$3&lt;='Gastos com Pessoal'!$F$7:$F$506)*(IF('Gastos com Pessoal'!$AE$7:$AE$506&lt;=D$3,1,0))*OFFSET('Gastos com Pessoal'!$H$6,1,MATCH(5&amp;$B50,'Gastos com Pessoal'!$I$532:$AJ$532&amp;'Gastos com Pessoal'!$I$6:$AJ$6,0),500,1)),0)
+_xlfn.IFNA(SUM((D$3&gt;='Gastos com Pessoal'!$E$513:$E$522)*(D$3&lt;='Gastos com Pessoal'!$F$513:$F$522)*(IF('Gastos com Pessoal'!$G$513:$G$522&lt;=D$3,1,0))*OFFSET('Gastos com Pessoal'!$H$512,1,MATCH(1&amp;$B50,'Gastos com Pessoal'!$I$532:$AJ$532&amp;'Gastos com Pessoal'!$I$512:$AJ$512,0),10,1)),0)
+_xlfn.IFNA(SUM((D$3&gt;='Gastos com Pessoal'!$E$513:$E$522)*(D$3&lt;='Gastos com Pessoal'!$F$513:$F$522)*(IF('Gastos com Pessoal'!$M$513:$M$522&lt;=D$3,1,0))*OFFSET('Gastos com Pessoal'!$H$512,1,MATCH(2&amp;$B50,'Gastos com Pessoal'!$I$532:$AJ$532&amp;'Gastos com Pessoal'!$I$512:$AJ$512,0),10,1)),0)
+_xlfn.IFNA(SUM((D$3&gt;='Gastos com Pessoal'!$E$513:$E$522)*(D$3&lt;='Gastos com Pessoal'!$F$513:$F$522)*(IF('Gastos com Pessoal'!$S$513:$S$522&lt;=D$3,1,0))*OFFSET('Gastos com Pessoal'!$H$512,1,MATCH(3&amp;$B50,'Gastos com Pessoal'!$I$532:$AJ$532&amp;'Gastos com Pessoal'!$I$512:$AJ$512,0),10,1)),0)
+_xlfn.IFNA(SUM((D$3&gt;='Gastos com Pessoal'!$E$513:$E$522)*(D$3&lt;='Gastos com Pessoal'!$F$513:$F$522)*(IF('Gastos com Pessoal'!$Y$513:$Y$522&lt;=D$3,1,0))*OFFSET('Gastos com Pessoal'!$H$512,1,MATCH(4&amp;$B50,'Gastos com Pessoal'!$I$532:$AJ$532&amp;'Gastos com Pessoal'!$I$512:$AJ$512,0),10,1)),0)
+_xlfn.IFNA(SUM((D$3&gt;='Gastos com Pessoal'!$E$513:$E$522)*(D$3&lt;='Gastos com Pessoal'!$F$513:$F$522)*(IF('Gastos com Pessoal'!$AE$513:$AE$522&lt;=D$3,1,0))*OFFSET('Gastos com Pessoal'!$H$512,1,MATCH(5&amp;$B50,'Gastos com Pessoal'!$I$532:$AJ$532&amp;'Gastos com Pessoal'!$I$512:$AJ$512,0),10,1)),0)</f>
        <v>434520</v>
      </c>
      <c r="E50" s="32">
        <f t="array" aca="1" ref="E50" ca="1">_xlfn.IFNA(SUM((E$3&gt;='Gastos com Pessoal'!$E$7:$E$506)*(E$3&lt;='Gastos com Pessoal'!$F$7:$F$506)*OFFSET('Encargos e Benefícios'!$D$5,1,MATCH($B50,'Encargos e Benefícios'!$E$5:$AB$5,0),500,1)),0)
+_xlfn.IFNA(SUM((E$3&gt;='Gastos com Pessoal'!$E$513:$E$522)*(E$3&lt;='Gastos com Pessoal'!$F$513:$F$522)*OFFSET('Encargos e Benefícios'!$D$511,1,MATCH($B50,'Encargos e Benefícios'!$E$511:$AB$511,0),10,1)),0)
+_xlfn.IFNA(SUM((E$3&gt;='Gastos com Pessoal'!$E$7:$E$506)*(E$3&lt;='Gastos com Pessoal'!$F$7:$F$506)*(IF('Gastos com Pessoal'!$G$7:$G$506&lt;=E$3,1,0))*OFFSET('Gastos com Pessoal'!$H$6,1,MATCH(1&amp;$B50,'Gastos com Pessoal'!$I$532:$AJ$532&amp;'Gastos com Pessoal'!$I$6:$AJ$6,0),500,1)),0)
+_xlfn.IFNA(SUM((E$3&gt;='Gastos com Pessoal'!$E$7:$E$506)*(E$3&lt;='Gastos com Pessoal'!$F$7:$F$506)*(IF('Gastos com Pessoal'!$M$7:$M$506&lt;=E$3,1,0))*OFFSET('Gastos com Pessoal'!$H$6,1,MATCH(2&amp;$B50,'Gastos com Pessoal'!$I$532:$AJ$532&amp;'Gastos com Pessoal'!$I$6:$AJ$6,0),500,1)),0)
+_xlfn.IFNA(SUM((E$3&gt;='Gastos com Pessoal'!$E$7:$E$506)*(E$3&lt;='Gastos com Pessoal'!$F$7:$F$506)*(IF('Gastos com Pessoal'!$S$7:$S$506&lt;=E$3,1,0))*OFFSET('Gastos com Pessoal'!$H$6,1,MATCH(3&amp;$B50,'Gastos com Pessoal'!$I$532:$AJ$532&amp;'Gastos com Pessoal'!$I$6:$AJ$6,0),500,1)),0)
+_xlfn.IFNA(SUM((E$3&gt;='Gastos com Pessoal'!$E$7:$E$506)*(E$3&lt;='Gastos com Pessoal'!$F$7:$F$506)*(IF('Gastos com Pessoal'!$Y$7:$Y$506&lt;=E$3,1,0))*OFFSET('Gastos com Pessoal'!$H$6,1,MATCH(4&amp;$B50,'Gastos com Pessoal'!$I$532:$AJ$532&amp;'Gastos com Pessoal'!$I$6:$AJ$6,0),500,1)),0)
+_xlfn.IFNA(SUM((E$3&gt;='Gastos com Pessoal'!$E$7:$E$506)*(E$3&lt;='Gastos com Pessoal'!$F$7:$F$506)*(IF('Gastos com Pessoal'!$AE$7:$AE$506&lt;=E$3,1,0))*OFFSET('Gastos com Pessoal'!$H$6,1,MATCH(5&amp;$B50,'Gastos com Pessoal'!$I$532:$AJ$532&amp;'Gastos com Pessoal'!$I$6:$AJ$6,0),500,1)),0)
+_xlfn.IFNA(SUM((E$3&gt;='Gastos com Pessoal'!$E$513:$E$522)*(E$3&lt;='Gastos com Pessoal'!$F$513:$F$522)*(IF('Gastos com Pessoal'!$G$513:$G$522&lt;=E$3,1,0))*OFFSET('Gastos com Pessoal'!$H$512,1,MATCH(1&amp;$B50,'Gastos com Pessoal'!$I$532:$AJ$532&amp;'Gastos com Pessoal'!$I$512:$AJ$512,0),10,1)),0)
+_xlfn.IFNA(SUM((E$3&gt;='Gastos com Pessoal'!$E$513:$E$522)*(E$3&lt;='Gastos com Pessoal'!$F$513:$F$522)*(IF('Gastos com Pessoal'!$M$513:$M$522&lt;=E$3,1,0))*OFFSET('Gastos com Pessoal'!$H$512,1,MATCH(2&amp;$B50,'Gastos com Pessoal'!$I$532:$AJ$532&amp;'Gastos com Pessoal'!$I$512:$AJ$512,0),10,1)),0)
+_xlfn.IFNA(SUM((E$3&gt;='Gastos com Pessoal'!$E$513:$E$522)*(E$3&lt;='Gastos com Pessoal'!$F$513:$F$522)*(IF('Gastos com Pessoal'!$S$513:$S$522&lt;=E$3,1,0))*OFFSET('Gastos com Pessoal'!$H$512,1,MATCH(3&amp;$B50,'Gastos com Pessoal'!$I$532:$AJ$532&amp;'Gastos com Pessoal'!$I$512:$AJ$512,0),10,1)),0)
+_xlfn.IFNA(SUM((E$3&gt;='Gastos com Pessoal'!$E$513:$E$522)*(E$3&lt;='Gastos com Pessoal'!$F$513:$F$522)*(IF('Gastos com Pessoal'!$Y$513:$Y$522&lt;=E$3,1,0))*OFFSET('Gastos com Pessoal'!$H$512,1,MATCH(4&amp;$B50,'Gastos com Pessoal'!$I$532:$AJ$532&amp;'Gastos com Pessoal'!$I$512:$AJ$512,0),10,1)),0)
+_xlfn.IFNA(SUM((E$3&gt;='Gastos com Pessoal'!$E$513:$E$522)*(E$3&lt;='Gastos com Pessoal'!$F$513:$F$522)*(IF('Gastos com Pessoal'!$AE$513:$AE$522&lt;=E$3,1,0))*OFFSET('Gastos com Pessoal'!$H$512,1,MATCH(5&amp;$B50,'Gastos com Pessoal'!$I$532:$AJ$532&amp;'Gastos com Pessoal'!$I$512:$AJ$512,0),10,1)),0)</f>
        <v>434520</v>
      </c>
      <c r="F50" s="32">
        <f t="array" aca="1" ref="F50" ca="1">_xlfn.IFNA(SUM((F$3&gt;='Gastos com Pessoal'!$E$7:$E$506)*(F$3&lt;='Gastos com Pessoal'!$F$7:$F$506)*OFFSET('Encargos e Benefícios'!$D$5,1,MATCH($B50,'Encargos e Benefícios'!$E$5:$AB$5,0),500,1)),0)
+_xlfn.IFNA(SUM((F$3&gt;='Gastos com Pessoal'!$E$513:$E$522)*(F$3&lt;='Gastos com Pessoal'!$F$513:$F$522)*OFFSET('Encargos e Benefícios'!$D$511,1,MATCH($B50,'Encargos e Benefícios'!$E$511:$AB$511,0),10,1)),0)
+_xlfn.IFNA(SUM((F$3&gt;='Gastos com Pessoal'!$E$7:$E$506)*(F$3&lt;='Gastos com Pessoal'!$F$7:$F$506)*(IF('Gastos com Pessoal'!$G$7:$G$506&lt;=F$3,1,0))*OFFSET('Gastos com Pessoal'!$H$6,1,MATCH(1&amp;$B50,'Gastos com Pessoal'!$I$532:$AJ$532&amp;'Gastos com Pessoal'!$I$6:$AJ$6,0),500,1)),0)
+_xlfn.IFNA(SUM((F$3&gt;='Gastos com Pessoal'!$E$7:$E$506)*(F$3&lt;='Gastos com Pessoal'!$F$7:$F$506)*(IF('Gastos com Pessoal'!$M$7:$M$506&lt;=F$3,1,0))*OFFSET('Gastos com Pessoal'!$H$6,1,MATCH(2&amp;$B50,'Gastos com Pessoal'!$I$532:$AJ$532&amp;'Gastos com Pessoal'!$I$6:$AJ$6,0),500,1)),0)
+_xlfn.IFNA(SUM((F$3&gt;='Gastos com Pessoal'!$E$7:$E$506)*(F$3&lt;='Gastos com Pessoal'!$F$7:$F$506)*(IF('Gastos com Pessoal'!$S$7:$S$506&lt;=F$3,1,0))*OFFSET('Gastos com Pessoal'!$H$6,1,MATCH(3&amp;$B50,'Gastos com Pessoal'!$I$532:$AJ$532&amp;'Gastos com Pessoal'!$I$6:$AJ$6,0),500,1)),0)
+_xlfn.IFNA(SUM((F$3&gt;='Gastos com Pessoal'!$E$7:$E$506)*(F$3&lt;='Gastos com Pessoal'!$F$7:$F$506)*(IF('Gastos com Pessoal'!$Y$7:$Y$506&lt;=F$3,1,0))*OFFSET('Gastos com Pessoal'!$H$6,1,MATCH(4&amp;$B50,'Gastos com Pessoal'!$I$532:$AJ$532&amp;'Gastos com Pessoal'!$I$6:$AJ$6,0),500,1)),0)
+_xlfn.IFNA(SUM((F$3&gt;='Gastos com Pessoal'!$E$7:$E$506)*(F$3&lt;='Gastos com Pessoal'!$F$7:$F$506)*(IF('Gastos com Pessoal'!$AE$7:$AE$506&lt;=F$3,1,0))*OFFSET('Gastos com Pessoal'!$H$6,1,MATCH(5&amp;$B50,'Gastos com Pessoal'!$I$532:$AJ$532&amp;'Gastos com Pessoal'!$I$6:$AJ$6,0),500,1)),0)
+_xlfn.IFNA(SUM((F$3&gt;='Gastos com Pessoal'!$E$513:$E$522)*(F$3&lt;='Gastos com Pessoal'!$F$513:$F$522)*(IF('Gastos com Pessoal'!$G$513:$G$522&lt;=F$3,1,0))*OFFSET('Gastos com Pessoal'!$H$512,1,MATCH(1&amp;$B50,'Gastos com Pessoal'!$I$532:$AJ$532&amp;'Gastos com Pessoal'!$I$512:$AJ$512,0),10,1)),0)
+_xlfn.IFNA(SUM((F$3&gt;='Gastos com Pessoal'!$E$513:$E$522)*(F$3&lt;='Gastos com Pessoal'!$F$513:$F$522)*(IF('Gastos com Pessoal'!$M$513:$M$522&lt;=F$3,1,0))*OFFSET('Gastos com Pessoal'!$H$512,1,MATCH(2&amp;$B50,'Gastos com Pessoal'!$I$532:$AJ$532&amp;'Gastos com Pessoal'!$I$512:$AJ$512,0),10,1)),0)
+_xlfn.IFNA(SUM((F$3&gt;='Gastos com Pessoal'!$E$513:$E$522)*(F$3&lt;='Gastos com Pessoal'!$F$513:$F$522)*(IF('Gastos com Pessoal'!$S$513:$S$522&lt;=F$3,1,0))*OFFSET('Gastos com Pessoal'!$H$512,1,MATCH(3&amp;$B50,'Gastos com Pessoal'!$I$532:$AJ$532&amp;'Gastos com Pessoal'!$I$512:$AJ$512,0),10,1)),0)
+_xlfn.IFNA(SUM((F$3&gt;='Gastos com Pessoal'!$E$513:$E$522)*(F$3&lt;='Gastos com Pessoal'!$F$513:$F$522)*(IF('Gastos com Pessoal'!$Y$513:$Y$522&lt;=F$3,1,0))*OFFSET('Gastos com Pessoal'!$H$512,1,MATCH(4&amp;$B50,'Gastos com Pessoal'!$I$532:$AJ$532&amp;'Gastos com Pessoal'!$I$512:$AJ$512,0),10,1)),0)
+_xlfn.IFNA(SUM((F$3&gt;='Gastos com Pessoal'!$E$513:$E$522)*(F$3&lt;='Gastos com Pessoal'!$F$513:$F$522)*(IF('Gastos com Pessoal'!$AE$513:$AE$522&lt;=F$3,1,0))*OFFSET('Gastos com Pessoal'!$H$512,1,MATCH(5&amp;$B50,'Gastos com Pessoal'!$I$532:$AJ$532&amp;'Gastos com Pessoal'!$I$512:$AJ$512,0),10,1)),0)</f>
        <v>434520</v>
      </c>
      <c r="G50" s="32">
        <f t="array" aca="1" ref="G50" ca="1">_xlfn.IFNA(SUM((G$3&gt;='Gastos com Pessoal'!$E$7:$E$506)*(G$3&lt;='Gastos com Pessoal'!$F$7:$F$506)*OFFSET('Encargos e Benefícios'!$D$5,1,MATCH($B50,'Encargos e Benefícios'!$E$5:$AB$5,0),500,1)),0)
+_xlfn.IFNA(SUM((G$3&gt;='Gastos com Pessoal'!$E$513:$E$522)*(G$3&lt;='Gastos com Pessoal'!$F$513:$F$522)*OFFSET('Encargos e Benefícios'!$D$511,1,MATCH($B50,'Encargos e Benefícios'!$E$511:$AB$511,0),10,1)),0)
+_xlfn.IFNA(SUM((G$3&gt;='Gastos com Pessoal'!$E$7:$E$506)*(G$3&lt;='Gastos com Pessoal'!$F$7:$F$506)*(IF('Gastos com Pessoal'!$G$7:$G$506&lt;=G$3,1,0))*OFFSET('Gastos com Pessoal'!$H$6,1,MATCH(1&amp;$B50,'Gastos com Pessoal'!$I$532:$AJ$532&amp;'Gastos com Pessoal'!$I$6:$AJ$6,0),500,1)),0)
+_xlfn.IFNA(SUM((G$3&gt;='Gastos com Pessoal'!$E$7:$E$506)*(G$3&lt;='Gastos com Pessoal'!$F$7:$F$506)*(IF('Gastos com Pessoal'!$M$7:$M$506&lt;=G$3,1,0))*OFFSET('Gastos com Pessoal'!$H$6,1,MATCH(2&amp;$B50,'Gastos com Pessoal'!$I$532:$AJ$532&amp;'Gastos com Pessoal'!$I$6:$AJ$6,0),500,1)),0)
+_xlfn.IFNA(SUM((G$3&gt;='Gastos com Pessoal'!$E$7:$E$506)*(G$3&lt;='Gastos com Pessoal'!$F$7:$F$506)*(IF('Gastos com Pessoal'!$S$7:$S$506&lt;=G$3,1,0))*OFFSET('Gastos com Pessoal'!$H$6,1,MATCH(3&amp;$B50,'Gastos com Pessoal'!$I$532:$AJ$532&amp;'Gastos com Pessoal'!$I$6:$AJ$6,0),500,1)),0)
+_xlfn.IFNA(SUM((G$3&gt;='Gastos com Pessoal'!$E$7:$E$506)*(G$3&lt;='Gastos com Pessoal'!$F$7:$F$506)*(IF('Gastos com Pessoal'!$Y$7:$Y$506&lt;=G$3,1,0))*OFFSET('Gastos com Pessoal'!$H$6,1,MATCH(4&amp;$B50,'Gastos com Pessoal'!$I$532:$AJ$532&amp;'Gastos com Pessoal'!$I$6:$AJ$6,0),500,1)),0)
+_xlfn.IFNA(SUM((G$3&gt;='Gastos com Pessoal'!$E$7:$E$506)*(G$3&lt;='Gastos com Pessoal'!$F$7:$F$506)*(IF('Gastos com Pessoal'!$AE$7:$AE$506&lt;=G$3,1,0))*OFFSET('Gastos com Pessoal'!$H$6,1,MATCH(5&amp;$B50,'Gastos com Pessoal'!$I$532:$AJ$532&amp;'Gastos com Pessoal'!$I$6:$AJ$6,0),500,1)),0)
+_xlfn.IFNA(SUM((G$3&gt;='Gastos com Pessoal'!$E$513:$E$522)*(G$3&lt;='Gastos com Pessoal'!$F$513:$F$522)*(IF('Gastos com Pessoal'!$G$513:$G$522&lt;=G$3,1,0))*OFFSET('Gastos com Pessoal'!$H$512,1,MATCH(1&amp;$B50,'Gastos com Pessoal'!$I$532:$AJ$532&amp;'Gastos com Pessoal'!$I$512:$AJ$512,0),10,1)),0)
+_xlfn.IFNA(SUM((G$3&gt;='Gastos com Pessoal'!$E$513:$E$522)*(G$3&lt;='Gastos com Pessoal'!$F$513:$F$522)*(IF('Gastos com Pessoal'!$M$513:$M$522&lt;=G$3,1,0))*OFFSET('Gastos com Pessoal'!$H$512,1,MATCH(2&amp;$B50,'Gastos com Pessoal'!$I$532:$AJ$532&amp;'Gastos com Pessoal'!$I$512:$AJ$512,0),10,1)),0)
+_xlfn.IFNA(SUM((G$3&gt;='Gastos com Pessoal'!$E$513:$E$522)*(G$3&lt;='Gastos com Pessoal'!$F$513:$F$522)*(IF('Gastos com Pessoal'!$S$513:$S$522&lt;=G$3,1,0))*OFFSET('Gastos com Pessoal'!$H$512,1,MATCH(3&amp;$B50,'Gastos com Pessoal'!$I$532:$AJ$532&amp;'Gastos com Pessoal'!$I$512:$AJ$512,0),10,1)),0)
+_xlfn.IFNA(SUM((G$3&gt;='Gastos com Pessoal'!$E$513:$E$522)*(G$3&lt;='Gastos com Pessoal'!$F$513:$F$522)*(IF('Gastos com Pessoal'!$Y$513:$Y$522&lt;=G$3,1,0))*OFFSET('Gastos com Pessoal'!$H$512,1,MATCH(4&amp;$B50,'Gastos com Pessoal'!$I$532:$AJ$532&amp;'Gastos com Pessoal'!$I$512:$AJ$512,0),10,1)),0)
+_xlfn.IFNA(SUM((G$3&gt;='Gastos com Pessoal'!$E$513:$E$522)*(G$3&lt;='Gastos com Pessoal'!$F$513:$F$522)*(IF('Gastos com Pessoal'!$AE$513:$AE$522&lt;=G$3,1,0))*OFFSET('Gastos com Pessoal'!$H$512,1,MATCH(5&amp;$B50,'Gastos com Pessoal'!$I$532:$AJ$532&amp;'Gastos com Pessoal'!$I$512:$AJ$512,0),10,1)),0)</f>
        <v>434520</v>
      </c>
      <c r="H50" s="32">
        <f t="array" aca="1" ref="H50" ca="1">_xlfn.IFNA(SUM((H$3&gt;='Gastos com Pessoal'!$E$7:$E$506)*(H$3&lt;='Gastos com Pessoal'!$F$7:$F$506)*OFFSET('Encargos e Benefícios'!$D$5,1,MATCH($B50,'Encargos e Benefícios'!$E$5:$AB$5,0),500,1)),0)
+_xlfn.IFNA(SUM((H$3&gt;='Gastos com Pessoal'!$E$513:$E$522)*(H$3&lt;='Gastos com Pessoal'!$F$513:$F$522)*OFFSET('Encargos e Benefícios'!$D$511,1,MATCH($B50,'Encargos e Benefícios'!$E$511:$AB$511,0),10,1)),0)
+_xlfn.IFNA(SUM((H$3&gt;='Gastos com Pessoal'!$E$7:$E$506)*(H$3&lt;='Gastos com Pessoal'!$F$7:$F$506)*(IF('Gastos com Pessoal'!$G$7:$G$506&lt;=H$3,1,0))*OFFSET('Gastos com Pessoal'!$H$6,1,MATCH(1&amp;$B50,'Gastos com Pessoal'!$I$532:$AJ$532&amp;'Gastos com Pessoal'!$I$6:$AJ$6,0),500,1)),0)
+_xlfn.IFNA(SUM((H$3&gt;='Gastos com Pessoal'!$E$7:$E$506)*(H$3&lt;='Gastos com Pessoal'!$F$7:$F$506)*(IF('Gastos com Pessoal'!$M$7:$M$506&lt;=H$3,1,0))*OFFSET('Gastos com Pessoal'!$H$6,1,MATCH(2&amp;$B50,'Gastos com Pessoal'!$I$532:$AJ$532&amp;'Gastos com Pessoal'!$I$6:$AJ$6,0),500,1)),0)
+_xlfn.IFNA(SUM((H$3&gt;='Gastos com Pessoal'!$E$7:$E$506)*(H$3&lt;='Gastos com Pessoal'!$F$7:$F$506)*(IF('Gastos com Pessoal'!$S$7:$S$506&lt;=H$3,1,0))*OFFSET('Gastos com Pessoal'!$H$6,1,MATCH(3&amp;$B50,'Gastos com Pessoal'!$I$532:$AJ$532&amp;'Gastos com Pessoal'!$I$6:$AJ$6,0),500,1)),0)
+_xlfn.IFNA(SUM((H$3&gt;='Gastos com Pessoal'!$E$7:$E$506)*(H$3&lt;='Gastos com Pessoal'!$F$7:$F$506)*(IF('Gastos com Pessoal'!$Y$7:$Y$506&lt;=H$3,1,0))*OFFSET('Gastos com Pessoal'!$H$6,1,MATCH(4&amp;$B50,'Gastos com Pessoal'!$I$532:$AJ$532&amp;'Gastos com Pessoal'!$I$6:$AJ$6,0),500,1)),0)
+_xlfn.IFNA(SUM((H$3&gt;='Gastos com Pessoal'!$E$7:$E$506)*(H$3&lt;='Gastos com Pessoal'!$F$7:$F$506)*(IF('Gastos com Pessoal'!$AE$7:$AE$506&lt;=H$3,1,0))*OFFSET('Gastos com Pessoal'!$H$6,1,MATCH(5&amp;$B50,'Gastos com Pessoal'!$I$532:$AJ$532&amp;'Gastos com Pessoal'!$I$6:$AJ$6,0),500,1)),0)
+_xlfn.IFNA(SUM((H$3&gt;='Gastos com Pessoal'!$E$513:$E$522)*(H$3&lt;='Gastos com Pessoal'!$F$513:$F$522)*(IF('Gastos com Pessoal'!$G$513:$G$522&lt;=H$3,1,0))*OFFSET('Gastos com Pessoal'!$H$512,1,MATCH(1&amp;$B50,'Gastos com Pessoal'!$I$532:$AJ$532&amp;'Gastos com Pessoal'!$I$512:$AJ$512,0),10,1)),0)
+_xlfn.IFNA(SUM((H$3&gt;='Gastos com Pessoal'!$E$513:$E$522)*(H$3&lt;='Gastos com Pessoal'!$F$513:$F$522)*(IF('Gastos com Pessoal'!$M$513:$M$522&lt;=H$3,1,0))*OFFSET('Gastos com Pessoal'!$H$512,1,MATCH(2&amp;$B50,'Gastos com Pessoal'!$I$532:$AJ$532&amp;'Gastos com Pessoal'!$I$512:$AJ$512,0),10,1)),0)
+_xlfn.IFNA(SUM((H$3&gt;='Gastos com Pessoal'!$E$513:$E$522)*(H$3&lt;='Gastos com Pessoal'!$F$513:$F$522)*(IF('Gastos com Pessoal'!$S$513:$S$522&lt;=H$3,1,0))*OFFSET('Gastos com Pessoal'!$H$512,1,MATCH(3&amp;$B50,'Gastos com Pessoal'!$I$532:$AJ$532&amp;'Gastos com Pessoal'!$I$512:$AJ$512,0),10,1)),0)
+_xlfn.IFNA(SUM((H$3&gt;='Gastos com Pessoal'!$E$513:$E$522)*(H$3&lt;='Gastos com Pessoal'!$F$513:$F$522)*(IF('Gastos com Pessoal'!$Y$513:$Y$522&lt;=H$3,1,0))*OFFSET('Gastos com Pessoal'!$H$512,1,MATCH(4&amp;$B50,'Gastos com Pessoal'!$I$532:$AJ$532&amp;'Gastos com Pessoal'!$I$512:$AJ$512,0),10,1)),0)
+_xlfn.IFNA(SUM((H$3&gt;='Gastos com Pessoal'!$E$513:$E$522)*(H$3&lt;='Gastos com Pessoal'!$F$513:$F$522)*(IF('Gastos com Pessoal'!$AE$513:$AE$522&lt;=H$3,1,0))*OFFSET('Gastos com Pessoal'!$H$512,1,MATCH(5&amp;$B50,'Gastos com Pessoal'!$I$532:$AJ$532&amp;'Gastos com Pessoal'!$I$512:$AJ$512,0),10,1)),0)</f>
        <v>434520</v>
      </c>
      <c r="I50" s="32">
        <f t="array" aca="1" ref="I50" ca="1">_xlfn.IFNA(SUM((I$3&gt;='Gastos com Pessoal'!$E$7:$E$506)*(I$3&lt;='Gastos com Pessoal'!$F$7:$F$506)*OFFSET('Encargos e Benefícios'!$D$5,1,MATCH($B50,'Encargos e Benefícios'!$E$5:$AB$5,0),500,1)),0)
+_xlfn.IFNA(SUM((I$3&gt;='Gastos com Pessoal'!$E$513:$E$522)*(I$3&lt;='Gastos com Pessoal'!$F$513:$F$522)*OFFSET('Encargos e Benefícios'!$D$511,1,MATCH($B50,'Encargos e Benefícios'!$E$511:$AB$511,0),10,1)),0)
+_xlfn.IFNA(SUM((I$3&gt;='Gastos com Pessoal'!$E$7:$E$506)*(I$3&lt;='Gastos com Pessoal'!$F$7:$F$506)*(IF('Gastos com Pessoal'!$G$7:$G$506&lt;=I$3,1,0))*OFFSET('Gastos com Pessoal'!$H$6,1,MATCH(1&amp;$B50,'Gastos com Pessoal'!$I$532:$AJ$532&amp;'Gastos com Pessoal'!$I$6:$AJ$6,0),500,1)),0)
+_xlfn.IFNA(SUM((I$3&gt;='Gastos com Pessoal'!$E$7:$E$506)*(I$3&lt;='Gastos com Pessoal'!$F$7:$F$506)*(IF('Gastos com Pessoal'!$M$7:$M$506&lt;=I$3,1,0))*OFFSET('Gastos com Pessoal'!$H$6,1,MATCH(2&amp;$B50,'Gastos com Pessoal'!$I$532:$AJ$532&amp;'Gastos com Pessoal'!$I$6:$AJ$6,0),500,1)),0)
+_xlfn.IFNA(SUM((I$3&gt;='Gastos com Pessoal'!$E$7:$E$506)*(I$3&lt;='Gastos com Pessoal'!$F$7:$F$506)*(IF('Gastos com Pessoal'!$S$7:$S$506&lt;=I$3,1,0))*OFFSET('Gastos com Pessoal'!$H$6,1,MATCH(3&amp;$B50,'Gastos com Pessoal'!$I$532:$AJ$532&amp;'Gastos com Pessoal'!$I$6:$AJ$6,0),500,1)),0)
+_xlfn.IFNA(SUM((I$3&gt;='Gastos com Pessoal'!$E$7:$E$506)*(I$3&lt;='Gastos com Pessoal'!$F$7:$F$506)*(IF('Gastos com Pessoal'!$Y$7:$Y$506&lt;=I$3,1,0))*OFFSET('Gastos com Pessoal'!$H$6,1,MATCH(4&amp;$B50,'Gastos com Pessoal'!$I$532:$AJ$532&amp;'Gastos com Pessoal'!$I$6:$AJ$6,0),500,1)),0)
+_xlfn.IFNA(SUM((I$3&gt;='Gastos com Pessoal'!$E$7:$E$506)*(I$3&lt;='Gastos com Pessoal'!$F$7:$F$506)*(IF('Gastos com Pessoal'!$AE$7:$AE$506&lt;=I$3,1,0))*OFFSET('Gastos com Pessoal'!$H$6,1,MATCH(5&amp;$B50,'Gastos com Pessoal'!$I$532:$AJ$532&amp;'Gastos com Pessoal'!$I$6:$AJ$6,0),500,1)),0)
+_xlfn.IFNA(SUM((I$3&gt;='Gastos com Pessoal'!$E$513:$E$522)*(I$3&lt;='Gastos com Pessoal'!$F$513:$F$522)*(IF('Gastos com Pessoal'!$G$513:$G$522&lt;=I$3,1,0))*OFFSET('Gastos com Pessoal'!$H$512,1,MATCH(1&amp;$B50,'Gastos com Pessoal'!$I$532:$AJ$532&amp;'Gastos com Pessoal'!$I$512:$AJ$512,0),10,1)),0)
+_xlfn.IFNA(SUM((I$3&gt;='Gastos com Pessoal'!$E$513:$E$522)*(I$3&lt;='Gastos com Pessoal'!$F$513:$F$522)*(IF('Gastos com Pessoal'!$M$513:$M$522&lt;=I$3,1,0))*OFFSET('Gastos com Pessoal'!$H$512,1,MATCH(2&amp;$B50,'Gastos com Pessoal'!$I$532:$AJ$532&amp;'Gastos com Pessoal'!$I$512:$AJ$512,0),10,1)),0)
+_xlfn.IFNA(SUM((I$3&gt;='Gastos com Pessoal'!$E$513:$E$522)*(I$3&lt;='Gastos com Pessoal'!$F$513:$F$522)*(IF('Gastos com Pessoal'!$S$513:$S$522&lt;=I$3,1,0))*OFFSET('Gastos com Pessoal'!$H$512,1,MATCH(3&amp;$B50,'Gastos com Pessoal'!$I$532:$AJ$532&amp;'Gastos com Pessoal'!$I$512:$AJ$512,0),10,1)),0)
+_xlfn.IFNA(SUM((I$3&gt;='Gastos com Pessoal'!$E$513:$E$522)*(I$3&lt;='Gastos com Pessoal'!$F$513:$F$522)*(IF('Gastos com Pessoal'!$Y$513:$Y$522&lt;=I$3,1,0))*OFFSET('Gastos com Pessoal'!$H$512,1,MATCH(4&amp;$B50,'Gastos com Pessoal'!$I$532:$AJ$532&amp;'Gastos com Pessoal'!$I$512:$AJ$512,0),10,1)),0)
+_xlfn.IFNA(SUM((I$3&gt;='Gastos com Pessoal'!$E$513:$E$522)*(I$3&lt;='Gastos com Pessoal'!$F$513:$F$522)*(IF('Gastos com Pessoal'!$AE$513:$AE$522&lt;=I$3,1,0))*OFFSET('Gastos com Pessoal'!$H$512,1,MATCH(5&amp;$B50,'Gastos com Pessoal'!$I$532:$AJ$532&amp;'Gastos com Pessoal'!$I$512:$AJ$512,0),10,1)),0)</f>
        <v>434520</v>
      </c>
      <c r="J50" s="32">
        <f t="array" aca="1" ref="J50" ca="1">_xlfn.IFNA(SUM((J$3&gt;='Gastos com Pessoal'!$E$7:$E$506)*(J$3&lt;='Gastos com Pessoal'!$F$7:$F$506)*OFFSET('Encargos e Benefícios'!$D$5,1,MATCH($B50,'Encargos e Benefícios'!$E$5:$AB$5,0),500,1)),0)
+_xlfn.IFNA(SUM((J$3&gt;='Gastos com Pessoal'!$E$513:$E$522)*(J$3&lt;='Gastos com Pessoal'!$F$513:$F$522)*OFFSET('Encargos e Benefícios'!$D$511,1,MATCH($B50,'Encargos e Benefícios'!$E$511:$AB$511,0),10,1)),0)
+_xlfn.IFNA(SUM((J$3&gt;='Gastos com Pessoal'!$E$7:$E$506)*(J$3&lt;='Gastos com Pessoal'!$F$7:$F$506)*(IF('Gastos com Pessoal'!$G$7:$G$506&lt;=J$3,1,0))*OFFSET('Gastos com Pessoal'!$H$6,1,MATCH(1&amp;$B50,'Gastos com Pessoal'!$I$532:$AJ$532&amp;'Gastos com Pessoal'!$I$6:$AJ$6,0),500,1)),0)
+_xlfn.IFNA(SUM((J$3&gt;='Gastos com Pessoal'!$E$7:$E$506)*(J$3&lt;='Gastos com Pessoal'!$F$7:$F$506)*(IF('Gastos com Pessoal'!$M$7:$M$506&lt;=J$3,1,0))*OFFSET('Gastos com Pessoal'!$H$6,1,MATCH(2&amp;$B50,'Gastos com Pessoal'!$I$532:$AJ$532&amp;'Gastos com Pessoal'!$I$6:$AJ$6,0),500,1)),0)
+_xlfn.IFNA(SUM((J$3&gt;='Gastos com Pessoal'!$E$7:$E$506)*(J$3&lt;='Gastos com Pessoal'!$F$7:$F$506)*(IF('Gastos com Pessoal'!$S$7:$S$506&lt;=J$3,1,0))*OFFSET('Gastos com Pessoal'!$H$6,1,MATCH(3&amp;$B50,'Gastos com Pessoal'!$I$532:$AJ$532&amp;'Gastos com Pessoal'!$I$6:$AJ$6,0),500,1)),0)
+_xlfn.IFNA(SUM((J$3&gt;='Gastos com Pessoal'!$E$7:$E$506)*(J$3&lt;='Gastos com Pessoal'!$F$7:$F$506)*(IF('Gastos com Pessoal'!$Y$7:$Y$506&lt;=J$3,1,0))*OFFSET('Gastos com Pessoal'!$H$6,1,MATCH(4&amp;$B50,'Gastos com Pessoal'!$I$532:$AJ$532&amp;'Gastos com Pessoal'!$I$6:$AJ$6,0),500,1)),0)
+_xlfn.IFNA(SUM((J$3&gt;='Gastos com Pessoal'!$E$7:$E$506)*(J$3&lt;='Gastos com Pessoal'!$F$7:$F$506)*(IF('Gastos com Pessoal'!$AE$7:$AE$506&lt;=J$3,1,0))*OFFSET('Gastos com Pessoal'!$H$6,1,MATCH(5&amp;$B50,'Gastos com Pessoal'!$I$532:$AJ$532&amp;'Gastos com Pessoal'!$I$6:$AJ$6,0),500,1)),0)
+_xlfn.IFNA(SUM((J$3&gt;='Gastos com Pessoal'!$E$513:$E$522)*(J$3&lt;='Gastos com Pessoal'!$F$513:$F$522)*(IF('Gastos com Pessoal'!$G$513:$G$522&lt;=J$3,1,0))*OFFSET('Gastos com Pessoal'!$H$512,1,MATCH(1&amp;$B50,'Gastos com Pessoal'!$I$532:$AJ$532&amp;'Gastos com Pessoal'!$I$512:$AJ$512,0),10,1)),0)
+_xlfn.IFNA(SUM((J$3&gt;='Gastos com Pessoal'!$E$513:$E$522)*(J$3&lt;='Gastos com Pessoal'!$F$513:$F$522)*(IF('Gastos com Pessoal'!$M$513:$M$522&lt;=J$3,1,0))*OFFSET('Gastos com Pessoal'!$H$512,1,MATCH(2&amp;$B50,'Gastos com Pessoal'!$I$532:$AJ$532&amp;'Gastos com Pessoal'!$I$512:$AJ$512,0),10,1)),0)
+_xlfn.IFNA(SUM((J$3&gt;='Gastos com Pessoal'!$E$513:$E$522)*(J$3&lt;='Gastos com Pessoal'!$F$513:$F$522)*(IF('Gastos com Pessoal'!$S$513:$S$522&lt;=J$3,1,0))*OFFSET('Gastos com Pessoal'!$H$512,1,MATCH(3&amp;$B50,'Gastos com Pessoal'!$I$532:$AJ$532&amp;'Gastos com Pessoal'!$I$512:$AJ$512,0),10,1)),0)
+_xlfn.IFNA(SUM((J$3&gt;='Gastos com Pessoal'!$E$513:$E$522)*(J$3&lt;='Gastos com Pessoal'!$F$513:$F$522)*(IF('Gastos com Pessoal'!$Y$513:$Y$522&lt;=J$3,1,0))*OFFSET('Gastos com Pessoal'!$H$512,1,MATCH(4&amp;$B50,'Gastos com Pessoal'!$I$532:$AJ$532&amp;'Gastos com Pessoal'!$I$512:$AJ$512,0),10,1)),0)
+_xlfn.IFNA(SUM((J$3&gt;='Gastos com Pessoal'!$E$513:$E$522)*(J$3&lt;='Gastos com Pessoal'!$F$513:$F$522)*(IF('Gastos com Pessoal'!$AE$513:$AE$522&lt;=J$3,1,0))*OFFSET('Gastos com Pessoal'!$H$512,1,MATCH(5&amp;$B50,'Gastos com Pessoal'!$I$532:$AJ$532&amp;'Gastos com Pessoal'!$I$512:$AJ$512,0),10,1)),0)</f>
        <v>434520</v>
      </c>
      <c r="K50" s="32">
        <f t="array" aca="1" ref="K50" ca="1">_xlfn.IFNA(SUM((K$3&gt;='Gastos com Pessoal'!$E$7:$E$506)*(K$3&lt;='Gastos com Pessoal'!$F$7:$F$506)*OFFSET('Encargos e Benefícios'!$D$5,1,MATCH($B50,'Encargos e Benefícios'!$E$5:$AB$5,0),500,1)),0)
+_xlfn.IFNA(SUM((K$3&gt;='Gastos com Pessoal'!$E$513:$E$522)*(K$3&lt;='Gastos com Pessoal'!$F$513:$F$522)*OFFSET('Encargos e Benefícios'!$D$511,1,MATCH($B50,'Encargos e Benefícios'!$E$511:$AB$511,0),10,1)),0)
+_xlfn.IFNA(SUM((K$3&gt;='Gastos com Pessoal'!$E$7:$E$506)*(K$3&lt;='Gastos com Pessoal'!$F$7:$F$506)*(IF('Gastos com Pessoal'!$G$7:$G$506&lt;=K$3,1,0))*OFFSET('Gastos com Pessoal'!$H$6,1,MATCH(1&amp;$B50,'Gastos com Pessoal'!$I$532:$AJ$532&amp;'Gastos com Pessoal'!$I$6:$AJ$6,0),500,1)),0)
+_xlfn.IFNA(SUM((K$3&gt;='Gastos com Pessoal'!$E$7:$E$506)*(K$3&lt;='Gastos com Pessoal'!$F$7:$F$506)*(IF('Gastos com Pessoal'!$M$7:$M$506&lt;=K$3,1,0))*OFFSET('Gastos com Pessoal'!$H$6,1,MATCH(2&amp;$B50,'Gastos com Pessoal'!$I$532:$AJ$532&amp;'Gastos com Pessoal'!$I$6:$AJ$6,0),500,1)),0)
+_xlfn.IFNA(SUM((K$3&gt;='Gastos com Pessoal'!$E$7:$E$506)*(K$3&lt;='Gastos com Pessoal'!$F$7:$F$506)*(IF('Gastos com Pessoal'!$S$7:$S$506&lt;=K$3,1,0))*OFFSET('Gastos com Pessoal'!$H$6,1,MATCH(3&amp;$B50,'Gastos com Pessoal'!$I$532:$AJ$532&amp;'Gastos com Pessoal'!$I$6:$AJ$6,0),500,1)),0)
+_xlfn.IFNA(SUM((K$3&gt;='Gastos com Pessoal'!$E$7:$E$506)*(K$3&lt;='Gastos com Pessoal'!$F$7:$F$506)*(IF('Gastos com Pessoal'!$Y$7:$Y$506&lt;=K$3,1,0))*OFFSET('Gastos com Pessoal'!$H$6,1,MATCH(4&amp;$B50,'Gastos com Pessoal'!$I$532:$AJ$532&amp;'Gastos com Pessoal'!$I$6:$AJ$6,0),500,1)),0)
+_xlfn.IFNA(SUM((K$3&gt;='Gastos com Pessoal'!$E$7:$E$506)*(K$3&lt;='Gastos com Pessoal'!$F$7:$F$506)*(IF('Gastos com Pessoal'!$AE$7:$AE$506&lt;=K$3,1,0))*OFFSET('Gastos com Pessoal'!$H$6,1,MATCH(5&amp;$B50,'Gastos com Pessoal'!$I$532:$AJ$532&amp;'Gastos com Pessoal'!$I$6:$AJ$6,0),500,1)),0)
+_xlfn.IFNA(SUM((K$3&gt;='Gastos com Pessoal'!$E$513:$E$522)*(K$3&lt;='Gastos com Pessoal'!$F$513:$F$522)*(IF('Gastos com Pessoal'!$G$513:$G$522&lt;=K$3,1,0))*OFFSET('Gastos com Pessoal'!$H$512,1,MATCH(1&amp;$B50,'Gastos com Pessoal'!$I$532:$AJ$532&amp;'Gastos com Pessoal'!$I$512:$AJ$512,0),10,1)),0)
+_xlfn.IFNA(SUM((K$3&gt;='Gastos com Pessoal'!$E$513:$E$522)*(K$3&lt;='Gastos com Pessoal'!$F$513:$F$522)*(IF('Gastos com Pessoal'!$M$513:$M$522&lt;=K$3,1,0))*OFFSET('Gastos com Pessoal'!$H$512,1,MATCH(2&amp;$B50,'Gastos com Pessoal'!$I$532:$AJ$532&amp;'Gastos com Pessoal'!$I$512:$AJ$512,0),10,1)),0)
+_xlfn.IFNA(SUM((K$3&gt;='Gastos com Pessoal'!$E$513:$E$522)*(K$3&lt;='Gastos com Pessoal'!$F$513:$F$522)*(IF('Gastos com Pessoal'!$S$513:$S$522&lt;=K$3,1,0))*OFFSET('Gastos com Pessoal'!$H$512,1,MATCH(3&amp;$B50,'Gastos com Pessoal'!$I$532:$AJ$532&amp;'Gastos com Pessoal'!$I$512:$AJ$512,0),10,1)),0)
+_xlfn.IFNA(SUM((K$3&gt;='Gastos com Pessoal'!$E$513:$E$522)*(K$3&lt;='Gastos com Pessoal'!$F$513:$F$522)*(IF('Gastos com Pessoal'!$Y$513:$Y$522&lt;=K$3,1,0))*OFFSET('Gastos com Pessoal'!$H$512,1,MATCH(4&amp;$B50,'Gastos com Pessoal'!$I$532:$AJ$532&amp;'Gastos com Pessoal'!$I$512:$AJ$512,0),10,1)),0)
+_xlfn.IFNA(SUM((K$3&gt;='Gastos com Pessoal'!$E$513:$E$522)*(K$3&lt;='Gastos com Pessoal'!$F$513:$F$522)*(IF('Gastos com Pessoal'!$AE$513:$AE$522&lt;=K$3,1,0))*OFFSET('Gastos com Pessoal'!$H$512,1,MATCH(5&amp;$B50,'Gastos com Pessoal'!$I$532:$AJ$532&amp;'Gastos com Pessoal'!$I$512:$AJ$512,0),10,1)),0)</f>
        <v>434520</v>
      </c>
      <c r="L50" s="32">
        <f t="array" aca="1" ref="L50" ca="1">_xlfn.IFNA(SUM((L$3&gt;='Gastos com Pessoal'!$E$7:$E$506)*(L$3&lt;='Gastos com Pessoal'!$F$7:$F$506)*OFFSET('Encargos e Benefícios'!$D$5,1,MATCH($B50,'Encargos e Benefícios'!$E$5:$AB$5,0),500,1)),0)
+_xlfn.IFNA(SUM((L$3&gt;='Gastos com Pessoal'!$E$513:$E$522)*(L$3&lt;='Gastos com Pessoal'!$F$513:$F$522)*OFFSET('Encargos e Benefícios'!$D$511,1,MATCH($B50,'Encargos e Benefícios'!$E$511:$AB$511,0),10,1)),0)
+_xlfn.IFNA(SUM((L$3&gt;='Gastos com Pessoal'!$E$7:$E$506)*(L$3&lt;='Gastos com Pessoal'!$F$7:$F$506)*(IF('Gastos com Pessoal'!$G$7:$G$506&lt;=L$3,1,0))*OFFSET('Gastos com Pessoal'!$H$6,1,MATCH(1&amp;$B50,'Gastos com Pessoal'!$I$532:$AJ$532&amp;'Gastos com Pessoal'!$I$6:$AJ$6,0),500,1)),0)
+_xlfn.IFNA(SUM((L$3&gt;='Gastos com Pessoal'!$E$7:$E$506)*(L$3&lt;='Gastos com Pessoal'!$F$7:$F$506)*(IF('Gastos com Pessoal'!$M$7:$M$506&lt;=L$3,1,0))*OFFSET('Gastos com Pessoal'!$H$6,1,MATCH(2&amp;$B50,'Gastos com Pessoal'!$I$532:$AJ$532&amp;'Gastos com Pessoal'!$I$6:$AJ$6,0),500,1)),0)
+_xlfn.IFNA(SUM((L$3&gt;='Gastos com Pessoal'!$E$7:$E$506)*(L$3&lt;='Gastos com Pessoal'!$F$7:$F$506)*(IF('Gastos com Pessoal'!$S$7:$S$506&lt;=L$3,1,0))*OFFSET('Gastos com Pessoal'!$H$6,1,MATCH(3&amp;$B50,'Gastos com Pessoal'!$I$532:$AJ$532&amp;'Gastos com Pessoal'!$I$6:$AJ$6,0),500,1)),0)
+_xlfn.IFNA(SUM((L$3&gt;='Gastos com Pessoal'!$E$7:$E$506)*(L$3&lt;='Gastos com Pessoal'!$F$7:$F$506)*(IF('Gastos com Pessoal'!$Y$7:$Y$506&lt;=L$3,1,0))*OFFSET('Gastos com Pessoal'!$H$6,1,MATCH(4&amp;$B50,'Gastos com Pessoal'!$I$532:$AJ$532&amp;'Gastos com Pessoal'!$I$6:$AJ$6,0),500,1)),0)
+_xlfn.IFNA(SUM((L$3&gt;='Gastos com Pessoal'!$E$7:$E$506)*(L$3&lt;='Gastos com Pessoal'!$F$7:$F$506)*(IF('Gastos com Pessoal'!$AE$7:$AE$506&lt;=L$3,1,0))*OFFSET('Gastos com Pessoal'!$H$6,1,MATCH(5&amp;$B50,'Gastos com Pessoal'!$I$532:$AJ$532&amp;'Gastos com Pessoal'!$I$6:$AJ$6,0),500,1)),0)
+_xlfn.IFNA(SUM((L$3&gt;='Gastos com Pessoal'!$E$513:$E$522)*(L$3&lt;='Gastos com Pessoal'!$F$513:$F$522)*(IF('Gastos com Pessoal'!$G$513:$G$522&lt;=L$3,1,0))*OFFSET('Gastos com Pessoal'!$H$512,1,MATCH(1&amp;$B50,'Gastos com Pessoal'!$I$532:$AJ$532&amp;'Gastos com Pessoal'!$I$512:$AJ$512,0),10,1)),0)
+_xlfn.IFNA(SUM((L$3&gt;='Gastos com Pessoal'!$E$513:$E$522)*(L$3&lt;='Gastos com Pessoal'!$F$513:$F$522)*(IF('Gastos com Pessoal'!$M$513:$M$522&lt;=L$3,1,0))*OFFSET('Gastos com Pessoal'!$H$512,1,MATCH(2&amp;$B50,'Gastos com Pessoal'!$I$532:$AJ$532&amp;'Gastos com Pessoal'!$I$512:$AJ$512,0),10,1)),0)
+_xlfn.IFNA(SUM((L$3&gt;='Gastos com Pessoal'!$E$513:$E$522)*(L$3&lt;='Gastos com Pessoal'!$F$513:$F$522)*(IF('Gastos com Pessoal'!$S$513:$S$522&lt;=L$3,1,0))*OFFSET('Gastos com Pessoal'!$H$512,1,MATCH(3&amp;$B50,'Gastos com Pessoal'!$I$532:$AJ$532&amp;'Gastos com Pessoal'!$I$512:$AJ$512,0),10,1)),0)
+_xlfn.IFNA(SUM((L$3&gt;='Gastos com Pessoal'!$E$513:$E$522)*(L$3&lt;='Gastos com Pessoal'!$F$513:$F$522)*(IF('Gastos com Pessoal'!$Y$513:$Y$522&lt;=L$3,1,0))*OFFSET('Gastos com Pessoal'!$H$512,1,MATCH(4&amp;$B50,'Gastos com Pessoal'!$I$532:$AJ$532&amp;'Gastos com Pessoal'!$I$512:$AJ$512,0),10,1)),0)
+_xlfn.IFNA(SUM((L$3&gt;='Gastos com Pessoal'!$E$513:$E$522)*(L$3&lt;='Gastos com Pessoal'!$F$513:$F$522)*(IF('Gastos com Pessoal'!$AE$513:$AE$522&lt;=L$3,1,0))*OFFSET('Gastos com Pessoal'!$H$512,1,MATCH(5&amp;$B50,'Gastos com Pessoal'!$I$532:$AJ$532&amp;'Gastos com Pessoal'!$I$512:$AJ$512,0),10,1)),0)</f>
        <v>434520</v>
      </c>
      <c r="M50" s="32">
        <f t="array" aca="1" ref="M50" ca="1">_xlfn.IFNA(SUM((M$3&gt;='Gastos com Pessoal'!$E$7:$E$506)*(M$3&lt;='Gastos com Pessoal'!$F$7:$F$506)*OFFSET('Encargos e Benefícios'!$D$5,1,MATCH($B50,'Encargos e Benefícios'!$E$5:$AB$5,0),500,1)),0)
+_xlfn.IFNA(SUM((M$3&gt;='Gastos com Pessoal'!$E$513:$E$522)*(M$3&lt;='Gastos com Pessoal'!$F$513:$F$522)*OFFSET('Encargos e Benefícios'!$D$511,1,MATCH($B50,'Encargos e Benefícios'!$E$511:$AB$511,0),10,1)),0)
+_xlfn.IFNA(SUM((M$3&gt;='Gastos com Pessoal'!$E$7:$E$506)*(M$3&lt;='Gastos com Pessoal'!$F$7:$F$506)*(IF('Gastos com Pessoal'!$G$7:$G$506&lt;=M$3,1,0))*OFFSET('Gastos com Pessoal'!$H$6,1,MATCH(1&amp;$B50,'Gastos com Pessoal'!$I$532:$AJ$532&amp;'Gastos com Pessoal'!$I$6:$AJ$6,0),500,1)),0)
+_xlfn.IFNA(SUM((M$3&gt;='Gastos com Pessoal'!$E$7:$E$506)*(M$3&lt;='Gastos com Pessoal'!$F$7:$F$506)*(IF('Gastos com Pessoal'!$M$7:$M$506&lt;=M$3,1,0))*OFFSET('Gastos com Pessoal'!$H$6,1,MATCH(2&amp;$B50,'Gastos com Pessoal'!$I$532:$AJ$532&amp;'Gastos com Pessoal'!$I$6:$AJ$6,0),500,1)),0)
+_xlfn.IFNA(SUM((M$3&gt;='Gastos com Pessoal'!$E$7:$E$506)*(M$3&lt;='Gastos com Pessoal'!$F$7:$F$506)*(IF('Gastos com Pessoal'!$S$7:$S$506&lt;=M$3,1,0))*OFFSET('Gastos com Pessoal'!$H$6,1,MATCH(3&amp;$B50,'Gastos com Pessoal'!$I$532:$AJ$532&amp;'Gastos com Pessoal'!$I$6:$AJ$6,0),500,1)),0)
+_xlfn.IFNA(SUM((M$3&gt;='Gastos com Pessoal'!$E$7:$E$506)*(M$3&lt;='Gastos com Pessoal'!$F$7:$F$506)*(IF('Gastos com Pessoal'!$Y$7:$Y$506&lt;=M$3,1,0))*OFFSET('Gastos com Pessoal'!$H$6,1,MATCH(4&amp;$B50,'Gastos com Pessoal'!$I$532:$AJ$532&amp;'Gastos com Pessoal'!$I$6:$AJ$6,0),500,1)),0)
+_xlfn.IFNA(SUM((M$3&gt;='Gastos com Pessoal'!$E$7:$E$506)*(M$3&lt;='Gastos com Pessoal'!$F$7:$F$506)*(IF('Gastos com Pessoal'!$AE$7:$AE$506&lt;=M$3,1,0))*OFFSET('Gastos com Pessoal'!$H$6,1,MATCH(5&amp;$B50,'Gastos com Pessoal'!$I$532:$AJ$532&amp;'Gastos com Pessoal'!$I$6:$AJ$6,0),500,1)),0)
+_xlfn.IFNA(SUM((M$3&gt;='Gastos com Pessoal'!$E$513:$E$522)*(M$3&lt;='Gastos com Pessoal'!$F$513:$F$522)*(IF('Gastos com Pessoal'!$G$513:$G$522&lt;=M$3,1,0))*OFFSET('Gastos com Pessoal'!$H$512,1,MATCH(1&amp;$B50,'Gastos com Pessoal'!$I$532:$AJ$532&amp;'Gastos com Pessoal'!$I$512:$AJ$512,0),10,1)),0)
+_xlfn.IFNA(SUM((M$3&gt;='Gastos com Pessoal'!$E$513:$E$522)*(M$3&lt;='Gastos com Pessoal'!$F$513:$F$522)*(IF('Gastos com Pessoal'!$M$513:$M$522&lt;=M$3,1,0))*OFFSET('Gastos com Pessoal'!$H$512,1,MATCH(2&amp;$B50,'Gastos com Pessoal'!$I$532:$AJ$532&amp;'Gastos com Pessoal'!$I$512:$AJ$512,0),10,1)),0)
+_xlfn.IFNA(SUM((M$3&gt;='Gastos com Pessoal'!$E$513:$E$522)*(M$3&lt;='Gastos com Pessoal'!$F$513:$F$522)*(IF('Gastos com Pessoal'!$S$513:$S$522&lt;=M$3,1,0))*OFFSET('Gastos com Pessoal'!$H$512,1,MATCH(3&amp;$B50,'Gastos com Pessoal'!$I$532:$AJ$532&amp;'Gastos com Pessoal'!$I$512:$AJ$512,0),10,1)),0)
+_xlfn.IFNA(SUM((M$3&gt;='Gastos com Pessoal'!$E$513:$E$522)*(M$3&lt;='Gastos com Pessoal'!$F$513:$F$522)*(IF('Gastos com Pessoal'!$Y$513:$Y$522&lt;=M$3,1,0))*OFFSET('Gastos com Pessoal'!$H$512,1,MATCH(4&amp;$B50,'Gastos com Pessoal'!$I$532:$AJ$532&amp;'Gastos com Pessoal'!$I$512:$AJ$512,0),10,1)),0)
+_xlfn.IFNA(SUM((M$3&gt;='Gastos com Pessoal'!$E$513:$E$522)*(M$3&lt;='Gastos com Pessoal'!$F$513:$F$522)*(IF('Gastos com Pessoal'!$AE$513:$AE$522&lt;=M$3,1,0))*OFFSET('Gastos com Pessoal'!$H$512,1,MATCH(5&amp;$B50,'Gastos com Pessoal'!$I$532:$AJ$532&amp;'Gastos com Pessoal'!$I$512:$AJ$512,0),10,1)),0)</f>
        <v>434520</v>
      </c>
      <c r="N50" s="32">
        <f t="array" aca="1" ref="N50" ca="1">_xlfn.IFNA(SUM((N$3&gt;='Gastos com Pessoal'!$E$7:$E$506)*(N$3&lt;='Gastos com Pessoal'!$F$7:$F$506)*OFFSET('Encargos e Benefícios'!$D$5,1,MATCH($B50,'Encargos e Benefícios'!$E$5:$AB$5,0),500,1)),0)
+_xlfn.IFNA(SUM((N$3&gt;='Gastos com Pessoal'!$E$513:$E$522)*(N$3&lt;='Gastos com Pessoal'!$F$513:$F$522)*OFFSET('Encargos e Benefícios'!$D$511,1,MATCH($B50,'Encargos e Benefícios'!$E$511:$AB$511,0),10,1)),0)
+_xlfn.IFNA(SUM((N$3&gt;='Gastos com Pessoal'!$E$7:$E$506)*(N$3&lt;='Gastos com Pessoal'!$F$7:$F$506)*(IF('Gastos com Pessoal'!$G$7:$G$506&lt;=N$3,1,0))*OFFSET('Gastos com Pessoal'!$H$6,1,MATCH(1&amp;$B50,'Gastos com Pessoal'!$I$532:$AJ$532&amp;'Gastos com Pessoal'!$I$6:$AJ$6,0),500,1)),0)
+_xlfn.IFNA(SUM((N$3&gt;='Gastos com Pessoal'!$E$7:$E$506)*(N$3&lt;='Gastos com Pessoal'!$F$7:$F$506)*(IF('Gastos com Pessoal'!$M$7:$M$506&lt;=N$3,1,0))*OFFSET('Gastos com Pessoal'!$H$6,1,MATCH(2&amp;$B50,'Gastos com Pessoal'!$I$532:$AJ$532&amp;'Gastos com Pessoal'!$I$6:$AJ$6,0),500,1)),0)
+_xlfn.IFNA(SUM((N$3&gt;='Gastos com Pessoal'!$E$7:$E$506)*(N$3&lt;='Gastos com Pessoal'!$F$7:$F$506)*(IF('Gastos com Pessoal'!$S$7:$S$506&lt;=N$3,1,0))*OFFSET('Gastos com Pessoal'!$H$6,1,MATCH(3&amp;$B50,'Gastos com Pessoal'!$I$532:$AJ$532&amp;'Gastos com Pessoal'!$I$6:$AJ$6,0),500,1)),0)
+_xlfn.IFNA(SUM((N$3&gt;='Gastos com Pessoal'!$E$7:$E$506)*(N$3&lt;='Gastos com Pessoal'!$F$7:$F$506)*(IF('Gastos com Pessoal'!$Y$7:$Y$506&lt;=N$3,1,0))*OFFSET('Gastos com Pessoal'!$H$6,1,MATCH(4&amp;$B50,'Gastos com Pessoal'!$I$532:$AJ$532&amp;'Gastos com Pessoal'!$I$6:$AJ$6,0),500,1)),0)
+_xlfn.IFNA(SUM((N$3&gt;='Gastos com Pessoal'!$E$7:$E$506)*(N$3&lt;='Gastos com Pessoal'!$F$7:$F$506)*(IF('Gastos com Pessoal'!$AE$7:$AE$506&lt;=N$3,1,0))*OFFSET('Gastos com Pessoal'!$H$6,1,MATCH(5&amp;$B50,'Gastos com Pessoal'!$I$532:$AJ$532&amp;'Gastos com Pessoal'!$I$6:$AJ$6,0),500,1)),0)
+_xlfn.IFNA(SUM((N$3&gt;='Gastos com Pessoal'!$E$513:$E$522)*(N$3&lt;='Gastos com Pessoal'!$F$513:$F$522)*(IF('Gastos com Pessoal'!$G$513:$G$522&lt;=N$3,1,0))*OFFSET('Gastos com Pessoal'!$H$512,1,MATCH(1&amp;$B50,'Gastos com Pessoal'!$I$532:$AJ$532&amp;'Gastos com Pessoal'!$I$512:$AJ$512,0),10,1)),0)
+_xlfn.IFNA(SUM((N$3&gt;='Gastos com Pessoal'!$E$513:$E$522)*(N$3&lt;='Gastos com Pessoal'!$F$513:$F$522)*(IF('Gastos com Pessoal'!$M$513:$M$522&lt;=N$3,1,0))*OFFSET('Gastos com Pessoal'!$H$512,1,MATCH(2&amp;$B50,'Gastos com Pessoal'!$I$532:$AJ$532&amp;'Gastos com Pessoal'!$I$512:$AJ$512,0),10,1)),0)
+_xlfn.IFNA(SUM((N$3&gt;='Gastos com Pessoal'!$E$513:$E$522)*(N$3&lt;='Gastos com Pessoal'!$F$513:$F$522)*(IF('Gastos com Pessoal'!$S$513:$S$522&lt;=N$3,1,0))*OFFSET('Gastos com Pessoal'!$H$512,1,MATCH(3&amp;$B50,'Gastos com Pessoal'!$I$532:$AJ$532&amp;'Gastos com Pessoal'!$I$512:$AJ$512,0),10,1)),0)
+_xlfn.IFNA(SUM((N$3&gt;='Gastos com Pessoal'!$E$513:$E$522)*(N$3&lt;='Gastos com Pessoal'!$F$513:$F$522)*(IF('Gastos com Pessoal'!$Y$513:$Y$522&lt;=N$3,1,0))*OFFSET('Gastos com Pessoal'!$H$512,1,MATCH(4&amp;$B50,'Gastos com Pessoal'!$I$532:$AJ$532&amp;'Gastos com Pessoal'!$I$512:$AJ$512,0),10,1)),0)
+_xlfn.IFNA(SUM((N$3&gt;='Gastos com Pessoal'!$E$513:$E$522)*(N$3&lt;='Gastos com Pessoal'!$F$513:$F$522)*(IF('Gastos com Pessoal'!$AE$513:$AE$522&lt;=N$3,1,0))*OFFSET('Gastos com Pessoal'!$H$512,1,MATCH(5&amp;$B50,'Gastos com Pessoal'!$I$532:$AJ$532&amp;'Gastos com Pessoal'!$I$512:$AJ$512,0),10,1)),0)</f>
        <v>434520</v>
      </c>
      <c r="O50" s="32">
        <f t="array" aca="1" ref="O50" ca="1">_xlfn.IFNA(SUM((O$3&gt;='Gastos com Pessoal'!$E$7:$E$506)*(O$3&lt;='Gastos com Pessoal'!$F$7:$F$506)*OFFSET('Encargos e Benefícios'!$D$5,1,MATCH($B50,'Encargos e Benefícios'!$E$5:$AB$5,0),500,1)),0)
+_xlfn.IFNA(SUM((O$3&gt;='Gastos com Pessoal'!$E$513:$E$522)*(O$3&lt;='Gastos com Pessoal'!$F$513:$F$522)*OFFSET('Encargos e Benefícios'!$D$511,1,MATCH($B50,'Encargos e Benefícios'!$E$511:$AB$511,0),10,1)),0)
+_xlfn.IFNA(SUM((O$3&gt;='Gastos com Pessoal'!$E$7:$E$506)*(O$3&lt;='Gastos com Pessoal'!$F$7:$F$506)*(IF('Gastos com Pessoal'!$G$7:$G$506&lt;=O$3,1,0))*OFFSET('Gastos com Pessoal'!$H$6,1,MATCH(1&amp;$B50,'Gastos com Pessoal'!$I$532:$AJ$532&amp;'Gastos com Pessoal'!$I$6:$AJ$6,0),500,1)),0)
+_xlfn.IFNA(SUM((O$3&gt;='Gastos com Pessoal'!$E$7:$E$506)*(O$3&lt;='Gastos com Pessoal'!$F$7:$F$506)*(IF('Gastos com Pessoal'!$M$7:$M$506&lt;=O$3,1,0))*OFFSET('Gastos com Pessoal'!$H$6,1,MATCH(2&amp;$B50,'Gastos com Pessoal'!$I$532:$AJ$532&amp;'Gastos com Pessoal'!$I$6:$AJ$6,0),500,1)),0)
+_xlfn.IFNA(SUM((O$3&gt;='Gastos com Pessoal'!$E$7:$E$506)*(O$3&lt;='Gastos com Pessoal'!$F$7:$F$506)*(IF('Gastos com Pessoal'!$S$7:$S$506&lt;=O$3,1,0))*OFFSET('Gastos com Pessoal'!$H$6,1,MATCH(3&amp;$B50,'Gastos com Pessoal'!$I$532:$AJ$532&amp;'Gastos com Pessoal'!$I$6:$AJ$6,0),500,1)),0)
+_xlfn.IFNA(SUM((O$3&gt;='Gastos com Pessoal'!$E$7:$E$506)*(O$3&lt;='Gastos com Pessoal'!$F$7:$F$506)*(IF('Gastos com Pessoal'!$Y$7:$Y$506&lt;=O$3,1,0))*OFFSET('Gastos com Pessoal'!$H$6,1,MATCH(4&amp;$B50,'Gastos com Pessoal'!$I$532:$AJ$532&amp;'Gastos com Pessoal'!$I$6:$AJ$6,0),500,1)),0)
+_xlfn.IFNA(SUM((O$3&gt;='Gastos com Pessoal'!$E$7:$E$506)*(O$3&lt;='Gastos com Pessoal'!$F$7:$F$506)*(IF('Gastos com Pessoal'!$AE$7:$AE$506&lt;=O$3,1,0))*OFFSET('Gastos com Pessoal'!$H$6,1,MATCH(5&amp;$B50,'Gastos com Pessoal'!$I$532:$AJ$532&amp;'Gastos com Pessoal'!$I$6:$AJ$6,0),500,1)),0)
+_xlfn.IFNA(SUM((O$3&gt;='Gastos com Pessoal'!$E$513:$E$522)*(O$3&lt;='Gastos com Pessoal'!$F$513:$F$522)*(IF('Gastos com Pessoal'!$G$513:$G$522&lt;=O$3,1,0))*OFFSET('Gastos com Pessoal'!$H$512,1,MATCH(1&amp;$B50,'Gastos com Pessoal'!$I$532:$AJ$532&amp;'Gastos com Pessoal'!$I$512:$AJ$512,0),10,1)),0)
+_xlfn.IFNA(SUM((O$3&gt;='Gastos com Pessoal'!$E$513:$E$522)*(O$3&lt;='Gastos com Pessoal'!$F$513:$F$522)*(IF('Gastos com Pessoal'!$M$513:$M$522&lt;=O$3,1,0))*OFFSET('Gastos com Pessoal'!$H$512,1,MATCH(2&amp;$B50,'Gastos com Pessoal'!$I$532:$AJ$532&amp;'Gastos com Pessoal'!$I$512:$AJ$512,0),10,1)),0)
+_xlfn.IFNA(SUM((O$3&gt;='Gastos com Pessoal'!$E$513:$E$522)*(O$3&lt;='Gastos com Pessoal'!$F$513:$F$522)*(IF('Gastos com Pessoal'!$S$513:$S$522&lt;=O$3,1,0))*OFFSET('Gastos com Pessoal'!$H$512,1,MATCH(3&amp;$B50,'Gastos com Pessoal'!$I$532:$AJ$532&amp;'Gastos com Pessoal'!$I$512:$AJ$512,0),10,1)),0)
+_xlfn.IFNA(SUM((O$3&gt;='Gastos com Pessoal'!$E$513:$E$522)*(O$3&lt;='Gastos com Pessoal'!$F$513:$F$522)*(IF('Gastos com Pessoal'!$Y$513:$Y$522&lt;=O$3,1,0))*OFFSET('Gastos com Pessoal'!$H$512,1,MATCH(4&amp;$B50,'Gastos com Pessoal'!$I$532:$AJ$532&amp;'Gastos com Pessoal'!$I$512:$AJ$512,0),10,1)),0)
+_xlfn.IFNA(SUM((O$3&gt;='Gastos com Pessoal'!$E$513:$E$522)*(O$3&lt;='Gastos com Pessoal'!$F$513:$F$522)*(IF('Gastos com Pessoal'!$AE$513:$AE$522&lt;=O$3,1,0))*OFFSET('Gastos com Pessoal'!$H$512,1,MATCH(5&amp;$B50,'Gastos com Pessoal'!$I$532:$AJ$532&amp;'Gastos com Pessoal'!$I$512:$AJ$512,0),10,1)),0)</f>
        <v>416880</v>
      </c>
      <c r="P50" s="32">
        <f t="array" aca="1" ref="P50" ca="1">_xlfn.IFNA(SUM((P$3&gt;='Gastos com Pessoal'!$E$7:$E$506)*(P$3&lt;='Gastos com Pessoal'!$F$7:$F$506)*OFFSET('Encargos e Benefícios'!$D$5,1,MATCH($B50,'Encargos e Benefícios'!$E$5:$AB$5,0),500,1)),0)
+_xlfn.IFNA(SUM((P$3&gt;='Gastos com Pessoal'!$E$513:$E$522)*(P$3&lt;='Gastos com Pessoal'!$F$513:$F$522)*OFFSET('Encargos e Benefícios'!$D$511,1,MATCH($B50,'Encargos e Benefícios'!$E$511:$AB$511,0),10,1)),0)
+_xlfn.IFNA(SUM((P$3&gt;='Gastos com Pessoal'!$E$7:$E$506)*(P$3&lt;='Gastos com Pessoal'!$F$7:$F$506)*(IF('Gastos com Pessoal'!$G$7:$G$506&lt;=P$3,1,0))*OFFSET('Gastos com Pessoal'!$H$6,1,MATCH(1&amp;$B50,'Gastos com Pessoal'!$I$532:$AJ$532&amp;'Gastos com Pessoal'!$I$6:$AJ$6,0),500,1)),0)
+_xlfn.IFNA(SUM((P$3&gt;='Gastos com Pessoal'!$E$7:$E$506)*(P$3&lt;='Gastos com Pessoal'!$F$7:$F$506)*(IF('Gastos com Pessoal'!$M$7:$M$506&lt;=P$3,1,0))*OFFSET('Gastos com Pessoal'!$H$6,1,MATCH(2&amp;$B50,'Gastos com Pessoal'!$I$532:$AJ$532&amp;'Gastos com Pessoal'!$I$6:$AJ$6,0),500,1)),0)
+_xlfn.IFNA(SUM((P$3&gt;='Gastos com Pessoal'!$E$7:$E$506)*(P$3&lt;='Gastos com Pessoal'!$F$7:$F$506)*(IF('Gastos com Pessoal'!$S$7:$S$506&lt;=P$3,1,0))*OFFSET('Gastos com Pessoal'!$H$6,1,MATCH(3&amp;$B50,'Gastos com Pessoal'!$I$532:$AJ$532&amp;'Gastos com Pessoal'!$I$6:$AJ$6,0),500,1)),0)
+_xlfn.IFNA(SUM((P$3&gt;='Gastos com Pessoal'!$E$7:$E$506)*(P$3&lt;='Gastos com Pessoal'!$F$7:$F$506)*(IF('Gastos com Pessoal'!$Y$7:$Y$506&lt;=P$3,1,0))*OFFSET('Gastos com Pessoal'!$H$6,1,MATCH(4&amp;$B50,'Gastos com Pessoal'!$I$532:$AJ$532&amp;'Gastos com Pessoal'!$I$6:$AJ$6,0),500,1)),0)
+_xlfn.IFNA(SUM((P$3&gt;='Gastos com Pessoal'!$E$7:$E$506)*(P$3&lt;='Gastos com Pessoal'!$F$7:$F$506)*(IF('Gastos com Pessoal'!$AE$7:$AE$506&lt;=P$3,1,0))*OFFSET('Gastos com Pessoal'!$H$6,1,MATCH(5&amp;$B50,'Gastos com Pessoal'!$I$532:$AJ$532&amp;'Gastos com Pessoal'!$I$6:$AJ$6,0),500,1)),0)
+_xlfn.IFNA(SUM((P$3&gt;='Gastos com Pessoal'!$E$513:$E$522)*(P$3&lt;='Gastos com Pessoal'!$F$513:$F$522)*(IF('Gastos com Pessoal'!$G$513:$G$522&lt;=P$3,1,0))*OFFSET('Gastos com Pessoal'!$H$512,1,MATCH(1&amp;$B50,'Gastos com Pessoal'!$I$532:$AJ$532&amp;'Gastos com Pessoal'!$I$512:$AJ$512,0),10,1)),0)
+_xlfn.IFNA(SUM((P$3&gt;='Gastos com Pessoal'!$E$513:$E$522)*(P$3&lt;='Gastos com Pessoal'!$F$513:$F$522)*(IF('Gastos com Pessoal'!$M$513:$M$522&lt;=P$3,1,0))*OFFSET('Gastos com Pessoal'!$H$512,1,MATCH(2&amp;$B50,'Gastos com Pessoal'!$I$532:$AJ$532&amp;'Gastos com Pessoal'!$I$512:$AJ$512,0),10,1)),0)
+_xlfn.IFNA(SUM((P$3&gt;='Gastos com Pessoal'!$E$513:$E$522)*(P$3&lt;='Gastos com Pessoal'!$F$513:$F$522)*(IF('Gastos com Pessoal'!$S$513:$S$522&lt;=P$3,1,0))*OFFSET('Gastos com Pessoal'!$H$512,1,MATCH(3&amp;$B50,'Gastos com Pessoal'!$I$532:$AJ$532&amp;'Gastos com Pessoal'!$I$512:$AJ$512,0),10,1)),0)
+_xlfn.IFNA(SUM((P$3&gt;='Gastos com Pessoal'!$E$513:$E$522)*(P$3&lt;='Gastos com Pessoal'!$F$513:$F$522)*(IF('Gastos com Pessoal'!$Y$513:$Y$522&lt;=P$3,1,0))*OFFSET('Gastos com Pessoal'!$H$512,1,MATCH(4&amp;$B50,'Gastos com Pessoal'!$I$532:$AJ$532&amp;'Gastos com Pessoal'!$I$512:$AJ$512,0),10,1)),0)
+_xlfn.IFNA(SUM((P$3&gt;='Gastos com Pessoal'!$E$513:$E$522)*(P$3&lt;='Gastos com Pessoal'!$F$513:$F$522)*(IF('Gastos com Pessoal'!$AE$513:$AE$522&lt;=P$3,1,0))*OFFSET('Gastos com Pessoal'!$H$512,1,MATCH(5&amp;$B50,'Gastos com Pessoal'!$I$532:$AJ$532&amp;'Gastos com Pessoal'!$I$512:$AJ$512,0),10,1)),0)</f>
        <v>416880</v>
      </c>
      <c r="Q50" s="32">
        <f t="array" aca="1" ref="Q50" ca="1">_xlfn.IFNA(SUM((Q$3&gt;='Gastos com Pessoal'!$E$7:$E$506)*(Q$3&lt;='Gastos com Pessoal'!$F$7:$F$506)*OFFSET('Encargos e Benefícios'!$D$5,1,MATCH($B50,'Encargos e Benefícios'!$E$5:$AB$5,0),500,1)),0)
+_xlfn.IFNA(SUM((Q$3&gt;='Gastos com Pessoal'!$E$513:$E$522)*(Q$3&lt;='Gastos com Pessoal'!$F$513:$F$522)*OFFSET('Encargos e Benefícios'!$D$511,1,MATCH($B50,'Encargos e Benefícios'!$E$511:$AB$511,0),10,1)),0)
+_xlfn.IFNA(SUM((Q$3&gt;='Gastos com Pessoal'!$E$7:$E$506)*(Q$3&lt;='Gastos com Pessoal'!$F$7:$F$506)*(IF('Gastos com Pessoal'!$G$7:$G$506&lt;=Q$3,1,0))*OFFSET('Gastos com Pessoal'!$H$6,1,MATCH(1&amp;$B50,'Gastos com Pessoal'!$I$532:$AJ$532&amp;'Gastos com Pessoal'!$I$6:$AJ$6,0),500,1)),0)
+_xlfn.IFNA(SUM((Q$3&gt;='Gastos com Pessoal'!$E$7:$E$506)*(Q$3&lt;='Gastos com Pessoal'!$F$7:$F$506)*(IF('Gastos com Pessoal'!$M$7:$M$506&lt;=Q$3,1,0))*OFFSET('Gastos com Pessoal'!$H$6,1,MATCH(2&amp;$B50,'Gastos com Pessoal'!$I$532:$AJ$532&amp;'Gastos com Pessoal'!$I$6:$AJ$6,0),500,1)),0)
+_xlfn.IFNA(SUM((Q$3&gt;='Gastos com Pessoal'!$E$7:$E$506)*(Q$3&lt;='Gastos com Pessoal'!$F$7:$F$506)*(IF('Gastos com Pessoal'!$S$7:$S$506&lt;=Q$3,1,0))*OFFSET('Gastos com Pessoal'!$H$6,1,MATCH(3&amp;$B50,'Gastos com Pessoal'!$I$532:$AJ$532&amp;'Gastos com Pessoal'!$I$6:$AJ$6,0),500,1)),0)
+_xlfn.IFNA(SUM((Q$3&gt;='Gastos com Pessoal'!$E$7:$E$506)*(Q$3&lt;='Gastos com Pessoal'!$F$7:$F$506)*(IF('Gastos com Pessoal'!$Y$7:$Y$506&lt;=Q$3,1,0))*OFFSET('Gastos com Pessoal'!$H$6,1,MATCH(4&amp;$B50,'Gastos com Pessoal'!$I$532:$AJ$532&amp;'Gastos com Pessoal'!$I$6:$AJ$6,0),500,1)),0)
+_xlfn.IFNA(SUM((Q$3&gt;='Gastos com Pessoal'!$E$7:$E$506)*(Q$3&lt;='Gastos com Pessoal'!$F$7:$F$506)*(IF('Gastos com Pessoal'!$AE$7:$AE$506&lt;=Q$3,1,0))*OFFSET('Gastos com Pessoal'!$H$6,1,MATCH(5&amp;$B50,'Gastos com Pessoal'!$I$532:$AJ$532&amp;'Gastos com Pessoal'!$I$6:$AJ$6,0),500,1)),0)
+_xlfn.IFNA(SUM((Q$3&gt;='Gastos com Pessoal'!$E$513:$E$522)*(Q$3&lt;='Gastos com Pessoal'!$F$513:$F$522)*(IF('Gastos com Pessoal'!$G$513:$G$522&lt;=Q$3,1,0))*OFFSET('Gastos com Pessoal'!$H$512,1,MATCH(1&amp;$B50,'Gastos com Pessoal'!$I$532:$AJ$532&amp;'Gastos com Pessoal'!$I$512:$AJ$512,0),10,1)),0)
+_xlfn.IFNA(SUM((Q$3&gt;='Gastos com Pessoal'!$E$513:$E$522)*(Q$3&lt;='Gastos com Pessoal'!$F$513:$F$522)*(IF('Gastos com Pessoal'!$M$513:$M$522&lt;=Q$3,1,0))*OFFSET('Gastos com Pessoal'!$H$512,1,MATCH(2&amp;$B50,'Gastos com Pessoal'!$I$532:$AJ$532&amp;'Gastos com Pessoal'!$I$512:$AJ$512,0),10,1)),0)
+_xlfn.IFNA(SUM((Q$3&gt;='Gastos com Pessoal'!$E$513:$E$522)*(Q$3&lt;='Gastos com Pessoal'!$F$513:$F$522)*(IF('Gastos com Pessoal'!$S$513:$S$522&lt;=Q$3,1,0))*OFFSET('Gastos com Pessoal'!$H$512,1,MATCH(3&amp;$B50,'Gastos com Pessoal'!$I$532:$AJ$532&amp;'Gastos com Pessoal'!$I$512:$AJ$512,0),10,1)),0)
+_xlfn.IFNA(SUM((Q$3&gt;='Gastos com Pessoal'!$E$513:$E$522)*(Q$3&lt;='Gastos com Pessoal'!$F$513:$F$522)*(IF('Gastos com Pessoal'!$Y$513:$Y$522&lt;=Q$3,1,0))*OFFSET('Gastos com Pessoal'!$H$512,1,MATCH(4&amp;$B50,'Gastos com Pessoal'!$I$532:$AJ$532&amp;'Gastos com Pessoal'!$I$512:$AJ$512,0),10,1)),0)
+_xlfn.IFNA(SUM((Q$3&gt;='Gastos com Pessoal'!$E$513:$E$522)*(Q$3&lt;='Gastos com Pessoal'!$F$513:$F$522)*(IF('Gastos com Pessoal'!$AE$513:$AE$522&lt;=Q$3,1,0))*OFFSET('Gastos com Pessoal'!$H$512,1,MATCH(5&amp;$B50,'Gastos com Pessoal'!$I$532:$AJ$532&amp;'Gastos com Pessoal'!$I$512:$AJ$512,0),10,1)),0)</f>
        <v>416880</v>
      </c>
      <c r="R50" s="32">
        <f t="array" aca="1" ref="R50" ca="1">_xlfn.IFNA(SUM((R$3&gt;='Gastos com Pessoal'!$E$7:$E$506)*(R$3&lt;='Gastos com Pessoal'!$F$7:$F$506)*OFFSET('Encargos e Benefícios'!$D$5,1,MATCH($B50,'Encargos e Benefícios'!$E$5:$AB$5,0),500,1)),0)
+_xlfn.IFNA(SUM((R$3&gt;='Gastos com Pessoal'!$E$513:$E$522)*(R$3&lt;='Gastos com Pessoal'!$F$513:$F$522)*OFFSET('Encargos e Benefícios'!$D$511,1,MATCH($B50,'Encargos e Benefícios'!$E$511:$AB$511,0),10,1)),0)
+_xlfn.IFNA(SUM((R$3&gt;='Gastos com Pessoal'!$E$7:$E$506)*(R$3&lt;='Gastos com Pessoal'!$F$7:$F$506)*(IF('Gastos com Pessoal'!$G$7:$G$506&lt;=R$3,1,0))*OFFSET('Gastos com Pessoal'!$H$6,1,MATCH(1&amp;$B50,'Gastos com Pessoal'!$I$532:$AJ$532&amp;'Gastos com Pessoal'!$I$6:$AJ$6,0),500,1)),0)
+_xlfn.IFNA(SUM((R$3&gt;='Gastos com Pessoal'!$E$7:$E$506)*(R$3&lt;='Gastos com Pessoal'!$F$7:$F$506)*(IF('Gastos com Pessoal'!$M$7:$M$506&lt;=R$3,1,0))*OFFSET('Gastos com Pessoal'!$H$6,1,MATCH(2&amp;$B50,'Gastos com Pessoal'!$I$532:$AJ$532&amp;'Gastos com Pessoal'!$I$6:$AJ$6,0),500,1)),0)
+_xlfn.IFNA(SUM((R$3&gt;='Gastos com Pessoal'!$E$7:$E$506)*(R$3&lt;='Gastos com Pessoal'!$F$7:$F$506)*(IF('Gastos com Pessoal'!$S$7:$S$506&lt;=R$3,1,0))*OFFSET('Gastos com Pessoal'!$H$6,1,MATCH(3&amp;$B50,'Gastos com Pessoal'!$I$532:$AJ$532&amp;'Gastos com Pessoal'!$I$6:$AJ$6,0),500,1)),0)
+_xlfn.IFNA(SUM((R$3&gt;='Gastos com Pessoal'!$E$7:$E$506)*(R$3&lt;='Gastos com Pessoal'!$F$7:$F$506)*(IF('Gastos com Pessoal'!$Y$7:$Y$506&lt;=R$3,1,0))*OFFSET('Gastos com Pessoal'!$H$6,1,MATCH(4&amp;$B50,'Gastos com Pessoal'!$I$532:$AJ$532&amp;'Gastos com Pessoal'!$I$6:$AJ$6,0),500,1)),0)
+_xlfn.IFNA(SUM((R$3&gt;='Gastos com Pessoal'!$E$7:$E$506)*(R$3&lt;='Gastos com Pessoal'!$F$7:$F$506)*(IF('Gastos com Pessoal'!$AE$7:$AE$506&lt;=R$3,1,0))*OFFSET('Gastos com Pessoal'!$H$6,1,MATCH(5&amp;$B50,'Gastos com Pessoal'!$I$532:$AJ$532&amp;'Gastos com Pessoal'!$I$6:$AJ$6,0),500,1)),0)
+_xlfn.IFNA(SUM((R$3&gt;='Gastos com Pessoal'!$E$513:$E$522)*(R$3&lt;='Gastos com Pessoal'!$F$513:$F$522)*(IF('Gastos com Pessoal'!$G$513:$G$522&lt;=R$3,1,0))*OFFSET('Gastos com Pessoal'!$H$512,1,MATCH(1&amp;$B50,'Gastos com Pessoal'!$I$532:$AJ$532&amp;'Gastos com Pessoal'!$I$512:$AJ$512,0),10,1)),0)
+_xlfn.IFNA(SUM((R$3&gt;='Gastos com Pessoal'!$E$513:$E$522)*(R$3&lt;='Gastos com Pessoal'!$F$513:$F$522)*(IF('Gastos com Pessoal'!$M$513:$M$522&lt;=R$3,1,0))*OFFSET('Gastos com Pessoal'!$H$512,1,MATCH(2&amp;$B50,'Gastos com Pessoal'!$I$532:$AJ$532&amp;'Gastos com Pessoal'!$I$512:$AJ$512,0),10,1)),0)
+_xlfn.IFNA(SUM((R$3&gt;='Gastos com Pessoal'!$E$513:$E$522)*(R$3&lt;='Gastos com Pessoal'!$F$513:$F$522)*(IF('Gastos com Pessoal'!$S$513:$S$522&lt;=R$3,1,0))*OFFSET('Gastos com Pessoal'!$H$512,1,MATCH(3&amp;$B50,'Gastos com Pessoal'!$I$532:$AJ$532&amp;'Gastos com Pessoal'!$I$512:$AJ$512,0),10,1)),0)
+_xlfn.IFNA(SUM((R$3&gt;='Gastos com Pessoal'!$E$513:$E$522)*(R$3&lt;='Gastos com Pessoal'!$F$513:$F$522)*(IF('Gastos com Pessoal'!$Y$513:$Y$522&lt;=R$3,1,0))*OFFSET('Gastos com Pessoal'!$H$512,1,MATCH(4&amp;$B50,'Gastos com Pessoal'!$I$532:$AJ$532&amp;'Gastos com Pessoal'!$I$512:$AJ$512,0),10,1)),0)
+_xlfn.IFNA(SUM((R$3&gt;='Gastos com Pessoal'!$E$513:$E$522)*(R$3&lt;='Gastos com Pessoal'!$F$513:$F$522)*(IF('Gastos com Pessoal'!$AE$513:$AE$522&lt;=R$3,1,0))*OFFSET('Gastos com Pessoal'!$H$512,1,MATCH(5&amp;$B50,'Gastos com Pessoal'!$I$532:$AJ$532&amp;'Gastos com Pessoal'!$I$512:$AJ$512,0),10,1)),0)</f>
        <v>416880</v>
      </c>
      <c r="S50" s="32">
        <f t="array" aca="1" ref="S50" ca="1">_xlfn.IFNA(SUM((S$3&gt;='Gastos com Pessoal'!$E$7:$E$506)*(S$3&lt;='Gastos com Pessoal'!$F$7:$F$506)*OFFSET('Encargos e Benefícios'!$D$5,1,MATCH($B50,'Encargos e Benefícios'!$E$5:$AB$5,0),500,1)),0)
+_xlfn.IFNA(SUM((S$3&gt;='Gastos com Pessoal'!$E$513:$E$522)*(S$3&lt;='Gastos com Pessoal'!$F$513:$F$522)*OFFSET('Encargos e Benefícios'!$D$511,1,MATCH($B50,'Encargos e Benefícios'!$E$511:$AB$511,0),10,1)),0)
+_xlfn.IFNA(SUM((S$3&gt;='Gastos com Pessoal'!$E$7:$E$506)*(S$3&lt;='Gastos com Pessoal'!$F$7:$F$506)*(IF('Gastos com Pessoal'!$G$7:$G$506&lt;=S$3,1,0))*OFFSET('Gastos com Pessoal'!$H$6,1,MATCH(1&amp;$B50,'Gastos com Pessoal'!$I$532:$AJ$532&amp;'Gastos com Pessoal'!$I$6:$AJ$6,0),500,1)),0)
+_xlfn.IFNA(SUM((S$3&gt;='Gastos com Pessoal'!$E$7:$E$506)*(S$3&lt;='Gastos com Pessoal'!$F$7:$F$506)*(IF('Gastos com Pessoal'!$M$7:$M$506&lt;=S$3,1,0))*OFFSET('Gastos com Pessoal'!$H$6,1,MATCH(2&amp;$B50,'Gastos com Pessoal'!$I$532:$AJ$532&amp;'Gastos com Pessoal'!$I$6:$AJ$6,0),500,1)),0)
+_xlfn.IFNA(SUM((S$3&gt;='Gastos com Pessoal'!$E$7:$E$506)*(S$3&lt;='Gastos com Pessoal'!$F$7:$F$506)*(IF('Gastos com Pessoal'!$S$7:$S$506&lt;=S$3,1,0))*OFFSET('Gastos com Pessoal'!$H$6,1,MATCH(3&amp;$B50,'Gastos com Pessoal'!$I$532:$AJ$532&amp;'Gastos com Pessoal'!$I$6:$AJ$6,0),500,1)),0)
+_xlfn.IFNA(SUM((S$3&gt;='Gastos com Pessoal'!$E$7:$E$506)*(S$3&lt;='Gastos com Pessoal'!$F$7:$F$506)*(IF('Gastos com Pessoal'!$Y$7:$Y$506&lt;=S$3,1,0))*OFFSET('Gastos com Pessoal'!$H$6,1,MATCH(4&amp;$B50,'Gastos com Pessoal'!$I$532:$AJ$532&amp;'Gastos com Pessoal'!$I$6:$AJ$6,0),500,1)),0)
+_xlfn.IFNA(SUM((S$3&gt;='Gastos com Pessoal'!$E$7:$E$506)*(S$3&lt;='Gastos com Pessoal'!$F$7:$F$506)*(IF('Gastos com Pessoal'!$AE$7:$AE$506&lt;=S$3,1,0))*OFFSET('Gastos com Pessoal'!$H$6,1,MATCH(5&amp;$B50,'Gastos com Pessoal'!$I$532:$AJ$532&amp;'Gastos com Pessoal'!$I$6:$AJ$6,0),500,1)),0)
+_xlfn.IFNA(SUM((S$3&gt;='Gastos com Pessoal'!$E$513:$E$522)*(S$3&lt;='Gastos com Pessoal'!$F$513:$F$522)*(IF('Gastos com Pessoal'!$G$513:$G$522&lt;=S$3,1,0))*OFFSET('Gastos com Pessoal'!$H$512,1,MATCH(1&amp;$B50,'Gastos com Pessoal'!$I$532:$AJ$532&amp;'Gastos com Pessoal'!$I$512:$AJ$512,0),10,1)),0)
+_xlfn.IFNA(SUM((S$3&gt;='Gastos com Pessoal'!$E$513:$E$522)*(S$3&lt;='Gastos com Pessoal'!$F$513:$F$522)*(IF('Gastos com Pessoal'!$M$513:$M$522&lt;=S$3,1,0))*OFFSET('Gastos com Pessoal'!$H$512,1,MATCH(2&amp;$B50,'Gastos com Pessoal'!$I$532:$AJ$532&amp;'Gastos com Pessoal'!$I$512:$AJ$512,0),10,1)),0)
+_xlfn.IFNA(SUM((S$3&gt;='Gastos com Pessoal'!$E$513:$E$522)*(S$3&lt;='Gastos com Pessoal'!$F$513:$F$522)*(IF('Gastos com Pessoal'!$S$513:$S$522&lt;=S$3,1,0))*OFFSET('Gastos com Pessoal'!$H$512,1,MATCH(3&amp;$B50,'Gastos com Pessoal'!$I$532:$AJ$532&amp;'Gastos com Pessoal'!$I$512:$AJ$512,0),10,1)),0)
+_xlfn.IFNA(SUM((S$3&gt;='Gastos com Pessoal'!$E$513:$E$522)*(S$3&lt;='Gastos com Pessoal'!$F$513:$F$522)*(IF('Gastos com Pessoal'!$Y$513:$Y$522&lt;=S$3,1,0))*OFFSET('Gastos com Pessoal'!$H$512,1,MATCH(4&amp;$B50,'Gastos com Pessoal'!$I$532:$AJ$532&amp;'Gastos com Pessoal'!$I$512:$AJ$512,0),10,1)),0)
+_xlfn.IFNA(SUM((S$3&gt;='Gastos com Pessoal'!$E$513:$E$522)*(S$3&lt;='Gastos com Pessoal'!$F$513:$F$522)*(IF('Gastos com Pessoal'!$AE$513:$AE$522&lt;=S$3,1,0))*OFFSET('Gastos com Pessoal'!$H$512,1,MATCH(5&amp;$B50,'Gastos com Pessoal'!$I$532:$AJ$532&amp;'Gastos com Pessoal'!$I$512:$AJ$512,0),10,1)),0)</f>
        <v>416880</v>
      </c>
      <c r="T50" s="32">
        <f t="array" aca="1" ref="T50" ca="1">_xlfn.IFNA(SUM((T$3&gt;='Gastos com Pessoal'!$E$7:$E$506)*(T$3&lt;='Gastos com Pessoal'!$F$7:$F$506)*OFFSET('Encargos e Benefícios'!$D$5,1,MATCH($B50,'Encargos e Benefícios'!$E$5:$AB$5,0),500,1)),0)
+_xlfn.IFNA(SUM((T$3&gt;='Gastos com Pessoal'!$E$513:$E$522)*(T$3&lt;='Gastos com Pessoal'!$F$513:$F$522)*OFFSET('Encargos e Benefícios'!$D$511,1,MATCH($B50,'Encargos e Benefícios'!$E$511:$AB$511,0),10,1)),0)
+_xlfn.IFNA(SUM((T$3&gt;='Gastos com Pessoal'!$E$7:$E$506)*(T$3&lt;='Gastos com Pessoal'!$F$7:$F$506)*(IF('Gastos com Pessoal'!$G$7:$G$506&lt;=T$3,1,0))*OFFSET('Gastos com Pessoal'!$H$6,1,MATCH(1&amp;$B50,'Gastos com Pessoal'!$I$532:$AJ$532&amp;'Gastos com Pessoal'!$I$6:$AJ$6,0),500,1)),0)
+_xlfn.IFNA(SUM((T$3&gt;='Gastos com Pessoal'!$E$7:$E$506)*(T$3&lt;='Gastos com Pessoal'!$F$7:$F$506)*(IF('Gastos com Pessoal'!$M$7:$M$506&lt;=T$3,1,0))*OFFSET('Gastos com Pessoal'!$H$6,1,MATCH(2&amp;$B50,'Gastos com Pessoal'!$I$532:$AJ$532&amp;'Gastos com Pessoal'!$I$6:$AJ$6,0),500,1)),0)
+_xlfn.IFNA(SUM((T$3&gt;='Gastos com Pessoal'!$E$7:$E$506)*(T$3&lt;='Gastos com Pessoal'!$F$7:$F$506)*(IF('Gastos com Pessoal'!$S$7:$S$506&lt;=T$3,1,0))*OFFSET('Gastos com Pessoal'!$H$6,1,MATCH(3&amp;$B50,'Gastos com Pessoal'!$I$532:$AJ$532&amp;'Gastos com Pessoal'!$I$6:$AJ$6,0),500,1)),0)
+_xlfn.IFNA(SUM((T$3&gt;='Gastos com Pessoal'!$E$7:$E$506)*(T$3&lt;='Gastos com Pessoal'!$F$7:$F$506)*(IF('Gastos com Pessoal'!$Y$7:$Y$506&lt;=T$3,1,0))*OFFSET('Gastos com Pessoal'!$H$6,1,MATCH(4&amp;$B50,'Gastos com Pessoal'!$I$532:$AJ$532&amp;'Gastos com Pessoal'!$I$6:$AJ$6,0),500,1)),0)
+_xlfn.IFNA(SUM((T$3&gt;='Gastos com Pessoal'!$E$7:$E$506)*(T$3&lt;='Gastos com Pessoal'!$F$7:$F$506)*(IF('Gastos com Pessoal'!$AE$7:$AE$506&lt;=T$3,1,0))*OFFSET('Gastos com Pessoal'!$H$6,1,MATCH(5&amp;$B50,'Gastos com Pessoal'!$I$532:$AJ$532&amp;'Gastos com Pessoal'!$I$6:$AJ$6,0),500,1)),0)
+_xlfn.IFNA(SUM((T$3&gt;='Gastos com Pessoal'!$E$513:$E$522)*(T$3&lt;='Gastos com Pessoal'!$F$513:$F$522)*(IF('Gastos com Pessoal'!$G$513:$G$522&lt;=T$3,1,0))*OFFSET('Gastos com Pessoal'!$H$512,1,MATCH(1&amp;$B50,'Gastos com Pessoal'!$I$532:$AJ$532&amp;'Gastos com Pessoal'!$I$512:$AJ$512,0),10,1)),0)
+_xlfn.IFNA(SUM((T$3&gt;='Gastos com Pessoal'!$E$513:$E$522)*(T$3&lt;='Gastos com Pessoal'!$F$513:$F$522)*(IF('Gastos com Pessoal'!$M$513:$M$522&lt;=T$3,1,0))*OFFSET('Gastos com Pessoal'!$H$512,1,MATCH(2&amp;$B50,'Gastos com Pessoal'!$I$532:$AJ$532&amp;'Gastos com Pessoal'!$I$512:$AJ$512,0),10,1)),0)
+_xlfn.IFNA(SUM((T$3&gt;='Gastos com Pessoal'!$E$513:$E$522)*(T$3&lt;='Gastos com Pessoal'!$F$513:$F$522)*(IF('Gastos com Pessoal'!$S$513:$S$522&lt;=T$3,1,0))*OFFSET('Gastos com Pessoal'!$H$512,1,MATCH(3&amp;$B50,'Gastos com Pessoal'!$I$532:$AJ$532&amp;'Gastos com Pessoal'!$I$512:$AJ$512,0),10,1)),0)
+_xlfn.IFNA(SUM((T$3&gt;='Gastos com Pessoal'!$E$513:$E$522)*(T$3&lt;='Gastos com Pessoal'!$F$513:$F$522)*(IF('Gastos com Pessoal'!$Y$513:$Y$522&lt;=T$3,1,0))*OFFSET('Gastos com Pessoal'!$H$512,1,MATCH(4&amp;$B50,'Gastos com Pessoal'!$I$532:$AJ$532&amp;'Gastos com Pessoal'!$I$512:$AJ$512,0),10,1)),0)
+_xlfn.IFNA(SUM((T$3&gt;='Gastos com Pessoal'!$E$513:$E$522)*(T$3&lt;='Gastos com Pessoal'!$F$513:$F$522)*(IF('Gastos com Pessoal'!$AE$513:$AE$522&lt;=T$3,1,0))*OFFSET('Gastos com Pessoal'!$H$512,1,MATCH(5&amp;$B50,'Gastos com Pessoal'!$I$532:$AJ$532&amp;'Gastos com Pessoal'!$I$512:$AJ$512,0),10,1)),0)</f>
        <v>416880</v>
      </c>
      <c r="U50" s="32">
        <f t="array" aca="1" ref="U50" ca="1">_xlfn.IFNA(SUM((U$3&gt;='Gastos com Pessoal'!$E$7:$E$506)*(U$3&lt;='Gastos com Pessoal'!$F$7:$F$506)*OFFSET('Encargos e Benefícios'!$D$5,1,MATCH($B50,'Encargos e Benefícios'!$E$5:$AB$5,0),500,1)),0)
+_xlfn.IFNA(SUM((U$3&gt;='Gastos com Pessoal'!$E$513:$E$522)*(U$3&lt;='Gastos com Pessoal'!$F$513:$F$522)*OFFSET('Encargos e Benefícios'!$D$511,1,MATCH($B50,'Encargos e Benefícios'!$E$511:$AB$511,0),10,1)),0)
+_xlfn.IFNA(SUM((U$3&gt;='Gastos com Pessoal'!$E$7:$E$506)*(U$3&lt;='Gastos com Pessoal'!$F$7:$F$506)*(IF('Gastos com Pessoal'!$G$7:$G$506&lt;=U$3,1,0))*OFFSET('Gastos com Pessoal'!$H$6,1,MATCH(1&amp;$B50,'Gastos com Pessoal'!$I$532:$AJ$532&amp;'Gastos com Pessoal'!$I$6:$AJ$6,0),500,1)),0)
+_xlfn.IFNA(SUM((U$3&gt;='Gastos com Pessoal'!$E$7:$E$506)*(U$3&lt;='Gastos com Pessoal'!$F$7:$F$506)*(IF('Gastos com Pessoal'!$M$7:$M$506&lt;=U$3,1,0))*OFFSET('Gastos com Pessoal'!$H$6,1,MATCH(2&amp;$B50,'Gastos com Pessoal'!$I$532:$AJ$532&amp;'Gastos com Pessoal'!$I$6:$AJ$6,0),500,1)),0)
+_xlfn.IFNA(SUM((U$3&gt;='Gastos com Pessoal'!$E$7:$E$506)*(U$3&lt;='Gastos com Pessoal'!$F$7:$F$506)*(IF('Gastos com Pessoal'!$S$7:$S$506&lt;=U$3,1,0))*OFFSET('Gastos com Pessoal'!$H$6,1,MATCH(3&amp;$B50,'Gastos com Pessoal'!$I$532:$AJ$532&amp;'Gastos com Pessoal'!$I$6:$AJ$6,0),500,1)),0)
+_xlfn.IFNA(SUM((U$3&gt;='Gastos com Pessoal'!$E$7:$E$506)*(U$3&lt;='Gastos com Pessoal'!$F$7:$F$506)*(IF('Gastos com Pessoal'!$Y$7:$Y$506&lt;=U$3,1,0))*OFFSET('Gastos com Pessoal'!$H$6,1,MATCH(4&amp;$B50,'Gastos com Pessoal'!$I$532:$AJ$532&amp;'Gastos com Pessoal'!$I$6:$AJ$6,0),500,1)),0)
+_xlfn.IFNA(SUM((U$3&gt;='Gastos com Pessoal'!$E$7:$E$506)*(U$3&lt;='Gastos com Pessoal'!$F$7:$F$506)*(IF('Gastos com Pessoal'!$AE$7:$AE$506&lt;=U$3,1,0))*OFFSET('Gastos com Pessoal'!$H$6,1,MATCH(5&amp;$B50,'Gastos com Pessoal'!$I$532:$AJ$532&amp;'Gastos com Pessoal'!$I$6:$AJ$6,0),500,1)),0)
+_xlfn.IFNA(SUM((U$3&gt;='Gastos com Pessoal'!$E$513:$E$522)*(U$3&lt;='Gastos com Pessoal'!$F$513:$F$522)*(IF('Gastos com Pessoal'!$G$513:$G$522&lt;=U$3,1,0))*OFFSET('Gastos com Pessoal'!$H$512,1,MATCH(1&amp;$B50,'Gastos com Pessoal'!$I$532:$AJ$532&amp;'Gastos com Pessoal'!$I$512:$AJ$512,0),10,1)),0)
+_xlfn.IFNA(SUM((U$3&gt;='Gastos com Pessoal'!$E$513:$E$522)*(U$3&lt;='Gastos com Pessoal'!$F$513:$F$522)*(IF('Gastos com Pessoal'!$M$513:$M$522&lt;=U$3,1,0))*OFFSET('Gastos com Pessoal'!$H$512,1,MATCH(2&amp;$B50,'Gastos com Pessoal'!$I$532:$AJ$532&amp;'Gastos com Pessoal'!$I$512:$AJ$512,0),10,1)),0)
+_xlfn.IFNA(SUM((U$3&gt;='Gastos com Pessoal'!$E$513:$E$522)*(U$3&lt;='Gastos com Pessoal'!$F$513:$F$522)*(IF('Gastos com Pessoal'!$S$513:$S$522&lt;=U$3,1,0))*OFFSET('Gastos com Pessoal'!$H$512,1,MATCH(3&amp;$B50,'Gastos com Pessoal'!$I$532:$AJ$532&amp;'Gastos com Pessoal'!$I$512:$AJ$512,0),10,1)),0)
+_xlfn.IFNA(SUM((U$3&gt;='Gastos com Pessoal'!$E$513:$E$522)*(U$3&lt;='Gastos com Pessoal'!$F$513:$F$522)*(IF('Gastos com Pessoal'!$Y$513:$Y$522&lt;=U$3,1,0))*OFFSET('Gastos com Pessoal'!$H$512,1,MATCH(4&amp;$B50,'Gastos com Pessoal'!$I$532:$AJ$532&amp;'Gastos com Pessoal'!$I$512:$AJ$512,0),10,1)),0)
+_xlfn.IFNA(SUM((U$3&gt;='Gastos com Pessoal'!$E$513:$E$522)*(U$3&lt;='Gastos com Pessoal'!$F$513:$F$522)*(IF('Gastos com Pessoal'!$AE$513:$AE$522&lt;=U$3,1,0))*OFFSET('Gastos com Pessoal'!$H$512,1,MATCH(5&amp;$B50,'Gastos com Pessoal'!$I$532:$AJ$532&amp;'Gastos com Pessoal'!$I$512:$AJ$512,0),10,1)),0)</f>
        <v>416880</v>
      </c>
      <c r="V50" s="32">
        <f t="array" aca="1" ref="V50" ca="1">_xlfn.IFNA(SUM((V$3&gt;='Gastos com Pessoal'!$E$7:$E$506)*(V$3&lt;='Gastos com Pessoal'!$F$7:$F$506)*OFFSET('Encargos e Benefícios'!$D$5,1,MATCH($B50,'Encargos e Benefícios'!$E$5:$AB$5,0),500,1)),0)
+_xlfn.IFNA(SUM((V$3&gt;='Gastos com Pessoal'!$E$513:$E$522)*(V$3&lt;='Gastos com Pessoal'!$F$513:$F$522)*OFFSET('Encargos e Benefícios'!$D$511,1,MATCH($B50,'Encargos e Benefícios'!$E$511:$AB$511,0),10,1)),0)
+_xlfn.IFNA(SUM((V$3&gt;='Gastos com Pessoal'!$E$7:$E$506)*(V$3&lt;='Gastos com Pessoal'!$F$7:$F$506)*(IF('Gastos com Pessoal'!$G$7:$G$506&lt;=V$3,1,0))*OFFSET('Gastos com Pessoal'!$H$6,1,MATCH(1&amp;$B50,'Gastos com Pessoal'!$I$532:$AJ$532&amp;'Gastos com Pessoal'!$I$6:$AJ$6,0),500,1)),0)
+_xlfn.IFNA(SUM((V$3&gt;='Gastos com Pessoal'!$E$7:$E$506)*(V$3&lt;='Gastos com Pessoal'!$F$7:$F$506)*(IF('Gastos com Pessoal'!$M$7:$M$506&lt;=V$3,1,0))*OFFSET('Gastos com Pessoal'!$H$6,1,MATCH(2&amp;$B50,'Gastos com Pessoal'!$I$532:$AJ$532&amp;'Gastos com Pessoal'!$I$6:$AJ$6,0),500,1)),0)
+_xlfn.IFNA(SUM((V$3&gt;='Gastos com Pessoal'!$E$7:$E$506)*(V$3&lt;='Gastos com Pessoal'!$F$7:$F$506)*(IF('Gastos com Pessoal'!$S$7:$S$506&lt;=V$3,1,0))*OFFSET('Gastos com Pessoal'!$H$6,1,MATCH(3&amp;$B50,'Gastos com Pessoal'!$I$532:$AJ$532&amp;'Gastos com Pessoal'!$I$6:$AJ$6,0),500,1)),0)
+_xlfn.IFNA(SUM((V$3&gt;='Gastos com Pessoal'!$E$7:$E$506)*(V$3&lt;='Gastos com Pessoal'!$F$7:$F$506)*(IF('Gastos com Pessoal'!$Y$7:$Y$506&lt;=V$3,1,0))*OFFSET('Gastos com Pessoal'!$H$6,1,MATCH(4&amp;$B50,'Gastos com Pessoal'!$I$532:$AJ$532&amp;'Gastos com Pessoal'!$I$6:$AJ$6,0),500,1)),0)
+_xlfn.IFNA(SUM((V$3&gt;='Gastos com Pessoal'!$E$7:$E$506)*(V$3&lt;='Gastos com Pessoal'!$F$7:$F$506)*(IF('Gastos com Pessoal'!$AE$7:$AE$506&lt;=V$3,1,0))*OFFSET('Gastos com Pessoal'!$H$6,1,MATCH(5&amp;$B50,'Gastos com Pessoal'!$I$532:$AJ$532&amp;'Gastos com Pessoal'!$I$6:$AJ$6,0),500,1)),0)
+_xlfn.IFNA(SUM((V$3&gt;='Gastos com Pessoal'!$E$513:$E$522)*(V$3&lt;='Gastos com Pessoal'!$F$513:$F$522)*(IF('Gastos com Pessoal'!$G$513:$G$522&lt;=V$3,1,0))*OFFSET('Gastos com Pessoal'!$H$512,1,MATCH(1&amp;$B50,'Gastos com Pessoal'!$I$532:$AJ$532&amp;'Gastos com Pessoal'!$I$512:$AJ$512,0),10,1)),0)
+_xlfn.IFNA(SUM((V$3&gt;='Gastos com Pessoal'!$E$513:$E$522)*(V$3&lt;='Gastos com Pessoal'!$F$513:$F$522)*(IF('Gastos com Pessoal'!$M$513:$M$522&lt;=V$3,1,0))*OFFSET('Gastos com Pessoal'!$H$512,1,MATCH(2&amp;$B50,'Gastos com Pessoal'!$I$532:$AJ$532&amp;'Gastos com Pessoal'!$I$512:$AJ$512,0),10,1)),0)
+_xlfn.IFNA(SUM((V$3&gt;='Gastos com Pessoal'!$E$513:$E$522)*(V$3&lt;='Gastos com Pessoal'!$F$513:$F$522)*(IF('Gastos com Pessoal'!$S$513:$S$522&lt;=V$3,1,0))*OFFSET('Gastos com Pessoal'!$H$512,1,MATCH(3&amp;$B50,'Gastos com Pessoal'!$I$532:$AJ$532&amp;'Gastos com Pessoal'!$I$512:$AJ$512,0),10,1)),0)
+_xlfn.IFNA(SUM((V$3&gt;='Gastos com Pessoal'!$E$513:$E$522)*(V$3&lt;='Gastos com Pessoal'!$F$513:$F$522)*(IF('Gastos com Pessoal'!$Y$513:$Y$522&lt;=V$3,1,0))*OFFSET('Gastos com Pessoal'!$H$512,1,MATCH(4&amp;$B50,'Gastos com Pessoal'!$I$532:$AJ$532&amp;'Gastos com Pessoal'!$I$512:$AJ$512,0),10,1)),0)
+_xlfn.IFNA(SUM((V$3&gt;='Gastos com Pessoal'!$E$513:$E$522)*(V$3&lt;='Gastos com Pessoal'!$F$513:$F$522)*(IF('Gastos com Pessoal'!$AE$513:$AE$522&lt;=V$3,1,0))*OFFSET('Gastos com Pessoal'!$H$512,1,MATCH(5&amp;$B50,'Gastos com Pessoal'!$I$532:$AJ$532&amp;'Gastos com Pessoal'!$I$512:$AJ$512,0),10,1)),0)</f>
        <v>416880</v>
      </c>
      <c r="W50" s="32">
        <f t="array" aca="1" ref="W50" ca="1">_xlfn.IFNA(SUM((W$3&gt;='Gastos com Pessoal'!$E$7:$E$506)*(W$3&lt;='Gastos com Pessoal'!$F$7:$F$506)*OFFSET('Encargos e Benefícios'!$D$5,1,MATCH($B50,'Encargos e Benefícios'!$E$5:$AB$5,0),500,1)),0)
+_xlfn.IFNA(SUM((W$3&gt;='Gastos com Pessoal'!$E$513:$E$522)*(W$3&lt;='Gastos com Pessoal'!$F$513:$F$522)*OFFSET('Encargos e Benefícios'!$D$511,1,MATCH($B50,'Encargos e Benefícios'!$E$511:$AB$511,0),10,1)),0)
+_xlfn.IFNA(SUM((W$3&gt;='Gastos com Pessoal'!$E$7:$E$506)*(W$3&lt;='Gastos com Pessoal'!$F$7:$F$506)*(IF('Gastos com Pessoal'!$G$7:$G$506&lt;=W$3,1,0))*OFFSET('Gastos com Pessoal'!$H$6,1,MATCH(1&amp;$B50,'Gastos com Pessoal'!$I$532:$AJ$532&amp;'Gastos com Pessoal'!$I$6:$AJ$6,0),500,1)),0)
+_xlfn.IFNA(SUM((W$3&gt;='Gastos com Pessoal'!$E$7:$E$506)*(W$3&lt;='Gastos com Pessoal'!$F$7:$F$506)*(IF('Gastos com Pessoal'!$M$7:$M$506&lt;=W$3,1,0))*OFFSET('Gastos com Pessoal'!$H$6,1,MATCH(2&amp;$B50,'Gastos com Pessoal'!$I$532:$AJ$532&amp;'Gastos com Pessoal'!$I$6:$AJ$6,0),500,1)),0)
+_xlfn.IFNA(SUM((W$3&gt;='Gastos com Pessoal'!$E$7:$E$506)*(W$3&lt;='Gastos com Pessoal'!$F$7:$F$506)*(IF('Gastos com Pessoal'!$S$7:$S$506&lt;=W$3,1,0))*OFFSET('Gastos com Pessoal'!$H$6,1,MATCH(3&amp;$B50,'Gastos com Pessoal'!$I$532:$AJ$532&amp;'Gastos com Pessoal'!$I$6:$AJ$6,0),500,1)),0)
+_xlfn.IFNA(SUM((W$3&gt;='Gastos com Pessoal'!$E$7:$E$506)*(W$3&lt;='Gastos com Pessoal'!$F$7:$F$506)*(IF('Gastos com Pessoal'!$Y$7:$Y$506&lt;=W$3,1,0))*OFFSET('Gastos com Pessoal'!$H$6,1,MATCH(4&amp;$B50,'Gastos com Pessoal'!$I$532:$AJ$532&amp;'Gastos com Pessoal'!$I$6:$AJ$6,0),500,1)),0)
+_xlfn.IFNA(SUM((W$3&gt;='Gastos com Pessoal'!$E$7:$E$506)*(W$3&lt;='Gastos com Pessoal'!$F$7:$F$506)*(IF('Gastos com Pessoal'!$AE$7:$AE$506&lt;=W$3,1,0))*OFFSET('Gastos com Pessoal'!$H$6,1,MATCH(5&amp;$B50,'Gastos com Pessoal'!$I$532:$AJ$532&amp;'Gastos com Pessoal'!$I$6:$AJ$6,0),500,1)),0)
+_xlfn.IFNA(SUM((W$3&gt;='Gastos com Pessoal'!$E$513:$E$522)*(W$3&lt;='Gastos com Pessoal'!$F$513:$F$522)*(IF('Gastos com Pessoal'!$G$513:$G$522&lt;=W$3,1,0))*OFFSET('Gastos com Pessoal'!$H$512,1,MATCH(1&amp;$B50,'Gastos com Pessoal'!$I$532:$AJ$532&amp;'Gastos com Pessoal'!$I$512:$AJ$512,0),10,1)),0)
+_xlfn.IFNA(SUM((W$3&gt;='Gastos com Pessoal'!$E$513:$E$522)*(W$3&lt;='Gastos com Pessoal'!$F$513:$F$522)*(IF('Gastos com Pessoal'!$M$513:$M$522&lt;=W$3,1,0))*OFFSET('Gastos com Pessoal'!$H$512,1,MATCH(2&amp;$B50,'Gastos com Pessoal'!$I$532:$AJ$532&amp;'Gastos com Pessoal'!$I$512:$AJ$512,0),10,1)),0)
+_xlfn.IFNA(SUM((W$3&gt;='Gastos com Pessoal'!$E$513:$E$522)*(W$3&lt;='Gastos com Pessoal'!$F$513:$F$522)*(IF('Gastos com Pessoal'!$S$513:$S$522&lt;=W$3,1,0))*OFFSET('Gastos com Pessoal'!$H$512,1,MATCH(3&amp;$B50,'Gastos com Pessoal'!$I$532:$AJ$532&amp;'Gastos com Pessoal'!$I$512:$AJ$512,0),10,1)),0)
+_xlfn.IFNA(SUM((W$3&gt;='Gastos com Pessoal'!$E$513:$E$522)*(W$3&lt;='Gastos com Pessoal'!$F$513:$F$522)*(IF('Gastos com Pessoal'!$Y$513:$Y$522&lt;=W$3,1,0))*OFFSET('Gastos com Pessoal'!$H$512,1,MATCH(4&amp;$B50,'Gastos com Pessoal'!$I$532:$AJ$532&amp;'Gastos com Pessoal'!$I$512:$AJ$512,0),10,1)),0)
+_xlfn.IFNA(SUM((W$3&gt;='Gastos com Pessoal'!$E$513:$E$522)*(W$3&lt;='Gastos com Pessoal'!$F$513:$F$522)*(IF('Gastos com Pessoal'!$AE$513:$AE$522&lt;=W$3,1,0))*OFFSET('Gastos com Pessoal'!$H$512,1,MATCH(5&amp;$B50,'Gastos com Pessoal'!$I$532:$AJ$532&amp;'Gastos com Pessoal'!$I$512:$AJ$512,0),10,1)),0)</f>
        <v>416880</v>
      </c>
      <c r="X50" s="32">
        <f t="array" aca="1" ref="X50" ca="1">_xlfn.IFNA(SUM((X$3&gt;='Gastos com Pessoal'!$E$7:$E$506)*(X$3&lt;='Gastos com Pessoal'!$F$7:$F$506)*OFFSET('Encargos e Benefícios'!$D$5,1,MATCH($B50,'Encargos e Benefícios'!$E$5:$AB$5,0),500,1)),0)
+_xlfn.IFNA(SUM((X$3&gt;='Gastos com Pessoal'!$E$513:$E$522)*(X$3&lt;='Gastos com Pessoal'!$F$513:$F$522)*OFFSET('Encargos e Benefícios'!$D$511,1,MATCH($B50,'Encargos e Benefícios'!$E$511:$AB$511,0),10,1)),0)
+_xlfn.IFNA(SUM((X$3&gt;='Gastos com Pessoal'!$E$7:$E$506)*(X$3&lt;='Gastos com Pessoal'!$F$7:$F$506)*(IF('Gastos com Pessoal'!$G$7:$G$506&lt;=X$3,1,0))*OFFSET('Gastos com Pessoal'!$H$6,1,MATCH(1&amp;$B50,'Gastos com Pessoal'!$I$532:$AJ$532&amp;'Gastos com Pessoal'!$I$6:$AJ$6,0),500,1)),0)
+_xlfn.IFNA(SUM((X$3&gt;='Gastos com Pessoal'!$E$7:$E$506)*(X$3&lt;='Gastos com Pessoal'!$F$7:$F$506)*(IF('Gastos com Pessoal'!$M$7:$M$506&lt;=X$3,1,0))*OFFSET('Gastos com Pessoal'!$H$6,1,MATCH(2&amp;$B50,'Gastos com Pessoal'!$I$532:$AJ$532&amp;'Gastos com Pessoal'!$I$6:$AJ$6,0),500,1)),0)
+_xlfn.IFNA(SUM((X$3&gt;='Gastos com Pessoal'!$E$7:$E$506)*(X$3&lt;='Gastos com Pessoal'!$F$7:$F$506)*(IF('Gastos com Pessoal'!$S$7:$S$506&lt;=X$3,1,0))*OFFSET('Gastos com Pessoal'!$H$6,1,MATCH(3&amp;$B50,'Gastos com Pessoal'!$I$532:$AJ$532&amp;'Gastos com Pessoal'!$I$6:$AJ$6,0),500,1)),0)
+_xlfn.IFNA(SUM((X$3&gt;='Gastos com Pessoal'!$E$7:$E$506)*(X$3&lt;='Gastos com Pessoal'!$F$7:$F$506)*(IF('Gastos com Pessoal'!$Y$7:$Y$506&lt;=X$3,1,0))*OFFSET('Gastos com Pessoal'!$H$6,1,MATCH(4&amp;$B50,'Gastos com Pessoal'!$I$532:$AJ$532&amp;'Gastos com Pessoal'!$I$6:$AJ$6,0),500,1)),0)
+_xlfn.IFNA(SUM((X$3&gt;='Gastos com Pessoal'!$E$7:$E$506)*(X$3&lt;='Gastos com Pessoal'!$F$7:$F$506)*(IF('Gastos com Pessoal'!$AE$7:$AE$506&lt;=X$3,1,0))*OFFSET('Gastos com Pessoal'!$H$6,1,MATCH(5&amp;$B50,'Gastos com Pessoal'!$I$532:$AJ$532&amp;'Gastos com Pessoal'!$I$6:$AJ$6,0),500,1)),0)
+_xlfn.IFNA(SUM((X$3&gt;='Gastos com Pessoal'!$E$513:$E$522)*(X$3&lt;='Gastos com Pessoal'!$F$513:$F$522)*(IF('Gastos com Pessoal'!$G$513:$G$522&lt;=X$3,1,0))*OFFSET('Gastos com Pessoal'!$H$512,1,MATCH(1&amp;$B50,'Gastos com Pessoal'!$I$532:$AJ$532&amp;'Gastos com Pessoal'!$I$512:$AJ$512,0),10,1)),0)
+_xlfn.IFNA(SUM((X$3&gt;='Gastos com Pessoal'!$E$513:$E$522)*(X$3&lt;='Gastos com Pessoal'!$F$513:$F$522)*(IF('Gastos com Pessoal'!$M$513:$M$522&lt;=X$3,1,0))*OFFSET('Gastos com Pessoal'!$H$512,1,MATCH(2&amp;$B50,'Gastos com Pessoal'!$I$532:$AJ$532&amp;'Gastos com Pessoal'!$I$512:$AJ$512,0),10,1)),0)
+_xlfn.IFNA(SUM((X$3&gt;='Gastos com Pessoal'!$E$513:$E$522)*(X$3&lt;='Gastos com Pessoal'!$F$513:$F$522)*(IF('Gastos com Pessoal'!$S$513:$S$522&lt;=X$3,1,0))*OFFSET('Gastos com Pessoal'!$H$512,1,MATCH(3&amp;$B50,'Gastos com Pessoal'!$I$532:$AJ$532&amp;'Gastos com Pessoal'!$I$512:$AJ$512,0),10,1)),0)
+_xlfn.IFNA(SUM((X$3&gt;='Gastos com Pessoal'!$E$513:$E$522)*(X$3&lt;='Gastos com Pessoal'!$F$513:$F$522)*(IF('Gastos com Pessoal'!$Y$513:$Y$522&lt;=X$3,1,0))*OFFSET('Gastos com Pessoal'!$H$512,1,MATCH(4&amp;$B50,'Gastos com Pessoal'!$I$532:$AJ$532&amp;'Gastos com Pessoal'!$I$512:$AJ$512,0),10,1)),0)
+_xlfn.IFNA(SUM((X$3&gt;='Gastos com Pessoal'!$E$513:$E$522)*(X$3&lt;='Gastos com Pessoal'!$F$513:$F$522)*(IF('Gastos com Pessoal'!$AE$513:$AE$522&lt;=X$3,1,0))*OFFSET('Gastos com Pessoal'!$H$512,1,MATCH(5&amp;$B50,'Gastos com Pessoal'!$I$532:$AJ$532&amp;'Gastos com Pessoal'!$I$512:$AJ$512,0),10,1)),0)</f>
        <v>416880</v>
      </c>
      <c r="Y50" s="32">
        <f t="array" aca="1" ref="Y50" ca="1">_xlfn.IFNA(SUM((Y$3&gt;='Gastos com Pessoal'!$E$7:$E$506)*(Y$3&lt;='Gastos com Pessoal'!$F$7:$F$506)*OFFSET('Encargos e Benefícios'!$D$5,1,MATCH($B50,'Encargos e Benefícios'!$E$5:$AB$5,0),500,1)),0)
+_xlfn.IFNA(SUM((Y$3&gt;='Gastos com Pessoal'!$E$513:$E$522)*(Y$3&lt;='Gastos com Pessoal'!$F$513:$F$522)*OFFSET('Encargos e Benefícios'!$D$511,1,MATCH($B50,'Encargos e Benefícios'!$E$511:$AB$511,0),10,1)),0)
+_xlfn.IFNA(SUM((Y$3&gt;='Gastos com Pessoal'!$E$7:$E$506)*(Y$3&lt;='Gastos com Pessoal'!$F$7:$F$506)*(IF('Gastos com Pessoal'!$G$7:$G$506&lt;=Y$3,1,0))*OFFSET('Gastos com Pessoal'!$H$6,1,MATCH(1&amp;$B50,'Gastos com Pessoal'!$I$532:$AJ$532&amp;'Gastos com Pessoal'!$I$6:$AJ$6,0),500,1)),0)
+_xlfn.IFNA(SUM((Y$3&gt;='Gastos com Pessoal'!$E$7:$E$506)*(Y$3&lt;='Gastos com Pessoal'!$F$7:$F$506)*(IF('Gastos com Pessoal'!$M$7:$M$506&lt;=Y$3,1,0))*OFFSET('Gastos com Pessoal'!$H$6,1,MATCH(2&amp;$B50,'Gastos com Pessoal'!$I$532:$AJ$532&amp;'Gastos com Pessoal'!$I$6:$AJ$6,0),500,1)),0)
+_xlfn.IFNA(SUM((Y$3&gt;='Gastos com Pessoal'!$E$7:$E$506)*(Y$3&lt;='Gastos com Pessoal'!$F$7:$F$506)*(IF('Gastos com Pessoal'!$S$7:$S$506&lt;=Y$3,1,0))*OFFSET('Gastos com Pessoal'!$H$6,1,MATCH(3&amp;$B50,'Gastos com Pessoal'!$I$532:$AJ$532&amp;'Gastos com Pessoal'!$I$6:$AJ$6,0),500,1)),0)
+_xlfn.IFNA(SUM((Y$3&gt;='Gastos com Pessoal'!$E$7:$E$506)*(Y$3&lt;='Gastos com Pessoal'!$F$7:$F$506)*(IF('Gastos com Pessoal'!$Y$7:$Y$506&lt;=Y$3,1,0))*OFFSET('Gastos com Pessoal'!$H$6,1,MATCH(4&amp;$B50,'Gastos com Pessoal'!$I$532:$AJ$532&amp;'Gastos com Pessoal'!$I$6:$AJ$6,0),500,1)),0)
+_xlfn.IFNA(SUM((Y$3&gt;='Gastos com Pessoal'!$E$7:$E$506)*(Y$3&lt;='Gastos com Pessoal'!$F$7:$F$506)*(IF('Gastos com Pessoal'!$AE$7:$AE$506&lt;=Y$3,1,0))*OFFSET('Gastos com Pessoal'!$H$6,1,MATCH(5&amp;$B50,'Gastos com Pessoal'!$I$532:$AJ$532&amp;'Gastos com Pessoal'!$I$6:$AJ$6,0),500,1)),0)
+_xlfn.IFNA(SUM((Y$3&gt;='Gastos com Pessoal'!$E$513:$E$522)*(Y$3&lt;='Gastos com Pessoal'!$F$513:$F$522)*(IF('Gastos com Pessoal'!$G$513:$G$522&lt;=Y$3,1,0))*OFFSET('Gastos com Pessoal'!$H$512,1,MATCH(1&amp;$B50,'Gastos com Pessoal'!$I$532:$AJ$532&amp;'Gastos com Pessoal'!$I$512:$AJ$512,0),10,1)),0)
+_xlfn.IFNA(SUM((Y$3&gt;='Gastos com Pessoal'!$E$513:$E$522)*(Y$3&lt;='Gastos com Pessoal'!$F$513:$F$522)*(IF('Gastos com Pessoal'!$M$513:$M$522&lt;=Y$3,1,0))*OFFSET('Gastos com Pessoal'!$H$512,1,MATCH(2&amp;$B50,'Gastos com Pessoal'!$I$532:$AJ$532&amp;'Gastos com Pessoal'!$I$512:$AJ$512,0),10,1)),0)
+_xlfn.IFNA(SUM((Y$3&gt;='Gastos com Pessoal'!$E$513:$E$522)*(Y$3&lt;='Gastos com Pessoal'!$F$513:$F$522)*(IF('Gastos com Pessoal'!$S$513:$S$522&lt;=Y$3,1,0))*OFFSET('Gastos com Pessoal'!$H$512,1,MATCH(3&amp;$B50,'Gastos com Pessoal'!$I$532:$AJ$532&amp;'Gastos com Pessoal'!$I$512:$AJ$512,0),10,1)),0)
+_xlfn.IFNA(SUM((Y$3&gt;='Gastos com Pessoal'!$E$513:$E$522)*(Y$3&lt;='Gastos com Pessoal'!$F$513:$F$522)*(IF('Gastos com Pessoal'!$Y$513:$Y$522&lt;=Y$3,1,0))*OFFSET('Gastos com Pessoal'!$H$512,1,MATCH(4&amp;$B50,'Gastos com Pessoal'!$I$532:$AJ$532&amp;'Gastos com Pessoal'!$I$512:$AJ$512,0),10,1)),0)
+_xlfn.IFNA(SUM((Y$3&gt;='Gastos com Pessoal'!$E$513:$E$522)*(Y$3&lt;='Gastos com Pessoal'!$F$513:$F$522)*(IF('Gastos com Pessoal'!$AE$513:$AE$522&lt;=Y$3,1,0))*OFFSET('Gastos com Pessoal'!$H$512,1,MATCH(5&amp;$B50,'Gastos com Pessoal'!$I$532:$AJ$532&amp;'Gastos com Pessoal'!$I$512:$AJ$512,0),10,1)),0)</f>
        <v>416880</v>
      </c>
      <c r="Z50" s="32">
        <f t="array" aca="1" ref="Z50" ca="1">_xlfn.IFNA(SUM((Z$3&gt;='Gastos com Pessoal'!$E$7:$E$506)*(Z$3&lt;='Gastos com Pessoal'!$F$7:$F$506)*OFFSET('Encargos e Benefícios'!$D$5,1,MATCH($B50,'Encargos e Benefícios'!$E$5:$AB$5,0),500,1)),0)
+_xlfn.IFNA(SUM((Z$3&gt;='Gastos com Pessoal'!$E$513:$E$522)*(Z$3&lt;='Gastos com Pessoal'!$F$513:$F$522)*OFFSET('Encargos e Benefícios'!$D$511,1,MATCH($B50,'Encargos e Benefícios'!$E$511:$AB$511,0),10,1)),0)
+_xlfn.IFNA(SUM((Z$3&gt;='Gastos com Pessoal'!$E$7:$E$506)*(Z$3&lt;='Gastos com Pessoal'!$F$7:$F$506)*(IF('Gastos com Pessoal'!$G$7:$G$506&lt;=Z$3,1,0))*OFFSET('Gastos com Pessoal'!$H$6,1,MATCH(1&amp;$B50,'Gastos com Pessoal'!$I$532:$AJ$532&amp;'Gastos com Pessoal'!$I$6:$AJ$6,0),500,1)),0)
+_xlfn.IFNA(SUM((Z$3&gt;='Gastos com Pessoal'!$E$7:$E$506)*(Z$3&lt;='Gastos com Pessoal'!$F$7:$F$506)*(IF('Gastos com Pessoal'!$M$7:$M$506&lt;=Z$3,1,0))*OFFSET('Gastos com Pessoal'!$H$6,1,MATCH(2&amp;$B50,'Gastos com Pessoal'!$I$532:$AJ$532&amp;'Gastos com Pessoal'!$I$6:$AJ$6,0),500,1)),0)
+_xlfn.IFNA(SUM((Z$3&gt;='Gastos com Pessoal'!$E$7:$E$506)*(Z$3&lt;='Gastos com Pessoal'!$F$7:$F$506)*(IF('Gastos com Pessoal'!$S$7:$S$506&lt;=Z$3,1,0))*OFFSET('Gastos com Pessoal'!$H$6,1,MATCH(3&amp;$B50,'Gastos com Pessoal'!$I$532:$AJ$532&amp;'Gastos com Pessoal'!$I$6:$AJ$6,0),500,1)),0)
+_xlfn.IFNA(SUM((Z$3&gt;='Gastos com Pessoal'!$E$7:$E$506)*(Z$3&lt;='Gastos com Pessoal'!$F$7:$F$506)*(IF('Gastos com Pessoal'!$Y$7:$Y$506&lt;=Z$3,1,0))*OFFSET('Gastos com Pessoal'!$H$6,1,MATCH(4&amp;$B50,'Gastos com Pessoal'!$I$532:$AJ$532&amp;'Gastos com Pessoal'!$I$6:$AJ$6,0),500,1)),0)
+_xlfn.IFNA(SUM((Z$3&gt;='Gastos com Pessoal'!$E$7:$E$506)*(Z$3&lt;='Gastos com Pessoal'!$F$7:$F$506)*(IF('Gastos com Pessoal'!$AE$7:$AE$506&lt;=Z$3,1,0))*OFFSET('Gastos com Pessoal'!$H$6,1,MATCH(5&amp;$B50,'Gastos com Pessoal'!$I$532:$AJ$532&amp;'Gastos com Pessoal'!$I$6:$AJ$6,0),500,1)),0)
+_xlfn.IFNA(SUM((Z$3&gt;='Gastos com Pessoal'!$E$513:$E$522)*(Z$3&lt;='Gastos com Pessoal'!$F$513:$F$522)*(IF('Gastos com Pessoal'!$G$513:$G$522&lt;=Z$3,1,0))*OFFSET('Gastos com Pessoal'!$H$512,1,MATCH(1&amp;$B50,'Gastos com Pessoal'!$I$532:$AJ$532&amp;'Gastos com Pessoal'!$I$512:$AJ$512,0),10,1)),0)
+_xlfn.IFNA(SUM((Z$3&gt;='Gastos com Pessoal'!$E$513:$E$522)*(Z$3&lt;='Gastos com Pessoal'!$F$513:$F$522)*(IF('Gastos com Pessoal'!$M$513:$M$522&lt;=Z$3,1,0))*OFFSET('Gastos com Pessoal'!$H$512,1,MATCH(2&amp;$B50,'Gastos com Pessoal'!$I$532:$AJ$532&amp;'Gastos com Pessoal'!$I$512:$AJ$512,0),10,1)),0)
+_xlfn.IFNA(SUM((Z$3&gt;='Gastos com Pessoal'!$E$513:$E$522)*(Z$3&lt;='Gastos com Pessoal'!$F$513:$F$522)*(IF('Gastos com Pessoal'!$S$513:$S$522&lt;=Z$3,1,0))*OFFSET('Gastos com Pessoal'!$H$512,1,MATCH(3&amp;$B50,'Gastos com Pessoal'!$I$532:$AJ$532&amp;'Gastos com Pessoal'!$I$512:$AJ$512,0),10,1)),0)
+_xlfn.IFNA(SUM((Z$3&gt;='Gastos com Pessoal'!$E$513:$E$522)*(Z$3&lt;='Gastos com Pessoal'!$F$513:$F$522)*(IF('Gastos com Pessoal'!$Y$513:$Y$522&lt;=Z$3,1,0))*OFFSET('Gastos com Pessoal'!$H$512,1,MATCH(4&amp;$B50,'Gastos com Pessoal'!$I$532:$AJ$532&amp;'Gastos com Pessoal'!$I$512:$AJ$512,0),10,1)),0)
+_xlfn.IFNA(SUM((Z$3&gt;='Gastos com Pessoal'!$E$513:$E$522)*(Z$3&lt;='Gastos com Pessoal'!$F$513:$F$522)*(IF('Gastos com Pessoal'!$AE$513:$AE$522&lt;=Z$3,1,0))*OFFSET('Gastos com Pessoal'!$H$512,1,MATCH(5&amp;$B50,'Gastos com Pessoal'!$I$532:$AJ$532&amp;'Gastos com Pessoal'!$I$512:$AJ$512,0),10,1)),0)</f>
        <v>416880</v>
      </c>
      <c r="AA50" s="32">
        <f t="array" aca="1" ref="AA50" ca="1">_xlfn.IFNA(SUM((AA$3&gt;='Gastos com Pessoal'!$E$7:$E$506)*(AA$3&lt;='Gastos com Pessoal'!$F$7:$F$506)*OFFSET('Encargos e Benefícios'!$D$5,1,MATCH($B50,'Encargos e Benefícios'!$E$5:$AB$5,0),500,1)),0)
+_xlfn.IFNA(SUM((AA$3&gt;='Gastos com Pessoal'!$E$513:$E$522)*(AA$3&lt;='Gastos com Pessoal'!$F$513:$F$522)*OFFSET('Encargos e Benefícios'!$D$511,1,MATCH($B50,'Encargos e Benefícios'!$E$511:$AB$511,0),10,1)),0)
+_xlfn.IFNA(SUM((AA$3&gt;='Gastos com Pessoal'!$E$7:$E$506)*(AA$3&lt;='Gastos com Pessoal'!$F$7:$F$506)*(IF('Gastos com Pessoal'!$G$7:$G$506&lt;=AA$3,1,0))*OFFSET('Gastos com Pessoal'!$H$6,1,MATCH(1&amp;$B50,'Gastos com Pessoal'!$I$532:$AJ$532&amp;'Gastos com Pessoal'!$I$6:$AJ$6,0),500,1)),0)
+_xlfn.IFNA(SUM((AA$3&gt;='Gastos com Pessoal'!$E$7:$E$506)*(AA$3&lt;='Gastos com Pessoal'!$F$7:$F$506)*(IF('Gastos com Pessoal'!$M$7:$M$506&lt;=AA$3,1,0))*OFFSET('Gastos com Pessoal'!$H$6,1,MATCH(2&amp;$B50,'Gastos com Pessoal'!$I$532:$AJ$532&amp;'Gastos com Pessoal'!$I$6:$AJ$6,0),500,1)),0)
+_xlfn.IFNA(SUM((AA$3&gt;='Gastos com Pessoal'!$E$7:$E$506)*(AA$3&lt;='Gastos com Pessoal'!$F$7:$F$506)*(IF('Gastos com Pessoal'!$S$7:$S$506&lt;=AA$3,1,0))*OFFSET('Gastos com Pessoal'!$H$6,1,MATCH(3&amp;$B50,'Gastos com Pessoal'!$I$532:$AJ$532&amp;'Gastos com Pessoal'!$I$6:$AJ$6,0),500,1)),0)
+_xlfn.IFNA(SUM((AA$3&gt;='Gastos com Pessoal'!$E$7:$E$506)*(AA$3&lt;='Gastos com Pessoal'!$F$7:$F$506)*(IF('Gastos com Pessoal'!$Y$7:$Y$506&lt;=AA$3,1,0))*OFFSET('Gastos com Pessoal'!$H$6,1,MATCH(4&amp;$B50,'Gastos com Pessoal'!$I$532:$AJ$532&amp;'Gastos com Pessoal'!$I$6:$AJ$6,0),500,1)),0)
+_xlfn.IFNA(SUM((AA$3&gt;='Gastos com Pessoal'!$E$7:$E$506)*(AA$3&lt;='Gastos com Pessoal'!$F$7:$F$506)*(IF('Gastos com Pessoal'!$AE$7:$AE$506&lt;=AA$3,1,0))*OFFSET('Gastos com Pessoal'!$H$6,1,MATCH(5&amp;$B50,'Gastos com Pessoal'!$I$532:$AJ$532&amp;'Gastos com Pessoal'!$I$6:$AJ$6,0),500,1)),0)
+_xlfn.IFNA(SUM((AA$3&gt;='Gastos com Pessoal'!$E$513:$E$522)*(AA$3&lt;='Gastos com Pessoal'!$F$513:$F$522)*(IF('Gastos com Pessoal'!$G$513:$G$522&lt;=AA$3,1,0))*OFFSET('Gastos com Pessoal'!$H$512,1,MATCH(1&amp;$B50,'Gastos com Pessoal'!$I$532:$AJ$532&amp;'Gastos com Pessoal'!$I$512:$AJ$512,0),10,1)),0)
+_xlfn.IFNA(SUM((AA$3&gt;='Gastos com Pessoal'!$E$513:$E$522)*(AA$3&lt;='Gastos com Pessoal'!$F$513:$F$522)*(IF('Gastos com Pessoal'!$M$513:$M$522&lt;=AA$3,1,0))*OFFSET('Gastos com Pessoal'!$H$512,1,MATCH(2&amp;$B50,'Gastos com Pessoal'!$I$532:$AJ$532&amp;'Gastos com Pessoal'!$I$512:$AJ$512,0),10,1)),0)
+_xlfn.IFNA(SUM((AA$3&gt;='Gastos com Pessoal'!$E$513:$E$522)*(AA$3&lt;='Gastos com Pessoal'!$F$513:$F$522)*(IF('Gastos com Pessoal'!$S$513:$S$522&lt;=AA$3,1,0))*OFFSET('Gastos com Pessoal'!$H$512,1,MATCH(3&amp;$B50,'Gastos com Pessoal'!$I$532:$AJ$532&amp;'Gastos com Pessoal'!$I$512:$AJ$512,0),10,1)),0)
+_xlfn.IFNA(SUM((AA$3&gt;='Gastos com Pessoal'!$E$513:$E$522)*(AA$3&lt;='Gastos com Pessoal'!$F$513:$F$522)*(IF('Gastos com Pessoal'!$Y$513:$Y$522&lt;=AA$3,1,0))*OFFSET('Gastos com Pessoal'!$H$512,1,MATCH(4&amp;$B50,'Gastos com Pessoal'!$I$532:$AJ$532&amp;'Gastos com Pessoal'!$I$512:$AJ$512,0),10,1)),0)
+_xlfn.IFNA(SUM((AA$3&gt;='Gastos com Pessoal'!$E$513:$E$522)*(AA$3&lt;='Gastos com Pessoal'!$F$513:$F$522)*(IF('Gastos com Pessoal'!$AE$513:$AE$522&lt;=AA$3,1,0))*OFFSET('Gastos com Pessoal'!$H$512,1,MATCH(5&amp;$B50,'Gastos com Pessoal'!$I$532:$AJ$532&amp;'Gastos com Pessoal'!$I$512:$AJ$512,0),10,1)),0)</f>
        <v>416880</v>
      </c>
      <c r="AB50" s="32">
        <f t="array" aca="1" ref="AB50" ca="1">_xlfn.IFNA(SUM((AB$3&gt;='Gastos com Pessoal'!$E$7:$E$506)*(AB$3&lt;='Gastos com Pessoal'!$F$7:$F$506)*OFFSET('Encargos e Benefícios'!$D$5,1,MATCH($B50,'Encargos e Benefícios'!$E$5:$AB$5,0),500,1)),0)
+_xlfn.IFNA(SUM((AB$3&gt;='Gastos com Pessoal'!$E$513:$E$522)*(AB$3&lt;='Gastos com Pessoal'!$F$513:$F$522)*OFFSET('Encargos e Benefícios'!$D$511,1,MATCH($B50,'Encargos e Benefícios'!$E$511:$AB$511,0),10,1)),0)
+_xlfn.IFNA(SUM((AB$3&gt;='Gastos com Pessoal'!$E$7:$E$506)*(AB$3&lt;='Gastos com Pessoal'!$F$7:$F$506)*(IF('Gastos com Pessoal'!$G$7:$G$506&lt;=AB$3,1,0))*OFFSET('Gastos com Pessoal'!$H$6,1,MATCH(1&amp;$B50,'Gastos com Pessoal'!$I$532:$AJ$532&amp;'Gastos com Pessoal'!$I$6:$AJ$6,0),500,1)),0)
+_xlfn.IFNA(SUM((AB$3&gt;='Gastos com Pessoal'!$E$7:$E$506)*(AB$3&lt;='Gastos com Pessoal'!$F$7:$F$506)*(IF('Gastos com Pessoal'!$M$7:$M$506&lt;=AB$3,1,0))*OFFSET('Gastos com Pessoal'!$H$6,1,MATCH(2&amp;$B50,'Gastos com Pessoal'!$I$532:$AJ$532&amp;'Gastos com Pessoal'!$I$6:$AJ$6,0),500,1)),0)
+_xlfn.IFNA(SUM((AB$3&gt;='Gastos com Pessoal'!$E$7:$E$506)*(AB$3&lt;='Gastos com Pessoal'!$F$7:$F$506)*(IF('Gastos com Pessoal'!$S$7:$S$506&lt;=AB$3,1,0))*OFFSET('Gastos com Pessoal'!$H$6,1,MATCH(3&amp;$B50,'Gastos com Pessoal'!$I$532:$AJ$532&amp;'Gastos com Pessoal'!$I$6:$AJ$6,0),500,1)),0)
+_xlfn.IFNA(SUM((AB$3&gt;='Gastos com Pessoal'!$E$7:$E$506)*(AB$3&lt;='Gastos com Pessoal'!$F$7:$F$506)*(IF('Gastos com Pessoal'!$Y$7:$Y$506&lt;=AB$3,1,0))*OFFSET('Gastos com Pessoal'!$H$6,1,MATCH(4&amp;$B50,'Gastos com Pessoal'!$I$532:$AJ$532&amp;'Gastos com Pessoal'!$I$6:$AJ$6,0),500,1)),0)
+_xlfn.IFNA(SUM((AB$3&gt;='Gastos com Pessoal'!$E$7:$E$506)*(AB$3&lt;='Gastos com Pessoal'!$F$7:$F$506)*(IF('Gastos com Pessoal'!$AE$7:$AE$506&lt;=AB$3,1,0))*OFFSET('Gastos com Pessoal'!$H$6,1,MATCH(5&amp;$B50,'Gastos com Pessoal'!$I$532:$AJ$532&amp;'Gastos com Pessoal'!$I$6:$AJ$6,0),500,1)),0)
+_xlfn.IFNA(SUM((AB$3&gt;='Gastos com Pessoal'!$E$513:$E$522)*(AB$3&lt;='Gastos com Pessoal'!$F$513:$F$522)*(IF('Gastos com Pessoal'!$G$513:$G$522&lt;=AB$3,1,0))*OFFSET('Gastos com Pessoal'!$H$512,1,MATCH(1&amp;$B50,'Gastos com Pessoal'!$I$532:$AJ$532&amp;'Gastos com Pessoal'!$I$512:$AJ$512,0),10,1)),0)
+_xlfn.IFNA(SUM((AB$3&gt;='Gastos com Pessoal'!$E$513:$E$522)*(AB$3&lt;='Gastos com Pessoal'!$F$513:$F$522)*(IF('Gastos com Pessoal'!$M$513:$M$522&lt;=AB$3,1,0))*OFFSET('Gastos com Pessoal'!$H$512,1,MATCH(2&amp;$B50,'Gastos com Pessoal'!$I$532:$AJ$532&amp;'Gastos com Pessoal'!$I$512:$AJ$512,0),10,1)),0)
+_xlfn.IFNA(SUM((AB$3&gt;='Gastos com Pessoal'!$E$513:$E$522)*(AB$3&lt;='Gastos com Pessoal'!$F$513:$F$522)*(IF('Gastos com Pessoal'!$S$513:$S$522&lt;=AB$3,1,0))*OFFSET('Gastos com Pessoal'!$H$512,1,MATCH(3&amp;$B50,'Gastos com Pessoal'!$I$532:$AJ$532&amp;'Gastos com Pessoal'!$I$512:$AJ$512,0),10,1)),0)
+_xlfn.IFNA(SUM((AB$3&gt;='Gastos com Pessoal'!$E$513:$E$522)*(AB$3&lt;='Gastos com Pessoal'!$F$513:$F$522)*(IF('Gastos com Pessoal'!$Y$513:$Y$522&lt;=AB$3,1,0))*OFFSET('Gastos com Pessoal'!$H$512,1,MATCH(4&amp;$B50,'Gastos com Pessoal'!$I$532:$AJ$532&amp;'Gastos com Pessoal'!$I$512:$AJ$512,0),10,1)),0)
+_xlfn.IFNA(SUM((AB$3&gt;='Gastos com Pessoal'!$E$513:$E$522)*(AB$3&lt;='Gastos com Pessoal'!$F$513:$F$522)*(IF('Gastos com Pessoal'!$AE$513:$AE$522&lt;=AB$3,1,0))*OFFSET('Gastos com Pessoal'!$H$512,1,MATCH(5&amp;$B50,'Gastos com Pessoal'!$I$532:$AJ$532&amp;'Gastos com Pessoal'!$I$512:$AJ$512,0),10,1)),0)</f>
        <v>416880</v>
      </c>
      <c r="AC50" s="32">
        <f t="array" aca="1" ref="AC50" ca="1">_xlfn.IFNA(SUM((AC$3&gt;='Gastos com Pessoal'!$E$7:$E$506)*(AC$3&lt;='Gastos com Pessoal'!$F$7:$F$506)*OFFSET('Encargos e Benefícios'!$D$5,1,MATCH($B50,'Encargos e Benefícios'!$E$5:$AB$5,0),500,1)),0)
+_xlfn.IFNA(SUM((AC$3&gt;='Gastos com Pessoal'!$E$513:$E$522)*(AC$3&lt;='Gastos com Pessoal'!$F$513:$F$522)*OFFSET('Encargos e Benefícios'!$D$511,1,MATCH($B50,'Encargos e Benefícios'!$E$511:$AB$511,0),10,1)),0)
+_xlfn.IFNA(SUM((AC$3&gt;='Gastos com Pessoal'!$E$7:$E$506)*(AC$3&lt;='Gastos com Pessoal'!$F$7:$F$506)*(IF('Gastos com Pessoal'!$G$7:$G$506&lt;=AC$3,1,0))*OFFSET('Gastos com Pessoal'!$H$6,1,MATCH(1&amp;$B50,'Gastos com Pessoal'!$I$532:$AJ$532&amp;'Gastos com Pessoal'!$I$6:$AJ$6,0),500,1)),0)
+_xlfn.IFNA(SUM((AC$3&gt;='Gastos com Pessoal'!$E$7:$E$506)*(AC$3&lt;='Gastos com Pessoal'!$F$7:$F$506)*(IF('Gastos com Pessoal'!$M$7:$M$506&lt;=AC$3,1,0))*OFFSET('Gastos com Pessoal'!$H$6,1,MATCH(2&amp;$B50,'Gastos com Pessoal'!$I$532:$AJ$532&amp;'Gastos com Pessoal'!$I$6:$AJ$6,0),500,1)),0)
+_xlfn.IFNA(SUM((AC$3&gt;='Gastos com Pessoal'!$E$7:$E$506)*(AC$3&lt;='Gastos com Pessoal'!$F$7:$F$506)*(IF('Gastos com Pessoal'!$S$7:$S$506&lt;=AC$3,1,0))*OFFSET('Gastos com Pessoal'!$H$6,1,MATCH(3&amp;$B50,'Gastos com Pessoal'!$I$532:$AJ$532&amp;'Gastos com Pessoal'!$I$6:$AJ$6,0),500,1)),0)
+_xlfn.IFNA(SUM((AC$3&gt;='Gastos com Pessoal'!$E$7:$E$506)*(AC$3&lt;='Gastos com Pessoal'!$F$7:$F$506)*(IF('Gastos com Pessoal'!$Y$7:$Y$506&lt;=AC$3,1,0))*OFFSET('Gastos com Pessoal'!$H$6,1,MATCH(4&amp;$B50,'Gastos com Pessoal'!$I$532:$AJ$532&amp;'Gastos com Pessoal'!$I$6:$AJ$6,0),500,1)),0)
+_xlfn.IFNA(SUM((AC$3&gt;='Gastos com Pessoal'!$E$7:$E$506)*(AC$3&lt;='Gastos com Pessoal'!$F$7:$F$506)*(IF('Gastos com Pessoal'!$AE$7:$AE$506&lt;=AC$3,1,0))*OFFSET('Gastos com Pessoal'!$H$6,1,MATCH(5&amp;$B50,'Gastos com Pessoal'!$I$532:$AJ$532&amp;'Gastos com Pessoal'!$I$6:$AJ$6,0),500,1)),0)
+_xlfn.IFNA(SUM((AC$3&gt;='Gastos com Pessoal'!$E$513:$E$522)*(AC$3&lt;='Gastos com Pessoal'!$F$513:$F$522)*(IF('Gastos com Pessoal'!$G$513:$G$522&lt;=AC$3,1,0))*OFFSET('Gastos com Pessoal'!$H$512,1,MATCH(1&amp;$B50,'Gastos com Pessoal'!$I$532:$AJ$532&amp;'Gastos com Pessoal'!$I$512:$AJ$512,0),10,1)),0)
+_xlfn.IFNA(SUM((AC$3&gt;='Gastos com Pessoal'!$E$513:$E$522)*(AC$3&lt;='Gastos com Pessoal'!$F$513:$F$522)*(IF('Gastos com Pessoal'!$M$513:$M$522&lt;=AC$3,1,0))*OFFSET('Gastos com Pessoal'!$H$512,1,MATCH(2&amp;$B50,'Gastos com Pessoal'!$I$532:$AJ$532&amp;'Gastos com Pessoal'!$I$512:$AJ$512,0),10,1)),0)
+_xlfn.IFNA(SUM((AC$3&gt;='Gastos com Pessoal'!$E$513:$E$522)*(AC$3&lt;='Gastos com Pessoal'!$F$513:$F$522)*(IF('Gastos com Pessoal'!$S$513:$S$522&lt;=AC$3,1,0))*OFFSET('Gastos com Pessoal'!$H$512,1,MATCH(3&amp;$B50,'Gastos com Pessoal'!$I$532:$AJ$532&amp;'Gastos com Pessoal'!$I$512:$AJ$512,0),10,1)),0)
+_xlfn.IFNA(SUM((AC$3&gt;='Gastos com Pessoal'!$E$513:$E$522)*(AC$3&lt;='Gastos com Pessoal'!$F$513:$F$522)*(IF('Gastos com Pessoal'!$Y$513:$Y$522&lt;=AC$3,1,0))*OFFSET('Gastos com Pessoal'!$H$512,1,MATCH(4&amp;$B50,'Gastos com Pessoal'!$I$532:$AJ$532&amp;'Gastos com Pessoal'!$I$512:$AJ$512,0),10,1)),0)
+_xlfn.IFNA(SUM((AC$3&gt;='Gastos com Pessoal'!$E$513:$E$522)*(AC$3&lt;='Gastos com Pessoal'!$F$513:$F$522)*(IF('Gastos com Pessoal'!$AE$513:$AE$522&lt;=AC$3,1,0))*OFFSET('Gastos com Pessoal'!$H$512,1,MATCH(5&amp;$B50,'Gastos com Pessoal'!$I$532:$AJ$532&amp;'Gastos com Pessoal'!$I$512:$AJ$512,0),10,1)),0)</f>
        <v>416880</v>
      </c>
      <c r="AD50" s="32">
        <f t="array" aca="1" ref="AD50" ca="1">_xlfn.IFNA(SUM((AD$3&gt;='Gastos com Pessoal'!$E$7:$E$506)*(AD$3&lt;='Gastos com Pessoal'!$F$7:$F$506)*OFFSET('Encargos e Benefícios'!$D$5,1,MATCH($B50,'Encargos e Benefícios'!$E$5:$AB$5,0),500,1)),0)
+_xlfn.IFNA(SUM((AD$3&gt;='Gastos com Pessoal'!$E$513:$E$522)*(AD$3&lt;='Gastos com Pessoal'!$F$513:$F$522)*OFFSET('Encargos e Benefícios'!$D$511,1,MATCH($B50,'Encargos e Benefícios'!$E$511:$AB$511,0),10,1)),0)
+_xlfn.IFNA(SUM((AD$3&gt;='Gastos com Pessoal'!$E$7:$E$506)*(AD$3&lt;='Gastos com Pessoal'!$F$7:$F$506)*(IF('Gastos com Pessoal'!$G$7:$G$506&lt;=AD$3,1,0))*OFFSET('Gastos com Pessoal'!$H$6,1,MATCH(1&amp;$B50,'Gastos com Pessoal'!$I$532:$AJ$532&amp;'Gastos com Pessoal'!$I$6:$AJ$6,0),500,1)),0)
+_xlfn.IFNA(SUM((AD$3&gt;='Gastos com Pessoal'!$E$7:$E$506)*(AD$3&lt;='Gastos com Pessoal'!$F$7:$F$506)*(IF('Gastos com Pessoal'!$M$7:$M$506&lt;=AD$3,1,0))*OFFSET('Gastos com Pessoal'!$H$6,1,MATCH(2&amp;$B50,'Gastos com Pessoal'!$I$532:$AJ$532&amp;'Gastos com Pessoal'!$I$6:$AJ$6,0),500,1)),0)
+_xlfn.IFNA(SUM((AD$3&gt;='Gastos com Pessoal'!$E$7:$E$506)*(AD$3&lt;='Gastos com Pessoal'!$F$7:$F$506)*(IF('Gastos com Pessoal'!$S$7:$S$506&lt;=AD$3,1,0))*OFFSET('Gastos com Pessoal'!$H$6,1,MATCH(3&amp;$B50,'Gastos com Pessoal'!$I$532:$AJ$532&amp;'Gastos com Pessoal'!$I$6:$AJ$6,0),500,1)),0)
+_xlfn.IFNA(SUM((AD$3&gt;='Gastos com Pessoal'!$E$7:$E$506)*(AD$3&lt;='Gastos com Pessoal'!$F$7:$F$506)*(IF('Gastos com Pessoal'!$Y$7:$Y$506&lt;=AD$3,1,0))*OFFSET('Gastos com Pessoal'!$H$6,1,MATCH(4&amp;$B50,'Gastos com Pessoal'!$I$532:$AJ$532&amp;'Gastos com Pessoal'!$I$6:$AJ$6,0),500,1)),0)
+_xlfn.IFNA(SUM((AD$3&gt;='Gastos com Pessoal'!$E$7:$E$506)*(AD$3&lt;='Gastos com Pessoal'!$F$7:$F$506)*(IF('Gastos com Pessoal'!$AE$7:$AE$506&lt;=AD$3,1,0))*OFFSET('Gastos com Pessoal'!$H$6,1,MATCH(5&amp;$B50,'Gastos com Pessoal'!$I$532:$AJ$532&amp;'Gastos com Pessoal'!$I$6:$AJ$6,0),500,1)),0)
+_xlfn.IFNA(SUM((AD$3&gt;='Gastos com Pessoal'!$E$513:$E$522)*(AD$3&lt;='Gastos com Pessoal'!$F$513:$F$522)*(IF('Gastos com Pessoal'!$G$513:$G$522&lt;=AD$3,1,0))*OFFSET('Gastos com Pessoal'!$H$512,1,MATCH(1&amp;$B50,'Gastos com Pessoal'!$I$532:$AJ$532&amp;'Gastos com Pessoal'!$I$512:$AJ$512,0),10,1)),0)
+_xlfn.IFNA(SUM((AD$3&gt;='Gastos com Pessoal'!$E$513:$E$522)*(AD$3&lt;='Gastos com Pessoal'!$F$513:$F$522)*(IF('Gastos com Pessoal'!$M$513:$M$522&lt;=AD$3,1,0))*OFFSET('Gastos com Pessoal'!$H$512,1,MATCH(2&amp;$B50,'Gastos com Pessoal'!$I$532:$AJ$532&amp;'Gastos com Pessoal'!$I$512:$AJ$512,0),10,1)),0)
+_xlfn.IFNA(SUM((AD$3&gt;='Gastos com Pessoal'!$E$513:$E$522)*(AD$3&lt;='Gastos com Pessoal'!$F$513:$F$522)*(IF('Gastos com Pessoal'!$S$513:$S$522&lt;=AD$3,1,0))*OFFSET('Gastos com Pessoal'!$H$512,1,MATCH(3&amp;$B50,'Gastos com Pessoal'!$I$532:$AJ$532&amp;'Gastos com Pessoal'!$I$512:$AJ$512,0),10,1)),0)
+_xlfn.IFNA(SUM((AD$3&gt;='Gastos com Pessoal'!$E$513:$E$522)*(AD$3&lt;='Gastos com Pessoal'!$F$513:$F$522)*(IF('Gastos com Pessoal'!$Y$513:$Y$522&lt;=AD$3,1,0))*OFFSET('Gastos com Pessoal'!$H$512,1,MATCH(4&amp;$B50,'Gastos com Pessoal'!$I$532:$AJ$532&amp;'Gastos com Pessoal'!$I$512:$AJ$512,0),10,1)),0)
+_xlfn.IFNA(SUM((AD$3&gt;='Gastos com Pessoal'!$E$513:$E$522)*(AD$3&lt;='Gastos com Pessoal'!$F$513:$F$522)*(IF('Gastos com Pessoal'!$AE$513:$AE$522&lt;=AD$3,1,0))*OFFSET('Gastos com Pessoal'!$H$512,1,MATCH(5&amp;$B50,'Gastos com Pessoal'!$I$532:$AJ$532&amp;'Gastos com Pessoal'!$I$512:$AJ$512,0),10,1)),0)</f>
        <v>416880</v>
      </c>
      <c r="AE50" s="32">
        <f t="array" aca="1" ref="AE50" ca="1">_xlfn.IFNA(SUM((AE$3&gt;='Gastos com Pessoal'!$E$7:$E$506)*(AE$3&lt;='Gastos com Pessoal'!$F$7:$F$506)*OFFSET('Encargos e Benefícios'!$D$5,1,MATCH($B50,'Encargos e Benefícios'!$E$5:$AB$5,0),500,1)),0)
+_xlfn.IFNA(SUM((AE$3&gt;='Gastos com Pessoal'!$E$513:$E$522)*(AE$3&lt;='Gastos com Pessoal'!$F$513:$F$522)*OFFSET('Encargos e Benefícios'!$D$511,1,MATCH($B50,'Encargos e Benefícios'!$E$511:$AB$511,0),10,1)),0)
+_xlfn.IFNA(SUM((AE$3&gt;='Gastos com Pessoal'!$E$7:$E$506)*(AE$3&lt;='Gastos com Pessoal'!$F$7:$F$506)*(IF('Gastos com Pessoal'!$G$7:$G$506&lt;=AE$3,1,0))*OFFSET('Gastos com Pessoal'!$H$6,1,MATCH(1&amp;$B50,'Gastos com Pessoal'!$I$532:$AJ$532&amp;'Gastos com Pessoal'!$I$6:$AJ$6,0),500,1)),0)
+_xlfn.IFNA(SUM((AE$3&gt;='Gastos com Pessoal'!$E$7:$E$506)*(AE$3&lt;='Gastos com Pessoal'!$F$7:$F$506)*(IF('Gastos com Pessoal'!$M$7:$M$506&lt;=AE$3,1,0))*OFFSET('Gastos com Pessoal'!$H$6,1,MATCH(2&amp;$B50,'Gastos com Pessoal'!$I$532:$AJ$532&amp;'Gastos com Pessoal'!$I$6:$AJ$6,0),500,1)),0)
+_xlfn.IFNA(SUM((AE$3&gt;='Gastos com Pessoal'!$E$7:$E$506)*(AE$3&lt;='Gastos com Pessoal'!$F$7:$F$506)*(IF('Gastos com Pessoal'!$S$7:$S$506&lt;=AE$3,1,0))*OFFSET('Gastos com Pessoal'!$H$6,1,MATCH(3&amp;$B50,'Gastos com Pessoal'!$I$532:$AJ$532&amp;'Gastos com Pessoal'!$I$6:$AJ$6,0),500,1)),0)
+_xlfn.IFNA(SUM((AE$3&gt;='Gastos com Pessoal'!$E$7:$E$506)*(AE$3&lt;='Gastos com Pessoal'!$F$7:$F$506)*(IF('Gastos com Pessoal'!$Y$7:$Y$506&lt;=AE$3,1,0))*OFFSET('Gastos com Pessoal'!$H$6,1,MATCH(4&amp;$B50,'Gastos com Pessoal'!$I$532:$AJ$532&amp;'Gastos com Pessoal'!$I$6:$AJ$6,0),500,1)),0)
+_xlfn.IFNA(SUM((AE$3&gt;='Gastos com Pessoal'!$E$7:$E$506)*(AE$3&lt;='Gastos com Pessoal'!$F$7:$F$506)*(IF('Gastos com Pessoal'!$AE$7:$AE$506&lt;=AE$3,1,0))*OFFSET('Gastos com Pessoal'!$H$6,1,MATCH(5&amp;$B50,'Gastos com Pessoal'!$I$532:$AJ$532&amp;'Gastos com Pessoal'!$I$6:$AJ$6,0),500,1)),0)
+_xlfn.IFNA(SUM((AE$3&gt;='Gastos com Pessoal'!$E$513:$E$522)*(AE$3&lt;='Gastos com Pessoal'!$F$513:$F$522)*(IF('Gastos com Pessoal'!$G$513:$G$522&lt;=AE$3,1,0))*OFFSET('Gastos com Pessoal'!$H$512,1,MATCH(1&amp;$B50,'Gastos com Pessoal'!$I$532:$AJ$532&amp;'Gastos com Pessoal'!$I$512:$AJ$512,0),10,1)),0)
+_xlfn.IFNA(SUM((AE$3&gt;='Gastos com Pessoal'!$E$513:$E$522)*(AE$3&lt;='Gastos com Pessoal'!$F$513:$F$522)*(IF('Gastos com Pessoal'!$M$513:$M$522&lt;=AE$3,1,0))*OFFSET('Gastos com Pessoal'!$H$512,1,MATCH(2&amp;$B50,'Gastos com Pessoal'!$I$532:$AJ$532&amp;'Gastos com Pessoal'!$I$512:$AJ$512,0),10,1)),0)
+_xlfn.IFNA(SUM((AE$3&gt;='Gastos com Pessoal'!$E$513:$E$522)*(AE$3&lt;='Gastos com Pessoal'!$F$513:$F$522)*(IF('Gastos com Pessoal'!$S$513:$S$522&lt;=AE$3,1,0))*OFFSET('Gastos com Pessoal'!$H$512,1,MATCH(3&amp;$B50,'Gastos com Pessoal'!$I$532:$AJ$532&amp;'Gastos com Pessoal'!$I$512:$AJ$512,0),10,1)),0)
+_xlfn.IFNA(SUM((AE$3&gt;='Gastos com Pessoal'!$E$513:$E$522)*(AE$3&lt;='Gastos com Pessoal'!$F$513:$F$522)*(IF('Gastos com Pessoal'!$Y$513:$Y$522&lt;=AE$3,1,0))*OFFSET('Gastos com Pessoal'!$H$512,1,MATCH(4&amp;$B50,'Gastos com Pessoal'!$I$532:$AJ$532&amp;'Gastos com Pessoal'!$I$512:$AJ$512,0),10,1)),0)
+_xlfn.IFNA(SUM((AE$3&gt;='Gastos com Pessoal'!$E$513:$E$522)*(AE$3&lt;='Gastos com Pessoal'!$F$513:$F$522)*(IF('Gastos com Pessoal'!$AE$513:$AE$522&lt;=AE$3,1,0))*OFFSET('Gastos com Pessoal'!$H$512,1,MATCH(5&amp;$B50,'Gastos com Pessoal'!$I$532:$AJ$532&amp;'Gastos com Pessoal'!$I$512:$AJ$512,0),10,1)),0)</f>
        <v>416880</v>
      </c>
      <c r="AF50" s="32">
        <f t="array" aca="1" ref="AF50" ca="1">_xlfn.IFNA(SUM((AF$3&gt;='Gastos com Pessoal'!$E$7:$E$506)*(AF$3&lt;='Gastos com Pessoal'!$F$7:$F$506)*OFFSET('Encargos e Benefícios'!$D$5,1,MATCH($B50,'Encargos e Benefícios'!$E$5:$AB$5,0),500,1)),0)
+_xlfn.IFNA(SUM((AF$3&gt;='Gastos com Pessoal'!$E$513:$E$522)*(AF$3&lt;='Gastos com Pessoal'!$F$513:$F$522)*OFFSET('Encargos e Benefícios'!$D$511,1,MATCH($B50,'Encargos e Benefícios'!$E$511:$AB$511,0),10,1)),0)
+_xlfn.IFNA(SUM((AF$3&gt;='Gastos com Pessoal'!$E$7:$E$506)*(AF$3&lt;='Gastos com Pessoal'!$F$7:$F$506)*(IF('Gastos com Pessoal'!$G$7:$G$506&lt;=AF$3,1,0))*OFFSET('Gastos com Pessoal'!$H$6,1,MATCH(1&amp;$B50,'Gastos com Pessoal'!$I$532:$AJ$532&amp;'Gastos com Pessoal'!$I$6:$AJ$6,0),500,1)),0)
+_xlfn.IFNA(SUM((AF$3&gt;='Gastos com Pessoal'!$E$7:$E$506)*(AF$3&lt;='Gastos com Pessoal'!$F$7:$F$506)*(IF('Gastos com Pessoal'!$M$7:$M$506&lt;=AF$3,1,0))*OFFSET('Gastos com Pessoal'!$H$6,1,MATCH(2&amp;$B50,'Gastos com Pessoal'!$I$532:$AJ$532&amp;'Gastos com Pessoal'!$I$6:$AJ$6,0),500,1)),0)
+_xlfn.IFNA(SUM((AF$3&gt;='Gastos com Pessoal'!$E$7:$E$506)*(AF$3&lt;='Gastos com Pessoal'!$F$7:$F$506)*(IF('Gastos com Pessoal'!$S$7:$S$506&lt;=AF$3,1,0))*OFFSET('Gastos com Pessoal'!$H$6,1,MATCH(3&amp;$B50,'Gastos com Pessoal'!$I$532:$AJ$532&amp;'Gastos com Pessoal'!$I$6:$AJ$6,0),500,1)),0)
+_xlfn.IFNA(SUM((AF$3&gt;='Gastos com Pessoal'!$E$7:$E$506)*(AF$3&lt;='Gastos com Pessoal'!$F$7:$F$506)*(IF('Gastos com Pessoal'!$Y$7:$Y$506&lt;=AF$3,1,0))*OFFSET('Gastos com Pessoal'!$H$6,1,MATCH(4&amp;$B50,'Gastos com Pessoal'!$I$532:$AJ$532&amp;'Gastos com Pessoal'!$I$6:$AJ$6,0),500,1)),0)
+_xlfn.IFNA(SUM((AF$3&gt;='Gastos com Pessoal'!$E$7:$E$506)*(AF$3&lt;='Gastos com Pessoal'!$F$7:$F$506)*(IF('Gastos com Pessoal'!$AE$7:$AE$506&lt;=AF$3,1,0))*OFFSET('Gastos com Pessoal'!$H$6,1,MATCH(5&amp;$B50,'Gastos com Pessoal'!$I$532:$AJ$532&amp;'Gastos com Pessoal'!$I$6:$AJ$6,0),500,1)),0)
+_xlfn.IFNA(SUM((AF$3&gt;='Gastos com Pessoal'!$E$513:$E$522)*(AF$3&lt;='Gastos com Pessoal'!$F$513:$F$522)*(IF('Gastos com Pessoal'!$G$513:$G$522&lt;=AF$3,1,0))*OFFSET('Gastos com Pessoal'!$H$512,1,MATCH(1&amp;$B50,'Gastos com Pessoal'!$I$532:$AJ$532&amp;'Gastos com Pessoal'!$I$512:$AJ$512,0),10,1)),0)
+_xlfn.IFNA(SUM((AF$3&gt;='Gastos com Pessoal'!$E$513:$E$522)*(AF$3&lt;='Gastos com Pessoal'!$F$513:$F$522)*(IF('Gastos com Pessoal'!$M$513:$M$522&lt;=AF$3,1,0))*OFFSET('Gastos com Pessoal'!$H$512,1,MATCH(2&amp;$B50,'Gastos com Pessoal'!$I$532:$AJ$532&amp;'Gastos com Pessoal'!$I$512:$AJ$512,0),10,1)),0)
+_xlfn.IFNA(SUM((AF$3&gt;='Gastos com Pessoal'!$E$513:$E$522)*(AF$3&lt;='Gastos com Pessoal'!$F$513:$F$522)*(IF('Gastos com Pessoal'!$S$513:$S$522&lt;=AF$3,1,0))*OFFSET('Gastos com Pessoal'!$H$512,1,MATCH(3&amp;$B50,'Gastos com Pessoal'!$I$532:$AJ$532&amp;'Gastos com Pessoal'!$I$512:$AJ$512,0),10,1)),0)
+_xlfn.IFNA(SUM((AF$3&gt;='Gastos com Pessoal'!$E$513:$E$522)*(AF$3&lt;='Gastos com Pessoal'!$F$513:$F$522)*(IF('Gastos com Pessoal'!$Y$513:$Y$522&lt;=AF$3,1,0))*OFFSET('Gastos com Pessoal'!$H$512,1,MATCH(4&amp;$B50,'Gastos com Pessoal'!$I$532:$AJ$532&amp;'Gastos com Pessoal'!$I$512:$AJ$512,0),10,1)),0)
+_xlfn.IFNA(SUM((AF$3&gt;='Gastos com Pessoal'!$E$513:$E$522)*(AF$3&lt;='Gastos com Pessoal'!$F$513:$F$522)*(IF('Gastos com Pessoal'!$AE$513:$AE$522&lt;=AF$3,1,0))*OFFSET('Gastos com Pessoal'!$H$512,1,MATCH(5&amp;$B50,'Gastos com Pessoal'!$I$532:$AJ$532&amp;'Gastos com Pessoal'!$I$512:$AJ$512,0),10,1)),0)</f>
        <v>416880</v>
      </c>
      <c r="AG50" s="32">
        <f t="array" aca="1" ref="AG50" ca="1">_xlfn.IFNA(SUM((AG$3&gt;='Gastos com Pessoal'!$E$7:$E$506)*(AG$3&lt;='Gastos com Pessoal'!$F$7:$F$506)*OFFSET('Encargos e Benefícios'!$D$5,1,MATCH($B50,'Encargos e Benefícios'!$E$5:$AB$5,0),500,1)),0)
+_xlfn.IFNA(SUM((AG$3&gt;='Gastos com Pessoal'!$E$513:$E$522)*(AG$3&lt;='Gastos com Pessoal'!$F$513:$F$522)*OFFSET('Encargos e Benefícios'!$D$511,1,MATCH($B50,'Encargos e Benefícios'!$E$511:$AB$511,0),10,1)),0)
+_xlfn.IFNA(SUM((AG$3&gt;='Gastos com Pessoal'!$E$7:$E$506)*(AG$3&lt;='Gastos com Pessoal'!$F$7:$F$506)*(IF('Gastos com Pessoal'!$G$7:$G$506&lt;=AG$3,1,0))*OFFSET('Gastos com Pessoal'!$H$6,1,MATCH(1&amp;$B50,'Gastos com Pessoal'!$I$532:$AJ$532&amp;'Gastos com Pessoal'!$I$6:$AJ$6,0),500,1)),0)
+_xlfn.IFNA(SUM((AG$3&gt;='Gastos com Pessoal'!$E$7:$E$506)*(AG$3&lt;='Gastos com Pessoal'!$F$7:$F$506)*(IF('Gastos com Pessoal'!$M$7:$M$506&lt;=AG$3,1,0))*OFFSET('Gastos com Pessoal'!$H$6,1,MATCH(2&amp;$B50,'Gastos com Pessoal'!$I$532:$AJ$532&amp;'Gastos com Pessoal'!$I$6:$AJ$6,0),500,1)),0)
+_xlfn.IFNA(SUM((AG$3&gt;='Gastos com Pessoal'!$E$7:$E$506)*(AG$3&lt;='Gastos com Pessoal'!$F$7:$F$506)*(IF('Gastos com Pessoal'!$S$7:$S$506&lt;=AG$3,1,0))*OFFSET('Gastos com Pessoal'!$H$6,1,MATCH(3&amp;$B50,'Gastos com Pessoal'!$I$532:$AJ$532&amp;'Gastos com Pessoal'!$I$6:$AJ$6,0),500,1)),0)
+_xlfn.IFNA(SUM((AG$3&gt;='Gastos com Pessoal'!$E$7:$E$506)*(AG$3&lt;='Gastos com Pessoal'!$F$7:$F$506)*(IF('Gastos com Pessoal'!$Y$7:$Y$506&lt;=AG$3,1,0))*OFFSET('Gastos com Pessoal'!$H$6,1,MATCH(4&amp;$B50,'Gastos com Pessoal'!$I$532:$AJ$532&amp;'Gastos com Pessoal'!$I$6:$AJ$6,0),500,1)),0)
+_xlfn.IFNA(SUM((AG$3&gt;='Gastos com Pessoal'!$E$7:$E$506)*(AG$3&lt;='Gastos com Pessoal'!$F$7:$F$506)*(IF('Gastos com Pessoal'!$AE$7:$AE$506&lt;=AG$3,1,0))*OFFSET('Gastos com Pessoal'!$H$6,1,MATCH(5&amp;$B50,'Gastos com Pessoal'!$I$532:$AJ$532&amp;'Gastos com Pessoal'!$I$6:$AJ$6,0),500,1)),0)
+_xlfn.IFNA(SUM((AG$3&gt;='Gastos com Pessoal'!$E$513:$E$522)*(AG$3&lt;='Gastos com Pessoal'!$F$513:$F$522)*(IF('Gastos com Pessoal'!$G$513:$G$522&lt;=AG$3,1,0))*OFFSET('Gastos com Pessoal'!$H$512,1,MATCH(1&amp;$B50,'Gastos com Pessoal'!$I$532:$AJ$532&amp;'Gastos com Pessoal'!$I$512:$AJ$512,0),10,1)),0)
+_xlfn.IFNA(SUM((AG$3&gt;='Gastos com Pessoal'!$E$513:$E$522)*(AG$3&lt;='Gastos com Pessoal'!$F$513:$F$522)*(IF('Gastos com Pessoal'!$M$513:$M$522&lt;=AG$3,1,0))*OFFSET('Gastos com Pessoal'!$H$512,1,MATCH(2&amp;$B50,'Gastos com Pessoal'!$I$532:$AJ$532&amp;'Gastos com Pessoal'!$I$512:$AJ$512,0),10,1)),0)
+_xlfn.IFNA(SUM((AG$3&gt;='Gastos com Pessoal'!$E$513:$E$522)*(AG$3&lt;='Gastos com Pessoal'!$F$513:$F$522)*(IF('Gastos com Pessoal'!$S$513:$S$522&lt;=AG$3,1,0))*OFFSET('Gastos com Pessoal'!$H$512,1,MATCH(3&amp;$B50,'Gastos com Pessoal'!$I$532:$AJ$532&amp;'Gastos com Pessoal'!$I$512:$AJ$512,0),10,1)),0)
+_xlfn.IFNA(SUM((AG$3&gt;='Gastos com Pessoal'!$E$513:$E$522)*(AG$3&lt;='Gastos com Pessoal'!$F$513:$F$522)*(IF('Gastos com Pessoal'!$Y$513:$Y$522&lt;=AG$3,1,0))*OFFSET('Gastos com Pessoal'!$H$512,1,MATCH(4&amp;$B50,'Gastos com Pessoal'!$I$532:$AJ$532&amp;'Gastos com Pessoal'!$I$512:$AJ$512,0),10,1)),0)
+_xlfn.IFNA(SUM((AG$3&gt;='Gastos com Pessoal'!$E$513:$E$522)*(AG$3&lt;='Gastos com Pessoal'!$F$513:$F$522)*(IF('Gastos com Pessoal'!$AE$513:$AE$522&lt;=AG$3,1,0))*OFFSET('Gastos com Pessoal'!$H$512,1,MATCH(5&amp;$B50,'Gastos com Pessoal'!$I$532:$AJ$532&amp;'Gastos com Pessoal'!$I$512:$AJ$512,0),10,1)),0)</f>
        <v>416880</v>
      </c>
      <c r="AH50" s="32">
        <f t="array" aca="1" ref="AH50" ca="1">_xlfn.IFNA(SUM((AH$3&gt;='Gastos com Pessoal'!$E$7:$E$506)*(AH$3&lt;='Gastos com Pessoal'!$F$7:$F$506)*OFFSET('Encargos e Benefícios'!$D$5,1,MATCH($B50,'Encargos e Benefícios'!$E$5:$AB$5,0),500,1)),0)
+_xlfn.IFNA(SUM((AH$3&gt;='Gastos com Pessoal'!$E$513:$E$522)*(AH$3&lt;='Gastos com Pessoal'!$F$513:$F$522)*OFFSET('Encargos e Benefícios'!$D$511,1,MATCH($B50,'Encargos e Benefícios'!$E$511:$AB$511,0),10,1)),0)
+_xlfn.IFNA(SUM((AH$3&gt;='Gastos com Pessoal'!$E$7:$E$506)*(AH$3&lt;='Gastos com Pessoal'!$F$7:$F$506)*(IF('Gastos com Pessoal'!$G$7:$G$506&lt;=AH$3,1,0))*OFFSET('Gastos com Pessoal'!$H$6,1,MATCH(1&amp;$B50,'Gastos com Pessoal'!$I$532:$AJ$532&amp;'Gastos com Pessoal'!$I$6:$AJ$6,0),500,1)),0)
+_xlfn.IFNA(SUM((AH$3&gt;='Gastos com Pessoal'!$E$7:$E$506)*(AH$3&lt;='Gastos com Pessoal'!$F$7:$F$506)*(IF('Gastos com Pessoal'!$M$7:$M$506&lt;=AH$3,1,0))*OFFSET('Gastos com Pessoal'!$H$6,1,MATCH(2&amp;$B50,'Gastos com Pessoal'!$I$532:$AJ$532&amp;'Gastos com Pessoal'!$I$6:$AJ$6,0),500,1)),0)
+_xlfn.IFNA(SUM((AH$3&gt;='Gastos com Pessoal'!$E$7:$E$506)*(AH$3&lt;='Gastos com Pessoal'!$F$7:$F$506)*(IF('Gastos com Pessoal'!$S$7:$S$506&lt;=AH$3,1,0))*OFFSET('Gastos com Pessoal'!$H$6,1,MATCH(3&amp;$B50,'Gastos com Pessoal'!$I$532:$AJ$532&amp;'Gastos com Pessoal'!$I$6:$AJ$6,0),500,1)),0)
+_xlfn.IFNA(SUM((AH$3&gt;='Gastos com Pessoal'!$E$7:$E$506)*(AH$3&lt;='Gastos com Pessoal'!$F$7:$F$506)*(IF('Gastos com Pessoal'!$Y$7:$Y$506&lt;=AH$3,1,0))*OFFSET('Gastos com Pessoal'!$H$6,1,MATCH(4&amp;$B50,'Gastos com Pessoal'!$I$532:$AJ$532&amp;'Gastos com Pessoal'!$I$6:$AJ$6,0),500,1)),0)
+_xlfn.IFNA(SUM((AH$3&gt;='Gastos com Pessoal'!$E$7:$E$506)*(AH$3&lt;='Gastos com Pessoal'!$F$7:$F$506)*(IF('Gastos com Pessoal'!$AE$7:$AE$506&lt;=AH$3,1,0))*OFFSET('Gastos com Pessoal'!$H$6,1,MATCH(5&amp;$B50,'Gastos com Pessoal'!$I$532:$AJ$532&amp;'Gastos com Pessoal'!$I$6:$AJ$6,0),500,1)),0)
+_xlfn.IFNA(SUM((AH$3&gt;='Gastos com Pessoal'!$E$513:$E$522)*(AH$3&lt;='Gastos com Pessoal'!$F$513:$F$522)*(IF('Gastos com Pessoal'!$G$513:$G$522&lt;=AH$3,1,0))*OFFSET('Gastos com Pessoal'!$H$512,1,MATCH(1&amp;$B50,'Gastos com Pessoal'!$I$532:$AJ$532&amp;'Gastos com Pessoal'!$I$512:$AJ$512,0),10,1)),0)
+_xlfn.IFNA(SUM((AH$3&gt;='Gastos com Pessoal'!$E$513:$E$522)*(AH$3&lt;='Gastos com Pessoal'!$F$513:$F$522)*(IF('Gastos com Pessoal'!$M$513:$M$522&lt;=AH$3,1,0))*OFFSET('Gastos com Pessoal'!$H$512,1,MATCH(2&amp;$B50,'Gastos com Pessoal'!$I$532:$AJ$532&amp;'Gastos com Pessoal'!$I$512:$AJ$512,0),10,1)),0)
+_xlfn.IFNA(SUM((AH$3&gt;='Gastos com Pessoal'!$E$513:$E$522)*(AH$3&lt;='Gastos com Pessoal'!$F$513:$F$522)*(IF('Gastos com Pessoal'!$S$513:$S$522&lt;=AH$3,1,0))*OFFSET('Gastos com Pessoal'!$H$512,1,MATCH(3&amp;$B50,'Gastos com Pessoal'!$I$532:$AJ$532&amp;'Gastos com Pessoal'!$I$512:$AJ$512,0),10,1)),0)
+_xlfn.IFNA(SUM((AH$3&gt;='Gastos com Pessoal'!$E$513:$E$522)*(AH$3&lt;='Gastos com Pessoal'!$F$513:$F$522)*(IF('Gastos com Pessoal'!$Y$513:$Y$522&lt;=AH$3,1,0))*OFFSET('Gastos com Pessoal'!$H$512,1,MATCH(4&amp;$B50,'Gastos com Pessoal'!$I$532:$AJ$532&amp;'Gastos com Pessoal'!$I$512:$AJ$512,0),10,1)),0)
+_xlfn.IFNA(SUM((AH$3&gt;='Gastos com Pessoal'!$E$513:$E$522)*(AH$3&lt;='Gastos com Pessoal'!$F$513:$F$522)*(IF('Gastos com Pessoal'!$AE$513:$AE$522&lt;=AH$3,1,0))*OFFSET('Gastos com Pessoal'!$H$512,1,MATCH(5&amp;$B50,'Gastos com Pessoal'!$I$532:$AJ$532&amp;'Gastos com Pessoal'!$I$512:$AJ$512,0),10,1)),0)</f>
        <v>416880</v>
      </c>
      <c r="AI50" s="32">
        <f t="array" aca="1" ref="AI50" ca="1">_xlfn.IFNA(SUM((AI$3&gt;='Gastos com Pessoal'!$E$7:$E$506)*(AI$3&lt;='Gastos com Pessoal'!$F$7:$F$506)*OFFSET('Encargos e Benefícios'!$D$5,1,MATCH($B50,'Encargos e Benefícios'!$E$5:$AB$5,0),500,1)),0)
+_xlfn.IFNA(SUM((AI$3&gt;='Gastos com Pessoal'!$E$513:$E$522)*(AI$3&lt;='Gastos com Pessoal'!$F$513:$F$522)*OFFSET('Encargos e Benefícios'!$D$511,1,MATCH($B50,'Encargos e Benefícios'!$E$511:$AB$511,0),10,1)),0)
+_xlfn.IFNA(SUM((AI$3&gt;='Gastos com Pessoal'!$E$7:$E$506)*(AI$3&lt;='Gastos com Pessoal'!$F$7:$F$506)*(IF('Gastos com Pessoal'!$G$7:$G$506&lt;=AI$3,1,0))*OFFSET('Gastos com Pessoal'!$H$6,1,MATCH(1&amp;$B50,'Gastos com Pessoal'!$I$532:$AJ$532&amp;'Gastos com Pessoal'!$I$6:$AJ$6,0),500,1)),0)
+_xlfn.IFNA(SUM((AI$3&gt;='Gastos com Pessoal'!$E$7:$E$506)*(AI$3&lt;='Gastos com Pessoal'!$F$7:$F$506)*(IF('Gastos com Pessoal'!$M$7:$M$506&lt;=AI$3,1,0))*OFFSET('Gastos com Pessoal'!$H$6,1,MATCH(2&amp;$B50,'Gastos com Pessoal'!$I$532:$AJ$532&amp;'Gastos com Pessoal'!$I$6:$AJ$6,0),500,1)),0)
+_xlfn.IFNA(SUM((AI$3&gt;='Gastos com Pessoal'!$E$7:$E$506)*(AI$3&lt;='Gastos com Pessoal'!$F$7:$F$506)*(IF('Gastos com Pessoal'!$S$7:$S$506&lt;=AI$3,1,0))*OFFSET('Gastos com Pessoal'!$H$6,1,MATCH(3&amp;$B50,'Gastos com Pessoal'!$I$532:$AJ$532&amp;'Gastos com Pessoal'!$I$6:$AJ$6,0),500,1)),0)
+_xlfn.IFNA(SUM((AI$3&gt;='Gastos com Pessoal'!$E$7:$E$506)*(AI$3&lt;='Gastos com Pessoal'!$F$7:$F$506)*(IF('Gastos com Pessoal'!$Y$7:$Y$506&lt;=AI$3,1,0))*OFFSET('Gastos com Pessoal'!$H$6,1,MATCH(4&amp;$B50,'Gastos com Pessoal'!$I$532:$AJ$532&amp;'Gastos com Pessoal'!$I$6:$AJ$6,0),500,1)),0)
+_xlfn.IFNA(SUM((AI$3&gt;='Gastos com Pessoal'!$E$7:$E$506)*(AI$3&lt;='Gastos com Pessoal'!$F$7:$F$506)*(IF('Gastos com Pessoal'!$AE$7:$AE$506&lt;=AI$3,1,0))*OFFSET('Gastos com Pessoal'!$H$6,1,MATCH(5&amp;$B50,'Gastos com Pessoal'!$I$532:$AJ$532&amp;'Gastos com Pessoal'!$I$6:$AJ$6,0),500,1)),0)
+_xlfn.IFNA(SUM((AI$3&gt;='Gastos com Pessoal'!$E$513:$E$522)*(AI$3&lt;='Gastos com Pessoal'!$F$513:$F$522)*(IF('Gastos com Pessoal'!$G$513:$G$522&lt;=AI$3,1,0))*OFFSET('Gastos com Pessoal'!$H$512,1,MATCH(1&amp;$B50,'Gastos com Pessoal'!$I$532:$AJ$532&amp;'Gastos com Pessoal'!$I$512:$AJ$512,0),10,1)),0)
+_xlfn.IFNA(SUM((AI$3&gt;='Gastos com Pessoal'!$E$513:$E$522)*(AI$3&lt;='Gastos com Pessoal'!$F$513:$F$522)*(IF('Gastos com Pessoal'!$M$513:$M$522&lt;=AI$3,1,0))*OFFSET('Gastos com Pessoal'!$H$512,1,MATCH(2&amp;$B50,'Gastos com Pessoal'!$I$532:$AJ$532&amp;'Gastos com Pessoal'!$I$512:$AJ$512,0),10,1)),0)
+_xlfn.IFNA(SUM((AI$3&gt;='Gastos com Pessoal'!$E$513:$E$522)*(AI$3&lt;='Gastos com Pessoal'!$F$513:$F$522)*(IF('Gastos com Pessoal'!$S$513:$S$522&lt;=AI$3,1,0))*OFFSET('Gastos com Pessoal'!$H$512,1,MATCH(3&amp;$B50,'Gastos com Pessoal'!$I$532:$AJ$532&amp;'Gastos com Pessoal'!$I$512:$AJ$512,0),10,1)),0)
+_xlfn.IFNA(SUM((AI$3&gt;='Gastos com Pessoal'!$E$513:$E$522)*(AI$3&lt;='Gastos com Pessoal'!$F$513:$F$522)*(IF('Gastos com Pessoal'!$Y$513:$Y$522&lt;=AI$3,1,0))*OFFSET('Gastos com Pessoal'!$H$512,1,MATCH(4&amp;$B50,'Gastos com Pessoal'!$I$532:$AJ$532&amp;'Gastos com Pessoal'!$I$512:$AJ$512,0),10,1)),0)
+_xlfn.IFNA(SUM((AI$3&gt;='Gastos com Pessoal'!$E$513:$E$522)*(AI$3&lt;='Gastos com Pessoal'!$F$513:$F$522)*(IF('Gastos com Pessoal'!$AE$513:$AE$522&lt;=AI$3,1,0))*OFFSET('Gastos com Pessoal'!$H$512,1,MATCH(5&amp;$B50,'Gastos com Pessoal'!$I$532:$AJ$532&amp;'Gastos com Pessoal'!$I$512:$AJ$512,0),10,1)),0)</f>
        <v>416880</v>
      </c>
      <c r="AJ50" s="32">
        <f t="array" aca="1" ref="AJ50" ca="1">_xlfn.IFNA(SUM((AJ$3&gt;='Gastos com Pessoal'!$E$7:$E$506)*(AJ$3&lt;='Gastos com Pessoal'!$F$7:$F$506)*OFFSET('Encargos e Benefícios'!$D$5,1,MATCH($B50,'Encargos e Benefícios'!$E$5:$AB$5,0),500,1)),0)
+_xlfn.IFNA(SUM((AJ$3&gt;='Gastos com Pessoal'!$E$513:$E$522)*(AJ$3&lt;='Gastos com Pessoal'!$F$513:$F$522)*OFFSET('Encargos e Benefícios'!$D$511,1,MATCH($B50,'Encargos e Benefícios'!$E$511:$AB$511,0),10,1)),0)
+_xlfn.IFNA(SUM((AJ$3&gt;='Gastos com Pessoal'!$E$7:$E$506)*(AJ$3&lt;='Gastos com Pessoal'!$F$7:$F$506)*(IF('Gastos com Pessoal'!$G$7:$G$506&lt;=AJ$3,1,0))*OFFSET('Gastos com Pessoal'!$H$6,1,MATCH(1&amp;$B50,'Gastos com Pessoal'!$I$532:$AJ$532&amp;'Gastos com Pessoal'!$I$6:$AJ$6,0),500,1)),0)
+_xlfn.IFNA(SUM((AJ$3&gt;='Gastos com Pessoal'!$E$7:$E$506)*(AJ$3&lt;='Gastos com Pessoal'!$F$7:$F$506)*(IF('Gastos com Pessoal'!$M$7:$M$506&lt;=AJ$3,1,0))*OFFSET('Gastos com Pessoal'!$H$6,1,MATCH(2&amp;$B50,'Gastos com Pessoal'!$I$532:$AJ$532&amp;'Gastos com Pessoal'!$I$6:$AJ$6,0),500,1)),0)
+_xlfn.IFNA(SUM((AJ$3&gt;='Gastos com Pessoal'!$E$7:$E$506)*(AJ$3&lt;='Gastos com Pessoal'!$F$7:$F$506)*(IF('Gastos com Pessoal'!$S$7:$S$506&lt;=AJ$3,1,0))*OFFSET('Gastos com Pessoal'!$H$6,1,MATCH(3&amp;$B50,'Gastos com Pessoal'!$I$532:$AJ$532&amp;'Gastos com Pessoal'!$I$6:$AJ$6,0),500,1)),0)
+_xlfn.IFNA(SUM((AJ$3&gt;='Gastos com Pessoal'!$E$7:$E$506)*(AJ$3&lt;='Gastos com Pessoal'!$F$7:$F$506)*(IF('Gastos com Pessoal'!$Y$7:$Y$506&lt;=AJ$3,1,0))*OFFSET('Gastos com Pessoal'!$H$6,1,MATCH(4&amp;$B50,'Gastos com Pessoal'!$I$532:$AJ$532&amp;'Gastos com Pessoal'!$I$6:$AJ$6,0),500,1)),0)
+_xlfn.IFNA(SUM((AJ$3&gt;='Gastos com Pessoal'!$E$7:$E$506)*(AJ$3&lt;='Gastos com Pessoal'!$F$7:$F$506)*(IF('Gastos com Pessoal'!$AE$7:$AE$506&lt;=AJ$3,1,0))*OFFSET('Gastos com Pessoal'!$H$6,1,MATCH(5&amp;$B50,'Gastos com Pessoal'!$I$532:$AJ$532&amp;'Gastos com Pessoal'!$I$6:$AJ$6,0),500,1)),0)
+_xlfn.IFNA(SUM((AJ$3&gt;='Gastos com Pessoal'!$E$513:$E$522)*(AJ$3&lt;='Gastos com Pessoal'!$F$513:$F$522)*(IF('Gastos com Pessoal'!$G$513:$G$522&lt;=AJ$3,1,0))*OFFSET('Gastos com Pessoal'!$H$512,1,MATCH(1&amp;$B50,'Gastos com Pessoal'!$I$532:$AJ$532&amp;'Gastos com Pessoal'!$I$512:$AJ$512,0),10,1)),0)
+_xlfn.IFNA(SUM((AJ$3&gt;='Gastos com Pessoal'!$E$513:$E$522)*(AJ$3&lt;='Gastos com Pessoal'!$F$513:$F$522)*(IF('Gastos com Pessoal'!$M$513:$M$522&lt;=AJ$3,1,0))*OFFSET('Gastos com Pessoal'!$H$512,1,MATCH(2&amp;$B50,'Gastos com Pessoal'!$I$532:$AJ$532&amp;'Gastos com Pessoal'!$I$512:$AJ$512,0),10,1)),0)
+_xlfn.IFNA(SUM((AJ$3&gt;='Gastos com Pessoal'!$E$513:$E$522)*(AJ$3&lt;='Gastos com Pessoal'!$F$513:$F$522)*(IF('Gastos com Pessoal'!$S$513:$S$522&lt;=AJ$3,1,0))*OFFSET('Gastos com Pessoal'!$H$512,1,MATCH(3&amp;$B50,'Gastos com Pessoal'!$I$532:$AJ$532&amp;'Gastos com Pessoal'!$I$512:$AJ$512,0),10,1)),0)
+_xlfn.IFNA(SUM((AJ$3&gt;='Gastos com Pessoal'!$E$513:$E$522)*(AJ$3&lt;='Gastos com Pessoal'!$F$513:$F$522)*(IF('Gastos com Pessoal'!$Y$513:$Y$522&lt;=AJ$3,1,0))*OFFSET('Gastos com Pessoal'!$H$512,1,MATCH(4&amp;$B50,'Gastos com Pessoal'!$I$532:$AJ$532&amp;'Gastos com Pessoal'!$I$512:$AJ$512,0),10,1)),0)
+_xlfn.IFNA(SUM((AJ$3&gt;='Gastos com Pessoal'!$E$513:$E$522)*(AJ$3&lt;='Gastos com Pessoal'!$F$513:$F$522)*(IF('Gastos com Pessoal'!$AE$513:$AE$522&lt;=AJ$3,1,0))*OFFSET('Gastos com Pessoal'!$H$512,1,MATCH(5&amp;$B50,'Gastos com Pessoal'!$I$532:$AJ$532&amp;'Gastos com Pessoal'!$I$512:$AJ$512,0),10,1)),0)</f>
        <v>416880</v>
      </c>
      <c r="AK50" s="32">
        <f t="array" aca="1" ref="AK50" ca="1">_xlfn.IFNA(SUM((AK$3&gt;='Gastos com Pessoal'!$E$7:$E$506)*(AK$3&lt;='Gastos com Pessoal'!$F$7:$F$506)*OFFSET('Encargos e Benefícios'!$D$5,1,MATCH($B50,'Encargos e Benefícios'!$E$5:$AB$5,0),500,1)),0)
+_xlfn.IFNA(SUM((AK$3&gt;='Gastos com Pessoal'!$E$513:$E$522)*(AK$3&lt;='Gastos com Pessoal'!$F$513:$F$522)*OFFSET('Encargos e Benefícios'!$D$511,1,MATCH($B50,'Encargos e Benefícios'!$E$511:$AB$511,0),10,1)),0)
+_xlfn.IFNA(SUM((AK$3&gt;='Gastos com Pessoal'!$E$7:$E$506)*(AK$3&lt;='Gastos com Pessoal'!$F$7:$F$506)*(IF('Gastos com Pessoal'!$G$7:$G$506&lt;=AK$3,1,0))*OFFSET('Gastos com Pessoal'!$H$6,1,MATCH(1&amp;$B50,'Gastos com Pessoal'!$I$532:$AJ$532&amp;'Gastos com Pessoal'!$I$6:$AJ$6,0),500,1)),0)
+_xlfn.IFNA(SUM((AK$3&gt;='Gastos com Pessoal'!$E$7:$E$506)*(AK$3&lt;='Gastos com Pessoal'!$F$7:$F$506)*(IF('Gastos com Pessoal'!$M$7:$M$506&lt;=AK$3,1,0))*OFFSET('Gastos com Pessoal'!$H$6,1,MATCH(2&amp;$B50,'Gastos com Pessoal'!$I$532:$AJ$532&amp;'Gastos com Pessoal'!$I$6:$AJ$6,0),500,1)),0)
+_xlfn.IFNA(SUM((AK$3&gt;='Gastos com Pessoal'!$E$7:$E$506)*(AK$3&lt;='Gastos com Pessoal'!$F$7:$F$506)*(IF('Gastos com Pessoal'!$S$7:$S$506&lt;=AK$3,1,0))*OFFSET('Gastos com Pessoal'!$H$6,1,MATCH(3&amp;$B50,'Gastos com Pessoal'!$I$532:$AJ$532&amp;'Gastos com Pessoal'!$I$6:$AJ$6,0),500,1)),0)
+_xlfn.IFNA(SUM((AK$3&gt;='Gastos com Pessoal'!$E$7:$E$506)*(AK$3&lt;='Gastos com Pessoal'!$F$7:$F$506)*(IF('Gastos com Pessoal'!$Y$7:$Y$506&lt;=AK$3,1,0))*OFFSET('Gastos com Pessoal'!$H$6,1,MATCH(4&amp;$B50,'Gastos com Pessoal'!$I$532:$AJ$532&amp;'Gastos com Pessoal'!$I$6:$AJ$6,0),500,1)),0)
+_xlfn.IFNA(SUM((AK$3&gt;='Gastos com Pessoal'!$E$7:$E$506)*(AK$3&lt;='Gastos com Pessoal'!$F$7:$F$506)*(IF('Gastos com Pessoal'!$AE$7:$AE$506&lt;=AK$3,1,0))*OFFSET('Gastos com Pessoal'!$H$6,1,MATCH(5&amp;$B50,'Gastos com Pessoal'!$I$532:$AJ$532&amp;'Gastos com Pessoal'!$I$6:$AJ$6,0),500,1)),0)
+_xlfn.IFNA(SUM((AK$3&gt;='Gastos com Pessoal'!$E$513:$E$522)*(AK$3&lt;='Gastos com Pessoal'!$F$513:$F$522)*(IF('Gastos com Pessoal'!$G$513:$G$522&lt;=AK$3,1,0))*OFFSET('Gastos com Pessoal'!$H$512,1,MATCH(1&amp;$B50,'Gastos com Pessoal'!$I$532:$AJ$532&amp;'Gastos com Pessoal'!$I$512:$AJ$512,0),10,1)),0)
+_xlfn.IFNA(SUM((AK$3&gt;='Gastos com Pessoal'!$E$513:$E$522)*(AK$3&lt;='Gastos com Pessoal'!$F$513:$F$522)*(IF('Gastos com Pessoal'!$M$513:$M$522&lt;=AK$3,1,0))*OFFSET('Gastos com Pessoal'!$H$512,1,MATCH(2&amp;$B50,'Gastos com Pessoal'!$I$532:$AJ$532&amp;'Gastos com Pessoal'!$I$512:$AJ$512,0),10,1)),0)
+_xlfn.IFNA(SUM((AK$3&gt;='Gastos com Pessoal'!$E$513:$E$522)*(AK$3&lt;='Gastos com Pessoal'!$F$513:$F$522)*(IF('Gastos com Pessoal'!$S$513:$S$522&lt;=AK$3,1,0))*OFFSET('Gastos com Pessoal'!$H$512,1,MATCH(3&amp;$B50,'Gastos com Pessoal'!$I$532:$AJ$532&amp;'Gastos com Pessoal'!$I$512:$AJ$512,0),10,1)),0)
+_xlfn.IFNA(SUM((AK$3&gt;='Gastos com Pessoal'!$E$513:$E$522)*(AK$3&lt;='Gastos com Pessoal'!$F$513:$F$522)*(IF('Gastos com Pessoal'!$Y$513:$Y$522&lt;=AK$3,1,0))*OFFSET('Gastos com Pessoal'!$H$512,1,MATCH(4&amp;$B50,'Gastos com Pessoal'!$I$532:$AJ$532&amp;'Gastos com Pessoal'!$I$512:$AJ$512,0),10,1)),0)
+_xlfn.IFNA(SUM((AK$3&gt;='Gastos com Pessoal'!$E$513:$E$522)*(AK$3&lt;='Gastos com Pessoal'!$F$513:$F$522)*(IF('Gastos com Pessoal'!$AE$513:$AE$522&lt;=AK$3,1,0))*OFFSET('Gastos com Pessoal'!$H$512,1,MATCH(5&amp;$B50,'Gastos com Pessoal'!$I$532:$AJ$532&amp;'Gastos com Pessoal'!$I$512:$AJ$512,0),10,1)),0)</f>
        <v>416880</v>
      </c>
      <c r="AL50" s="32">
        <f t="array" aca="1" ref="AL50" ca="1">_xlfn.IFNA(SUM((AL$3&gt;='Gastos com Pessoal'!$E$7:$E$506)*(AL$3&lt;='Gastos com Pessoal'!$F$7:$F$506)*OFFSET('Encargos e Benefícios'!$D$5,1,MATCH($B50,'Encargos e Benefícios'!$E$5:$AB$5,0),500,1)),0)
+_xlfn.IFNA(SUM((AL$3&gt;='Gastos com Pessoal'!$E$513:$E$522)*(AL$3&lt;='Gastos com Pessoal'!$F$513:$F$522)*OFFSET('Encargos e Benefícios'!$D$511,1,MATCH($B50,'Encargos e Benefícios'!$E$511:$AB$511,0),10,1)),0)
+_xlfn.IFNA(SUM((AL$3&gt;='Gastos com Pessoal'!$E$7:$E$506)*(AL$3&lt;='Gastos com Pessoal'!$F$7:$F$506)*(IF('Gastos com Pessoal'!$G$7:$G$506&lt;=AL$3,1,0))*OFFSET('Gastos com Pessoal'!$H$6,1,MATCH(1&amp;$B50,'Gastos com Pessoal'!$I$532:$AJ$532&amp;'Gastos com Pessoal'!$I$6:$AJ$6,0),500,1)),0)
+_xlfn.IFNA(SUM((AL$3&gt;='Gastos com Pessoal'!$E$7:$E$506)*(AL$3&lt;='Gastos com Pessoal'!$F$7:$F$506)*(IF('Gastos com Pessoal'!$M$7:$M$506&lt;=AL$3,1,0))*OFFSET('Gastos com Pessoal'!$H$6,1,MATCH(2&amp;$B50,'Gastos com Pessoal'!$I$532:$AJ$532&amp;'Gastos com Pessoal'!$I$6:$AJ$6,0),500,1)),0)
+_xlfn.IFNA(SUM((AL$3&gt;='Gastos com Pessoal'!$E$7:$E$506)*(AL$3&lt;='Gastos com Pessoal'!$F$7:$F$506)*(IF('Gastos com Pessoal'!$S$7:$S$506&lt;=AL$3,1,0))*OFFSET('Gastos com Pessoal'!$H$6,1,MATCH(3&amp;$B50,'Gastos com Pessoal'!$I$532:$AJ$532&amp;'Gastos com Pessoal'!$I$6:$AJ$6,0),500,1)),0)
+_xlfn.IFNA(SUM((AL$3&gt;='Gastos com Pessoal'!$E$7:$E$506)*(AL$3&lt;='Gastos com Pessoal'!$F$7:$F$506)*(IF('Gastos com Pessoal'!$Y$7:$Y$506&lt;=AL$3,1,0))*OFFSET('Gastos com Pessoal'!$H$6,1,MATCH(4&amp;$B50,'Gastos com Pessoal'!$I$532:$AJ$532&amp;'Gastos com Pessoal'!$I$6:$AJ$6,0),500,1)),0)
+_xlfn.IFNA(SUM((AL$3&gt;='Gastos com Pessoal'!$E$7:$E$506)*(AL$3&lt;='Gastos com Pessoal'!$F$7:$F$506)*(IF('Gastos com Pessoal'!$AE$7:$AE$506&lt;=AL$3,1,0))*OFFSET('Gastos com Pessoal'!$H$6,1,MATCH(5&amp;$B50,'Gastos com Pessoal'!$I$532:$AJ$532&amp;'Gastos com Pessoal'!$I$6:$AJ$6,0),500,1)),0)
+_xlfn.IFNA(SUM((AL$3&gt;='Gastos com Pessoal'!$E$513:$E$522)*(AL$3&lt;='Gastos com Pessoal'!$F$513:$F$522)*(IF('Gastos com Pessoal'!$G$513:$G$522&lt;=AL$3,1,0))*OFFSET('Gastos com Pessoal'!$H$512,1,MATCH(1&amp;$B50,'Gastos com Pessoal'!$I$532:$AJ$532&amp;'Gastos com Pessoal'!$I$512:$AJ$512,0),10,1)),0)
+_xlfn.IFNA(SUM((AL$3&gt;='Gastos com Pessoal'!$E$513:$E$522)*(AL$3&lt;='Gastos com Pessoal'!$F$513:$F$522)*(IF('Gastos com Pessoal'!$M$513:$M$522&lt;=AL$3,1,0))*OFFSET('Gastos com Pessoal'!$H$512,1,MATCH(2&amp;$B50,'Gastos com Pessoal'!$I$532:$AJ$532&amp;'Gastos com Pessoal'!$I$512:$AJ$512,0),10,1)),0)
+_xlfn.IFNA(SUM((AL$3&gt;='Gastos com Pessoal'!$E$513:$E$522)*(AL$3&lt;='Gastos com Pessoal'!$F$513:$F$522)*(IF('Gastos com Pessoal'!$S$513:$S$522&lt;=AL$3,1,0))*OFFSET('Gastos com Pessoal'!$H$512,1,MATCH(3&amp;$B50,'Gastos com Pessoal'!$I$532:$AJ$532&amp;'Gastos com Pessoal'!$I$512:$AJ$512,0),10,1)),0)
+_xlfn.IFNA(SUM((AL$3&gt;='Gastos com Pessoal'!$E$513:$E$522)*(AL$3&lt;='Gastos com Pessoal'!$F$513:$F$522)*(IF('Gastos com Pessoal'!$Y$513:$Y$522&lt;=AL$3,1,0))*OFFSET('Gastos com Pessoal'!$H$512,1,MATCH(4&amp;$B50,'Gastos com Pessoal'!$I$532:$AJ$532&amp;'Gastos com Pessoal'!$I$512:$AJ$512,0),10,1)),0)
+_xlfn.IFNA(SUM((AL$3&gt;='Gastos com Pessoal'!$E$513:$E$522)*(AL$3&lt;='Gastos com Pessoal'!$F$513:$F$522)*(IF('Gastos com Pessoal'!$AE$513:$AE$522&lt;=AL$3,1,0))*OFFSET('Gastos com Pessoal'!$H$512,1,MATCH(5&amp;$B50,'Gastos com Pessoal'!$I$532:$AJ$532&amp;'Gastos com Pessoal'!$I$512:$AJ$512,0),10,1)),0)</f>
        <v>416880</v>
      </c>
      <c r="AM50" s="32">
        <f t="array" aca="1" ref="AM50" ca="1">_xlfn.IFNA(SUM((AM$3&gt;='Gastos com Pessoal'!$E$7:$E$506)*(AM$3&lt;='Gastos com Pessoal'!$F$7:$F$506)*OFFSET('Encargos e Benefícios'!$D$5,1,MATCH($B50,'Encargos e Benefícios'!$E$5:$AB$5,0),500,1)),0)
+_xlfn.IFNA(SUM((AM$3&gt;='Gastos com Pessoal'!$E$513:$E$522)*(AM$3&lt;='Gastos com Pessoal'!$F$513:$F$522)*OFFSET('Encargos e Benefícios'!$D$511,1,MATCH($B50,'Encargos e Benefícios'!$E$511:$AB$511,0),10,1)),0)
+_xlfn.IFNA(SUM((AM$3&gt;='Gastos com Pessoal'!$E$7:$E$506)*(AM$3&lt;='Gastos com Pessoal'!$F$7:$F$506)*(IF('Gastos com Pessoal'!$G$7:$G$506&lt;=AM$3,1,0))*OFFSET('Gastos com Pessoal'!$H$6,1,MATCH(1&amp;$B50,'Gastos com Pessoal'!$I$532:$AJ$532&amp;'Gastos com Pessoal'!$I$6:$AJ$6,0),500,1)),0)
+_xlfn.IFNA(SUM((AM$3&gt;='Gastos com Pessoal'!$E$7:$E$506)*(AM$3&lt;='Gastos com Pessoal'!$F$7:$F$506)*(IF('Gastos com Pessoal'!$M$7:$M$506&lt;=AM$3,1,0))*OFFSET('Gastos com Pessoal'!$H$6,1,MATCH(2&amp;$B50,'Gastos com Pessoal'!$I$532:$AJ$532&amp;'Gastos com Pessoal'!$I$6:$AJ$6,0),500,1)),0)
+_xlfn.IFNA(SUM((AM$3&gt;='Gastos com Pessoal'!$E$7:$E$506)*(AM$3&lt;='Gastos com Pessoal'!$F$7:$F$506)*(IF('Gastos com Pessoal'!$S$7:$S$506&lt;=AM$3,1,0))*OFFSET('Gastos com Pessoal'!$H$6,1,MATCH(3&amp;$B50,'Gastos com Pessoal'!$I$532:$AJ$532&amp;'Gastos com Pessoal'!$I$6:$AJ$6,0),500,1)),0)
+_xlfn.IFNA(SUM((AM$3&gt;='Gastos com Pessoal'!$E$7:$E$506)*(AM$3&lt;='Gastos com Pessoal'!$F$7:$F$506)*(IF('Gastos com Pessoal'!$Y$7:$Y$506&lt;=AM$3,1,0))*OFFSET('Gastos com Pessoal'!$H$6,1,MATCH(4&amp;$B50,'Gastos com Pessoal'!$I$532:$AJ$532&amp;'Gastos com Pessoal'!$I$6:$AJ$6,0),500,1)),0)
+_xlfn.IFNA(SUM((AM$3&gt;='Gastos com Pessoal'!$E$7:$E$506)*(AM$3&lt;='Gastos com Pessoal'!$F$7:$F$506)*(IF('Gastos com Pessoal'!$AE$7:$AE$506&lt;=AM$3,1,0))*OFFSET('Gastos com Pessoal'!$H$6,1,MATCH(5&amp;$B50,'Gastos com Pessoal'!$I$532:$AJ$532&amp;'Gastos com Pessoal'!$I$6:$AJ$6,0),500,1)),0)
+_xlfn.IFNA(SUM((AM$3&gt;='Gastos com Pessoal'!$E$513:$E$522)*(AM$3&lt;='Gastos com Pessoal'!$F$513:$F$522)*(IF('Gastos com Pessoal'!$G$513:$G$522&lt;=AM$3,1,0))*OFFSET('Gastos com Pessoal'!$H$512,1,MATCH(1&amp;$B50,'Gastos com Pessoal'!$I$532:$AJ$532&amp;'Gastos com Pessoal'!$I$512:$AJ$512,0),10,1)),0)
+_xlfn.IFNA(SUM((AM$3&gt;='Gastos com Pessoal'!$E$513:$E$522)*(AM$3&lt;='Gastos com Pessoal'!$F$513:$F$522)*(IF('Gastos com Pessoal'!$M$513:$M$522&lt;=AM$3,1,0))*OFFSET('Gastos com Pessoal'!$H$512,1,MATCH(2&amp;$B50,'Gastos com Pessoal'!$I$532:$AJ$532&amp;'Gastos com Pessoal'!$I$512:$AJ$512,0),10,1)),0)
+_xlfn.IFNA(SUM((AM$3&gt;='Gastos com Pessoal'!$E$513:$E$522)*(AM$3&lt;='Gastos com Pessoal'!$F$513:$F$522)*(IF('Gastos com Pessoal'!$S$513:$S$522&lt;=AM$3,1,0))*OFFSET('Gastos com Pessoal'!$H$512,1,MATCH(3&amp;$B50,'Gastos com Pessoal'!$I$532:$AJ$532&amp;'Gastos com Pessoal'!$I$512:$AJ$512,0),10,1)),0)
+_xlfn.IFNA(SUM((AM$3&gt;='Gastos com Pessoal'!$E$513:$E$522)*(AM$3&lt;='Gastos com Pessoal'!$F$513:$F$522)*(IF('Gastos com Pessoal'!$Y$513:$Y$522&lt;=AM$3,1,0))*OFFSET('Gastos com Pessoal'!$H$512,1,MATCH(4&amp;$B50,'Gastos com Pessoal'!$I$532:$AJ$532&amp;'Gastos com Pessoal'!$I$512:$AJ$512,0),10,1)),0)
+_xlfn.IFNA(SUM((AM$3&gt;='Gastos com Pessoal'!$E$513:$E$522)*(AM$3&lt;='Gastos com Pessoal'!$F$513:$F$522)*(IF('Gastos com Pessoal'!$AE$513:$AE$522&lt;=AM$3,1,0))*OFFSET('Gastos com Pessoal'!$H$512,1,MATCH(5&amp;$B50,'Gastos com Pessoal'!$I$532:$AJ$532&amp;'Gastos com Pessoal'!$I$512:$AJ$512,0),10,1)),0)</f>
        <v>0</v>
      </c>
      <c r="AN50" s="32">
        <f t="array" aca="1" ref="AN50" ca="1">_xlfn.IFNA(SUM((AN$3&gt;='Gastos com Pessoal'!$E$7:$E$506)*(AN$3&lt;='Gastos com Pessoal'!$F$7:$F$506)*OFFSET('Encargos e Benefícios'!$D$5,1,MATCH($B50,'Encargos e Benefícios'!$E$5:$AB$5,0),500,1)),0)
+_xlfn.IFNA(SUM((AN$3&gt;='Gastos com Pessoal'!$E$513:$E$522)*(AN$3&lt;='Gastos com Pessoal'!$F$513:$F$522)*OFFSET('Encargos e Benefícios'!$D$511,1,MATCH($B50,'Encargos e Benefícios'!$E$511:$AB$511,0),10,1)),0)
+_xlfn.IFNA(SUM((AN$3&gt;='Gastos com Pessoal'!$E$7:$E$506)*(AN$3&lt;='Gastos com Pessoal'!$F$7:$F$506)*(IF('Gastos com Pessoal'!$G$7:$G$506&lt;=AN$3,1,0))*OFFSET('Gastos com Pessoal'!$H$6,1,MATCH(1&amp;$B50,'Gastos com Pessoal'!$I$532:$AJ$532&amp;'Gastos com Pessoal'!$I$6:$AJ$6,0),500,1)),0)
+_xlfn.IFNA(SUM((AN$3&gt;='Gastos com Pessoal'!$E$7:$E$506)*(AN$3&lt;='Gastos com Pessoal'!$F$7:$F$506)*(IF('Gastos com Pessoal'!$M$7:$M$506&lt;=AN$3,1,0))*OFFSET('Gastos com Pessoal'!$H$6,1,MATCH(2&amp;$B50,'Gastos com Pessoal'!$I$532:$AJ$532&amp;'Gastos com Pessoal'!$I$6:$AJ$6,0),500,1)),0)
+_xlfn.IFNA(SUM((AN$3&gt;='Gastos com Pessoal'!$E$7:$E$506)*(AN$3&lt;='Gastos com Pessoal'!$F$7:$F$506)*(IF('Gastos com Pessoal'!$S$7:$S$506&lt;=AN$3,1,0))*OFFSET('Gastos com Pessoal'!$H$6,1,MATCH(3&amp;$B50,'Gastos com Pessoal'!$I$532:$AJ$532&amp;'Gastos com Pessoal'!$I$6:$AJ$6,0),500,1)),0)
+_xlfn.IFNA(SUM((AN$3&gt;='Gastos com Pessoal'!$E$7:$E$506)*(AN$3&lt;='Gastos com Pessoal'!$F$7:$F$506)*(IF('Gastos com Pessoal'!$Y$7:$Y$506&lt;=AN$3,1,0))*OFFSET('Gastos com Pessoal'!$H$6,1,MATCH(4&amp;$B50,'Gastos com Pessoal'!$I$532:$AJ$532&amp;'Gastos com Pessoal'!$I$6:$AJ$6,0),500,1)),0)
+_xlfn.IFNA(SUM((AN$3&gt;='Gastos com Pessoal'!$E$7:$E$506)*(AN$3&lt;='Gastos com Pessoal'!$F$7:$F$506)*(IF('Gastos com Pessoal'!$AE$7:$AE$506&lt;=AN$3,1,0))*OFFSET('Gastos com Pessoal'!$H$6,1,MATCH(5&amp;$B50,'Gastos com Pessoal'!$I$532:$AJ$532&amp;'Gastos com Pessoal'!$I$6:$AJ$6,0),500,1)),0)
+_xlfn.IFNA(SUM((AN$3&gt;='Gastos com Pessoal'!$E$513:$E$522)*(AN$3&lt;='Gastos com Pessoal'!$F$513:$F$522)*(IF('Gastos com Pessoal'!$G$513:$G$522&lt;=AN$3,1,0))*OFFSET('Gastos com Pessoal'!$H$512,1,MATCH(1&amp;$B50,'Gastos com Pessoal'!$I$532:$AJ$532&amp;'Gastos com Pessoal'!$I$512:$AJ$512,0),10,1)),0)
+_xlfn.IFNA(SUM((AN$3&gt;='Gastos com Pessoal'!$E$513:$E$522)*(AN$3&lt;='Gastos com Pessoal'!$F$513:$F$522)*(IF('Gastos com Pessoal'!$M$513:$M$522&lt;=AN$3,1,0))*OFFSET('Gastos com Pessoal'!$H$512,1,MATCH(2&amp;$B50,'Gastos com Pessoal'!$I$532:$AJ$532&amp;'Gastos com Pessoal'!$I$512:$AJ$512,0),10,1)),0)
+_xlfn.IFNA(SUM((AN$3&gt;='Gastos com Pessoal'!$E$513:$E$522)*(AN$3&lt;='Gastos com Pessoal'!$F$513:$F$522)*(IF('Gastos com Pessoal'!$S$513:$S$522&lt;=AN$3,1,0))*OFFSET('Gastos com Pessoal'!$H$512,1,MATCH(3&amp;$B50,'Gastos com Pessoal'!$I$532:$AJ$532&amp;'Gastos com Pessoal'!$I$512:$AJ$512,0),10,1)),0)
+_xlfn.IFNA(SUM((AN$3&gt;='Gastos com Pessoal'!$E$513:$E$522)*(AN$3&lt;='Gastos com Pessoal'!$F$513:$F$522)*(IF('Gastos com Pessoal'!$Y$513:$Y$522&lt;=AN$3,1,0))*OFFSET('Gastos com Pessoal'!$H$512,1,MATCH(4&amp;$B50,'Gastos com Pessoal'!$I$532:$AJ$532&amp;'Gastos com Pessoal'!$I$512:$AJ$512,0),10,1)),0)
+_xlfn.IFNA(SUM((AN$3&gt;='Gastos com Pessoal'!$E$513:$E$522)*(AN$3&lt;='Gastos com Pessoal'!$F$513:$F$522)*(IF('Gastos com Pessoal'!$AE$513:$AE$522&lt;=AN$3,1,0))*OFFSET('Gastos com Pessoal'!$H$512,1,MATCH(5&amp;$B50,'Gastos com Pessoal'!$I$532:$AJ$532&amp;'Gastos com Pessoal'!$I$512:$AJ$512,0),10,1)),0)</f>
        <v>0</v>
      </c>
      <c r="AO50" s="32">
        <f t="array" aca="1" ref="AO50" ca="1">_xlfn.IFNA(SUM((AO$3&gt;='Gastos com Pessoal'!$E$7:$E$506)*(AO$3&lt;='Gastos com Pessoal'!$F$7:$F$506)*OFFSET('Encargos e Benefícios'!$D$5,1,MATCH($B50,'Encargos e Benefícios'!$E$5:$AB$5,0),500,1)),0)
+_xlfn.IFNA(SUM((AO$3&gt;='Gastos com Pessoal'!$E$513:$E$522)*(AO$3&lt;='Gastos com Pessoal'!$F$513:$F$522)*OFFSET('Encargos e Benefícios'!$D$511,1,MATCH($B50,'Encargos e Benefícios'!$E$511:$AB$511,0),10,1)),0)
+_xlfn.IFNA(SUM((AO$3&gt;='Gastos com Pessoal'!$E$7:$E$506)*(AO$3&lt;='Gastos com Pessoal'!$F$7:$F$506)*(IF('Gastos com Pessoal'!$G$7:$G$506&lt;=AO$3,1,0))*OFFSET('Gastos com Pessoal'!$H$6,1,MATCH(1&amp;$B50,'Gastos com Pessoal'!$I$532:$AJ$532&amp;'Gastos com Pessoal'!$I$6:$AJ$6,0),500,1)),0)
+_xlfn.IFNA(SUM((AO$3&gt;='Gastos com Pessoal'!$E$7:$E$506)*(AO$3&lt;='Gastos com Pessoal'!$F$7:$F$506)*(IF('Gastos com Pessoal'!$M$7:$M$506&lt;=AO$3,1,0))*OFFSET('Gastos com Pessoal'!$H$6,1,MATCH(2&amp;$B50,'Gastos com Pessoal'!$I$532:$AJ$532&amp;'Gastos com Pessoal'!$I$6:$AJ$6,0),500,1)),0)
+_xlfn.IFNA(SUM((AO$3&gt;='Gastos com Pessoal'!$E$7:$E$506)*(AO$3&lt;='Gastos com Pessoal'!$F$7:$F$506)*(IF('Gastos com Pessoal'!$S$7:$S$506&lt;=AO$3,1,0))*OFFSET('Gastos com Pessoal'!$H$6,1,MATCH(3&amp;$B50,'Gastos com Pessoal'!$I$532:$AJ$532&amp;'Gastos com Pessoal'!$I$6:$AJ$6,0),500,1)),0)
+_xlfn.IFNA(SUM((AO$3&gt;='Gastos com Pessoal'!$E$7:$E$506)*(AO$3&lt;='Gastos com Pessoal'!$F$7:$F$506)*(IF('Gastos com Pessoal'!$Y$7:$Y$506&lt;=AO$3,1,0))*OFFSET('Gastos com Pessoal'!$H$6,1,MATCH(4&amp;$B50,'Gastos com Pessoal'!$I$532:$AJ$532&amp;'Gastos com Pessoal'!$I$6:$AJ$6,0),500,1)),0)
+_xlfn.IFNA(SUM((AO$3&gt;='Gastos com Pessoal'!$E$7:$E$506)*(AO$3&lt;='Gastos com Pessoal'!$F$7:$F$506)*(IF('Gastos com Pessoal'!$AE$7:$AE$506&lt;=AO$3,1,0))*OFFSET('Gastos com Pessoal'!$H$6,1,MATCH(5&amp;$B50,'Gastos com Pessoal'!$I$532:$AJ$532&amp;'Gastos com Pessoal'!$I$6:$AJ$6,0),500,1)),0)
+_xlfn.IFNA(SUM((AO$3&gt;='Gastos com Pessoal'!$E$513:$E$522)*(AO$3&lt;='Gastos com Pessoal'!$F$513:$F$522)*(IF('Gastos com Pessoal'!$G$513:$G$522&lt;=AO$3,1,0))*OFFSET('Gastos com Pessoal'!$H$512,1,MATCH(1&amp;$B50,'Gastos com Pessoal'!$I$532:$AJ$532&amp;'Gastos com Pessoal'!$I$512:$AJ$512,0),10,1)),0)
+_xlfn.IFNA(SUM((AO$3&gt;='Gastos com Pessoal'!$E$513:$E$522)*(AO$3&lt;='Gastos com Pessoal'!$F$513:$F$522)*(IF('Gastos com Pessoal'!$M$513:$M$522&lt;=AO$3,1,0))*OFFSET('Gastos com Pessoal'!$H$512,1,MATCH(2&amp;$B50,'Gastos com Pessoal'!$I$532:$AJ$532&amp;'Gastos com Pessoal'!$I$512:$AJ$512,0),10,1)),0)
+_xlfn.IFNA(SUM((AO$3&gt;='Gastos com Pessoal'!$E$513:$E$522)*(AO$3&lt;='Gastos com Pessoal'!$F$513:$F$522)*(IF('Gastos com Pessoal'!$S$513:$S$522&lt;=AO$3,1,0))*OFFSET('Gastos com Pessoal'!$H$512,1,MATCH(3&amp;$B50,'Gastos com Pessoal'!$I$532:$AJ$532&amp;'Gastos com Pessoal'!$I$512:$AJ$512,0),10,1)),0)
+_xlfn.IFNA(SUM((AO$3&gt;='Gastos com Pessoal'!$E$513:$E$522)*(AO$3&lt;='Gastos com Pessoal'!$F$513:$F$522)*(IF('Gastos com Pessoal'!$Y$513:$Y$522&lt;=AO$3,1,0))*OFFSET('Gastos com Pessoal'!$H$512,1,MATCH(4&amp;$B50,'Gastos com Pessoal'!$I$532:$AJ$532&amp;'Gastos com Pessoal'!$I$512:$AJ$512,0),10,1)),0)
+_xlfn.IFNA(SUM((AO$3&gt;='Gastos com Pessoal'!$E$513:$E$522)*(AO$3&lt;='Gastos com Pessoal'!$F$513:$F$522)*(IF('Gastos com Pessoal'!$AE$513:$AE$522&lt;=AO$3,1,0))*OFFSET('Gastos com Pessoal'!$H$512,1,MATCH(5&amp;$B50,'Gastos com Pessoal'!$I$532:$AJ$532&amp;'Gastos com Pessoal'!$I$512:$AJ$512,0),10,1)),0)</f>
        <v>0</v>
      </c>
      <c r="AP50" s="32">
        <f t="array" aca="1" ref="AP50" ca="1">_xlfn.IFNA(SUM((AP$3&gt;='Gastos com Pessoal'!$E$7:$E$506)*(AP$3&lt;='Gastos com Pessoal'!$F$7:$F$506)*OFFSET('Encargos e Benefícios'!$D$5,1,MATCH($B50,'Encargos e Benefícios'!$E$5:$AB$5,0),500,1)),0)
+_xlfn.IFNA(SUM((AP$3&gt;='Gastos com Pessoal'!$E$513:$E$522)*(AP$3&lt;='Gastos com Pessoal'!$F$513:$F$522)*OFFSET('Encargos e Benefícios'!$D$511,1,MATCH($B50,'Encargos e Benefícios'!$E$511:$AB$511,0),10,1)),0)
+_xlfn.IFNA(SUM((AP$3&gt;='Gastos com Pessoal'!$E$7:$E$506)*(AP$3&lt;='Gastos com Pessoal'!$F$7:$F$506)*(IF('Gastos com Pessoal'!$G$7:$G$506&lt;=AP$3,1,0))*OFFSET('Gastos com Pessoal'!$H$6,1,MATCH(1&amp;$B50,'Gastos com Pessoal'!$I$532:$AJ$532&amp;'Gastos com Pessoal'!$I$6:$AJ$6,0),500,1)),0)
+_xlfn.IFNA(SUM((AP$3&gt;='Gastos com Pessoal'!$E$7:$E$506)*(AP$3&lt;='Gastos com Pessoal'!$F$7:$F$506)*(IF('Gastos com Pessoal'!$M$7:$M$506&lt;=AP$3,1,0))*OFFSET('Gastos com Pessoal'!$H$6,1,MATCH(2&amp;$B50,'Gastos com Pessoal'!$I$532:$AJ$532&amp;'Gastos com Pessoal'!$I$6:$AJ$6,0),500,1)),0)
+_xlfn.IFNA(SUM((AP$3&gt;='Gastos com Pessoal'!$E$7:$E$506)*(AP$3&lt;='Gastos com Pessoal'!$F$7:$F$506)*(IF('Gastos com Pessoal'!$S$7:$S$506&lt;=AP$3,1,0))*OFFSET('Gastos com Pessoal'!$H$6,1,MATCH(3&amp;$B50,'Gastos com Pessoal'!$I$532:$AJ$532&amp;'Gastos com Pessoal'!$I$6:$AJ$6,0),500,1)),0)
+_xlfn.IFNA(SUM((AP$3&gt;='Gastos com Pessoal'!$E$7:$E$506)*(AP$3&lt;='Gastos com Pessoal'!$F$7:$F$506)*(IF('Gastos com Pessoal'!$Y$7:$Y$506&lt;=AP$3,1,0))*OFFSET('Gastos com Pessoal'!$H$6,1,MATCH(4&amp;$B50,'Gastos com Pessoal'!$I$532:$AJ$532&amp;'Gastos com Pessoal'!$I$6:$AJ$6,0),500,1)),0)
+_xlfn.IFNA(SUM((AP$3&gt;='Gastos com Pessoal'!$E$7:$E$506)*(AP$3&lt;='Gastos com Pessoal'!$F$7:$F$506)*(IF('Gastos com Pessoal'!$AE$7:$AE$506&lt;=AP$3,1,0))*OFFSET('Gastos com Pessoal'!$H$6,1,MATCH(5&amp;$B50,'Gastos com Pessoal'!$I$532:$AJ$532&amp;'Gastos com Pessoal'!$I$6:$AJ$6,0),500,1)),0)
+_xlfn.IFNA(SUM((AP$3&gt;='Gastos com Pessoal'!$E$513:$E$522)*(AP$3&lt;='Gastos com Pessoal'!$F$513:$F$522)*(IF('Gastos com Pessoal'!$G$513:$G$522&lt;=AP$3,1,0))*OFFSET('Gastos com Pessoal'!$H$512,1,MATCH(1&amp;$B50,'Gastos com Pessoal'!$I$532:$AJ$532&amp;'Gastos com Pessoal'!$I$512:$AJ$512,0),10,1)),0)
+_xlfn.IFNA(SUM((AP$3&gt;='Gastos com Pessoal'!$E$513:$E$522)*(AP$3&lt;='Gastos com Pessoal'!$F$513:$F$522)*(IF('Gastos com Pessoal'!$M$513:$M$522&lt;=AP$3,1,0))*OFFSET('Gastos com Pessoal'!$H$512,1,MATCH(2&amp;$B50,'Gastos com Pessoal'!$I$532:$AJ$532&amp;'Gastos com Pessoal'!$I$512:$AJ$512,0),10,1)),0)
+_xlfn.IFNA(SUM((AP$3&gt;='Gastos com Pessoal'!$E$513:$E$522)*(AP$3&lt;='Gastos com Pessoal'!$F$513:$F$522)*(IF('Gastos com Pessoal'!$S$513:$S$522&lt;=AP$3,1,0))*OFFSET('Gastos com Pessoal'!$H$512,1,MATCH(3&amp;$B50,'Gastos com Pessoal'!$I$532:$AJ$532&amp;'Gastos com Pessoal'!$I$512:$AJ$512,0),10,1)),0)
+_xlfn.IFNA(SUM((AP$3&gt;='Gastos com Pessoal'!$E$513:$E$522)*(AP$3&lt;='Gastos com Pessoal'!$F$513:$F$522)*(IF('Gastos com Pessoal'!$Y$513:$Y$522&lt;=AP$3,1,0))*OFFSET('Gastos com Pessoal'!$H$512,1,MATCH(4&amp;$B50,'Gastos com Pessoal'!$I$532:$AJ$532&amp;'Gastos com Pessoal'!$I$512:$AJ$512,0),10,1)),0)
+_xlfn.IFNA(SUM((AP$3&gt;='Gastos com Pessoal'!$E$513:$E$522)*(AP$3&lt;='Gastos com Pessoal'!$F$513:$F$522)*(IF('Gastos com Pessoal'!$AE$513:$AE$522&lt;=AP$3,1,0))*OFFSET('Gastos com Pessoal'!$H$512,1,MATCH(5&amp;$B50,'Gastos com Pessoal'!$I$532:$AJ$532&amp;'Gastos com Pessoal'!$I$512:$AJ$512,0),10,1)),0)</f>
        <v>0</v>
      </c>
      <c r="AQ50" s="32">
        <f t="array" aca="1" ref="AQ50" ca="1">_xlfn.IFNA(SUM((AQ$3&gt;='Gastos com Pessoal'!$E$7:$E$506)*(AQ$3&lt;='Gastos com Pessoal'!$F$7:$F$506)*OFFSET('Encargos e Benefícios'!$D$5,1,MATCH($B50,'Encargos e Benefícios'!$E$5:$AB$5,0),500,1)),0)
+_xlfn.IFNA(SUM((AQ$3&gt;='Gastos com Pessoal'!$E$513:$E$522)*(AQ$3&lt;='Gastos com Pessoal'!$F$513:$F$522)*OFFSET('Encargos e Benefícios'!$D$511,1,MATCH($B50,'Encargos e Benefícios'!$E$511:$AB$511,0),10,1)),0)
+_xlfn.IFNA(SUM((AQ$3&gt;='Gastos com Pessoal'!$E$7:$E$506)*(AQ$3&lt;='Gastos com Pessoal'!$F$7:$F$506)*(IF('Gastos com Pessoal'!$G$7:$G$506&lt;=AQ$3,1,0))*OFFSET('Gastos com Pessoal'!$H$6,1,MATCH(1&amp;$B50,'Gastos com Pessoal'!$I$532:$AJ$532&amp;'Gastos com Pessoal'!$I$6:$AJ$6,0),500,1)),0)
+_xlfn.IFNA(SUM((AQ$3&gt;='Gastos com Pessoal'!$E$7:$E$506)*(AQ$3&lt;='Gastos com Pessoal'!$F$7:$F$506)*(IF('Gastos com Pessoal'!$M$7:$M$506&lt;=AQ$3,1,0))*OFFSET('Gastos com Pessoal'!$H$6,1,MATCH(2&amp;$B50,'Gastos com Pessoal'!$I$532:$AJ$532&amp;'Gastos com Pessoal'!$I$6:$AJ$6,0),500,1)),0)
+_xlfn.IFNA(SUM((AQ$3&gt;='Gastos com Pessoal'!$E$7:$E$506)*(AQ$3&lt;='Gastos com Pessoal'!$F$7:$F$506)*(IF('Gastos com Pessoal'!$S$7:$S$506&lt;=AQ$3,1,0))*OFFSET('Gastos com Pessoal'!$H$6,1,MATCH(3&amp;$B50,'Gastos com Pessoal'!$I$532:$AJ$532&amp;'Gastos com Pessoal'!$I$6:$AJ$6,0),500,1)),0)
+_xlfn.IFNA(SUM((AQ$3&gt;='Gastos com Pessoal'!$E$7:$E$506)*(AQ$3&lt;='Gastos com Pessoal'!$F$7:$F$506)*(IF('Gastos com Pessoal'!$Y$7:$Y$506&lt;=AQ$3,1,0))*OFFSET('Gastos com Pessoal'!$H$6,1,MATCH(4&amp;$B50,'Gastos com Pessoal'!$I$532:$AJ$532&amp;'Gastos com Pessoal'!$I$6:$AJ$6,0),500,1)),0)
+_xlfn.IFNA(SUM((AQ$3&gt;='Gastos com Pessoal'!$E$7:$E$506)*(AQ$3&lt;='Gastos com Pessoal'!$F$7:$F$506)*(IF('Gastos com Pessoal'!$AE$7:$AE$506&lt;=AQ$3,1,0))*OFFSET('Gastos com Pessoal'!$H$6,1,MATCH(5&amp;$B50,'Gastos com Pessoal'!$I$532:$AJ$532&amp;'Gastos com Pessoal'!$I$6:$AJ$6,0),500,1)),0)
+_xlfn.IFNA(SUM((AQ$3&gt;='Gastos com Pessoal'!$E$513:$E$522)*(AQ$3&lt;='Gastos com Pessoal'!$F$513:$F$522)*(IF('Gastos com Pessoal'!$G$513:$G$522&lt;=AQ$3,1,0))*OFFSET('Gastos com Pessoal'!$H$512,1,MATCH(1&amp;$B50,'Gastos com Pessoal'!$I$532:$AJ$532&amp;'Gastos com Pessoal'!$I$512:$AJ$512,0),10,1)),0)
+_xlfn.IFNA(SUM((AQ$3&gt;='Gastos com Pessoal'!$E$513:$E$522)*(AQ$3&lt;='Gastos com Pessoal'!$F$513:$F$522)*(IF('Gastos com Pessoal'!$M$513:$M$522&lt;=AQ$3,1,0))*OFFSET('Gastos com Pessoal'!$H$512,1,MATCH(2&amp;$B50,'Gastos com Pessoal'!$I$532:$AJ$532&amp;'Gastos com Pessoal'!$I$512:$AJ$512,0),10,1)),0)
+_xlfn.IFNA(SUM((AQ$3&gt;='Gastos com Pessoal'!$E$513:$E$522)*(AQ$3&lt;='Gastos com Pessoal'!$F$513:$F$522)*(IF('Gastos com Pessoal'!$S$513:$S$522&lt;=AQ$3,1,0))*OFFSET('Gastos com Pessoal'!$H$512,1,MATCH(3&amp;$B50,'Gastos com Pessoal'!$I$532:$AJ$532&amp;'Gastos com Pessoal'!$I$512:$AJ$512,0),10,1)),0)
+_xlfn.IFNA(SUM((AQ$3&gt;='Gastos com Pessoal'!$E$513:$E$522)*(AQ$3&lt;='Gastos com Pessoal'!$F$513:$F$522)*(IF('Gastos com Pessoal'!$Y$513:$Y$522&lt;=AQ$3,1,0))*OFFSET('Gastos com Pessoal'!$H$512,1,MATCH(4&amp;$B50,'Gastos com Pessoal'!$I$532:$AJ$532&amp;'Gastos com Pessoal'!$I$512:$AJ$512,0),10,1)),0)
+_xlfn.IFNA(SUM((AQ$3&gt;='Gastos com Pessoal'!$E$513:$E$522)*(AQ$3&lt;='Gastos com Pessoal'!$F$513:$F$522)*(IF('Gastos com Pessoal'!$AE$513:$AE$522&lt;=AQ$3,1,0))*OFFSET('Gastos com Pessoal'!$H$512,1,MATCH(5&amp;$B50,'Gastos com Pessoal'!$I$532:$AJ$532&amp;'Gastos com Pessoal'!$I$512:$AJ$512,0),10,1)),0)</f>
        <v>0</v>
      </c>
      <c r="AR50" s="32">
        <f t="array" aca="1" ref="AR50" ca="1">_xlfn.IFNA(SUM((AR$3&gt;='Gastos com Pessoal'!$E$7:$E$506)*(AR$3&lt;='Gastos com Pessoal'!$F$7:$F$506)*OFFSET('Encargos e Benefícios'!$D$5,1,MATCH($B50,'Encargos e Benefícios'!$E$5:$AB$5,0),500,1)),0)
+_xlfn.IFNA(SUM((AR$3&gt;='Gastos com Pessoal'!$E$513:$E$522)*(AR$3&lt;='Gastos com Pessoal'!$F$513:$F$522)*OFFSET('Encargos e Benefícios'!$D$511,1,MATCH($B50,'Encargos e Benefícios'!$E$511:$AB$511,0),10,1)),0)
+_xlfn.IFNA(SUM((AR$3&gt;='Gastos com Pessoal'!$E$7:$E$506)*(AR$3&lt;='Gastos com Pessoal'!$F$7:$F$506)*(IF('Gastos com Pessoal'!$G$7:$G$506&lt;=AR$3,1,0))*OFFSET('Gastos com Pessoal'!$H$6,1,MATCH(1&amp;$B50,'Gastos com Pessoal'!$I$532:$AJ$532&amp;'Gastos com Pessoal'!$I$6:$AJ$6,0),500,1)),0)
+_xlfn.IFNA(SUM((AR$3&gt;='Gastos com Pessoal'!$E$7:$E$506)*(AR$3&lt;='Gastos com Pessoal'!$F$7:$F$506)*(IF('Gastos com Pessoal'!$M$7:$M$506&lt;=AR$3,1,0))*OFFSET('Gastos com Pessoal'!$H$6,1,MATCH(2&amp;$B50,'Gastos com Pessoal'!$I$532:$AJ$532&amp;'Gastos com Pessoal'!$I$6:$AJ$6,0),500,1)),0)
+_xlfn.IFNA(SUM((AR$3&gt;='Gastos com Pessoal'!$E$7:$E$506)*(AR$3&lt;='Gastos com Pessoal'!$F$7:$F$506)*(IF('Gastos com Pessoal'!$S$7:$S$506&lt;=AR$3,1,0))*OFFSET('Gastos com Pessoal'!$H$6,1,MATCH(3&amp;$B50,'Gastos com Pessoal'!$I$532:$AJ$532&amp;'Gastos com Pessoal'!$I$6:$AJ$6,0),500,1)),0)
+_xlfn.IFNA(SUM((AR$3&gt;='Gastos com Pessoal'!$E$7:$E$506)*(AR$3&lt;='Gastos com Pessoal'!$F$7:$F$506)*(IF('Gastos com Pessoal'!$Y$7:$Y$506&lt;=AR$3,1,0))*OFFSET('Gastos com Pessoal'!$H$6,1,MATCH(4&amp;$B50,'Gastos com Pessoal'!$I$532:$AJ$532&amp;'Gastos com Pessoal'!$I$6:$AJ$6,0),500,1)),0)
+_xlfn.IFNA(SUM((AR$3&gt;='Gastos com Pessoal'!$E$7:$E$506)*(AR$3&lt;='Gastos com Pessoal'!$F$7:$F$506)*(IF('Gastos com Pessoal'!$AE$7:$AE$506&lt;=AR$3,1,0))*OFFSET('Gastos com Pessoal'!$H$6,1,MATCH(5&amp;$B50,'Gastos com Pessoal'!$I$532:$AJ$532&amp;'Gastos com Pessoal'!$I$6:$AJ$6,0),500,1)),0)
+_xlfn.IFNA(SUM((AR$3&gt;='Gastos com Pessoal'!$E$513:$E$522)*(AR$3&lt;='Gastos com Pessoal'!$F$513:$F$522)*(IF('Gastos com Pessoal'!$G$513:$G$522&lt;=AR$3,1,0))*OFFSET('Gastos com Pessoal'!$H$512,1,MATCH(1&amp;$B50,'Gastos com Pessoal'!$I$532:$AJ$532&amp;'Gastos com Pessoal'!$I$512:$AJ$512,0),10,1)),0)
+_xlfn.IFNA(SUM((AR$3&gt;='Gastos com Pessoal'!$E$513:$E$522)*(AR$3&lt;='Gastos com Pessoal'!$F$513:$F$522)*(IF('Gastos com Pessoal'!$M$513:$M$522&lt;=AR$3,1,0))*OFFSET('Gastos com Pessoal'!$H$512,1,MATCH(2&amp;$B50,'Gastos com Pessoal'!$I$532:$AJ$532&amp;'Gastos com Pessoal'!$I$512:$AJ$512,0),10,1)),0)
+_xlfn.IFNA(SUM((AR$3&gt;='Gastos com Pessoal'!$E$513:$E$522)*(AR$3&lt;='Gastos com Pessoal'!$F$513:$F$522)*(IF('Gastos com Pessoal'!$S$513:$S$522&lt;=AR$3,1,0))*OFFSET('Gastos com Pessoal'!$H$512,1,MATCH(3&amp;$B50,'Gastos com Pessoal'!$I$532:$AJ$532&amp;'Gastos com Pessoal'!$I$512:$AJ$512,0),10,1)),0)
+_xlfn.IFNA(SUM((AR$3&gt;='Gastos com Pessoal'!$E$513:$E$522)*(AR$3&lt;='Gastos com Pessoal'!$F$513:$F$522)*(IF('Gastos com Pessoal'!$Y$513:$Y$522&lt;=AR$3,1,0))*OFFSET('Gastos com Pessoal'!$H$512,1,MATCH(4&amp;$B50,'Gastos com Pessoal'!$I$532:$AJ$532&amp;'Gastos com Pessoal'!$I$512:$AJ$512,0),10,1)),0)
+_xlfn.IFNA(SUM((AR$3&gt;='Gastos com Pessoal'!$E$513:$E$522)*(AR$3&lt;='Gastos com Pessoal'!$F$513:$F$522)*(IF('Gastos com Pessoal'!$AE$513:$AE$522&lt;=AR$3,1,0))*OFFSET('Gastos com Pessoal'!$H$512,1,MATCH(5&amp;$B50,'Gastos com Pessoal'!$I$532:$AJ$532&amp;'Gastos com Pessoal'!$I$512:$AJ$512,0),10,1)),0)</f>
        <v>0</v>
      </c>
      <c r="AS50" s="32">
        <f t="array" aca="1" ref="AS50" ca="1">_xlfn.IFNA(SUM((AS$3&gt;='Gastos com Pessoal'!$E$7:$E$506)*(AS$3&lt;='Gastos com Pessoal'!$F$7:$F$506)*OFFSET('Encargos e Benefícios'!$D$5,1,MATCH($B50,'Encargos e Benefícios'!$E$5:$AB$5,0),500,1)),0)
+_xlfn.IFNA(SUM((AS$3&gt;='Gastos com Pessoal'!$E$513:$E$522)*(AS$3&lt;='Gastos com Pessoal'!$F$513:$F$522)*OFFSET('Encargos e Benefícios'!$D$511,1,MATCH($B50,'Encargos e Benefícios'!$E$511:$AB$511,0),10,1)),0)
+_xlfn.IFNA(SUM((AS$3&gt;='Gastos com Pessoal'!$E$7:$E$506)*(AS$3&lt;='Gastos com Pessoal'!$F$7:$F$506)*(IF('Gastos com Pessoal'!$G$7:$G$506&lt;=AS$3,1,0))*OFFSET('Gastos com Pessoal'!$H$6,1,MATCH(1&amp;$B50,'Gastos com Pessoal'!$I$532:$AJ$532&amp;'Gastos com Pessoal'!$I$6:$AJ$6,0),500,1)),0)
+_xlfn.IFNA(SUM((AS$3&gt;='Gastos com Pessoal'!$E$7:$E$506)*(AS$3&lt;='Gastos com Pessoal'!$F$7:$F$506)*(IF('Gastos com Pessoal'!$M$7:$M$506&lt;=AS$3,1,0))*OFFSET('Gastos com Pessoal'!$H$6,1,MATCH(2&amp;$B50,'Gastos com Pessoal'!$I$532:$AJ$532&amp;'Gastos com Pessoal'!$I$6:$AJ$6,0),500,1)),0)
+_xlfn.IFNA(SUM((AS$3&gt;='Gastos com Pessoal'!$E$7:$E$506)*(AS$3&lt;='Gastos com Pessoal'!$F$7:$F$506)*(IF('Gastos com Pessoal'!$S$7:$S$506&lt;=AS$3,1,0))*OFFSET('Gastos com Pessoal'!$H$6,1,MATCH(3&amp;$B50,'Gastos com Pessoal'!$I$532:$AJ$532&amp;'Gastos com Pessoal'!$I$6:$AJ$6,0),500,1)),0)
+_xlfn.IFNA(SUM((AS$3&gt;='Gastos com Pessoal'!$E$7:$E$506)*(AS$3&lt;='Gastos com Pessoal'!$F$7:$F$506)*(IF('Gastos com Pessoal'!$Y$7:$Y$506&lt;=AS$3,1,0))*OFFSET('Gastos com Pessoal'!$H$6,1,MATCH(4&amp;$B50,'Gastos com Pessoal'!$I$532:$AJ$532&amp;'Gastos com Pessoal'!$I$6:$AJ$6,0),500,1)),0)
+_xlfn.IFNA(SUM((AS$3&gt;='Gastos com Pessoal'!$E$7:$E$506)*(AS$3&lt;='Gastos com Pessoal'!$F$7:$F$506)*(IF('Gastos com Pessoal'!$AE$7:$AE$506&lt;=AS$3,1,0))*OFFSET('Gastos com Pessoal'!$H$6,1,MATCH(5&amp;$B50,'Gastos com Pessoal'!$I$532:$AJ$532&amp;'Gastos com Pessoal'!$I$6:$AJ$6,0),500,1)),0)
+_xlfn.IFNA(SUM((AS$3&gt;='Gastos com Pessoal'!$E$513:$E$522)*(AS$3&lt;='Gastos com Pessoal'!$F$513:$F$522)*(IF('Gastos com Pessoal'!$G$513:$G$522&lt;=AS$3,1,0))*OFFSET('Gastos com Pessoal'!$H$512,1,MATCH(1&amp;$B50,'Gastos com Pessoal'!$I$532:$AJ$532&amp;'Gastos com Pessoal'!$I$512:$AJ$512,0),10,1)),0)
+_xlfn.IFNA(SUM((AS$3&gt;='Gastos com Pessoal'!$E$513:$E$522)*(AS$3&lt;='Gastos com Pessoal'!$F$513:$F$522)*(IF('Gastos com Pessoal'!$M$513:$M$522&lt;=AS$3,1,0))*OFFSET('Gastos com Pessoal'!$H$512,1,MATCH(2&amp;$B50,'Gastos com Pessoal'!$I$532:$AJ$532&amp;'Gastos com Pessoal'!$I$512:$AJ$512,0),10,1)),0)
+_xlfn.IFNA(SUM((AS$3&gt;='Gastos com Pessoal'!$E$513:$E$522)*(AS$3&lt;='Gastos com Pessoal'!$F$513:$F$522)*(IF('Gastos com Pessoal'!$S$513:$S$522&lt;=AS$3,1,0))*OFFSET('Gastos com Pessoal'!$H$512,1,MATCH(3&amp;$B50,'Gastos com Pessoal'!$I$532:$AJ$532&amp;'Gastos com Pessoal'!$I$512:$AJ$512,0),10,1)),0)
+_xlfn.IFNA(SUM((AS$3&gt;='Gastos com Pessoal'!$E$513:$E$522)*(AS$3&lt;='Gastos com Pessoal'!$F$513:$F$522)*(IF('Gastos com Pessoal'!$Y$513:$Y$522&lt;=AS$3,1,0))*OFFSET('Gastos com Pessoal'!$H$512,1,MATCH(4&amp;$B50,'Gastos com Pessoal'!$I$532:$AJ$532&amp;'Gastos com Pessoal'!$I$512:$AJ$512,0),10,1)),0)
+_xlfn.IFNA(SUM((AS$3&gt;='Gastos com Pessoal'!$E$513:$E$522)*(AS$3&lt;='Gastos com Pessoal'!$F$513:$F$522)*(IF('Gastos com Pessoal'!$AE$513:$AE$522&lt;=AS$3,1,0))*OFFSET('Gastos com Pessoal'!$H$512,1,MATCH(5&amp;$B50,'Gastos com Pessoal'!$I$532:$AJ$532&amp;'Gastos com Pessoal'!$I$512:$AJ$512,0),10,1)),0)</f>
        <v>0</v>
      </c>
      <c r="AT50" s="32">
        <f t="array" aca="1" ref="AT50" ca="1">_xlfn.IFNA(SUM((AT$3&gt;='Gastos com Pessoal'!$E$7:$E$506)*(AT$3&lt;='Gastos com Pessoal'!$F$7:$F$506)*OFFSET('Encargos e Benefícios'!$D$5,1,MATCH($B50,'Encargos e Benefícios'!$E$5:$AB$5,0),500,1)),0)
+_xlfn.IFNA(SUM((AT$3&gt;='Gastos com Pessoal'!$E$513:$E$522)*(AT$3&lt;='Gastos com Pessoal'!$F$513:$F$522)*OFFSET('Encargos e Benefícios'!$D$511,1,MATCH($B50,'Encargos e Benefícios'!$E$511:$AB$511,0),10,1)),0)
+_xlfn.IFNA(SUM((AT$3&gt;='Gastos com Pessoal'!$E$7:$E$506)*(AT$3&lt;='Gastos com Pessoal'!$F$7:$F$506)*(IF('Gastos com Pessoal'!$G$7:$G$506&lt;=AT$3,1,0))*OFFSET('Gastos com Pessoal'!$H$6,1,MATCH(1&amp;$B50,'Gastos com Pessoal'!$I$532:$AJ$532&amp;'Gastos com Pessoal'!$I$6:$AJ$6,0),500,1)),0)
+_xlfn.IFNA(SUM((AT$3&gt;='Gastos com Pessoal'!$E$7:$E$506)*(AT$3&lt;='Gastos com Pessoal'!$F$7:$F$506)*(IF('Gastos com Pessoal'!$M$7:$M$506&lt;=AT$3,1,0))*OFFSET('Gastos com Pessoal'!$H$6,1,MATCH(2&amp;$B50,'Gastos com Pessoal'!$I$532:$AJ$532&amp;'Gastos com Pessoal'!$I$6:$AJ$6,0),500,1)),0)
+_xlfn.IFNA(SUM((AT$3&gt;='Gastos com Pessoal'!$E$7:$E$506)*(AT$3&lt;='Gastos com Pessoal'!$F$7:$F$506)*(IF('Gastos com Pessoal'!$S$7:$S$506&lt;=AT$3,1,0))*OFFSET('Gastos com Pessoal'!$H$6,1,MATCH(3&amp;$B50,'Gastos com Pessoal'!$I$532:$AJ$532&amp;'Gastos com Pessoal'!$I$6:$AJ$6,0),500,1)),0)
+_xlfn.IFNA(SUM((AT$3&gt;='Gastos com Pessoal'!$E$7:$E$506)*(AT$3&lt;='Gastos com Pessoal'!$F$7:$F$506)*(IF('Gastos com Pessoal'!$Y$7:$Y$506&lt;=AT$3,1,0))*OFFSET('Gastos com Pessoal'!$H$6,1,MATCH(4&amp;$B50,'Gastos com Pessoal'!$I$532:$AJ$532&amp;'Gastos com Pessoal'!$I$6:$AJ$6,0),500,1)),0)
+_xlfn.IFNA(SUM((AT$3&gt;='Gastos com Pessoal'!$E$7:$E$506)*(AT$3&lt;='Gastos com Pessoal'!$F$7:$F$506)*(IF('Gastos com Pessoal'!$AE$7:$AE$506&lt;=AT$3,1,0))*OFFSET('Gastos com Pessoal'!$H$6,1,MATCH(5&amp;$B50,'Gastos com Pessoal'!$I$532:$AJ$532&amp;'Gastos com Pessoal'!$I$6:$AJ$6,0),500,1)),0)
+_xlfn.IFNA(SUM((AT$3&gt;='Gastos com Pessoal'!$E$513:$E$522)*(AT$3&lt;='Gastos com Pessoal'!$F$513:$F$522)*(IF('Gastos com Pessoal'!$G$513:$G$522&lt;=AT$3,1,0))*OFFSET('Gastos com Pessoal'!$H$512,1,MATCH(1&amp;$B50,'Gastos com Pessoal'!$I$532:$AJ$532&amp;'Gastos com Pessoal'!$I$512:$AJ$512,0),10,1)),0)
+_xlfn.IFNA(SUM((AT$3&gt;='Gastos com Pessoal'!$E$513:$E$522)*(AT$3&lt;='Gastos com Pessoal'!$F$513:$F$522)*(IF('Gastos com Pessoal'!$M$513:$M$522&lt;=AT$3,1,0))*OFFSET('Gastos com Pessoal'!$H$512,1,MATCH(2&amp;$B50,'Gastos com Pessoal'!$I$532:$AJ$532&amp;'Gastos com Pessoal'!$I$512:$AJ$512,0),10,1)),0)
+_xlfn.IFNA(SUM((AT$3&gt;='Gastos com Pessoal'!$E$513:$E$522)*(AT$3&lt;='Gastos com Pessoal'!$F$513:$F$522)*(IF('Gastos com Pessoal'!$S$513:$S$522&lt;=AT$3,1,0))*OFFSET('Gastos com Pessoal'!$H$512,1,MATCH(3&amp;$B50,'Gastos com Pessoal'!$I$532:$AJ$532&amp;'Gastos com Pessoal'!$I$512:$AJ$512,0),10,1)),0)
+_xlfn.IFNA(SUM((AT$3&gt;='Gastos com Pessoal'!$E$513:$E$522)*(AT$3&lt;='Gastos com Pessoal'!$F$513:$F$522)*(IF('Gastos com Pessoal'!$Y$513:$Y$522&lt;=AT$3,1,0))*OFFSET('Gastos com Pessoal'!$H$512,1,MATCH(4&amp;$B50,'Gastos com Pessoal'!$I$532:$AJ$532&amp;'Gastos com Pessoal'!$I$512:$AJ$512,0),10,1)),0)
+_xlfn.IFNA(SUM((AT$3&gt;='Gastos com Pessoal'!$E$513:$E$522)*(AT$3&lt;='Gastos com Pessoal'!$F$513:$F$522)*(IF('Gastos com Pessoal'!$AE$513:$AE$522&lt;=AT$3,1,0))*OFFSET('Gastos com Pessoal'!$H$512,1,MATCH(5&amp;$B50,'Gastos com Pessoal'!$I$532:$AJ$532&amp;'Gastos com Pessoal'!$I$512:$AJ$512,0),10,1)),0)</f>
        <v>0</v>
      </c>
      <c r="AU50" s="32">
        <f t="array" aca="1" ref="AU50" ca="1">_xlfn.IFNA(SUM((AU$3&gt;='Gastos com Pessoal'!$E$7:$E$506)*(AU$3&lt;='Gastos com Pessoal'!$F$7:$F$506)*OFFSET('Encargos e Benefícios'!$D$5,1,MATCH($B50,'Encargos e Benefícios'!$E$5:$AB$5,0),500,1)),0)
+_xlfn.IFNA(SUM((AU$3&gt;='Gastos com Pessoal'!$E$513:$E$522)*(AU$3&lt;='Gastos com Pessoal'!$F$513:$F$522)*OFFSET('Encargos e Benefícios'!$D$511,1,MATCH($B50,'Encargos e Benefícios'!$E$511:$AB$511,0),10,1)),0)
+_xlfn.IFNA(SUM((AU$3&gt;='Gastos com Pessoal'!$E$7:$E$506)*(AU$3&lt;='Gastos com Pessoal'!$F$7:$F$506)*(IF('Gastos com Pessoal'!$G$7:$G$506&lt;=AU$3,1,0))*OFFSET('Gastos com Pessoal'!$H$6,1,MATCH(1&amp;$B50,'Gastos com Pessoal'!$I$532:$AJ$532&amp;'Gastos com Pessoal'!$I$6:$AJ$6,0),500,1)),0)
+_xlfn.IFNA(SUM((AU$3&gt;='Gastos com Pessoal'!$E$7:$E$506)*(AU$3&lt;='Gastos com Pessoal'!$F$7:$F$506)*(IF('Gastos com Pessoal'!$M$7:$M$506&lt;=AU$3,1,0))*OFFSET('Gastos com Pessoal'!$H$6,1,MATCH(2&amp;$B50,'Gastos com Pessoal'!$I$532:$AJ$532&amp;'Gastos com Pessoal'!$I$6:$AJ$6,0),500,1)),0)
+_xlfn.IFNA(SUM((AU$3&gt;='Gastos com Pessoal'!$E$7:$E$506)*(AU$3&lt;='Gastos com Pessoal'!$F$7:$F$506)*(IF('Gastos com Pessoal'!$S$7:$S$506&lt;=AU$3,1,0))*OFFSET('Gastos com Pessoal'!$H$6,1,MATCH(3&amp;$B50,'Gastos com Pessoal'!$I$532:$AJ$532&amp;'Gastos com Pessoal'!$I$6:$AJ$6,0),500,1)),0)
+_xlfn.IFNA(SUM((AU$3&gt;='Gastos com Pessoal'!$E$7:$E$506)*(AU$3&lt;='Gastos com Pessoal'!$F$7:$F$506)*(IF('Gastos com Pessoal'!$Y$7:$Y$506&lt;=AU$3,1,0))*OFFSET('Gastos com Pessoal'!$H$6,1,MATCH(4&amp;$B50,'Gastos com Pessoal'!$I$532:$AJ$532&amp;'Gastos com Pessoal'!$I$6:$AJ$6,0),500,1)),0)
+_xlfn.IFNA(SUM((AU$3&gt;='Gastos com Pessoal'!$E$7:$E$506)*(AU$3&lt;='Gastos com Pessoal'!$F$7:$F$506)*(IF('Gastos com Pessoal'!$AE$7:$AE$506&lt;=AU$3,1,0))*OFFSET('Gastos com Pessoal'!$H$6,1,MATCH(5&amp;$B50,'Gastos com Pessoal'!$I$532:$AJ$532&amp;'Gastos com Pessoal'!$I$6:$AJ$6,0),500,1)),0)
+_xlfn.IFNA(SUM((AU$3&gt;='Gastos com Pessoal'!$E$513:$E$522)*(AU$3&lt;='Gastos com Pessoal'!$F$513:$F$522)*(IF('Gastos com Pessoal'!$G$513:$G$522&lt;=AU$3,1,0))*OFFSET('Gastos com Pessoal'!$H$512,1,MATCH(1&amp;$B50,'Gastos com Pessoal'!$I$532:$AJ$532&amp;'Gastos com Pessoal'!$I$512:$AJ$512,0),10,1)),0)
+_xlfn.IFNA(SUM((AU$3&gt;='Gastos com Pessoal'!$E$513:$E$522)*(AU$3&lt;='Gastos com Pessoal'!$F$513:$F$522)*(IF('Gastos com Pessoal'!$M$513:$M$522&lt;=AU$3,1,0))*OFFSET('Gastos com Pessoal'!$H$512,1,MATCH(2&amp;$B50,'Gastos com Pessoal'!$I$532:$AJ$532&amp;'Gastos com Pessoal'!$I$512:$AJ$512,0),10,1)),0)
+_xlfn.IFNA(SUM((AU$3&gt;='Gastos com Pessoal'!$E$513:$E$522)*(AU$3&lt;='Gastos com Pessoal'!$F$513:$F$522)*(IF('Gastos com Pessoal'!$S$513:$S$522&lt;=AU$3,1,0))*OFFSET('Gastos com Pessoal'!$H$512,1,MATCH(3&amp;$B50,'Gastos com Pessoal'!$I$532:$AJ$532&amp;'Gastos com Pessoal'!$I$512:$AJ$512,0),10,1)),0)
+_xlfn.IFNA(SUM((AU$3&gt;='Gastos com Pessoal'!$E$513:$E$522)*(AU$3&lt;='Gastos com Pessoal'!$F$513:$F$522)*(IF('Gastos com Pessoal'!$Y$513:$Y$522&lt;=AU$3,1,0))*OFFSET('Gastos com Pessoal'!$H$512,1,MATCH(4&amp;$B50,'Gastos com Pessoal'!$I$532:$AJ$532&amp;'Gastos com Pessoal'!$I$512:$AJ$512,0),10,1)),0)
+_xlfn.IFNA(SUM((AU$3&gt;='Gastos com Pessoal'!$E$513:$E$522)*(AU$3&lt;='Gastos com Pessoal'!$F$513:$F$522)*(IF('Gastos com Pessoal'!$AE$513:$AE$522&lt;=AU$3,1,0))*OFFSET('Gastos com Pessoal'!$H$512,1,MATCH(5&amp;$B50,'Gastos com Pessoal'!$I$532:$AJ$532&amp;'Gastos com Pessoal'!$I$512:$AJ$512,0),10,1)),0)</f>
        <v>0</v>
      </c>
      <c r="AV50" s="32">
        <f t="array" aca="1" ref="AV50" ca="1">_xlfn.IFNA(SUM((AV$3&gt;='Gastos com Pessoal'!$E$7:$E$506)*(AV$3&lt;='Gastos com Pessoal'!$F$7:$F$506)*OFFSET('Encargos e Benefícios'!$D$5,1,MATCH($B50,'Encargos e Benefícios'!$E$5:$AB$5,0),500,1)),0)
+_xlfn.IFNA(SUM((AV$3&gt;='Gastos com Pessoal'!$E$513:$E$522)*(AV$3&lt;='Gastos com Pessoal'!$F$513:$F$522)*OFFSET('Encargos e Benefícios'!$D$511,1,MATCH($B50,'Encargos e Benefícios'!$E$511:$AB$511,0),10,1)),0)
+_xlfn.IFNA(SUM((AV$3&gt;='Gastos com Pessoal'!$E$7:$E$506)*(AV$3&lt;='Gastos com Pessoal'!$F$7:$F$506)*(IF('Gastos com Pessoal'!$G$7:$G$506&lt;=AV$3,1,0))*OFFSET('Gastos com Pessoal'!$H$6,1,MATCH(1&amp;$B50,'Gastos com Pessoal'!$I$532:$AJ$532&amp;'Gastos com Pessoal'!$I$6:$AJ$6,0),500,1)),0)
+_xlfn.IFNA(SUM((AV$3&gt;='Gastos com Pessoal'!$E$7:$E$506)*(AV$3&lt;='Gastos com Pessoal'!$F$7:$F$506)*(IF('Gastos com Pessoal'!$M$7:$M$506&lt;=AV$3,1,0))*OFFSET('Gastos com Pessoal'!$H$6,1,MATCH(2&amp;$B50,'Gastos com Pessoal'!$I$532:$AJ$532&amp;'Gastos com Pessoal'!$I$6:$AJ$6,0),500,1)),0)
+_xlfn.IFNA(SUM((AV$3&gt;='Gastos com Pessoal'!$E$7:$E$506)*(AV$3&lt;='Gastos com Pessoal'!$F$7:$F$506)*(IF('Gastos com Pessoal'!$S$7:$S$506&lt;=AV$3,1,0))*OFFSET('Gastos com Pessoal'!$H$6,1,MATCH(3&amp;$B50,'Gastos com Pessoal'!$I$532:$AJ$532&amp;'Gastos com Pessoal'!$I$6:$AJ$6,0),500,1)),0)
+_xlfn.IFNA(SUM((AV$3&gt;='Gastos com Pessoal'!$E$7:$E$506)*(AV$3&lt;='Gastos com Pessoal'!$F$7:$F$506)*(IF('Gastos com Pessoal'!$Y$7:$Y$506&lt;=AV$3,1,0))*OFFSET('Gastos com Pessoal'!$H$6,1,MATCH(4&amp;$B50,'Gastos com Pessoal'!$I$532:$AJ$532&amp;'Gastos com Pessoal'!$I$6:$AJ$6,0),500,1)),0)
+_xlfn.IFNA(SUM((AV$3&gt;='Gastos com Pessoal'!$E$7:$E$506)*(AV$3&lt;='Gastos com Pessoal'!$F$7:$F$506)*(IF('Gastos com Pessoal'!$AE$7:$AE$506&lt;=AV$3,1,0))*OFFSET('Gastos com Pessoal'!$H$6,1,MATCH(5&amp;$B50,'Gastos com Pessoal'!$I$532:$AJ$532&amp;'Gastos com Pessoal'!$I$6:$AJ$6,0),500,1)),0)
+_xlfn.IFNA(SUM((AV$3&gt;='Gastos com Pessoal'!$E$513:$E$522)*(AV$3&lt;='Gastos com Pessoal'!$F$513:$F$522)*(IF('Gastos com Pessoal'!$G$513:$G$522&lt;=AV$3,1,0))*OFFSET('Gastos com Pessoal'!$H$512,1,MATCH(1&amp;$B50,'Gastos com Pessoal'!$I$532:$AJ$532&amp;'Gastos com Pessoal'!$I$512:$AJ$512,0),10,1)),0)
+_xlfn.IFNA(SUM((AV$3&gt;='Gastos com Pessoal'!$E$513:$E$522)*(AV$3&lt;='Gastos com Pessoal'!$F$513:$F$522)*(IF('Gastos com Pessoal'!$M$513:$M$522&lt;=AV$3,1,0))*OFFSET('Gastos com Pessoal'!$H$512,1,MATCH(2&amp;$B50,'Gastos com Pessoal'!$I$532:$AJ$532&amp;'Gastos com Pessoal'!$I$512:$AJ$512,0),10,1)),0)
+_xlfn.IFNA(SUM((AV$3&gt;='Gastos com Pessoal'!$E$513:$E$522)*(AV$3&lt;='Gastos com Pessoal'!$F$513:$F$522)*(IF('Gastos com Pessoal'!$S$513:$S$522&lt;=AV$3,1,0))*OFFSET('Gastos com Pessoal'!$H$512,1,MATCH(3&amp;$B50,'Gastos com Pessoal'!$I$532:$AJ$532&amp;'Gastos com Pessoal'!$I$512:$AJ$512,0),10,1)),0)
+_xlfn.IFNA(SUM((AV$3&gt;='Gastos com Pessoal'!$E$513:$E$522)*(AV$3&lt;='Gastos com Pessoal'!$F$513:$F$522)*(IF('Gastos com Pessoal'!$Y$513:$Y$522&lt;=AV$3,1,0))*OFFSET('Gastos com Pessoal'!$H$512,1,MATCH(4&amp;$B50,'Gastos com Pessoal'!$I$532:$AJ$532&amp;'Gastos com Pessoal'!$I$512:$AJ$512,0),10,1)),0)
+_xlfn.IFNA(SUM((AV$3&gt;='Gastos com Pessoal'!$E$513:$E$522)*(AV$3&lt;='Gastos com Pessoal'!$F$513:$F$522)*(IF('Gastos com Pessoal'!$AE$513:$AE$522&lt;=AV$3,1,0))*OFFSET('Gastos com Pessoal'!$H$512,1,MATCH(5&amp;$B50,'Gastos com Pessoal'!$I$532:$AJ$532&amp;'Gastos com Pessoal'!$I$512:$AJ$512,0),10,1)),0)</f>
        <v>0</v>
      </c>
      <c r="AW50" s="32">
        <f t="array" aca="1" ref="AW50" ca="1">_xlfn.IFNA(SUM((AW$3&gt;='Gastos com Pessoal'!$E$7:$E$506)*(AW$3&lt;='Gastos com Pessoal'!$F$7:$F$506)*OFFSET('Encargos e Benefícios'!$D$5,1,MATCH($B50,'Encargos e Benefícios'!$E$5:$AB$5,0),500,1)),0)
+_xlfn.IFNA(SUM((AW$3&gt;='Gastos com Pessoal'!$E$513:$E$522)*(AW$3&lt;='Gastos com Pessoal'!$F$513:$F$522)*OFFSET('Encargos e Benefícios'!$D$511,1,MATCH($B50,'Encargos e Benefícios'!$E$511:$AB$511,0),10,1)),0)
+_xlfn.IFNA(SUM((AW$3&gt;='Gastos com Pessoal'!$E$7:$E$506)*(AW$3&lt;='Gastos com Pessoal'!$F$7:$F$506)*(IF('Gastos com Pessoal'!$G$7:$G$506&lt;=AW$3,1,0))*OFFSET('Gastos com Pessoal'!$H$6,1,MATCH(1&amp;$B50,'Gastos com Pessoal'!$I$532:$AJ$532&amp;'Gastos com Pessoal'!$I$6:$AJ$6,0),500,1)),0)
+_xlfn.IFNA(SUM((AW$3&gt;='Gastos com Pessoal'!$E$7:$E$506)*(AW$3&lt;='Gastos com Pessoal'!$F$7:$F$506)*(IF('Gastos com Pessoal'!$M$7:$M$506&lt;=AW$3,1,0))*OFFSET('Gastos com Pessoal'!$H$6,1,MATCH(2&amp;$B50,'Gastos com Pessoal'!$I$532:$AJ$532&amp;'Gastos com Pessoal'!$I$6:$AJ$6,0),500,1)),0)
+_xlfn.IFNA(SUM((AW$3&gt;='Gastos com Pessoal'!$E$7:$E$506)*(AW$3&lt;='Gastos com Pessoal'!$F$7:$F$506)*(IF('Gastos com Pessoal'!$S$7:$S$506&lt;=AW$3,1,0))*OFFSET('Gastos com Pessoal'!$H$6,1,MATCH(3&amp;$B50,'Gastos com Pessoal'!$I$532:$AJ$532&amp;'Gastos com Pessoal'!$I$6:$AJ$6,0),500,1)),0)
+_xlfn.IFNA(SUM((AW$3&gt;='Gastos com Pessoal'!$E$7:$E$506)*(AW$3&lt;='Gastos com Pessoal'!$F$7:$F$506)*(IF('Gastos com Pessoal'!$Y$7:$Y$506&lt;=AW$3,1,0))*OFFSET('Gastos com Pessoal'!$H$6,1,MATCH(4&amp;$B50,'Gastos com Pessoal'!$I$532:$AJ$532&amp;'Gastos com Pessoal'!$I$6:$AJ$6,0),500,1)),0)
+_xlfn.IFNA(SUM((AW$3&gt;='Gastos com Pessoal'!$E$7:$E$506)*(AW$3&lt;='Gastos com Pessoal'!$F$7:$F$506)*(IF('Gastos com Pessoal'!$AE$7:$AE$506&lt;=AW$3,1,0))*OFFSET('Gastos com Pessoal'!$H$6,1,MATCH(5&amp;$B50,'Gastos com Pessoal'!$I$532:$AJ$532&amp;'Gastos com Pessoal'!$I$6:$AJ$6,0),500,1)),0)
+_xlfn.IFNA(SUM((AW$3&gt;='Gastos com Pessoal'!$E$513:$E$522)*(AW$3&lt;='Gastos com Pessoal'!$F$513:$F$522)*(IF('Gastos com Pessoal'!$G$513:$G$522&lt;=AW$3,1,0))*OFFSET('Gastos com Pessoal'!$H$512,1,MATCH(1&amp;$B50,'Gastos com Pessoal'!$I$532:$AJ$532&amp;'Gastos com Pessoal'!$I$512:$AJ$512,0),10,1)),0)
+_xlfn.IFNA(SUM((AW$3&gt;='Gastos com Pessoal'!$E$513:$E$522)*(AW$3&lt;='Gastos com Pessoal'!$F$513:$F$522)*(IF('Gastos com Pessoal'!$M$513:$M$522&lt;=AW$3,1,0))*OFFSET('Gastos com Pessoal'!$H$512,1,MATCH(2&amp;$B50,'Gastos com Pessoal'!$I$532:$AJ$532&amp;'Gastos com Pessoal'!$I$512:$AJ$512,0),10,1)),0)
+_xlfn.IFNA(SUM((AW$3&gt;='Gastos com Pessoal'!$E$513:$E$522)*(AW$3&lt;='Gastos com Pessoal'!$F$513:$F$522)*(IF('Gastos com Pessoal'!$S$513:$S$522&lt;=AW$3,1,0))*OFFSET('Gastos com Pessoal'!$H$512,1,MATCH(3&amp;$B50,'Gastos com Pessoal'!$I$532:$AJ$532&amp;'Gastos com Pessoal'!$I$512:$AJ$512,0),10,1)),0)
+_xlfn.IFNA(SUM((AW$3&gt;='Gastos com Pessoal'!$E$513:$E$522)*(AW$3&lt;='Gastos com Pessoal'!$F$513:$F$522)*(IF('Gastos com Pessoal'!$Y$513:$Y$522&lt;=AW$3,1,0))*OFFSET('Gastos com Pessoal'!$H$512,1,MATCH(4&amp;$B50,'Gastos com Pessoal'!$I$532:$AJ$532&amp;'Gastos com Pessoal'!$I$512:$AJ$512,0),10,1)),0)
+_xlfn.IFNA(SUM((AW$3&gt;='Gastos com Pessoal'!$E$513:$E$522)*(AW$3&lt;='Gastos com Pessoal'!$F$513:$F$522)*(IF('Gastos com Pessoal'!$AE$513:$AE$522&lt;=AW$3,1,0))*OFFSET('Gastos com Pessoal'!$H$512,1,MATCH(5&amp;$B50,'Gastos com Pessoal'!$I$532:$AJ$532&amp;'Gastos com Pessoal'!$I$512:$AJ$512,0),10,1)),0)</f>
        <v>0</v>
      </c>
      <c r="AX50" s="32">
        <f t="array" aca="1" ref="AX50" ca="1">_xlfn.IFNA(SUM((AX$3&gt;='Gastos com Pessoal'!$E$7:$E$506)*(AX$3&lt;='Gastos com Pessoal'!$F$7:$F$506)*OFFSET('Encargos e Benefícios'!$D$5,1,MATCH($B50,'Encargos e Benefícios'!$E$5:$AB$5,0),500,1)),0)
+_xlfn.IFNA(SUM((AX$3&gt;='Gastos com Pessoal'!$E$513:$E$522)*(AX$3&lt;='Gastos com Pessoal'!$F$513:$F$522)*OFFSET('Encargos e Benefícios'!$D$511,1,MATCH($B50,'Encargos e Benefícios'!$E$511:$AB$511,0),10,1)),0)
+_xlfn.IFNA(SUM((AX$3&gt;='Gastos com Pessoal'!$E$7:$E$506)*(AX$3&lt;='Gastos com Pessoal'!$F$7:$F$506)*(IF('Gastos com Pessoal'!$G$7:$G$506&lt;=AX$3,1,0))*OFFSET('Gastos com Pessoal'!$H$6,1,MATCH(1&amp;$B50,'Gastos com Pessoal'!$I$532:$AJ$532&amp;'Gastos com Pessoal'!$I$6:$AJ$6,0),500,1)),0)
+_xlfn.IFNA(SUM((AX$3&gt;='Gastos com Pessoal'!$E$7:$E$506)*(AX$3&lt;='Gastos com Pessoal'!$F$7:$F$506)*(IF('Gastos com Pessoal'!$M$7:$M$506&lt;=AX$3,1,0))*OFFSET('Gastos com Pessoal'!$H$6,1,MATCH(2&amp;$B50,'Gastos com Pessoal'!$I$532:$AJ$532&amp;'Gastos com Pessoal'!$I$6:$AJ$6,0),500,1)),0)
+_xlfn.IFNA(SUM((AX$3&gt;='Gastos com Pessoal'!$E$7:$E$506)*(AX$3&lt;='Gastos com Pessoal'!$F$7:$F$506)*(IF('Gastos com Pessoal'!$S$7:$S$506&lt;=AX$3,1,0))*OFFSET('Gastos com Pessoal'!$H$6,1,MATCH(3&amp;$B50,'Gastos com Pessoal'!$I$532:$AJ$532&amp;'Gastos com Pessoal'!$I$6:$AJ$6,0),500,1)),0)
+_xlfn.IFNA(SUM((AX$3&gt;='Gastos com Pessoal'!$E$7:$E$506)*(AX$3&lt;='Gastos com Pessoal'!$F$7:$F$506)*(IF('Gastos com Pessoal'!$Y$7:$Y$506&lt;=AX$3,1,0))*OFFSET('Gastos com Pessoal'!$H$6,1,MATCH(4&amp;$B50,'Gastos com Pessoal'!$I$532:$AJ$532&amp;'Gastos com Pessoal'!$I$6:$AJ$6,0),500,1)),0)
+_xlfn.IFNA(SUM((AX$3&gt;='Gastos com Pessoal'!$E$7:$E$506)*(AX$3&lt;='Gastos com Pessoal'!$F$7:$F$506)*(IF('Gastos com Pessoal'!$AE$7:$AE$506&lt;=AX$3,1,0))*OFFSET('Gastos com Pessoal'!$H$6,1,MATCH(5&amp;$B50,'Gastos com Pessoal'!$I$532:$AJ$532&amp;'Gastos com Pessoal'!$I$6:$AJ$6,0),500,1)),0)
+_xlfn.IFNA(SUM((AX$3&gt;='Gastos com Pessoal'!$E$513:$E$522)*(AX$3&lt;='Gastos com Pessoal'!$F$513:$F$522)*(IF('Gastos com Pessoal'!$G$513:$G$522&lt;=AX$3,1,0))*OFFSET('Gastos com Pessoal'!$H$512,1,MATCH(1&amp;$B50,'Gastos com Pessoal'!$I$532:$AJ$532&amp;'Gastos com Pessoal'!$I$512:$AJ$512,0),10,1)),0)
+_xlfn.IFNA(SUM((AX$3&gt;='Gastos com Pessoal'!$E$513:$E$522)*(AX$3&lt;='Gastos com Pessoal'!$F$513:$F$522)*(IF('Gastos com Pessoal'!$M$513:$M$522&lt;=AX$3,1,0))*OFFSET('Gastos com Pessoal'!$H$512,1,MATCH(2&amp;$B50,'Gastos com Pessoal'!$I$532:$AJ$532&amp;'Gastos com Pessoal'!$I$512:$AJ$512,0),10,1)),0)
+_xlfn.IFNA(SUM((AX$3&gt;='Gastos com Pessoal'!$E$513:$E$522)*(AX$3&lt;='Gastos com Pessoal'!$F$513:$F$522)*(IF('Gastos com Pessoal'!$S$513:$S$522&lt;=AX$3,1,0))*OFFSET('Gastos com Pessoal'!$H$512,1,MATCH(3&amp;$B50,'Gastos com Pessoal'!$I$532:$AJ$532&amp;'Gastos com Pessoal'!$I$512:$AJ$512,0),10,1)),0)
+_xlfn.IFNA(SUM((AX$3&gt;='Gastos com Pessoal'!$E$513:$E$522)*(AX$3&lt;='Gastos com Pessoal'!$F$513:$F$522)*(IF('Gastos com Pessoal'!$Y$513:$Y$522&lt;=AX$3,1,0))*OFFSET('Gastos com Pessoal'!$H$512,1,MATCH(4&amp;$B50,'Gastos com Pessoal'!$I$532:$AJ$532&amp;'Gastos com Pessoal'!$I$512:$AJ$512,0),10,1)),0)
+_xlfn.IFNA(SUM((AX$3&gt;='Gastos com Pessoal'!$E$513:$E$522)*(AX$3&lt;='Gastos com Pessoal'!$F$513:$F$522)*(IF('Gastos com Pessoal'!$AE$513:$AE$522&lt;=AX$3,1,0))*OFFSET('Gastos com Pessoal'!$H$512,1,MATCH(5&amp;$B50,'Gastos com Pessoal'!$I$532:$AJ$532&amp;'Gastos com Pessoal'!$I$512:$AJ$512,0),10,1)),0)</f>
        <v>0</v>
      </c>
      <c r="AY50" s="32">
        <f t="array" aca="1" ref="AY50" ca="1">_xlfn.IFNA(SUM((AY$3&gt;='Gastos com Pessoal'!$E$7:$E$506)*(AY$3&lt;='Gastos com Pessoal'!$F$7:$F$506)*OFFSET('Encargos e Benefícios'!$D$5,1,MATCH($B50,'Encargos e Benefícios'!$E$5:$AB$5,0),500,1)),0)
+_xlfn.IFNA(SUM((AY$3&gt;='Gastos com Pessoal'!$E$513:$E$522)*(AY$3&lt;='Gastos com Pessoal'!$F$513:$F$522)*OFFSET('Encargos e Benefícios'!$D$511,1,MATCH($B50,'Encargos e Benefícios'!$E$511:$AB$511,0),10,1)),0)
+_xlfn.IFNA(SUM((AY$3&gt;='Gastos com Pessoal'!$E$7:$E$506)*(AY$3&lt;='Gastos com Pessoal'!$F$7:$F$506)*(IF('Gastos com Pessoal'!$G$7:$G$506&lt;=AY$3,1,0))*OFFSET('Gastos com Pessoal'!$H$6,1,MATCH(1&amp;$B50,'Gastos com Pessoal'!$I$532:$AJ$532&amp;'Gastos com Pessoal'!$I$6:$AJ$6,0),500,1)),0)
+_xlfn.IFNA(SUM((AY$3&gt;='Gastos com Pessoal'!$E$7:$E$506)*(AY$3&lt;='Gastos com Pessoal'!$F$7:$F$506)*(IF('Gastos com Pessoal'!$M$7:$M$506&lt;=AY$3,1,0))*OFFSET('Gastos com Pessoal'!$H$6,1,MATCH(2&amp;$B50,'Gastos com Pessoal'!$I$532:$AJ$532&amp;'Gastos com Pessoal'!$I$6:$AJ$6,0),500,1)),0)
+_xlfn.IFNA(SUM((AY$3&gt;='Gastos com Pessoal'!$E$7:$E$506)*(AY$3&lt;='Gastos com Pessoal'!$F$7:$F$506)*(IF('Gastos com Pessoal'!$S$7:$S$506&lt;=AY$3,1,0))*OFFSET('Gastos com Pessoal'!$H$6,1,MATCH(3&amp;$B50,'Gastos com Pessoal'!$I$532:$AJ$532&amp;'Gastos com Pessoal'!$I$6:$AJ$6,0),500,1)),0)
+_xlfn.IFNA(SUM((AY$3&gt;='Gastos com Pessoal'!$E$7:$E$506)*(AY$3&lt;='Gastos com Pessoal'!$F$7:$F$506)*(IF('Gastos com Pessoal'!$Y$7:$Y$506&lt;=AY$3,1,0))*OFFSET('Gastos com Pessoal'!$H$6,1,MATCH(4&amp;$B50,'Gastos com Pessoal'!$I$532:$AJ$532&amp;'Gastos com Pessoal'!$I$6:$AJ$6,0),500,1)),0)
+_xlfn.IFNA(SUM((AY$3&gt;='Gastos com Pessoal'!$E$7:$E$506)*(AY$3&lt;='Gastos com Pessoal'!$F$7:$F$506)*(IF('Gastos com Pessoal'!$AE$7:$AE$506&lt;=AY$3,1,0))*OFFSET('Gastos com Pessoal'!$H$6,1,MATCH(5&amp;$B50,'Gastos com Pessoal'!$I$532:$AJ$532&amp;'Gastos com Pessoal'!$I$6:$AJ$6,0),500,1)),0)
+_xlfn.IFNA(SUM((AY$3&gt;='Gastos com Pessoal'!$E$513:$E$522)*(AY$3&lt;='Gastos com Pessoal'!$F$513:$F$522)*(IF('Gastos com Pessoal'!$G$513:$G$522&lt;=AY$3,1,0))*OFFSET('Gastos com Pessoal'!$H$512,1,MATCH(1&amp;$B50,'Gastos com Pessoal'!$I$532:$AJ$532&amp;'Gastos com Pessoal'!$I$512:$AJ$512,0),10,1)),0)
+_xlfn.IFNA(SUM((AY$3&gt;='Gastos com Pessoal'!$E$513:$E$522)*(AY$3&lt;='Gastos com Pessoal'!$F$513:$F$522)*(IF('Gastos com Pessoal'!$M$513:$M$522&lt;=AY$3,1,0))*OFFSET('Gastos com Pessoal'!$H$512,1,MATCH(2&amp;$B50,'Gastos com Pessoal'!$I$532:$AJ$532&amp;'Gastos com Pessoal'!$I$512:$AJ$512,0),10,1)),0)
+_xlfn.IFNA(SUM((AY$3&gt;='Gastos com Pessoal'!$E$513:$E$522)*(AY$3&lt;='Gastos com Pessoal'!$F$513:$F$522)*(IF('Gastos com Pessoal'!$S$513:$S$522&lt;=AY$3,1,0))*OFFSET('Gastos com Pessoal'!$H$512,1,MATCH(3&amp;$B50,'Gastos com Pessoal'!$I$532:$AJ$532&amp;'Gastos com Pessoal'!$I$512:$AJ$512,0),10,1)),0)
+_xlfn.IFNA(SUM((AY$3&gt;='Gastos com Pessoal'!$E$513:$E$522)*(AY$3&lt;='Gastos com Pessoal'!$F$513:$F$522)*(IF('Gastos com Pessoal'!$Y$513:$Y$522&lt;=AY$3,1,0))*OFFSET('Gastos com Pessoal'!$H$512,1,MATCH(4&amp;$B50,'Gastos com Pessoal'!$I$532:$AJ$532&amp;'Gastos com Pessoal'!$I$512:$AJ$512,0),10,1)),0)
+_xlfn.IFNA(SUM((AY$3&gt;='Gastos com Pessoal'!$E$513:$E$522)*(AY$3&lt;='Gastos com Pessoal'!$F$513:$F$522)*(IF('Gastos com Pessoal'!$AE$513:$AE$522&lt;=AY$3,1,0))*OFFSET('Gastos com Pessoal'!$H$512,1,MATCH(5&amp;$B50,'Gastos com Pessoal'!$I$532:$AJ$532&amp;'Gastos com Pessoal'!$I$512:$AJ$512,0),10,1)),0)</f>
        <v>0</v>
      </c>
      <c r="AZ50" s="32">
        <f t="array" aca="1" ref="AZ50" ca="1">_xlfn.IFNA(SUM((AZ$3&gt;='Gastos com Pessoal'!$E$7:$E$506)*(AZ$3&lt;='Gastos com Pessoal'!$F$7:$F$506)*OFFSET('Encargos e Benefícios'!$D$5,1,MATCH($B50,'Encargos e Benefícios'!$E$5:$AB$5,0),500,1)),0)
+_xlfn.IFNA(SUM((AZ$3&gt;='Gastos com Pessoal'!$E$513:$E$522)*(AZ$3&lt;='Gastos com Pessoal'!$F$513:$F$522)*OFFSET('Encargos e Benefícios'!$D$511,1,MATCH($B50,'Encargos e Benefícios'!$E$511:$AB$511,0),10,1)),0)
+_xlfn.IFNA(SUM((AZ$3&gt;='Gastos com Pessoal'!$E$7:$E$506)*(AZ$3&lt;='Gastos com Pessoal'!$F$7:$F$506)*(IF('Gastos com Pessoal'!$G$7:$G$506&lt;=AZ$3,1,0))*OFFSET('Gastos com Pessoal'!$H$6,1,MATCH(1&amp;$B50,'Gastos com Pessoal'!$I$532:$AJ$532&amp;'Gastos com Pessoal'!$I$6:$AJ$6,0),500,1)),0)
+_xlfn.IFNA(SUM((AZ$3&gt;='Gastos com Pessoal'!$E$7:$E$506)*(AZ$3&lt;='Gastos com Pessoal'!$F$7:$F$506)*(IF('Gastos com Pessoal'!$M$7:$M$506&lt;=AZ$3,1,0))*OFFSET('Gastos com Pessoal'!$H$6,1,MATCH(2&amp;$B50,'Gastos com Pessoal'!$I$532:$AJ$532&amp;'Gastos com Pessoal'!$I$6:$AJ$6,0),500,1)),0)
+_xlfn.IFNA(SUM((AZ$3&gt;='Gastos com Pessoal'!$E$7:$E$506)*(AZ$3&lt;='Gastos com Pessoal'!$F$7:$F$506)*(IF('Gastos com Pessoal'!$S$7:$S$506&lt;=AZ$3,1,0))*OFFSET('Gastos com Pessoal'!$H$6,1,MATCH(3&amp;$B50,'Gastos com Pessoal'!$I$532:$AJ$532&amp;'Gastos com Pessoal'!$I$6:$AJ$6,0),500,1)),0)
+_xlfn.IFNA(SUM((AZ$3&gt;='Gastos com Pessoal'!$E$7:$E$506)*(AZ$3&lt;='Gastos com Pessoal'!$F$7:$F$506)*(IF('Gastos com Pessoal'!$Y$7:$Y$506&lt;=AZ$3,1,0))*OFFSET('Gastos com Pessoal'!$H$6,1,MATCH(4&amp;$B50,'Gastos com Pessoal'!$I$532:$AJ$532&amp;'Gastos com Pessoal'!$I$6:$AJ$6,0),500,1)),0)
+_xlfn.IFNA(SUM((AZ$3&gt;='Gastos com Pessoal'!$E$7:$E$506)*(AZ$3&lt;='Gastos com Pessoal'!$F$7:$F$506)*(IF('Gastos com Pessoal'!$AE$7:$AE$506&lt;=AZ$3,1,0))*OFFSET('Gastos com Pessoal'!$H$6,1,MATCH(5&amp;$B50,'Gastos com Pessoal'!$I$532:$AJ$532&amp;'Gastos com Pessoal'!$I$6:$AJ$6,0),500,1)),0)
+_xlfn.IFNA(SUM((AZ$3&gt;='Gastos com Pessoal'!$E$513:$E$522)*(AZ$3&lt;='Gastos com Pessoal'!$F$513:$F$522)*(IF('Gastos com Pessoal'!$G$513:$G$522&lt;=AZ$3,1,0))*OFFSET('Gastos com Pessoal'!$H$512,1,MATCH(1&amp;$B50,'Gastos com Pessoal'!$I$532:$AJ$532&amp;'Gastos com Pessoal'!$I$512:$AJ$512,0),10,1)),0)
+_xlfn.IFNA(SUM((AZ$3&gt;='Gastos com Pessoal'!$E$513:$E$522)*(AZ$3&lt;='Gastos com Pessoal'!$F$513:$F$522)*(IF('Gastos com Pessoal'!$M$513:$M$522&lt;=AZ$3,1,0))*OFFSET('Gastos com Pessoal'!$H$512,1,MATCH(2&amp;$B50,'Gastos com Pessoal'!$I$532:$AJ$532&amp;'Gastos com Pessoal'!$I$512:$AJ$512,0),10,1)),0)
+_xlfn.IFNA(SUM((AZ$3&gt;='Gastos com Pessoal'!$E$513:$E$522)*(AZ$3&lt;='Gastos com Pessoal'!$F$513:$F$522)*(IF('Gastos com Pessoal'!$S$513:$S$522&lt;=AZ$3,1,0))*OFFSET('Gastos com Pessoal'!$H$512,1,MATCH(3&amp;$B50,'Gastos com Pessoal'!$I$532:$AJ$532&amp;'Gastos com Pessoal'!$I$512:$AJ$512,0),10,1)),0)
+_xlfn.IFNA(SUM((AZ$3&gt;='Gastos com Pessoal'!$E$513:$E$522)*(AZ$3&lt;='Gastos com Pessoal'!$F$513:$F$522)*(IF('Gastos com Pessoal'!$Y$513:$Y$522&lt;=AZ$3,1,0))*OFFSET('Gastos com Pessoal'!$H$512,1,MATCH(4&amp;$B50,'Gastos com Pessoal'!$I$532:$AJ$532&amp;'Gastos com Pessoal'!$I$512:$AJ$512,0),10,1)),0)
+_xlfn.IFNA(SUM((AZ$3&gt;='Gastos com Pessoal'!$E$513:$E$522)*(AZ$3&lt;='Gastos com Pessoal'!$F$513:$F$522)*(IF('Gastos com Pessoal'!$AE$513:$AE$522&lt;=AZ$3,1,0))*OFFSET('Gastos com Pessoal'!$H$512,1,MATCH(5&amp;$B50,'Gastos com Pessoal'!$I$532:$AJ$532&amp;'Gastos com Pessoal'!$I$512:$AJ$512,0),10,1)),0)</f>
        <v>0</v>
      </c>
      <c r="BA50" s="32">
        <f t="array" aca="1" ref="BA50" ca="1">_xlfn.IFNA(SUM((BA$3&gt;='Gastos com Pessoal'!$E$7:$E$506)*(BA$3&lt;='Gastos com Pessoal'!$F$7:$F$506)*OFFSET('Encargos e Benefícios'!$D$5,1,MATCH($B50,'Encargos e Benefícios'!$E$5:$AB$5,0),500,1)),0)
+_xlfn.IFNA(SUM((BA$3&gt;='Gastos com Pessoal'!$E$513:$E$522)*(BA$3&lt;='Gastos com Pessoal'!$F$513:$F$522)*OFFSET('Encargos e Benefícios'!$D$511,1,MATCH($B50,'Encargos e Benefícios'!$E$511:$AB$511,0),10,1)),0)
+_xlfn.IFNA(SUM((BA$3&gt;='Gastos com Pessoal'!$E$7:$E$506)*(BA$3&lt;='Gastos com Pessoal'!$F$7:$F$506)*(IF('Gastos com Pessoal'!$G$7:$G$506&lt;=BA$3,1,0))*OFFSET('Gastos com Pessoal'!$H$6,1,MATCH(1&amp;$B50,'Gastos com Pessoal'!$I$532:$AJ$532&amp;'Gastos com Pessoal'!$I$6:$AJ$6,0),500,1)),0)
+_xlfn.IFNA(SUM((BA$3&gt;='Gastos com Pessoal'!$E$7:$E$506)*(BA$3&lt;='Gastos com Pessoal'!$F$7:$F$506)*(IF('Gastos com Pessoal'!$M$7:$M$506&lt;=BA$3,1,0))*OFFSET('Gastos com Pessoal'!$H$6,1,MATCH(2&amp;$B50,'Gastos com Pessoal'!$I$532:$AJ$532&amp;'Gastos com Pessoal'!$I$6:$AJ$6,0),500,1)),0)
+_xlfn.IFNA(SUM((BA$3&gt;='Gastos com Pessoal'!$E$7:$E$506)*(BA$3&lt;='Gastos com Pessoal'!$F$7:$F$506)*(IF('Gastos com Pessoal'!$S$7:$S$506&lt;=BA$3,1,0))*OFFSET('Gastos com Pessoal'!$H$6,1,MATCH(3&amp;$B50,'Gastos com Pessoal'!$I$532:$AJ$532&amp;'Gastos com Pessoal'!$I$6:$AJ$6,0),500,1)),0)
+_xlfn.IFNA(SUM((BA$3&gt;='Gastos com Pessoal'!$E$7:$E$506)*(BA$3&lt;='Gastos com Pessoal'!$F$7:$F$506)*(IF('Gastos com Pessoal'!$Y$7:$Y$506&lt;=BA$3,1,0))*OFFSET('Gastos com Pessoal'!$H$6,1,MATCH(4&amp;$B50,'Gastos com Pessoal'!$I$532:$AJ$532&amp;'Gastos com Pessoal'!$I$6:$AJ$6,0),500,1)),0)
+_xlfn.IFNA(SUM((BA$3&gt;='Gastos com Pessoal'!$E$7:$E$506)*(BA$3&lt;='Gastos com Pessoal'!$F$7:$F$506)*(IF('Gastos com Pessoal'!$AE$7:$AE$506&lt;=BA$3,1,0))*OFFSET('Gastos com Pessoal'!$H$6,1,MATCH(5&amp;$B50,'Gastos com Pessoal'!$I$532:$AJ$532&amp;'Gastos com Pessoal'!$I$6:$AJ$6,0),500,1)),0)
+_xlfn.IFNA(SUM((BA$3&gt;='Gastos com Pessoal'!$E$513:$E$522)*(BA$3&lt;='Gastos com Pessoal'!$F$513:$F$522)*(IF('Gastos com Pessoal'!$G$513:$G$522&lt;=BA$3,1,0))*OFFSET('Gastos com Pessoal'!$H$512,1,MATCH(1&amp;$B50,'Gastos com Pessoal'!$I$532:$AJ$532&amp;'Gastos com Pessoal'!$I$512:$AJ$512,0),10,1)),0)
+_xlfn.IFNA(SUM((BA$3&gt;='Gastos com Pessoal'!$E$513:$E$522)*(BA$3&lt;='Gastos com Pessoal'!$F$513:$F$522)*(IF('Gastos com Pessoal'!$M$513:$M$522&lt;=BA$3,1,0))*OFFSET('Gastos com Pessoal'!$H$512,1,MATCH(2&amp;$B50,'Gastos com Pessoal'!$I$532:$AJ$532&amp;'Gastos com Pessoal'!$I$512:$AJ$512,0),10,1)),0)
+_xlfn.IFNA(SUM((BA$3&gt;='Gastos com Pessoal'!$E$513:$E$522)*(BA$3&lt;='Gastos com Pessoal'!$F$513:$F$522)*(IF('Gastos com Pessoal'!$S$513:$S$522&lt;=BA$3,1,0))*OFFSET('Gastos com Pessoal'!$H$512,1,MATCH(3&amp;$B50,'Gastos com Pessoal'!$I$532:$AJ$532&amp;'Gastos com Pessoal'!$I$512:$AJ$512,0),10,1)),0)
+_xlfn.IFNA(SUM((BA$3&gt;='Gastos com Pessoal'!$E$513:$E$522)*(BA$3&lt;='Gastos com Pessoal'!$F$513:$F$522)*(IF('Gastos com Pessoal'!$Y$513:$Y$522&lt;=BA$3,1,0))*OFFSET('Gastos com Pessoal'!$H$512,1,MATCH(4&amp;$B50,'Gastos com Pessoal'!$I$532:$AJ$532&amp;'Gastos com Pessoal'!$I$512:$AJ$512,0),10,1)),0)
+_xlfn.IFNA(SUM((BA$3&gt;='Gastos com Pessoal'!$E$513:$E$522)*(BA$3&lt;='Gastos com Pessoal'!$F$513:$F$522)*(IF('Gastos com Pessoal'!$AE$513:$AE$522&lt;=BA$3,1,0))*OFFSET('Gastos com Pessoal'!$H$512,1,MATCH(5&amp;$B50,'Gastos com Pessoal'!$I$532:$AJ$532&amp;'Gastos com Pessoal'!$I$512:$AJ$512,0),10,1)),0)</f>
        <v>0</v>
      </c>
      <c r="BB50" s="32">
        <f t="array" aca="1" ref="BB50" ca="1">_xlfn.IFNA(SUM((BB$3&gt;='Gastos com Pessoal'!$E$7:$E$506)*(BB$3&lt;='Gastos com Pessoal'!$F$7:$F$506)*OFFSET('Encargos e Benefícios'!$D$5,1,MATCH($B50,'Encargos e Benefícios'!$E$5:$AB$5,0),500,1)),0)
+_xlfn.IFNA(SUM((BB$3&gt;='Gastos com Pessoal'!$E$513:$E$522)*(BB$3&lt;='Gastos com Pessoal'!$F$513:$F$522)*OFFSET('Encargos e Benefícios'!$D$511,1,MATCH($B50,'Encargos e Benefícios'!$E$511:$AB$511,0),10,1)),0)
+_xlfn.IFNA(SUM((BB$3&gt;='Gastos com Pessoal'!$E$7:$E$506)*(BB$3&lt;='Gastos com Pessoal'!$F$7:$F$506)*(IF('Gastos com Pessoal'!$G$7:$G$506&lt;=BB$3,1,0))*OFFSET('Gastos com Pessoal'!$H$6,1,MATCH(1&amp;$B50,'Gastos com Pessoal'!$I$532:$AJ$532&amp;'Gastos com Pessoal'!$I$6:$AJ$6,0),500,1)),0)
+_xlfn.IFNA(SUM((BB$3&gt;='Gastos com Pessoal'!$E$7:$E$506)*(BB$3&lt;='Gastos com Pessoal'!$F$7:$F$506)*(IF('Gastos com Pessoal'!$M$7:$M$506&lt;=BB$3,1,0))*OFFSET('Gastos com Pessoal'!$H$6,1,MATCH(2&amp;$B50,'Gastos com Pessoal'!$I$532:$AJ$532&amp;'Gastos com Pessoal'!$I$6:$AJ$6,0),500,1)),0)
+_xlfn.IFNA(SUM((BB$3&gt;='Gastos com Pessoal'!$E$7:$E$506)*(BB$3&lt;='Gastos com Pessoal'!$F$7:$F$506)*(IF('Gastos com Pessoal'!$S$7:$S$506&lt;=BB$3,1,0))*OFFSET('Gastos com Pessoal'!$H$6,1,MATCH(3&amp;$B50,'Gastos com Pessoal'!$I$532:$AJ$532&amp;'Gastos com Pessoal'!$I$6:$AJ$6,0),500,1)),0)
+_xlfn.IFNA(SUM((BB$3&gt;='Gastos com Pessoal'!$E$7:$E$506)*(BB$3&lt;='Gastos com Pessoal'!$F$7:$F$506)*(IF('Gastos com Pessoal'!$Y$7:$Y$506&lt;=BB$3,1,0))*OFFSET('Gastos com Pessoal'!$H$6,1,MATCH(4&amp;$B50,'Gastos com Pessoal'!$I$532:$AJ$532&amp;'Gastos com Pessoal'!$I$6:$AJ$6,0),500,1)),0)
+_xlfn.IFNA(SUM((BB$3&gt;='Gastos com Pessoal'!$E$7:$E$506)*(BB$3&lt;='Gastos com Pessoal'!$F$7:$F$506)*(IF('Gastos com Pessoal'!$AE$7:$AE$506&lt;=BB$3,1,0))*OFFSET('Gastos com Pessoal'!$H$6,1,MATCH(5&amp;$B50,'Gastos com Pessoal'!$I$532:$AJ$532&amp;'Gastos com Pessoal'!$I$6:$AJ$6,0),500,1)),0)
+_xlfn.IFNA(SUM((BB$3&gt;='Gastos com Pessoal'!$E$513:$E$522)*(BB$3&lt;='Gastos com Pessoal'!$F$513:$F$522)*(IF('Gastos com Pessoal'!$G$513:$G$522&lt;=BB$3,1,0))*OFFSET('Gastos com Pessoal'!$H$512,1,MATCH(1&amp;$B50,'Gastos com Pessoal'!$I$532:$AJ$532&amp;'Gastos com Pessoal'!$I$512:$AJ$512,0),10,1)),0)
+_xlfn.IFNA(SUM((BB$3&gt;='Gastos com Pessoal'!$E$513:$E$522)*(BB$3&lt;='Gastos com Pessoal'!$F$513:$F$522)*(IF('Gastos com Pessoal'!$M$513:$M$522&lt;=BB$3,1,0))*OFFSET('Gastos com Pessoal'!$H$512,1,MATCH(2&amp;$B50,'Gastos com Pessoal'!$I$532:$AJ$532&amp;'Gastos com Pessoal'!$I$512:$AJ$512,0),10,1)),0)
+_xlfn.IFNA(SUM((BB$3&gt;='Gastos com Pessoal'!$E$513:$E$522)*(BB$3&lt;='Gastos com Pessoal'!$F$513:$F$522)*(IF('Gastos com Pessoal'!$S$513:$S$522&lt;=BB$3,1,0))*OFFSET('Gastos com Pessoal'!$H$512,1,MATCH(3&amp;$B50,'Gastos com Pessoal'!$I$532:$AJ$532&amp;'Gastos com Pessoal'!$I$512:$AJ$512,0),10,1)),0)
+_xlfn.IFNA(SUM((BB$3&gt;='Gastos com Pessoal'!$E$513:$E$522)*(BB$3&lt;='Gastos com Pessoal'!$F$513:$F$522)*(IF('Gastos com Pessoal'!$Y$513:$Y$522&lt;=BB$3,1,0))*OFFSET('Gastos com Pessoal'!$H$512,1,MATCH(4&amp;$B50,'Gastos com Pessoal'!$I$532:$AJ$532&amp;'Gastos com Pessoal'!$I$512:$AJ$512,0),10,1)),0)
+_xlfn.IFNA(SUM((BB$3&gt;='Gastos com Pessoal'!$E$513:$E$522)*(BB$3&lt;='Gastos com Pessoal'!$F$513:$F$522)*(IF('Gastos com Pessoal'!$AE$513:$AE$522&lt;=BB$3,1,0))*OFFSET('Gastos com Pessoal'!$H$512,1,MATCH(5&amp;$B50,'Gastos com Pessoal'!$I$532:$AJ$532&amp;'Gastos com Pessoal'!$I$512:$AJ$512,0),10,1)),0)</f>
        <v>0</v>
      </c>
      <c r="BC50" s="32">
        <f t="array" aca="1" ref="BC50" ca="1">_xlfn.IFNA(SUM((BC$3&gt;='Gastos com Pessoal'!$E$7:$E$506)*(BC$3&lt;='Gastos com Pessoal'!$F$7:$F$506)*OFFSET('Encargos e Benefícios'!$D$5,1,MATCH($B50,'Encargos e Benefícios'!$E$5:$AB$5,0),500,1)),0)
+_xlfn.IFNA(SUM((BC$3&gt;='Gastos com Pessoal'!$E$513:$E$522)*(BC$3&lt;='Gastos com Pessoal'!$F$513:$F$522)*OFFSET('Encargos e Benefícios'!$D$511,1,MATCH($B50,'Encargos e Benefícios'!$E$511:$AB$511,0),10,1)),0)
+_xlfn.IFNA(SUM((BC$3&gt;='Gastos com Pessoal'!$E$7:$E$506)*(BC$3&lt;='Gastos com Pessoal'!$F$7:$F$506)*(IF('Gastos com Pessoal'!$G$7:$G$506&lt;=BC$3,1,0))*OFFSET('Gastos com Pessoal'!$H$6,1,MATCH(1&amp;$B50,'Gastos com Pessoal'!$I$532:$AJ$532&amp;'Gastos com Pessoal'!$I$6:$AJ$6,0),500,1)),0)
+_xlfn.IFNA(SUM((BC$3&gt;='Gastos com Pessoal'!$E$7:$E$506)*(BC$3&lt;='Gastos com Pessoal'!$F$7:$F$506)*(IF('Gastos com Pessoal'!$M$7:$M$506&lt;=BC$3,1,0))*OFFSET('Gastos com Pessoal'!$H$6,1,MATCH(2&amp;$B50,'Gastos com Pessoal'!$I$532:$AJ$532&amp;'Gastos com Pessoal'!$I$6:$AJ$6,0),500,1)),0)
+_xlfn.IFNA(SUM((BC$3&gt;='Gastos com Pessoal'!$E$7:$E$506)*(BC$3&lt;='Gastos com Pessoal'!$F$7:$F$506)*(IF('Gastos com Pessoal'!$S$7:$S$506&lt;=BC$3,1,0))*OFFSET('Gastos com Pessoal'!$H$6,1,MATCH(3&amp;$B50,'Gastos com Pessoal'!$I$532:$AJ$532&amp;'Gastos com Pessoal'!$I$6:$AJ$6,0),500,1)),0)
+_xlfn.IFNA(SUM((BC$3&gt;='Gastos com Pessoal'!$E$7:$E$506)*(BC$3&lt;='Gastos com Pessoal'!$F$7:$F$506)*(IF('Gastos com Pessoal'!$Y$7:$Y$506&lt;=BC$3,1,0))*OFFSET('Gastos com Pessoal'!$H$6,1,MATCH(4&amp;$B50,'Gastos com Pessoal'!$I$532:$AJ$532&amp;'Gastos com Pessoal'!$I$6:$AJ$6,0),500,1)),0)
+_xlfn.IFNA(SUM((BC$3&gt;='Gastos com Pessoal'!$E$7:$E$506)*(BC$3&lt;='Gastos com Pessoal'!$F$7:$F$506)*(IF('Gastos com Pessoal'!$AE$7:$AE$506&lt;=BC$3,1,0))*OFFSET('Gastos com Pessoal'!$H$6,1,MATCH(5&amp;$B50,'Gastos com Pessoal'!$I$532:$AJ$532&amp;'Gastos com Pessoal'!$I$6:$AJ$6,0),500,1)),0)
+_xlfn.IFNA(SUM((BC$3&gt;='Gastos com Pessoal'!$E$513:$E$522)*(BC$3&lt;='Gastos com Pessoal'!$F$513:$F$522)*(IF('Gastos com Pessoal'!$G$513:$G$522&lt;=BC$3,1,0))*OFFSET('Gastos com Pessoal'!$H$512,1,MATCH(1&amp;$B50,'Gastos com Pessoal'!$I$532:$AJ$532&amp;'Gastos com Pessoal'!$I$512:$AJ$512,0),10,1)),0)
+_xlfn.IFNA(SUM((BC$3&gt;='Gastos com Pessoal'!$E$513:$E$522)*(BC$3&lt;='Gastos com Pessoal'!$F$513:$F$522)*(IF('Gastos com Pessoal'!$M$513:$M$522&lt;=BC$3,1,0))*OFFSET('Gastos com Pessoal'!$H$512,1,MATCH(2&amp;$B50,'Gastos com Pessoal'!$I$532:$AJ$532&amp;'Gastos com Pessoal'!$I$512:$AJ$512,0),10,1)),0)
+_xlfn.IFNA(SUM((BC$3&gt;='Gastos com Pessoal'!$E$513:$E$522)*(BC$3&lt;='Gastos com Pessoal'!$F$513:$F$522)*(IF('Gastos com Pessoal'!$S$513:$S$522&lt;=BC$3,1,0))*OFFSET('Gastos com Pessoal'!$H$512,1,MATCH(3&amp;$B50,'Gastos com Pessoal'!$I$532:$AJ$532&amp;'Gastos com Pessoal'!$I$512:$AJ$512,0),10,1)),0)
+_xlfn.IFNA(SUM((BC$3&gt;='Gastos com Pessoal'!$E$513:$E$522)*(BC$3&lt;='Gastos com Pessoal'!$F$513:$F$522)*(IF('Gastos com Pessoal'!$Y$513:$Y$522&lt;=BC$3,1,0))*OFFSET('Gastos com Pessoal'!$H$512,1,MATCH(4&amp;$B50,'Gastos com Pessoal'!$I$532:$AJ$532&amp;'Gastos com Pessoal'!$I$512:$AJ$512,0),10,1)),0)
+_xlfn.IFNA(SUM((BC$3&gt;='Gastos com Pessoal'!$E$513:$E$522)*(BC$3&lt;='Gastos com Pessoal'!$F$513:$F$522)*(IF('Gastos com Pessoal'!$AE$513:$AE$522&lt;=BC$3,1,0))*OFFSET('Gastos com Pessoal'!$H$512,1,MATCH(5&amp;$B50,'Gastos com Pessoal'!$I$532:$AJ$532&amp;'Gastos com Pessoal'!$I$512:$AJ$512,0),10,1)),0)</f>
        <v>0</v>
      </c>
      <c r="BD50" s="32">
        <f t="array" aca="1" ref="BD50" ca="1">_xlfn.IFNA(SUM((BD$3&gt;='Gastos com Pessoal'!$E$7:$E$506)*(BD$3&lt;='Gastos com Pessoal'!$F$7:$F$506)*OFFSET('Encargos e Benefícios'!$D$5,1,MATCH($B50,'Encargos e Benefícios'!$E$5:$AB$5,0),500,1)),0)
+_xlfn.IFNA(SUM((BD$3&gt;='Gastos com Pessoal'!$E$513:$E$522)*(BD$3&lt;='Gastos com Pessoal'!$F$513:$F$522)*OFFSET('Encargos e Benefícios'!$D$511,1,MATCH($B50,'Encargos e Benefícios'!$E$511:$AB$511,0),10,1)),0)
+_xlfn.IFNA(SUM((BD$3&gt;='Gastos com Pessoal'!$E$7:$E$506)*(BD$3&lt;='Gastos com Pessoal'!$F$7:$F$506)*(IF('Gastos com Pessoal'!$G$7:$G$506&lt;=BD$3,1,0))*OFFSET('Gastos com Pessoal'!$H$6,1,MATCH(1&amp;$B50,'Gastos com Pessoal'!$I$532:$AJ$532&amp;'Gastos com Pessoal'!$I$6:$AJ$6,0),500,1)),0)
+_xlfn.IFNA(SUM((BD$3&gt;='Gastos com Pessoal'!$E$7:$E$506)*(BD$3&lt;='Gastos com Pessoal'!$F$7:$F$506)*(IF('Gastos com Pessoal'!$M$7:$M$506&lt;=BD$3,1,0))*OFFSET('Gastos com Pessoal'!$H$6,1,MATCH(2&amp;$B50,'Gastos com Pessoal'!$I$532:$AJ$532&amp;'Gastos com Pessoal'!$I$6:$AJ$6,0),500,1)),0)
+_xlfn.IFNA(SUM((BD$3&gt;='Gastos com Pessoal'!$E$7:$E$506)*(BD$3&lt;='Gastos com Pessoal'!$F$7:$F$506)*(IF('Gastos com Pessoal'!$S$7:$S$506&lt;=BD$3,1,0))*OFFSET('Gastos com Pessoal'!$H$6,1,MATCH(3&amp;$B50,'Gastos com Pessoal'!$I$532:$AJ$532&amp;'Gastos com Pessoal'!$I$6:$AJ$6,0),500,1)),0)
+_xlfn.IFNA(SUM((BD$3&gt;='Gastos com Pessoal'!$E$7:$E$506)*(BD$3&lt;='Gastos com Pessoal'!$F$7:$F$506)*(IF('Gastos com Pessoal'!$Y$7:$Y$506&lt;=BD$3,1,0))*OFFSET('Gastos com Pessoal'!$H$6,1,MATCH(4&amp;$B50,'Gastos com Pessoal'!$I$532:$AJ$532&amp;'Gastos com Pessoal'!$I$6:$AJ$6,0),500,1)),0)
+_xlfn.IFNA(SUM((BD$3&gt;='Gastos com Pessoal'!$E$7:$E$506)*(BD$3&lt;='Gastos com Pessoal'!$F$7:$F$506)*(IF('Gastos com Pessoal'!$AE$7:$AE$506&lt;=BD$3,1,0))*OFFSET('Gastos com Pessoal'!$H$6,1,MATCH(5&amp;$B50,'Gastos com Pessoal'!$I$532:$AJ$532&amp;'Gastos com Pessoal'!$I$6:$AJ$6,0),500,1)),0)
+_xlfn.IFNA(SUM((BD$3&gt;='Gastos com Pessoal'!$E$513:$E$522)*(BD$3&lt;='Gastos com Pessoal'!$F$513:$F$522)*(IF('Gastos com Pessoal'!$G$513:$G$522&lt;=BD$3,1,0))*OFFSET('Gastos com Pessoal'!$H$512,1,MATCH(1&amp;$B50,'Gastos com Pessoal'!$I$532:$AJ$532&amp;'Gastos com Pessoal'!$I$512:$AJ$512,0),10,1)),0)
+_xlfn.IFNA(SUM((BD$3&gt;='Gastos com Pessoal'!$E$513:$E$522)*(BD$3&lt;='Gastos com Pessoal'!$F$513:$F$522)*(IF('Gastos com Pessoal'!$M$513:$M$522&lt;=BD$3,1,0))*OFFSET('Gastos com Pessoal'!$H$512,1,MATCH(2&amp;$B50,'Gastos com Pessoal'!$I$532:$AJ$532&amp;'Gastos com Pessoal'!$I$512:$AJ$512,0),10,1)),0)
+_xlfn.IFNA(SUM((BD$3&gt;='Gastos com Pessoal'!$E$513:$E$522)*(BD$3&lt;='Gastos com Pessoal'!$F$513:$F$522)*(IF('Gastos com Pessoal'!$S$513:$S$522&lt;=BD$3,1,0))*OFFSET('Gastos com Pessoal'!$H$512,1,MATCH(3&amp;$B50,'Gastos com Pessoal'!$I$532:$AJ$532&amp;'Gastos com Pessoal'!$I$512:$AJ$512,0),10,1)),0)
+_xlfn.IFNA(SUM((BD$3&gt;='Gastos com Pessoal'!$E$513:$E$522)*(BD$3&lt;='Gastos com Pessoal'!$F$513:$F$522)*(IF('Gastos com Pessoal'!$Y$513:$Y$522&lt;=BD$3,1,0))*OFFSET('Gastos com Pessoal'!$H$512,1,MATCH(4&amp;$B50,'Gastos com Pessoal'!$I$532:$AJ$532&amp;'Gastos com Pessoal'!$I$512:$AJ$512,0),10,1)),0)
+_xlfn.IFNA(SUM((BD$3&gt;='Gastos com Pessoal'!$E$513:$E$522)*(BD$3&lt;='Gastos com Pessoal'!$F$513:$F$522)*(IF('Gastos com Pessoal'!$AE$513:$AE$522&lt;=BD$3,1,0))*OFFSET('Gastos com Pessoal'!$H$512,1,MATCH(5&amp;$B50,'Gastos com Pessoal'!$I$532:$AJ$532&amp;'Gastos com Pessoal'!$I$512:$AJ$512,0),10,1)),0)</f>
        <v>0</v>
      </c>
      <c r="BE50" s="32">
        <f t="array" aca="1" ref="BE50" ca="1">_xlfn.IFNA(SUM((BE$3&gt;='Gastos com Pessoal'!$E$7:$E$506)*(BE$3&lt;='Gastos com Pessoal'!$F$7:$F$506)*OFFSET('Encargos e Benefícios'!$D$5,1,MATCH($B50,'Encargos e Benefícios'!$E$5:$AB$5,0),500,1)),0)
+_xlfn.IFNA(SUM((BE$3&gt;='Gastos com Pessoal'!$E$513:$E$522)*(BE$3&lt;='Gastos com Pessoal'!$F$513:$F$522)*OFFSET('Encargos e Benefícios'!$D$511,1,MATCH($B50,'Encargos e Benefícios'!$E$511:$AB$511,0),10,1)),0)
+_xlfn.IFNA(SUM((BE$3&gt;='Gastos com Pessoal'!$E$7:$E$506)*(BE$3&lt;='Gastos com Pessoal'!$F$7:$F$506)*(IF('Gastos com Pessoal'!$G$7:$G$506&lt;=BE$3,1,0))*OFFSET('Gastos com Pessoal'!$H$6,1,MATCH(1&amp;$B50,'Gastos com Pessoal'!$I$532:$AJ$532&amp;'Gastos com Pessoal'!$I$6:$AJ$6,0),500,1)),0)
+_xlfn.IFNA(SUM((BE$3&gt;='Gastos com Pessoal'!$E$7:$E$506)*(BE$3&lt;='Gastos com Pessoal'!$F$7:$F$506)*(IF('Gastos com Pessoal'!$M$7:$M$506&lt;=BE$3,1,0))*OFFSET('Gastos com Pessoal'!$H$6,1,MATCH(2&amp;$B50,'Gastos com Pessoal'!$I$532:$AJ$532&amp;'Gastos com Pessoal'!$I$6:$AJ$6,0),500,1)),0)
+_xlfn.IFNA(SUM((BE$3&gt;='Gastos com Pessoal'!$E$7:$E$506)*(BE$3&lt;='Gastos com Pessoal'!$F$7:$F$506)*(IF('Gastos com Pessoal'!$S$7:$S$506&lt;=BE$3,1,0))*OFFSET('Gastos com Pessoal'!$H$6,1,MATCH(3&amp;$B50,'Gastos com Pessoal'!$I$532:$AJ$532&amp;'Gastos com Pessoal'!$I$6:$AJ$6,0),500,1)),0)
+_xlfn.IFNA(SUM((BE$3&gt;='Gastos com Pessoal'!$E$7:$E$506)*(BE$3&lt;='Gastos com Pessoal'!$F$7:$F$506)*(IF('Gastos com Pessoal'!$Y$7:$Y$506&lt;=BE$3,1,0))*OFFSET('Gastos com Pessoal'!$H$6,1,MATCH(4&amp;$B50,'Gastos com Pessoal'!$I$532:$AJ$532&amp;'Gastos com Pessoal'!$I$6:$AJ$6,0),500,1)),0)
+_xlfn.IFNA(SUM((BE$3&gt;='Gastos com Pessoal'!$E$7:$E$506)*(BE$3&lt;='Gastos com Pessoal'!$F$7:$F$506)*(IF('Gastos com Pessoal'!$AE$7:$AE$506&lt;=BE$3,1,0))*OFFSET('Gastos com Pessoal'!$H$6,1,MATCH(5&amp;$B50,'Gastos com Pessoal'!$I$532:$AJ$532&amp;'Gastos com Pessoal'!$I$6:$AJ$6,0),500,1)),0)
+_xlfn.IFNA(SUM((BE$3&gt;='Gastos com Pessoal'!$E$513:$E$522)*(BE$3&lt;='Gastos com Pessoal'!$F$513:$F$522)*(IF('Gastos com Pessoal'!$G$513:$G$522&lt;=BE$3,1,0))*OFFSET('Gastos com Pessoal'!$H$512,1,MATCH(1&amp;$B50,'Gastos com Pessoal'!$I$532:$AJ$532&amp;'Gastos com Pessoal'!$I$512:$AJ$512,0),10,1)),0)
+_xlfn.IFNA(SUM((BE$3&gt;='Gastos com Pessoal'!$E$513:$E$522)*(BE$3&lt;='Gastos com Pessoal'!$F$513:$F$522)*(IF('Gastos com Pessoal'!$M$513:$M$522&lt;=BE$3,1,0))*OFFSET('Gastos com Pessoal'!$H$512,1,MATCH(2&amp;$B50,'Gastos com Pessoal'!$I$532:$AJ$532&amp;'Gastos com Pessoal'!$I$512:$AJ$512,0),10,1)),0)
+_xlfn.IFNA(SUM((BE$3&gt;='Gastos com Pessoal'!$E$513:$E$522)*(BE$3&lt;='Gastos com Pessoal'!$F$513:$F$522)*(IF('Gastos com Pessoal'!$S$513:$S$522&lt;=BE$3,1,0))*OFFSET('Gastos com Pessoal'!$H$512,1,MATCH(3&amp;$B50,'Gastos com Pessoal'!$I$532:$AJ$532&amp;'Gastos com Pessoal'!$I$512:$AJ$512,0),10,1)),0)
+_xlfn.IFNA(SUM((BE$3&gt;='Gastos com Pessoal'!$E$513:$E$522)*(BE$3&lt;='Gastos com Pessoal'!$F$513:$F$522)*(IF('Gastos com Pessoal'!$Y$513:$Y$522&lt;=BE$3,1,0))*OFFSET('Gastos com Pessoal'!$H$512,1,MATCH(4&amp;$B50,'Gastos com Pessoal'!$I$532:$AJ$532&amp;'Gastos com Pessoal'!$I$512:$AJ$512,0),10,1)),0)
+_xlfn.IFNA(SUM((BE$3&gt;='Gastos com Pessoal'!$E$513:$E$522)*(BE$3&lt;='Gastos com Pessoal'!$F$513:$F$522)*(IF('Gastos com Pessoal'!$AE$513:$AE$522&lt;=BE$3,1,0))*OFFSET('Gastos com Pessoal'!$H$512,1,MATCH(5&amp;$B50,'Gastos com Pessoal'!$I$532:$AJ$532&amp;'Gastos com Pessoal'!$I$512:$AJ$512,0),10,1)),0)</f>
        <v>0</v>
      </c>
      <c r="BF50" s="32">
        <f t="array" aca="1" ref="BF50" ca="1">_xlfn.IFNA(SUM((BF$3&gt;='Gastos com Pessoal'!$E$7:$E$506)*(BF$3&lt;='Gastos com Pessoal'!$F$7:$F$506)*OFFSET('Encargos e Benefícios'!$D$5,1,MATCH($B50,'Encargos e Benefícios'!$E$5:$AB$5,0),500,1)),0)
+_xlfn.IFNA(SUM((BF$3&gt;='Gastos com Pessoal'!$E$513:$E$522)*(BF$3&lt;='Gastos com Pessoal'!$F$513:$F$522)*OFFSET('Encargos e Benefícios'!$D$511,1,MATCH($B50,'Encargos e Benefícios'!$E$511:$AB$511,0),10,1)),0)
+_xlfn.IFNA(SUM((BF$3&gt;='Gastos com Pessoal'!$E$7:$E$506)*(BF$3&lt;='Gastos com Pessoal'!$F$7:$F$506)*(IF('Gastos com Pessoal'!$G$7:$G$506&lt;=BF$3,1,0))*OFFSET('Gastos com Pessoal'!$H$6,1,MATCH(1&amp;$B50,'Gastos com Pessoal'!$I$532:$AJ$532&amp;'Gastos com Pessoal'!$I$6:$AJ$6,0),500,1)),0)
+_xlfn.IFNA(SUM((BF$3&gt;='Gastos com Pessoal'!$E$7:$E$506)*(BF$3&lt;='Gastos com Pessoal'!$F$7:$F$506)*(IF('Gastos com Pessoal'!$M$7:$M$506&lt;=BF$3,1,0))*OFFSET('Gastos com Pessoal'!$H$6,1,MATCH(2&amp;$B50,'Gastos com Pessoal'!$I$532:$AJ$532&amp;'Gastos com Pessoal'!$I$6:$AJ$6,0),500,1)),0)
+_xlfn.IFNA(SUM((BF$3&gt;='Gastos com Pessoal'!$E$7:$E$506)*(BF$3&lt;='Gastos com Pessoal'!$F$7:$F$506)*(IF('Gastos com Pessoal'!$S$7:$S$506&lt;=BF$3,1,0))*OFFSET('Gastos com Pessoal'!$H$6,1,MATCH(3&amp;$B50,'Gastos com Pessoal'!$I$532:$AJ$532&amp;'Gastos com Pessoal'!$I$6:$AJ$6,0),500,1)),0)
+_xlfn.IFNA(SUM((BF$3&gt;='Gastos com Pessoal'!$E$7:$E$506)*(BF$3&lt;='Gastos com Pessoal'!$F$7:$F$506)*(IF('Gastos com Pessoal'!$Y$7:$Y$506&lt;=BF$3,1,0))*OFFSET('Gastos com Pessoal'!$H$6,1,MATCH(4&amp;$B50,'Gastos com Pessoal'!$I$532:$AJ$532&amp;'Gastos com Pessoal'!$I$6:$AJ$6,0),500,1)),0)
+_xlfn.IFNA(SUM((BF$3&gt;='Gastos com Pessoal'!$E$7:$E$506)*(BF$3&lt;='Gastos com Pessoal'!$F$7:$F$506)*(IF('Gastos com Pessoal'!$AE$7:$AE$506&lt;=BF$3,1,0))*OFFSET('Gastos com Pessoal'!$H$6,1,MATCH(5&amp;$B50,'Gastos com Pessoal'!$I$532:$AJ$532&amp;'Gastos com Pessoal'!$I$6:$AJ$6,0),500,1)),0)
+_xlfn.IFNA(SUM((BF$3&gt;='Gastos com Pessoal'!$E$513:$E$522)*(BF$3&lt;='Gastos com Pessoal'!$F$513:$F$522)*(IF('Gastos com Pessoal'!$G$513:$G$522&lt;=BF$3,1,0))*OFFSET('Gastos com Pessoal'!$H$512,1,MATCH(1&amp;$B50,'Gastos com Pessoal'!$I$532:$AJ$532&amp;'Gastos com Pessoal'!$I$512:$AJ$512,0),10,1)),0)
+_xlfn.IFNA(SUM((BF$3&gt;='Gastos com Pessoal'!$E$513:$E$522)*(BF$3&lt;='Gastos com Pessoal'!$F$513:$F$522)*(IF('Gastos com Pessoal'!$M$513:$M$522&lt;=BF$3,1,0))*OFFSET('Gastos com Pessoal'!$H$512,1,MATCH(2&amp;$B50,'Gastos com Pessoal'!$I$532:$AJ$532&amp;'Gastos com Pessoal'!$I$512:$AJ$512,0),10,1)),0)
+_xlfn.IFNA(SUM((BF$3&gt;='Gastos com Pessoal'!$E$513:$E$522)*(BF$3&lt;='Gastos com Pessoal'!$F$513:$F$522)*(IF('Gastos com Pessoal'!$S$513:$S$522&lt;=BF$3,1,0))*OFFSET('Gastos com Pessoal'!$H$512,1,MATCH(3&amp;$B50,'Gastos com Pessoal'!$I$532:$AJ$532&amp;'Gastos com Pessoal'!$I$512:$AJ$512,0),10,1)),0)
+_xlfn.IFNA(SUM((BF$3&gt;='Gastos com Pessoal'!$E$513:$E$522)*(BF$3&lt;='Gastos com Pessoal'!$F$513:$F$522)*(IF('Gastos com Pessoal'!$Y$513:$Y$522&lt;=BF$3,1,0))*OFFSET('Gastos com Pessoal'!$H$512,1,MATCH(4&amp;$B50,'Gastos com Pessoal'!$I$532:$AJ$532&amp;'Gastos com Pessoal'!$I$512:$AJ$512,0),10,1)),0)
+_xlfn.IFNA(SUM((BF$3&gt;='Gastos com Pessoal'!$E$513:$E$522)*(BF$3&lt;='Gastos com Pessoal'!$F$513:$F$522)*(IF('Gastos com Pessoal'!$AE$513:$AE$522&lt;=BF$3,1,0))*OFFSET('Gastos com Pessoal'!$H$512,1,MATCH(5&amp;$B50,'Gastos com Pessoal'!$I$532:$AJ$532&amp;'Gastos com Pessoal'!$I$512:$AJ$512,0),10,1)),0)</f>
        <v>0</v>
      </c>
      <c r="BG50" s="32">
        <f t="array" aca="1" ref="BG50" ca="1">_xlfn.IFNA(SUM((BG$3&gt;='Gastos com Pessoal'!$E$7:$E$506)*(BG$3&lt;='Gastos com Pessoal'!$F$7:$F$506)*OFFSET('Encargos e Benefícios'!$D$5,1,MATCH($B50,'Encargos e Benefícios'!$E$5:$AB$5,0),500,1)),0)
+_xlfn.IFNA(SUM((BG$3&gt;='Gastos com Pessoal'!$E$513:$E$522)*(BG$3&lt;='Gastos com Pessoal'!$F$513:$F$522)*OFFSET('Encargos e Benefícios'!$D$511,1,MATCH($B50,'Encargos e Benefícios'!$E$511:$AB$511,0),10,1)),0)
+_xlfn.IFNA(SUM((BG$3&gt;='Gastos com Pessoal'!$E$7:$E$506)*(BG$3&lt;='Gastos com Pessoal'!$F$7:$F$506)*(IF('Gastos com Pessoal'!$G$7:$G$506&lt;=BG$3,1,0))*OFFSET('Gastos com Pessoal'!$H$6,1,MATCH(1&amp;$B50,'Gastos com Pessoal'!$I$532:$AJ$532&amp;'Gastos com Pessoal'!$I$6:$AJ$6,0),500,1)),0)
+_xlfn.IFNA(SUM((BG$3&gt;='Gastos com Pessoal'!$E$7:$E$506)*(BG$3&lt;='Gastos com Pessoal'!$F$7:$F$506)*(IF('Gastos com Pessoal'!$M$7:$M$506&lt;=BG$3,1,0))*OFFSET('Gastos com Pessoal'!$H$6,1,MATCH(2&amp;$B50,'Gastos com Pessoal'!$I$532:$AJ$532&amp;'Gastos com Pessoal'!$I$6:$AJ$6,0),500,1)),0)
+_xlfn.IFNA(SUM((BG$3&gt;='Gastos com Pessoal'!$E$7:$E$506)*(BG$3&lt;='Gastos com Pessoal'!$F$7:$F$506)*(IF('Gastos com Pessoal'!$S$7:$S$506&lt;=BG$3,1,0))*OFFSET('Gastos com Pessoal'!$H$6,1,MATCH(3&amp;$B50,'Gastos com Pessoal'!$I$532:$AJ$532&amp;'Gastos com Pessoal'!$I$6:$AJ$6,0),500,1)),0)
+_xlfn.IFNA(SUM((BG$3&gt;='Gastos com Pessoal'!$E$7:$E$506)*(BG$3&lt;='Gastos com Pessoal'!$F$7:$F$506)*(IF('Gastos com Pessoal'!$Y$7:$Y$506&lt;=BG$3,1,0))*OFFSET('Gastos com Pessoal'!$H$6,1,MATCH(4&amp;$B50,'Gastos com Pessoal'!$I$532:$AJ$532&amp;'Gastos com Pessoal'!$I$6:$AJ$6,0),500,1)),0)
+_xlfn.IFNA(SUM((BG$3&gt;='Gastos com Pessoal'!$E$7:$E$506)*(BG$3&lt;='Gastos com Pessoal'!$F$7:$F$506)*(IF('Gastos com Pessoal'!$AE$7:$AE$506&lt;=BG$3,1,0))*OFFSET('Gastos com Pessoal'!$H$6,1,MATCH(5&amp;$B50,'Gastos com Pessoal'!$I$532:$AJ$532&amp;'Gastos com Pessoal'!$I$6:$AJ$6,0),500,1)),0)
+_xlfn.IFNA(SUM((BG$3&gt;='Gastos com Pessoal'!$E$513:$E$522)*(BG$3&lt;='Gastos com Pessoal'!$F$513:$F$522)*(IF('Gastos com Pessoal'!$G$513:$G$522&lt;=BG$3,1,0))*OFFSET('Gastos com Pessoal'!$H$512,1,MATCH(1&amp;$B50,'Gastos com Pessoal'!$I$532:$AJ$532&amp;'Gastos com Pessoal'!$I$512:$AJ$512,0),10,1)),0)
+_xlfn.IFNA(SUM((BG$3&gt;='Gastos com Pessoal'!$E$513:$E$522)*(BG$3&lt;='Gastos com Pessoal'!$F$513:$F$522)*(IF('Gastos com Pessoal'!$M$513:$M$522&lt;=BG$3,1,0))*OFFSET('Gastos com Pessoal'!$H$512,1,MATCH(2&amp;$B50,'Gastos com Pessoal'!$I$532:$AJ$532&amp;'Gastos com Pessoal'!$I$512:$AJ$512,0),10,1)),0)
+_xlfn.IFNA(SUM((BG$3&gt;='Gastos com Pessoal'!$E$513:$E$522)*(BG$3&lt;='Gastos com Pessoal'!$F$513:$F$522)*(IF('Gastos com Pessoal'!$S$513:$S$522&lt;=BG$3,1,0))*OFFSET('Gastos com Pessoal'!$H$512,1,MATCH(3&amp;$B50,'Gastos com Pessoal'!$I$532:$AJ$532&amp;'Gastos com Pessoal'!$I$512:$AJ$512,0),10,1)),0)
+_xlfn.IFNA(SUM((BG$3&gt;='Gastos com Pessoal'!$E$513:$E$522)*(BG$3&lt;='Gastos com Pessoal'!$F$513:$F$522)*(IF('Gastos com Pessoal'!$Y$513:$Y$522&lt;=BG$3,1,0))*OFFSET('Gastos com Pessoal'!$H$512,1,MATCH(4&amp;$B50,'Gastos com Pessoal'!$I$532:$AJ$532&amp;'Gastos com Pessoal'!$I$512:$AJ$512,0),10,1)),0)
+_xlfn.IFNA(SUM((BG$3&gt;='Gastos com Pessoal'!$E$513:$E$522)*(BG$3&lt;='Gastos com Pessoal'!$F$513:$F$522)*(IF('Gastos com Pessoal'!$AE$513:$AE$522&lt;=BG$3,1,0))*OFFSET('Gastos com Pessoal'!$H$512,1,MATCH(5&amp;$B50,'Gastos com Pessoal'!$I$532:$AJ$532&amp;'Gastos com Pessoal'!$I$512:$AJ$512,0),10,1)),0)</f>
        <v>0</v>
      </c>
      <c r="BH50" s="32">
        <f t="array" aca="1" ref="BH50" ca="1">_xlfn.IFNA(SUM((BH$3&gt;='Gastos com Pessoal'!$E$7:$E$506)*(BH$3&lt;='Gastos com Pessoal'!$F$7:$F$506)*OFFSET('Encargos e Benefícios'!$D$5,1,MATCH($B50,'Encargos e Benefícios'!$E$5:$AB$5,0),500,1)),0)
+_xlfn.IFNA(SUM((BH$3&gt;='Gastos com Pessoal'!$E$513:$E$522)*(BH$3&lt;='Gastos com Pessoal'!$F$513:$F$522)*OFFSET('Encargos e Benefícios'!$D$511,1,MATCH($B50,'Encargos e Benefícios'!$E$511:$AB$511,0),10,1)),0)
+_xlfn.IFNA(SUM((BH$3&gt;='Gastos com Pessoal'!$E$7:$E$506)*(BH$3&lt;='Gastos com Pessoal'!$F$7:$F$506)*(IF('Gastos com Pessoal'!$G$7:$G$506&lt;=BH$3,1,0))*OFFSET('Gastos com Pessoal'!$H$6,1,MATCH(1&amp;$B50,'Gastos com Pessoal'!$I$532:$AJ$532&amp;'Gastos com Pessoal'!$I$6:$AJ$6,0),500,1)),0)
+_xlfn.IFNA(SUM((BH$3&gt;='Gastos com Pessoal'!$E$7:$E$506)*(BH$3&lt;='Gastos com Pessoal'!$F$7:$F$506)*(IF('Gastos com Pessoal'!$M$7:$M$506&lt;=BH$3,1,0))*OFFSET('Gastos com Pessoal'!$H$6,1,MATCH(2&amp;$B50,'Gastos com Pessoal'!$I$532:$AJ$532&amp;'Gastos com Pessoal'!$I$6:$AJ$6,0),500,1)),0)
+_xlfn.IFNA(SUM((BH$3&gt;='Gastos com Pessoal'!$E$7:$E$506)*(BH$3&lt;='Gastos com Pessoal'!$F$7:$F$506)*(IF('Gastos com Pessoal'!$S$7:$S$506&lt;=BH$3,1,0))*OFFSET('Gastos com Pessoal'!$H$6,1,MATCH(3&amp;$B50,'Gastos com Pessoal'!$I$532:$AJ$532&amp;'Gastos com Pessoal'!$I$6:$AJ$6,0),500,1)),0)
+_xlfn.IFNA(SUM((BH$3&gt;='Gastos com Pessoal'!$E$7:$E$506)*(BH$3&lt;='Gastos com Pessoal'!$F$7:$F$506)*(IF('Gastos com Pessoal'!$Y$7:$Y$506&lt;=BH$3,1,0))*OFFSET('Gastos com Pessoal'!$H$6,1,MATCH(4&amp;$B50,'Gastos com Pessoal'!$I$532:$AJ$532&amp;'Gastos com Pessoal'!$I$6:$AJ$6,0),500,1)),0)
+_xlfn.IFNA(SUM((BH$3&gt;='Gastos com Pessoal'!$E$7:$E$506)*(BH$3&lt;='Gastos com Pessoal'!$F$7:$F$506)*(IF('Gastos com Pessoal'!$AE$7:$AE$506&lt;=BH$3,1,0))*OFFSET('Gastos com Pessoal'!$H$6,1,MATCH(5&amp;$B50,'Gastos com Pessoal'!$I$532:$AJ$532&amp;'Gastos com Pessoal'!$I$6:$AJ$6,0),500,1)),0)
+_xlfn.IFNA(SUM((BH$3&gt;='Gastos com Pessoal'!$E$513:$E$522)*(BH$3&lt;='Gastos com Pessoal'!$F$513:$F$522)*(IF('Gastos com Pessoal'!$G$513:$G$522&lt;=BH$3,1,0))*OFFSET('Gastos com Pessoal'!$H$512,1,MATCH(1&amp;$B50,'Gastos com Pessoal'!$I$532:$AJ$532&amp;'Gastos com Pessoal'!$I$512:$AJ$512,0),10,1)),0)
+_xlfn.IFNA(SUM((BH$3&gt;='Gastos com Pessoal'!$E$513:$E$522)*(BH$3&lt;='Gastos com Pessoal'!$F$513:$F$522)*(IF('Gastos com Pessoal'!$M$513:$M$522&lt;=BH$3,1,0))*OFFSET('Gastos com Pessoal'!$H$512,1,MATCH(2&amp;$B50,'Gastos com Pessoal'!$I$532:$AJ$532&amp;'Gastos com Pessoal'!$I$512:$AJ$512,0),10,1)),0)
+_xlfn.IFNA(SUM((BH$3&gt;='Gastos com Pessoal'!$E$513:$E$522)*(BH$3&lt;='Gastos com Pessoal'!$F$513:$F$522)*(IF('Gastos com Pessoal'!$S$513:$S$522&lt;=BH$3,1,0))*OFFSET('Gastos com Pessoal'!$H$512,1,MATCH(3&amp;$B50,'Gastos com Pessoal'!$I$532:$AJ$532&amp;'Gastos com Pessoal'!$I$512:$AJ$512,0),10,1)),0)
+_xlfn.IFNA(SUM((BH$3&gt;='Gastos com Pessoal'!$E$513:$E$522)*(BH$3&lt;='Gastos com Pessoal'!$F$513:$F$522)*(IF('Gastos com Pessoal'!$Y$513:$Y$522&lt;=BH$3,1,0))*OFFSET('Gastos com Pessoal'!$H$512,1,MATCH(4&amp;$B50,'Gastos com Pessoal'!$I$532:$AJ$532&amp;'Gastos com Pessoal'!$I$512:$AJ$512,0),10,1)),0)
+_xlfn.IFNA(SUM((BH$3&gt;='Gastos com Pessoal'!$E$513:$E$522)*(BH$3&lt;='Gastos com Pessoal'!$F$513:$F$522)*(IF('Gastos com Pessoal'!$AE$513:$AE$522&lt;=BH$3,1,0))*OFFSET('Gastos com Pessoal'!$H$512,1,MATCH(5&amp;$B50,'Gastos com Pessoal'!$I$532:$AJ$532&amp;'Gastos com Pessoal'!$I$512:$AJ$512,0),10,1)),0)</f>
        <v>0</v>
      </c>
      <c r="BI50" s="32">
        <f t="array" aca="1" ref="BI50" ca="1">_xlfn.IFNA(SUM((BI$3&gt;='Gastos com Pessoal'!$E$7:$E$506)*(BI$3&lt;='Gastos com Pessoal'!$F$7:$F$506)*OFFSET('Encargos e Benefícios'!$D$5,1,MATCH($B50,'Encargos e Benefícios'!$E$5:$AB$5,0),500,1)),0)
+_xlfn.IFNA(SUM((BI$3&gt;='Gastos com Pessoal'!$E$513:$E$522)*(BI$3&lt;='Gastos com Pessoal'!$F$513:$F$522)*OFFSET('Encargos e Benefícios'!$D$511,1,MATCH($B50,'Encargos e Benefícios'!$E$511:$AB$511,0),10,1)),0)
+_xlfn.IFNA(SUM((BI$3&gt;='Gastos com Pessoal'!$E$7:$E$506)*(BI$3&lt;='Gastos com Pessoal'!$F$7:$F$506)*(IF('Gastos com Pessoal'!$G$7:$G$506&lt;=BI$3,1,0))*OFFSET('Gastos com Pessoal'!$H$6,1,MATCH(1&amp;$B50,'Gastos com Pessoal'!$I$532:$AJ$532&amp;'Gastos com Pessoal'!$I$6:$AJ$6,0),500,1)),0)
+_xlfn.IFNA(SUM((BI$3&gt;='Gastos com Pessoal'!$E$7:$E$506)*(BI$3&lt;='Gastos com Pessoal'!$F$7:$F$506)*(IF('Gastos com Pessoal'!$M$7:$M$506&lt;=BI$3,1,0))*OFFSET('Gastos com Pessoal'!$H$6,1,MATCH(2&amp;$B50,'Gastos com Pessoal'!$I$532:$AJ$532&amp;'Gastos com Pessoal'!$I$6:$AJ$6,0),500,1)),0)
+_xlfn.IFNA(SUM((BI$3&gt;='Gastos com Pessoal'!$E$7:$E$506)*(BI$3&lt;='Gastos com Pessoal'!$F$7:$F$506)*(IF('Gastos com Pessoal'!$S$7:$S$506&lt;=BI$3,1,0))*OFFSET('Gastos com Pessoal'!$H$6,1,MATCH(3&amp;$B50,'Gastos com Pessoal'!$I$532:$AJ$532&amp;'Gastos com Pessoal'!$I$6:$AJ$6,0),500,1)),0)
+_xlfn.IFNA(SUM((BI$3&gt;='Gastos com Pessoal'!$E$7:$E$506)*(BI$3&lt;='Gastos com Pessoal'!$F$7:$F$506)*(IF('Gastos com Pessoal'!$Y$7:$Y$506&lt;=BI$3,1,0))*OFFSET('Gastos com Pessoal'!$H$6,1,MATCH(4&amp;$B50,'Gastos com Pessoal'!$I$532:$AJ$532&amp;'Gastos com Pessoal'!$I$6:$AJ$6,0),500,1)),0)
+_xlfn.IFNA(SUM((BI$3&gt;='Gastos com Pessoal'!$E$7:$E$506)*(BI$3&lt;='Gastos com Pessoal'!$F$7:$F$506)*(IF('Gastos com Pessoal'!$AE$7:$AE$506&lt;=BI$3,1,0))*OFFSET('Gastos com Pessoal'!$H$6,1,MATCH(5&amp;$B50,'Gastos com Pessoal'!$I$532:$AJ$532&amp;'Gastos com Pessoal'!$I$6:$AJ$6,0),500,1)),0)
+_xlfn.IFNA(SUM((BI$3&gt;='Gastos com Pessoal'!$E$513:$E$522)*(BI$3&lt;='Gastos com Pessoal'!$F$513:$F$522)*(IF('Gastos com Pessoal'!$G$513:$G$522&lt;=BI$3,1,0))*OFFSET('Gastos com Pessoal'!$H$512,1,MATCH(1&amp;$B50,'Gastos com Pessoal'!$I$532:$AJ$532&amp;'Gastos com Pessoal'!$I$512:$AJ$512,0),10,1)),0)
+_xlfn.IFNA(SUM((BI$3&gt;='Gastos com Pessoal'!$E$513:$E$522)*(BI$3&lt;='Gastos com Pessoal'!$F$513:$F$522)*(IF('Gastos com Pessoal'!$M$513:$M$522&lt;=BI$3,1,0))*OFFSET('Gastos com Pessoal'!$H$512,1,MATCH(2&amp;$B50,'Gastos com Pessoal'!$I$532:$AJ$532&amp;'Gastos com Pessoal'!$I$512:$AJ$512,0),10,1)),0)
+_xlfn.IFNA(SUM((BI$3&gt;='Gastos com Pessoal'!$E$513:$E$522)*(BI$3&lt;='Gastos com Pessoal'!$F$513:$F$522)*(IF('Gastos com Pessoal'!$S$513:$S$522&lt;=BI$3,1,0))*OFFSET('Gastos com Pessoal'!$H$512,1,MATCH(3&amp;$B50,'Gastos com Pessoal'!$I$532:$AJ$532&amp;'Gastos com Pessoal'!$I$512:$AJ$512,0),10,1)),0)
+_xlfn.IFNA(SUM((BI$3&gt;='Gastos com Pessoal'!$E$513:$E$522)*(BI$3&lt;='Gastos com Pessoal'!$F$513:$F$522)*(IF('Gastos com Pessoal'!$Y$513:$Y$522&lt;=BI$3,1,0))*OFFSET('Gastos com Pessoal'!$H$512,1,MATCH(4&amp;$B50,'Gastos com Pessoal'!$I$532:$AJ$532&amp;'Gastos com Pessoal'!$I$512:$AJ$512,0),10,1)),0)
+_xlfn.IFNA(SUM((BI$3&gt;='Gastos com Pessoal'!$E$513:$E$522)*(BI$3&lt;='Gastos com Pessoal'!$F$513:$F$522)*(IF('Gastos com Pessoal'!$AE$513:$AE$522&lt;=BI$3,1,0))*OFFSET('Gastos com Pessoal'!$H$512,1,MATCH(5&amp;$B50,'Gastos com Pessoal'!$I$532:$AJ$532&amp;'Gastos com Pessoal'!$I$512:$AJ$512,0),10,1)),0)</f>
        <v>0</v>
      </c>
      <c r="BJ50" s="32">
        <f t="array" aca="1" ref="BJ50" ca="1">_xlfn.IFNA(SUM((BJ$3&gt;='Gastos com Pessoal'!$E$7:$E$506)*(BJ$3&lt;='Gastos com Pessoal'!$F$7:$F$506)*OFFSET('Encargos e Benefícios'!$D$5,1,MATCH($B50,'Encargos e Benefícios'!$E$5:$AB$5,0),500,1)),0)
+_xlfn.IFNA(SUM((BJ$3&gt;='Gastos com Pessoal'!$E$513:$E$522)*(BJ$3&lt;='Gastos com Pessoal'!$F$513:$F$522)*OFFSET('Encargos e Benefícios'!$D$511,1,MATCH($B50,'Encargos e Benefícios'!$E$511:$AB$511,0),10,1)),0)
+_xlfn.IFNA(SUM((BJ$3&gt;='Gastos com Pessoal'!$E$7:$E$506)*(BJ$3&lt;='Gastos com Pessoal'!$F$7:$F$506)*(IF('Gastos com Pessoal'!$G$7:$G$506&lt;=BJ$3,1,0))*OFFSET('Gastos com Pessoal'!$H$6,1,MATCH(1&amp;$B50,'Gastos com Pessoal'!$I$532:$AJ$532&amp;'Gastos com Pessoal'!$I$6:$AJ$6,0),500,1)),0)
+_xlfn.IFNA(SUM((BJ$3&gt;='Gastos com Pessoal'!$E$7:$E$506)*(BJ$3&lt;='Gastos com Pessoal'!$F$7:$F$506)*(IF('Gastos com Pessoal'!$M$7:$M$506&lt;=BJ$3,1,0))*OFFSET('Gastos com Pessoal'!$H$6,1,MATCH(2&amp;$B50,'Gastos com Pessoal'!$I$532:$AJ$532&amp;'Gastos com Pessoal'!$I$6:$AJ$6,0),500,1)),0)
+_xlfn.IFNA(SUM((BJ$3&gt;='Gastos com Pessoal'!$E$7:$E$506)*(BJ$3&lt;='Gastos com Pessoal'!$F$7:$F$506)*(IF('Gastos com Pessoal'!$S$7:$S$506&lt;=BJ$3,1,0))*OFFSET('Gastos com Pessoal'!$H$6,1,MATCH(3&amp;$B50,'Gastos com Pessoal'!$I$532:$AJ$532&amp;'Gastos com Pessoal'!$I$6:$AJ$6,0),500,1)),0)
+_xlfn.IFNA(SUM((BJ$3&gt;='Gastos com Pessoal'!$E$7:$E$506)*(BJ$3&lt;='Gastos com Pessoal'!$F$7:$F$506)*(IF('Gastos com Pessoal'!$Y$7:$Y$506&lt;=BJ$3,1,0))*OFFSET('Gastos com Pessoal'!$H$6,1,MATCH(4&amp;$B50,'Gastos com Pessoal'!$I$532:$AJ$532&amp;'Gastos com Pessoal'!$I$6:$AJ$6,0),500,1)),0)
+_xlfn.IFNA(SUM((BJ$3&gt;='Gastos com Pessoal'!$E$7:$E$506)*(BJ$3&lt;='Gastos com Pessoal'!$F$7:$F$506)*(IF('Gastos com Pessoal'!$AE$7:$AE$506&lt;=BJ$3,1,0))*OFFSET('Gastos com Pessoal'!$H$6,1,MATCH(5&amp;$B50,'Gastos com Pessoal'!$I$532:$AJ$532&amp;'Gastos com Pessoal'!$I$6:$AJ$6,0),500,1)),0)
+_xlfn.IFNA(SUM((BJ$3&gt;='Gastos com Pessoal'!$E$513:$E$522)*(BJ$3&lt;='Gastos com Pessoal'!$F$513:$F$522)*(IF('Gastos com Pessoal'!$G$513:$G$522&lt;=BJ$3,1,0))*OFFSET('Gastos com Pessoal'!$H$512,1,MATCH(1&amp;$B50,'Gastos com Pessoal'!$I$532:$AJ$532&amp;'Gastos com Pessoal'!$I$512:$AJ$512,0),10,1)),0)
+_xlfn.IFNA(SUM((BJ$3&gt;='Gastos com Pessoal'!$E$513:$E$522)*(BJ$3&lt;='Gastos com Pessoal'!$F$513:$F$522)*(IF('Gastos com Pessoal'!$M$513:$M$522&lt;=BJ$3,1,0))*OFFSET('Gastos com Pessoal'!$H$512,1,MATCH(2&amp;$B50,'Gastos com Pessoal'!$I$532:$AJ$532&amp;'Gastos com Pessoal'!$I$512:$AJ$512,0),10,1)),0)
+_xlfn.IFNA(SUM((BJ$3&gt;='Gastos com Pessoal'!$E$513:$E$522)*(BJ$3&lt;='Gastos com Pessoal'!$F$513:$F$522)*(IF('Gastos com Pessoal'!$S$513:$S$522&lt;=BJ$3,1,0))*OFFSET('Gastos com Pessoal'!$H$512,1,MATCH(3&amp;$B50,'Gastos com Pessoal'!$I$532:$AJ$532&amp;'Gastos com Pessoal'!$I$512:$AJ$512,0),10,1)),0)
+_xlfn.IFNA(SUM((BJ$3&gt;='Gastos com Pessoal'!$E$513:$E$522)*(BJ$3&lt;='Gastos com Pessoal'!$F$513:$F$522)*(IF('Gastos com Pessoal'!$Y$513:$Y$522&lt;=BJ$3,1,0))*OFFSET('Gastos com Pessoal'!$H$512,1,MATCH(4&amp;$B50,'Gastos com Pessoal'!$I$532:$AJ$532&amp;'Gastos com Pessoal'!$I$512:$AJ$512,0),10,1)),0)
+_xlfn.IFNA(SUM((BJ$3&gt;='Gastos com Pessoal'!$E$513:$E$522)*(BJ$3&lt;='Gastos com Pessoal'!$F$513:$F$522)*(IF('Gastos com Pessoal'!$AE$513:$AE$522&lt;=BJ$3,1,0))*OFFSET('Gastos com Pessoal'!$H$512,1,MATCH(5&amp;$B50,'Gastos com Pessoal'!$I$532:$AJ$532&amp;'Gastos com Pessoal'!$I$512:$AJ$512,0),10,1)),0)</f>
        <v>0</v>
      </c>
      <c r="BK50" s="71">
        <f t="shared" ca="1" si="20"/>
        <v>15219360</v>
      </c>
      <c r="BL50" s="76">
        <f t="shared" ca="1" si="21"/>
        <v>4.151230237198078E-2</v>
      </c>
    </row>
    <row r="51" spans="1:64" s="49" customFormat="1" ht="23.25" customHeight="1" x14ac:dyDescent="0.2">
      <c r="A51" s="18" t="s">
        <v>175</v>
      </c>
      <c r="B51" s="12" t="s">
        <v>176</v>
      </c>
      <c r="C51" s="32">
        <f t="array" aca="1" ref="C51" ca="1">_xlfn.IFNA(SUM((C$3&gt;='Gastos com Pessoal'!$E$7:$E$506)*(C$3&lt;='Gastos com Pessoal'!$F$7:$F$506)*OFFSET('Encargos e Benefícios'!$D$5,1,MATCH($B51,'Encargos e Benefícios'!$E$5:$AB$5,0),500,1)),0)
+_xlfn.IFNA(SUM((C$3&gt;='Gastos com Pessoal'!$E$513:$E$522)*(C$3&lt;='Gastos com Pessoal'!$F$513:$F$522)*OFFSET('Encargos e Benefícios'!$D$511,1,MATCH($B51,'Encargos e Benefícios'!$E$511:$AB$511,0),10,1)),0)
+_xlfn.IFNA(SUM((C$3&gt;='Gastos com Pessoal'!$E$7:$E$506)*(C$3&lt;='Gastos com Pessoal'!$F$7:$F$506)*(IF('Gastos com Pessoal'!$G$7:$G$506&lt;=C$3,1,0))*OFFSET('Gastos com Pessoal'!$H$6,1,MATCH(1&amp;$B51,'Gastos com Pessoal'!$I$532:$AJ$532&amp;'Gastos com Pessoal'!$I$6:$AJ$6,0),500,1)),0)
+_xlfn.IFNA(SUM((C$3&gt;='Gastos com Pessoal'!$E$7:$E$506)*(C$3&lt;='Gastos com Pessoal'!$F$7:$F$506)*(IF('Gastos com Pessoal'!$M$7:$M$506&lt;=C$3,1,0))*OFFSET('Gastos com Pessoal'!$H$6,1,MATCH(2&amp;$B51,'Gastos com Pessoal'!$I$532:$AJ$532&amp;'Gastos com Pessoal'!$I$6:$AJ$6,0),500,1)),0)
+_xlfn.IFNA(SUM((C$3&gt;='Gastos com Pessoal'!$E$7:$E$506)*(C$3&lt;='Gastos com Pessoal'!$F$7:$F$506)*(IF('Gastos com Pessoal'!$S$7:$S$506&lt;=C$3,1,0))*OFFSET('Gastos com Pessoal'!$H$6,1,MATCH(3&amp;$B51,'Gastos com Pessoal'!$I$532:$AJ$532&amp;'Gastos com Pessoal'!$I$6:$AJ$6,0),500,1)),0)
+_xlfn.IFNA(SUM((C$3&gt;='Gastos com Pessoal'!$E$7:$E$506)*(C$3&lt;='Gastos com Pessoal'!$F$7:$F$506)*(IF('Gastos com Pessoal'!$Y$7:$Y$506&lt;=C$3,1,0))*OFFSET('Gastos com Pessoal'!$H$6,1,MATCH(4&amp;$B51,'Gastos com Pessoal'!$I$532:$AJ$532&amp;'Gastos com Pessoal'!$I$6:$AJ$6,0),500,1)),0)
+_xlfn.IFNA(SUM((C$3&gt;='Gastos com Pessoal'!$E$7:$E$506)*(C$3&lt;='Gastos com Pessoal'!$F$7:$F$506)*(IF('Gastos com Pessoal'!$AE$7:$AE$506&lt;=C$3,1,0))*OFFSET('Gastos com Pessoal'!$H$6,1,MATCH(5&amp;$B51,'Gastos com Pessoal'!$I$532:$AJ$532&amp;'Gastos com Pessoal'!$I$6:$AJ$6,0),500,1)),0)
+_xlfn.IFNA(SUM((C$3&gt;='Gastos com Pessoal'!$E$513:$E$522)*(C$3&lt;='Gastos com Pessoal'!$F$513:$F$522)*(IF('Gastos com Pessoal'!$G$513:$G$522&lt;=C$3,1,0))*OFFSET('Gastos com Pessoal'!$H$512,1,MATCH(1&amp;$B51,'Gastos com Pessoal'!$I$532:$AJ$532&amp;'Gastos com Pessoal'!$I$512:$AJ$512,0),10,1)),0)
+_xlfn.IFNA(SUM((C$3&gt;='Gastos com Pessoal'!$E$513:$E$522)*(C$3&lt;='Gastos com Pessoal'!$F$513:$F$522)*(IF('Gastos com Pessoal'!$M$513:$M$522&lt;=C$3,1,0))*OFFSET('Gastos com Pessoal'!$H$512,1,MATCH(2&amp;$B51,'Gastos com Pessoal'!$I$532:$AJ$532&amp;'Gastos com Pessoal'!$I$512:$AJ$512,0),10,1)),0)
+_xlfn.IFNA(SUM((C$3&gt;='Gastos com Pessoal'!$E$513:$E$522)*(C$3&lt;='Gastos com Pessoal'!$F$513:$F$522)*(IF('Gastos com Pessoal'!$S$513:$S$522&lt;=C$3,1,0))*OFFSET('Gastos com Pessoal'!$H$512,1,MATCH(3&amp;$B51,'Gastos com Pessoal'!$I$532:$AJ$532&amp;'Gastos com Pessoal'!$I$512:$AJ$512,0),10,1)),0)
+_xlfn.IFNA(SUM((C$3&gt;='Gastos com Pessoal'!$E$513:$E$522)*(C$3&lt;='Gastos com Pessoal'!$F$513:$F$522)*(IF('Gastos com Pessoal'!$Y$513:$Y$522&lt;=C$3,1,0))*OFFSET('Gastos com Pessoal'!$H$512,1,MATCH(4&amp;$B51,'Gastos com Pessoal'!$I$532:$AJ$532&amp;'Gastos com Pessoal'!$I$512:$AJ$512,0),10,1)),0)
+_xlfn.IFNA(SUM((C$3&gt;='Gastos com Pessoal'!$E$513:$E$522)*(C$3&lt;='Gastos com Pessoal'!$F$513:$F$522)*(IF('Gastos com Pessoal'!$AE$513:$AE$522&lt;=C$3,1,0))*OFFSET('Gastos com Pessoal'!$H$512,1,MATCH(5&amp;$B51,'Gastos com Pessoal'!$I$532:$AJ$532&amp;'Gastos com Pessoal'!$I$512:$AJ$512,0),10,1)),0)</f>
        <v>11348.399999999996</v>
      </c>
      <c r="D51" s="32">
        <f t="array" aca="1" ref="D51" ca="1">_xlfn.IFNA(SUM((D$3&gt;='Gastos com Pessoal'!$E$7:$E$506)*(D$3&lt;='Gastos com Pessoal'!$F$7:$F$506)*OFFSET('Encargos e Benefícios'!$D$5,1,MATCH($B51,'Encargos e Benefícios'!$E$5:$AB$5,0),500,1)),0)
+_xlfn.IFNA(SUM((D$3&gt;='Gastos com Pessoal'!$E$513:$E$522)*(D$3&lt;='Gastos com Pessoal'!$F$513:$F$522)*OFFSET('Encargos e Benefícios'!$D$511,1,MATCH($B51,'Encargos e Benefícios'!$E$511:$AB$511,0),10,1)),0)
+_xlfn.IFNA(SUM((D$3&gt;='Gastos com Pessoal'!$E$7:$E$506)*(D$3&lt;='Gastos com Pessoal'!$F$7:$F$506)*(IF('Gastos com Pessoal'!$G$7:$G$506&lt;=D$3,1,0))*OFFSET('Gastos com Pessoal'!$H$6,1,MATCH(1&amp;$B51,'Gastos com Pessoal'!$I$532:$AJ$532&amp;'Gastos com Pessoal'!$I$6:$AJ$6,0),500,1)),0)
+_xlfn.IFNA(SUM((D$3&gt;='Gastos com Pessoal'!$E$7:$E$506)*(D$3&lt;='Gastos com Pessoal'!$F$7:$F$506)*(IF('Gastos com Pessoal'!$M$7:$M$506&lt;=D$3,1,0))*OFFSET('Gastos com Pessoal'!$H$6,1,MATCH(2&amp;$B51,'Gastos com Pessoal'!$I$532:$AJ$532&amp;'Gastos com Pessoal'!$I$6:$AJ$6,0),500,1)),0)
+_xlfn.IFNA(SUM((D$3&gt;='Gastos com Pessoal'!$E$7:$E$506)*(D$3&lt;='Gastos com Pessoal'!$F$7:$F$506)*(IF('Gastos com Pessoal'!$S$7:$S$506&lt;=D$3,1,0))*OFFSET('Gastos com Pessoal'!$H$6,1,MATCH(3&amp;$B51,'Gastos com Pessoal'!$I$532:$AJ$532&amp;'Gastos com Pessoal'!$I$6:$AJ$6,0),500,1)),0)
+_xlfn.IFNA(SUM((D$3&gt;='Gastos com Pessoal'!$E$7:$E$506)*(D$3&lt;='Gastos com Pessoal'!$F$7:$F$506)*(IF('Gastos com Pessoal'!$Y$7:$Y$506&lt;=D$3,1,0))*OFFSET('Gastos com Pessoal'!$H$6,1,MATCH(4&amp;$B51,'Gastos com Pessoal'!$I$532:$AJ$532&amp;'Gastos com Pessoal'!$I$6:$AJ$6,0),500,1)),0)
+_xlfn.IFNA(SUM((D$3&gt;='Gastos com Pessoal'!$E$7:$E$506)*(D$3&lt;='Gastos com Pessoal'!$F$7:$F$506)*(IF('Gastos com Pessoal'!$AE$7:$AE$506&lt;=D$3,1,0))*OFFSET('Gastos com Pessoal'!$H$6,1,MATCH(5&amp;$B51,'Gastos com Pessoal'!$I$532:$AJ$532&amp;'Gastos com Pessoal'!$I$6:$AJ$6,0),500,1)),0)
+_xlfn.IFNA(SUM((D$3&gt;='Gastos com Pessoal'!$E$513:$E$522)*(D$3&lt;='Gastos com Pessoal'!$F$513:$F$522)*(IF('Gastos com Pessoal'!$G$513:$G$522&lt;=D$3,1,0))*OFFSET('Gastos com Pessoal'!$H$512,1,MATCH(1&amp;$B51,'Gastos com Pessoal'!$I$532:$AJ$532&amp;'Gastos com Pessoal'!$I$512:$AJ$512,0),10,1)),0)
+_xlfn.IFNA(SUM((D$3&gt;='Gastos com Pessoal'!$E$513:$E$522)*(D$3&lt;='Gastos com Pessoal'!$F$513:$F$522)*(IF('Gastos com Pessoal'!$M$513:$M$522&lt;=D$3,1,0))*OFFSET('Gastos com Pessoal'!$H$512,1,MATCH(2&amp;$B51,'Gastos com Pessoal'!$I$532:$AJ$532&amp;'Gastos com Pessoal'!$I$512:$AJ$512,0),10,1)),0)
+_xlfn.IFNA(SUM((D$3&gt;='Gastos com Pessoal'!$E$513:$E$522)*(D$3&lt;='Gastos com Pessoal'!$F$513:$F$522)*(IF('Gastos com Pessoal'!$S$513:$S$522&lt;=D$3,1,0))*OFFSET('Gastos com Pessoal'!$H$512,1,MATCH(3&amp;$B51,'Gastos com Pessoal'!$I$532:$AJ$532&amp;'Gastos com Pessoal'!$I$512:$AJ$512,0),10,1)),0)
+_xlfn.IFNA(SUM((D$3&gt;='Gastos com Pessoal'!$E$513:$E$522)*(D$3&lt;='Gastos com Pessoal'!$F$513:$F$522)*(IF('Gastos com Pessoal'!$Y$513:$Y$522&lt;=D$3,1,0))*OFFSET('Gastos com Pessoal'!$H$512,1,MATCH(4&amp;$B51,'Gastos com Pessoal'!$I$532:$AJ$532&amp;'Gastos com Pessoal'!$I$512:$AJ$512,0),10,1)),0)
+_xlfn.IFNA(SUM((D$3&gt;='Gastos com Pessoal'!$E$513:$E$522)*(D$3&lt;='Gastos com Pessoal'!$F$513:$F$522)*(IF('Gastos com Pessoal'!$AE$513:$AE$522&lt;=D$3,1,0))*OFFSET('Gastos com Pessoal'!$H$512,1,MATCH(5&amp;$B51,'Gastos com Pessoal'!$I$532:$AJ$532&amp;'Gastos com Pessoal'!$I$512:$AJ$512,0),10,1)),0)</f>
        <v>11348.399999999996</v>
      </c>
      <c r="E51" s="32">
        <f t="array" aca="1" ref="E51" ca="1">_xlfn.IFNA(SUM((E$3&gt;='Gastos com Pessoal'!$E$7:$E$506)*(E$3&lt;='Gastos com Pessoal'!$F$7:$F$506)*OFFSET('Encargos e Benefícios'!$D$5,1,MATCH($B51,'Encargos e Benefícios'!$E$5:$AB$5,0),500,1)),0)
+_xlfn.IFNA(SUM((E$3&gt;='Gastos com Pessoal'!$E$513:$E$522)*(E$3&lt;='Gastos com Pessoal'!$F$513:$F$522)*OFFSET('Encargos e Benefícios'!$D$511,1,MATCH($B51,'Encargos e Benefícios'!$E$511:$AB$511,0),10,1)),0)
+_xlfn.IFNA(SUM((E$3&gt;='Gastos com Pessoal'!$E$7:$E$506)*(E$3&lt;='Gastos com Pessoal'!$F$7:$F$506)*(IF('Gastos com Pessoal'!$G$7:$G$506&lt;=E$3,1,0))*OFFSET('Gastos com Pessoal'!$H$6,1,MATCH(1&amp;$B51,'Gastos com Pessoal'!$I$532:$AJ$532&amp;'Gastos com Pessoal'!$I$6:$AJ$6,0),500,1)),0)
+_xlfn.IFNA(SUM((E$3&gt;='Gastos com Pessoal'!$E$7:$E$506)*(E$3&lt;='Gastos com Pessoal'!$F$7:$F$506)*(IF('Gastos com Pessoal'!$M$7:$M$506&lt;=E$3,1,0))*OFFSET('Gastos com Pessoal'!$H$6,1,MATCH(2&amp;$B51,'Gastos com Pessoal'!$I$532:$AJ$532&amp;'Gastos com Pessoal'!$I$6:$AJ$6,0),500,1)),0)
+_xlfn.IFNA(SUM((E$3&gt;='Gastos com Pessoal'!$E$7:$E$506)*(E$3&lt;='Gastos com Pessoal'!$F$7:$F$506)*(IF('Gastos com Pessoal'!$S$7:$S$506&lt;=E$3,1,0))*OFFSET('Gastos com Pessoal'!$H$6,1,MATCH(3&amp;$B51,'Gastos com Pessoal'!$I$532:$AJ$532&amp;'Gastos com Pessoal'!$I$6:$AJ$6,0),500,1)),0)
+_xlfn.IFNA(SUM((E$3&gt;='Gastos com Pessoal'!$E$7:$E$506)*(E$3&lt;='Gastos com Pessoal'!$F$7:$F$506)*(IF('Gastos com Pessoal'!$Y$7:$Y$506&lt;=E$3,1,0))*OFFSET('Gastos com Pessoal'!$H$6,1,MATCH(4&amp;$B51,'Gastos com Pessoal'!$I$532:$AJ$532&amp;'Gastos com Pessoal'!$I$6:$AJ$6,0),500,1)),0)
+_xlfn.IFNA(SUM((E$3&gt;='Gastos com Pessoal'!$E$7:$E$506)*(E$3&lt;='Gastos com Pessoal'!$F$7:$F$506)*(IF('Gastos com Pessoal'!$AE$7:$AE$506&lt;=E$3,1,0))*OFFSET('Gastos com Pessoal'!$H$6,1,MATCH(5&amp;$B51,'Gastos com Pessoal'!$I$532:$AJ$532&amp;'Gastos com Pessoal'!$I$6:$AJ$6,0),500,1)),0)
+_xlfn.IFNA(SUM((E$3&gt;='Gastos com Pessoal'!$E$513:$E$522)*(E$3&lt;='Gastos com Pessoal'!$F$513:$F$522)*(IF('Gastos com Pessoal'!$G$513:$G$522&lt;=E$3,1,0))*OFFSET('Gastos com Pessoal'!$H$512,1,MATCH(1&amp;$B51,'Gastos com Pessoal'!$I$532:$AJ$532&amp;'Gastos com Pessoal'!$I$512:$AJ$512,0),10,1)),0)
+_xlfn.IFNA(SUM((E$3&gt;='Gastos com Pessoal'!$E$513:$E$522)*(E$3&lt;='Gastos com Pessoal'!$F$513:$F$522)*(IF('Gastos com Pessoal'!$M$513:$M$522&lt;=E$3,1,0))*OFFSET('Gastos com Pessoal'!$H$512,1,MATCH(2&amp;$B51,'Gastos com Pessoal'!$I$532:$AJ$532&amp;'Gastos com Pessoal'!$I$512:$AJ$512,0),10,1)),0)
+_xlfn.IFNA(SUM((E$3&gt;='Gastos com Pessoal'!$E$513:$E$522)*(E$3&lt;='Gastos com Pessoal'!$F$513:$F$522)*(IF('Gastos com Pessoal'!$S$513:$S$522&lt;=E$3,1,0))*OFFSET('Gastos com Pessoal'!$H$512,1,MATCH(3&amp;$B51,'Gastos com Pessoal'!$I$532:$AJ$532&amp;'Gastos com Pessoal'!$I$512:$AJ$512,0),10,1)),0)
+_xlfn.IFNA(SUM((E$3&gt;='Gastos com Pessoal'!$E$513:$E$522)*(E$3&lt;='Gastos com Pessoal'!$F$513:$F$522)*(IF('Gastos com Pessoal'!$Y$513:$Y$522&lt;=E$3,1,0))*OFFSET('Gastos com Pessoal'!$H$512,1,MATCH(4&amp;$B51,'Gastos com Pessoal'!$I$532:$AJ$532&amp;'Gastos com Pessoal'!$I$512:$AJ$512,0),10,1)),0)
+_xlfn.IFNA(SUM((E$3&gt;='Gastos com Pessoal'!$E$513:$E$522)*(E$3&lt;='Gastos com Pessoal'!$F$513:$F$522)*(IF('Gastos com Pessoal'!$AE$513:$AE$522&lt;=E$3,1,0))*OFFSET('Gastos com Pessoal'!$H$512,1,MATCH(5&amp;$B51,'Gastos com Pessoal'!$I$532:$AJ$532&amp;'Gastos com Pessoal'!$I$512:$AJ$512,0),10,1)),0)</f>
        <v>11348.399999999996</v>
      </c>
      <c r="F51" s="32">
        <f t="array" aca="1" ref="F51" ca="1">_xlfn.IFNA(SUM((F$3&gt;='Gastos com Pessoal'!$E$7:$E$506)*(F$3&lt;='Gastos com Pessoal'!$F$7:$F$506)*OFFSET('Encargos e Benefícios'!$D$5,1,MATCH($B51,'Encargos e Benefícios'!$E$5:$AB$5,0),500,1)),0)
+_xlfn.IFNA(SUM((F$3&gt;='Gastos com Pessoal'!$E$513:$E$522)*(F$3&lt;='Gastos com Pessoal'!$F$513:$F$522)*OFFSET('Encargos e Benefícios'!$D$511,1,MATCH($B51,'Encargos e Benefícios'!$E$511:$AB$511,0),10,1)),0)
+_xlfn.IFNA(SUM((F$3&gt;='Gastos com Pessoal'!$E$7:$E$506)*(F$3&lt;='Gastos com Pessoal'!$F$7:$F$506)*(IF('Gastos com Pessoal'!$G$7:$G$506&lt;=F$3,1,0))*OFFSET('Gastos com Pessoal'!$H$6,1,MATCH(1&amp;$B51,'Gastos com Pessoal'!$I$532:$AJ$532&amp;'Gastos com Pessoal'!$I$6:$AJ$6,0),500,1)),0)
+_xlfn.IFNA(SUM((F$3&gt;='Gastos com Pessoal'!$E$7:$E$506)*(F$3&lt;='Gastos com Pessoal'!$F$7:$F$506)*(IF('Gastos com Pessoal'!$M$7:$M$506&lt;=F$3,1,0))*OFFSET('Gastos com Pessoal'!$H$6,1,MATCH(2&amp;$B51,'Gastos com Pessoal'!$I$532:$AJ$532&amp;'Gastos com Pessoal'!$I$6:$AJ$6,0),500,1)),0)
+_xlfn.IFNA(SUM((F$3&gt;='Gastos com Pessoal'!$E$7:$E$506)*(F$3&lt;='Gastos com Pessoal'!$F$7:$F$506)*(IF('Gastos com Pessoal'!$S$7:$S$506&lt;=F$3,1,0))*OFFSET('Gastos com Pessoal'!$H$6,1,MATCH(3&amp;$B51,'Gastos com Pessoal'!$I$532:$AJ$532&amp;'Gastos com Pessoal'!$I$6:$AJ$6,0),500,1)),0)
+_xlfn.IFNA(SUM((F$3&gt;='Gastos com Pessoal'!$E$7:$E$506)*(F$3&lt;='Gastos com Pessoal'!$F$7:$F$506)*(IF('Gastos com Pessoal'!$Y$7:$Y$506&lt;=F$3,1,0))*OFFSET('Gastos com Pessoal'!$H$6,1,MATCH(4&amp;$B51,'Gastos com Pessoal'!$I$532:$AJ$532&amp;'Gastos com Pessoal'!$I$6:$AJ$6,0),500,1)),0)
+_xlfn.IFNA(SUM((F$3&gt;='Gastos com Pessoal'!$E$7:$E$506)*(F$3&lt;='Gastos com Pessoal'!$F$7:$F$506)*(IF('Gastos com Pessoal'!$AE$7:$AE$506&lt;=F$3,1,0))*OFFSET('Gastos com Pessoal'!$H$6,1,MATCH(5&amp;$B51,'Gastos com Pessoal'!$I$532:$AJ$532&amp;'Gastos com Pessoal'!$I$6:$AJ$6,0),500,1)),0)
+_xlfn.IFNA(SUM((F$3&gt;='Gastos com Pessoal'!$E$513:$E$522)*(F$3&lt;='Gastos com Pessoal'!$F$513:$F$522)*(IF('Gastos com Pessoal'!$G$513:$G$522&lt;=F$3,1,0))*OFFSET('Gastos com Pessoal'!$H$512,1,MATCH(1&amp;$B51,'Gastos com Pessoal'!$I$532:$AJ$532&amp;'Gastos com Pessoal'!$I$512:$AJ$512,0),10,1)),0)
+_xlfn.IFNA(SUM((F$3&gt;='Gastos com Pessoal'!$E$513:$E$522)*(F$3&lt;='Gastos com Pessoal'!$F$513:$F$522)*(IF('Gastos com Pessoal'!$M$513:$M$522&lt;=F$3,1,0))*OFFSET('Gastos com Pessoal'!$H$512,1,MATCH(2&amp;$B51,'Gastos com Pessoal'!$I$532:$AJ$532&amp;'Gastos com Pessoal'!$I$512:$AJ$512,0),10,1)),0)
+_xlfn.IFNA(SUM((F$3&gt;='Gastos com Pessoal'!$E$513:$E$522)*(F$3&lt;='Gastos com Pessoal'!$F$513:$F$522)*(IF('Gastos com Pessoal'!$S$513:$S$522&lt;=F$3,1,0))*OFFSET('Gastos com Pessoal'!$H$512,1,MATCH(3&amp;$B51,'Gastos com Pessoal'!$I$532:$AJ$532&amp;'Gastos com Pessoal'!$I$512:$AJ$512,0),10,1)),0)
+_xlfn.IFNA(SUM((F$3&gt;='Gastos com Pessoal'!$E$513:$E$522)*(F$3&lt;='Gastos com Pessoal'!$F$513:$F$522)*(IF('Gastos com Pessoal'!$Y$513:$Y$522&lt;=F$3,1,0))*OFFSET('Gastos com Pessoal'!$H$512,1,MATCH(4&amp;$B51,'Gastos com Pessoal'!$I$532:$AJ$532&amp;'Gastos com Pessoal'!$I$512:$AJ$512,0),10,1)),0)
+_xlfn.IFNA(SUM((F$3&gt;='Gastos com Pessoal'!$E$513:$E$522)*(F$3&lt;='Gastos com Pessoal'!$F$513:$F$522)*(IF('Gastos com Pessoal'!$AE$513:$AE$522&lt;=F$3,1,0))*OFFSET('Gastos com Pessoal'!$H$512,1,MATCH(5&amp;$B51,'Gastos com Pessoal'!$I$532:$AJ$532&amp;'Gastos com Pessoal'!$I$512:$AJ$512,0),10,1)),0)</f>
        <v>11348.399999999996</v>
      </c>
      <c r="G51" s="32">
        <f t="array" aca="1" ref="G51" ca="1">_xlfn.IFNA(SUM((G$3&gt;='Gastos com Pessoal'!$E$7:$E$506)*(G$3&lt;='Gastos com Pessoal'!$F$7:$F$506)*OFFSET('Encargos e Benefícios'!$D$5,1,MATCH($B51,'Encargos e Benefícios'!$E$5:$AB$5,0),500,1)),0)
+_xlfn.IFNA(SUM((G$3&gt;='Gastos com Pessoal'!$E$513:$E$522)*(G$3&lt;='Gastos com Pessoal'!$F$513:$F$522)*OFFSET('Encargos e Benefícios'!$D$511,1,MATCH($B51,'Encargos e Benefícios'!$E$511:$AB$511,0),10,1)),0)
+_xlfn.IFNA(SUM((G$3&gt;='Gastos com Pessoal'!$E$7:$E$506)*(G$3&lt;='Gastos com Pessoal'!$F$7:$F$506)*(IF('Gastos com Pessoal'!$G$7:$G$506&lt;=G$3,1,0))*OFFSET('Gastos com Pessoal'!$H$6,1,MATCH(1&amp;$B51,'Gastos com Pessoal'!$I$532:$AJ$532&amp;'Gastos com Pessoal'!$I$6:$AJ$6,0),500,1)),0)
+_xlfn.IFNA(SUM((G$3&gt;='Gastos com Pessoal'!$E$7:$E$506)*(G$3&lt;='Gastos com Pessoal'!$F$7:$F$506)*(IF('Gastos com Pessoal'!$M$7:$M$506&lt;=G$3,1,0))*OFFSET('Gastos com Pessoal'!$H$6,1,MATCH(2&amp;$B51,'Gastos com Pessoal'!$I$532:$AJ$532&amp;'Gastos com Pessoal'!$I$6:$AJ$6,0),500,1)),0)
+_xlfn.IFNA(SUM((G$3&gt;='Gastos com Pessoal'!$E$7:$E$506)*(G$3&lt;='Gastos com Pessoal'!$F$7:$F$506)*(IF('Gastos com Pessoal'!$S$7:$S$506&lt;=G$3,1,0))*OFFSET('Gastos com Pessoal'!$H$6,1,MATCH(3&amp;$B51,'Gastos com Pessoal'!$I$532:$AJ$532&amp;'Gastos com Pessoal'!$I$6:$AJ$6,0),500,1)),0)
+_xlfn.IFNA(SUM((G$3&gt;='Gastos com Pessoal'!$E$7:$E$506)*(G$3&lt;='Gastos com Pessoal'!$F$7:$F$506)*(IF('Gastos com Pessoal'!$Y$7:$Y$506&lt;=G$3,1,0))*OFFSET('Gastos com Pessoal'!$H$6,1,MATCH(4&amp;$B51,'Gastos com Pessoal'!$I$532:$AJ$532&amp;'Gastos com Pessoal'!$I$6:$AJ$6,0),500,1)),0)
+_xlfn.IFNA(SUM((G$3&gt;='Gastos com Pessoal'!$E$7:$E$506)*(G$3&lt;='Gastos com Pessoal'!$F$7:$F$506)*(IF('Gastos com Pessoal'!$AE$7:$AE$506&lt;=G$3,1,0))*OFFSET('Gastos com Pessoal'!$H$6,1,MATCH(5&amp;$B51,'Gastos com Pessoal'!$I$532:$AJ$532&amp;'Gastos com Pessoal'!$I$6:$AJ$6,0),500,1)),0)
+_xlfn.IFNA(SUM((G$3&gt;='Gastos com Pessoal'!$E$513:$E$522)*(G$3&lt;='Gastos com Pessoal'!$F$513:$F$522)*(IF('Gastos com Pessoal'!$G$513:$G$522&lt;=G$3,1,0))*OFFSET('Gastos com Pessoal'!$H$512,1,MATCH(1&amp;$B51,'Gastos com Pessoal'!$I$532:$AJ$532&amp;'Gastos com Pessoal'!$I$512:$AJ$512,0),10,1)),0)
+_xlfn.IFNA(SUM((G$3&gt;='Gastos com Pessoal'!$E$513:$E$522)*(G$3&lt;='Gastos com Pessoal'!$F$513:$F$522)*(IF('Gastos com Pessoal'!$M$513:$M$522&lt;=G$3,1,0))*OFFSET('Gastos com Pessoal'!$H$512,1,MATCH(2&amp;$B51,'Gastos com Pessoal'!$I$532:$AJ$532&amp;'Gastos com Pessoal'!$I$512:$AJ$512,0),10,1)),0)
+_xlfn.IFNA(SUM((G$3&gt;='Gastos com Pessoal'!$E$513:$E$522)*(G$3&lt;='Gastos com Pessoal'!$F$513:$F$522)*(IF('Gastos com Pessoal'!$S$513:$S$522&lt;=G$3,1,0))*OFFSET('Gastos com Pessoal'!$H$512,1,MATCH(3&amp;$B51,'Gastos com Pessoal'!$I$532:$AJ$532&amp;'Gastos com Pessoal'!$I$512:$AJ$512,0),10,1)),0)
+_xlfn.IFNA(SUM((G$3&gt;='Gastos com Pessoal'!$E$513:$E$522)*(G$3&lt;='Gastos com Pessoal'!$F$513:$F$522)*(IF('Gastos com Pessoal'!$Y$513:$Y$522&lt;=G$3,1,0))*OFFSET('Gastos com Pessoal'!$H$512,1,MATCH(4&amp;$B51,'Gastos com Pessoal'!$I$532:$AJ$532&amp;'Gastos com Pessoal'!$I$512:$AJ$512,0),10,1)),0)
+_xlfn.IFNA(SUM((G$3&gt;='Gastos com Pessoal'!$E$513:$E$522)*(G$3&lt;='Gastos com Pessoal'!$F$513:$F$522)*(IF('Gastos com Pessoal'!$AE$513:$AE$522&lt;=G$3,1,0))*OFFSET('Gastos com Pessoal'!$H$512,1,MATCH(5&amp;$B51,'Gastos com Pessoal'!$I$532:$AJ$532&amp;'Gastos com Pessoal'!$I$512:$AJ$512,0),10,1)),0)</f>
        <v>11348.399999999996</v>
      </c>
      <c r="H51" s="32">
        <f t="array" aca="1" ref="H51" ca="1">_xlfn.IFNA(SUM((H$3&gt;='Gastos com Pessoal'!$E$7:$E$506)*(H$3&lt;='Gastos com Pessoal'!$F$7:$F$506)*OFFSET('Encargos e Benefícios'!$D$5,1,MATCH($B51,'Encargos e Benefícios'!$E$5:$AB$5,0),500,1)),0)
+_xlfn.IFNA(SUM((H$3&gt;='Gastos com Pessoal'!$E$513:$E$522)*(H$3&lt;='Gastos com Pessoal'!$F$513:$F$522)*OFFSET('Encargos e Benefícios'!$D$511,1,MATCH($B51,'Encargos e Benefícios'!$E$511:$AB$511,0),10,1)),0)
+_xlfn.IFNA(SUM((H$3&gt;='Gastos com Pessoal'!$E$7:$E$506)*(H$3&lt;='Gastos com Pessoal'!$F$7:$F$506)*(IF('Gastos com Pessoal'!$G$7:$G$506&lt;=H$3,1,0))*OFFSET('Gastos com Pessoal'!$H$6,1,MATCH(1&amp;$B51,'Gastos com Pessoal'!$I$532:$AJ$532&amp;'Gastos com Pessoal'!$I$6:$AJ$6,0),500,1)),0)
+_xlfn.IFNA(SUM((H$3&gt;='Gastos com Pessoal'!$E$7:$E$506)*(H$3&lt;='Gastos com Pessoal'!$F$7:$F$506)*(IF('Gastos com Pessoal'!$M$7:$M$506&lt;=H$3,1,0))*OFFSET('Gastos com Pessoal'!$H$6,1,MATCH(2&amp;$B51,'Gastos com Pessoal'!$I$532:$AJ$532&amp;'Gastos com Pessoal'!$I$6:$AJ$6,0),500,1)),0)
+_xlfn.IFNA(SUM((H$3&gt;='Gastos com Pessoal'!$E$7:$E$506)*(H$3&lt;='Gastos com Pessoal'!$F$7:$F$506)*(IF('Gastos com Pessoal'!$S$7:$S$506&lt;=H$3,1,0))*OFFSET('Gastos com Pessoal'!$H$6,1,MATCH(3&amp;$B51,'Gastos com Pessoal'!$I$532:$AJ$532&amp;'Gastos com Pessoal'!$I$6:$AJ$6,0),500,1)),0)
+_xlfn.IFNA(SUM((H$3&gt;='Gastos com Pessoal'!$E$7:$E$506)*(H$3&lt;='Gastos com Pessoal'!$F$7:$F$506)*(IF('Gastos com Pessoal'!$Y$7:$Y$506&lt;=H$3,1,0))*OFFSET('Gastos com Pessoal'!$H$6,1,MATCH(4&amp;$B51,'Gastos com Pessoal'!$I$532:$AJ$532&amp;'Gastos com Pessoal'!$I$6:$AJ$6,0),500,1)),0)
+_xlfn.IFNA(SUM((H$3&gt;='Gastos com Pessoal'!$E$7:$E$506)*(H$3&lt;='Gastos com Pessoal'!$F$7:$F$506)*(IF('Gastos com Pessoal'!$AE$7:$AE$506&lt;=H$3,1,0))*OFFSET('Gastos com Pessoal'!$H$6,1,MATCH(5&amp;$B51,'Gastos com Pessoal'!$I$532:$AJ$532&amp;'Gastos com Pessoal'!$I$6:$AJ$6,0),500,1)),0)
+_xlfn.IFNA(SUM((H$3&gt;='Gastos com Pessoal'!$E$513:$E$522)*(H$3&lt;='Gastos com Pessoal'!$F$513:$F$522)*(IF('Gastos com Pessoal'!$G$513:$G$522&lt;=H$3,1,0))*OFFSET('Gastos com Pessoal'!$H$512,1,MATCH(1&amp;$B51,'Gastos com Pessoal'!$I$532:$AJ$532&amp;'Gastos com Pessoal'!$I$512:$AJ$512,0),10,1)),0)
+_xlfn.IFNA(SUM((H$3&gt;='Gastos com Pessoal'!$E$513:$E$522)*(H$3&lt;='Gastos com Pessoal'!$F$513:$F$522)*(IF('Gastos com Pessoal'!$M$513:$M$522&lt;=H$3,1,0))*OFFSET('Gastos com Pessoal'!$H$512,1,MATCH(2&amp;$B51,'Gastos com Pessoal'!$I$532:$AJ$532&amp;'Gastos com Pessoal'!$I$512:$AJ$512,0),10,1)),0)
+_xlfn.IFNA(SUM((H$3&gt;='Gastos com Pessoal'!$E$513:$E$522)*(H$3&lt;='Gastos com Pessoal'!$F$513:$F$522)*(IF('Gastos com Pessoal'!$S$513:$S$522&lt;=H$3,1,0))*OFFSET('Gastos com Pessoal'!$H$512,1,MATCH(3&amp;$B51,'Gastos com Pessoal'!$I$532:$AJ$532&amp;'Gastos com Pessoal'!$I$512:$AJ$512,0),10,1)),0)
+_xlfn.IFNA(SUM((H$3&gt;='Gastos com Pessoal'!$E$513:$E$522)*(H$3&lt;='Gastos com Pessoal'!$F$513:$F$522)*(IF('Gastos com Pessoal'!$Y$513:$Y$522&lt;=H$3,1,0))*OFFSET('Gastos com Pessoal'!$H$512,1,MATCH(4&amp;$B51,'Gastos com Pessoal'!$I$532:$AJ$532&amp;'Gastos com Pessoal'!$I$512:$AJ$512,0),10,1)),0)
+_xlfn.IFNA(SUM((H$3&gt;='Gastos com Pessoal'!$E$513:$E$522)*(H$3&lt;='Gastos com Pessoal'!$F$513:$F$522)*(IF('Gastos com Pessoal'!$AE$513:$AE$522&lt;=H$3,1,0))*OFFSET('Gastos com Pessoal'!$H$512,1,MATCH(5&amp;$B51,'Gastos com Pessoal'!$I$532:$AJ$532&amp;'Gastos com Pessoal'!$I$512:$AJ$512,0),10,1)),0)</f>
        <v>11348.399999999996</v>
      </c>
      <c r="I51" s="32">
        <f t="array" aca="1" ref="I51" ca="1">_xlfn.IFNA(SUM((I$3&gt;='Gastos com Pessoal'!$E$7:$E$506)*(I$3&lt;='Gastos com Pessoal'!$F$7:$F$506)*OFFSET('Encargos e Benefícios'!$D$5,1,MATCH($B51,'Encargos e Benefícios'!$E$5:$AB$5,0),500,1)),0)
+_xlfn.IFNA(SUM((I$3&gt;='Gastos com Pessoal'!$E$513:$E$522)*(I$3&lt;='Gastos com Pessoal'!$F$513:$F$522)*OFFSET('Encargos e Benefícios'!$D$511,1,MATCH($B51,'Encargos e Benefícios'!$E$511:$AB$511,0),10,1)),0)
+_xlfn.IFNA(SUM((I$3&gt;='Gastos com Pessoal'!$E$7:$E$506)*(I$3&lt;='Gastos com Pessoal'!$F$7:$F$506)*(IF('Gastos com Pessoal'!$G$7:$G$506&lt;=I$3,1,0))*OFFSET('Gastos com Pessoal'!$H$6,1,MATCH(1&amp;$B51,'Gastos com Pessoal'!$I$532:$AJ$532&amp;'Gastos com Pessoal'!$I$6:$AJ$6,0),500,1)),0)
+_xlfn.IFNA(SUM((I$3&gt;='Gastos com Pessoal'!$E$7:$E$506)*(I$3&lt;='Gastos com Pessoal'!$F$7:$F$506)*(IF('Gastos com Pessoal'!$M$7:$M$506&lt;=I$3,1,0))*OFFSET('Gastos com Pessoal'!$H$6,1,MATCH(2&amp;$B51,'Gastos com Pessoal'!$I$532:$AJ$532&amp;'Gastos com Pessoal'!$I$6:$AJ$6,0),500,1)),0)
+_xlfn.IFNA(SUM((I$3&gt;='Gastos com Pessoal'!$E$7:$E$506)*(I$3&lt;='Gastos com Pessoal'!$F$7:$F$506)*(IF('Gastos com Pessoal'!$S$7:$S$506&lt;=I$3,1,0))*OFFSET('Gastos com Pessoal'!$H$6,1,MATCH(3&amp;$B51,'Gastos com Pessoal'!$I$532:$AJ$532&amp;'Gastos com Pessoal'!$I$6:$AJ$6,0),500,1)),0)
+_xlfn.IFNA(SUM((I$3&gt;='Gastos com Pessoal'!$E$7:$E$506)*(I$3&lt;='Gastos com Pessoal'!$F$7:$F$506)*(IF('Gastos com Pessoal'!$Y$7:$Y$506&lt;=I$3,1,0))*OFFSET('Gastos com Pessoal'!$H$6,1,MATCH(4&amp;$B51,'Gastos com Pessoal'!$I$532:$AJ$532&amp;'Gastos com Pessoal'!$I$6:$AJ$6,0),500,1)),0)
+_xlfn.IFNA(SUM((I$3&gt;='Gastos com Pessoal'!$E$7:$E$506)*(I$3&lt;='Gastos com Pessoal'!$F$7:$F$506)*(IF('Gastos com Pessoal'!$AE$7:$AE$506&lt;=I$3,1,0))*OFFSET('Gastos com Pessoal'!$H$6,1,MATCH(5&amp;$B51,'Gastos com Pessoal'!$I$532:$AJ$532&amp;'Gastos com Pessoal'!$I$6:$AJ$6,0),500,1)),0)
+_xlfn.IFNA(SUM((I$3&gt;='Gastos com Pessoal'!$E$513:$E$522)*(I$3&lt;='Gastos com Pessoal'!$F$513:$F$522)*(IF('Gastos com Pessoal'!$G$513:$G$522&lt;=I$3,1,0))*OFFSET('Gastos com Pessoal'!$H$512,1,MATCH(1&amp;$B51,'Gastos com Pessoal'!$I$532:$AJ$532&amp;'Gastos com Pessoal'!$I$512:$AJ$512,0),10,1)),0)
+_xlfn.IFNA(SUM((I$3&gt;='Gastos com Pessoal'!$E$513:$E$522)*(I$3&lt;='Gastos com Pessoal'!$F$513:$F$522)*(IF('Gastos com Pessoal'!$M$513:$M$522&lt;=I$3,1,0))*OFFSET('Gastos com Pessoal'!$H$512,1,MATCH(2&amp;$B51,'Gastos com Pessoal'!$I$532:$AJ$532&amp;'Gastos com Pessoal'!$I$512:$AJ$512,0),10,1)),0)
+_xlfn.IFNA(SUM((I$3&gt;='Gastos com Pessoal'!$E$513:$E$522)*(I$3&lt;='Gastos com Pessoal'!$F$513:$F$522)*(IF('Gastos com Pessoal'!$S$513:$S$522&lt;=I$3,1,0))*OFFSET('Gastos com Pessoal'!$H$512,1,MATCH(3&amp;$B51,'Gastos com Pessoal'!$I$532:$AJ$532&amp;'Gastos com Pessoal'!$I$512:$AJ$512,0),10,1)),0)
+_xlfn.IFNA(SUM((I$3&gt;='Gastos com Pessoal'!$E$513:$E$522)*(I$3&lt;='Gastos com Pessoal'!$F$513:$F$522)*(IF('Gastos com Pessoal'!$Y$513:$Y$522&lt;=I$3,1,0))*OFFSET('Gastos com Pessoal'!$H$512,1,MATCH(4&amp;$B51,'Gastos com Pessoal'!$I$532:$AJ$532&amp;'Gastos com Pessoal'!$I$512:$AJ$512,0),10,1)),0)
+_xlfn.IFNA(SUM((I$3&gt;='Gastos com Pessoal'!$E$513:$E$522)*(I$3&lt;='Gastos com Pessoal'!$F$513:$F$522)*(IF('Gastos com Pessoal'!$AE$513:$AE$522&lt;=I$3,1,0))*OFFSET('Gastos com Pessoal'!$H$512,1,MATCH(5&amp;$B51,'Gastos com Pessoal'!$I$532:$AJ$532&amp;'Gastos com Pessoal'!$I$512:$AJ$512,0),10,1)),0)</f>
        <v>11348.399999999996</v>
      </c>
      <c r="J51" s="32">
        <f t="array" aca="1" ref="J51" ca="1">_xlfn.IFNA(SUM((J$3&gt;='Gastos com Pessoal'!$E$7:$E$506)*(J$3&lt;='Gastos com Pessoal'!$F$7:$F$506)*OFFSET('Encargos e Benefícios'!$D$5,1,MATCH($B51,'Encargos e Benefícios'!$E$5:$AB$5,0),500,1)),0)
+_xlfn.IFNA(SUM((J$3&gt;='Gastos com Pessoal'!$E$513:$E$522)*(J$3&lt;='Gastos com Pessoal'!$F$513:$F$522)*OFFSET('Encargos e Benefícios'!$D$511,1,MATCH($B51,'Encargos e Benefícios'!$E$511:$AB$511,0),10,1)),0)
+_xlfn.IFNA(SUM((J$3&gt;='Gastos com Pessoal'!$E$7:$E$506)*(J$3&lt;='Gastos com Pessoal'!$F$7:$F$506)*(IF('Gastos com Pessoal'!$G$7:$G$506&lt;=J$3,1,0))*OFFSET('Gastos com Pessoal'!$H$6,1,MATCH(1&amp;$B51,'Gastos com Pessoal'!$I$532:$AJ$532&amp;'Gastos com Pessoal'!$I$6:$AJ$6,0),500,1)),0)
+_xlfn.IFNA(SUM((J$3&gt;='Gastos com Pessoal'!$E$7:$E$506)*(J$3&lt;='Gastos com Pessoal'!$F$7:$F$506)*(IF('Gastos com Pessoal'!$M$7:$M$506&lt;=J$3,1,0))*OFFSET('Gastos com Pessoal'!$H$6,1,MATCH(2&amp;$B51,'Gastos com Pessoal'!$I$532:$AJ$532&amp;'Gastos com Pessoal'!$I$6:$AJ$6,0),500,1)),0)
+_xlfn.IFNA(SUM((J$3&gt;='Gastos com Pessoal'!$E$7:$E$506)*(J$3&lt;='Gastos com Pessoal'!$F$7:$F$506)*(IF('Gastos com Pessoal'!$S$7:$S$506&lt;=J$3,1,0))*OFFSET('Gastos com Pessoal'!$H$6,1,MATCH(3&amp;$B51,'Gastos com Pessoal'!$I$532:$AJ$532&amp;'Gastos com Pessoal'!$I$6:$AJ$6,0),500,1)),0)
+_xlfn.IFNA(SUM((J$3&gt;='Gastos com Pessoal'!$E$7:$E$506)*(J$3&lt;='Gastos com Pessoal'!$F$7:$F$506)*(IF('Gastos com Pessoal'!$Y$7:$Y$506&lt;=J$3,1,0))*OFFSET('Gastos com Pessoal'!$H$6,1,MATCH(4&amp;$B51,'Gastos com Pessoal'!$I$532:$AJ$532&amp;'Gastos com Pessoal'!$I$6:$AJ$6,0),500,1)),0)
+_xlfn.IFNA(SUM((J$3&gt;='Gastos com Pessoal'!$E$7:$E$506)*(J$3&lt;='Gastos com Pessoal'!$F$7:$F$506)*(IF('Gastos com Pessoal'!$AE$7:$AE$506&lt;=J$3,1,0))*OFFSET('Gastos com Pessoal'!$H$6,1,MATCH(5&amp;$B51,'Gastos com Pessoal'!$I$532:$AJ$532&amp;'Gastos com Pessoal'!$I$6:$AJ$6,0),500,1)),0)
+_xlfn.IFNA(SUM((J$3&gt;='Gastos com Pessoal'!$E$513:$E$522)*(J$3&lt;='Gastos com Pessoal'!$F$513:$F$522)*(IF('Gastos com Pessoal'!$G$513:$G$522&lt;=J$3,1,0))*OFFSET('Gastos com Pessoal'!$H$512,1,MATCH(1&amp;$B51,'Gastos com Pessoal'!$I$532:$AJ$532&amp;'Gastos com Pessoal'!$I$512:$AJ$512,0),10,1)),0)
+_xlfn.IFNA(SUM((J$3&gt;='Gastos com Pessoal'!$E$513:$E$522)*(J$3&lt;='Gastos com Pessoal'!$F$513:$F$522)*(IF('Gastos com Pessoal'!$M$513:$M$522&lt;=J$3,1,0))*OFFSET('Gastos com Pessoal'!$H$512,1,MATCH(2&amp;$B51,'Gastos com Pessoal'!$I$532:$AJ$532&amp;'Gastos com Pessoal'!$I$512:$AJ$512,0),10,1)),0)
+_xlfn.IFNA(SUM((J$3&gt;='Gastos com Pessoal'!$E$513:$E$522)*(J$3&lt;='Gastos com Pessoal'!$F$513:$F$522)*(IF('Gastos com Pessoal'!$S$513:$S$522&lt;=J$3,1,0))*OFFSET('Gastos com Pessoal'!$H$512,1,MATCH(3&amp;$B51,'Gastos com Pessoal'!$I$532:$AJ$532&amp;'Gastos com Pessoal'!$I$512:$AJ$512,0),10,1)),0)
+_xlfn.IFNA(SUM((J$3&gt;='Gastos com Pessoal'!$E$513:$E$522)*(J$3&lt;='Gastos com Pessoal'!$F$513:$F$522)*(IF('Gastos com Pessoal'!$Y$513:$Y$522&lt;=J$3,1,0))*OFFSET('Gastos com Pessoal'!$H$512,1,MATCH(4&amp;$B51,'Gastos com Pessoal'!$I$532:$AJ$532&amp;'Gastos com Pessoal'!$I$512:$AJ$512,0),10,1)),0)
+_xlfn.IFNA(SUM((J$3&gt;='Gastos com Pessoal'!$E$513:$E$522)*(J$3&lt;='Gastos com Pessoal'!$F$513:$F$522)*(IF('Gastos com Pessoal'!$AE$513:$AE$522&lt;=J$3,1,0))*OFFSET('Gastos com Pessoal'!$H$512,1,MATCH(5&amp;$B51,'Gastos com Pessoal'!$I$532:$AJ$532&amp;'Gastos com Pessoal'!$I$512:$AJ$512,0),10,1)),0)</f>
        <v>11348.399999999996</v>
      </c>
      <c r="K51" s="32">
        <f t="array" aca="1" ref="K51" ca="1">_xlfn.IFNA(SUM((K$3&gt;='Gastos com Pessoal'!$E$7:$E$506)*(K$3&lt;='Gastos com Pessoal'!$F$7:$F$506)*OFFSET('Encargos e Benefícios'!$D$5,1,MATCH($B51,'Encargos e Benefícios'!$E$5:$AB$5,0),500,1)),0)
+_xlfn.IFNA(SUM((K$3&gt;='Gastos com Pessoal'!$E$513:$E$522)*(K$3&lt;='Gastos com Pessoal'!$F$513:$F$522)*OFFSET('Encargos e Benefícios'!$D$511,1,MATCH($B51,'Encargos e Benefícios'!$E$511:$AB$511,0),10,1)),0)
+_xlfn.IFNA(SUM((K$3&gt;='Gastos com Pessoal'!$E$7:$E$506)*(K$3&lt;='Gastos com Pessoal'!$F$7:$F$506)*(IF('Gastos com Pessoal'!$G$7:$G$506&lt;=K$3,1,0))*OFFSET('Gastos com Pessoal'!$H$6,1,MATCH(1&amp;$B51,'Gastos com Pessoal'!$I$532:$AJ$532&amp;'Gastos com Pessoal'!$I$6:$AJ$6,0),500,1)),0)
+_xlfn.IFNA(SUM((K$3&gt;='Gastos com Pessoal'!$E$7:$E$506)*(K$3&lt;='Gastos com Pessoal'!$F$7:$F$506)*(IF('Gastos com Pessoal'!$M$7:$M$506&lt;=K$3,1,0))*OFFSET('Gastos com Pessoal'!$H$6,1,MATCH(2&amp;$B51,'Gastos com Pessoal'!$I$532:$AJ$532&amp;'Gastos com Pessoal'!$I$6:$AJ$6,0),500,1)),0)
+_xlfn.IFNA(SUM((K$3&gt;='Gastos com Pessoal'!$E$7:$E$506)*(K$3&lt;='Gastos com Pessoal'!$F$7:$F$506)*(IF('Gastos com Pessoal'!$S$7:$S$506&lt;=K$3,1,0))*OFFSET('Gastos com Pessoal'!$H$6,1,MATCH(3&amp;$B51,'Gastos com Pessoal'!$I$532:$AJ$532&amp;'Gastos com Pessoal'!$I$6:$AJ$6,0),500,1)),0)
+_xlfn.IFNA(SUM((K$3&gt;='Gastos com Pessoal'!$E$7:$E$506)*(K$3&lt;='Gastos com Pessoal'!$F$7:$F$506)*(IF('Gastos com Pessoal'!$Y$7:$Y$506&lt;=K$3,1,0))*OFFSET('Gastos com Pessoal'!$H$6,1,MATCH(4&amp;$B51,'Gastos com Pessoal'!$I$532:$AJ$532&amp;'Gastos com Pessoal'!$I$6:$AJ$6,0),500,1)),0)
+_xlfn.IFNA(SUM((K$3&gt;='Gastos com Pessoal'!$E$7:$E$506)*(K$3&lt;='Gastos com Pessoal'!$F$7:$F$506)*(IF('Gastos com Pessoal'!$AE$7:$AE$506&lt;=K$3,1,0))*OFFSET('Gastos com Pessoal'!$H$6,1,MATCH(5&amp;$B51,'Gastos com Pessoal'!$I$532:$AJ$532&amp;'Gastos com Pessoal'!$I$6:$AJ$6,0),500,1)),0)
+_xlfn.IFNA(SUM((K$3&gt;='Gastos com Pessoal'!$E$513:$E$522)*(K$3&lt;='Gastos com Pessoal'!$F$513:$F$522)*(IF('Gastos com Pessoal'!$G$513:$G$522&lt;=K$3,1,0))*OFFSET('Gastos com Pessoal'!$H$512,1,MATCH(1&amp;$B51,'Gastos com Pessoal'!$I$532:$AJ$532&amp;'Gastos com Pessoal'!$I$512:$AJ$512,0),10,1)),0)
+_xlfn.IFNA(SUM((K$3&gt;='Gastos com Pessoal'!$E$513:$E$522)*(K$3&lt;='Gastos com Pessoal'!$F$513:$F$522)*(IF('Gastos com Pessoal'!$M$513:$M$522&lt;=K$3,1,0))*OFFSET('Gastos com Pessoal'!$H$512,1,MATCH(2&amp;$B51,'Gastos com Pessoal'!$I$532:$AJ$532&amp;'Gastos com Pessoal'!$I$512:$AJ$512,0),10,1)),0)
+_xlfn.IFNA(SUM((K$3&gt;='Gastos com Pessoal'!$E$513:$E$522)*(K$3&lt;='Gastos com Pessoal'!$F$513:$F$522)*(IF('Gastos com Pessoal'!$S$513:$S$522&lt;=K$3,1,0))*OFFSET('Gastos com Pessoal'!$H$512,1,MATCH(3&amp;$B51,'Gastos com Pessoal'!$I$532:$AJ$532&amp;'Gastos com Pessoal'!$I$512:$AJ$512,0),10,1)),0)
+_xlfn.IFNA(SUM((K$3&gt;='Gastos com Pessoal'!$E$513:$E$522)*(K$3&lt;='Gastos com Pessoal'!$F$513:$F$522)*(IF('Gastos com Pessoal'!$Y$513:$Y$522&lt;=K$3,1,0))*OFFSET('Gastos com Pessoal'!$H$512,1,MATCH(4&amp;$B51,'Gastos com Pessoal'!$I$532:$AJ$532&amp;'Gastos com Pessoal'!$I$512:$AJ$512,0),10,1)),0)
+_xlfn.IFNA(SUM((K$3&gt;='Gastos com Pessoal'!$E$513:$E$522)*(K$3&lt;='Gastos com Pessoal'!$F$513:$F$522)*(IF('Gastos com Pessoal'!$AE$513:$AE$522&lt;=K$3,1,0))*OFFSET('Gastos com Pessoal'!$H$512,1,MATCH(5&amp;$B51,'Gastos com Pessoal'!$I$532:$AJ$532&amp;'Gastos com Pessoal'!$I$512:$AJ$512,0),10,1)),0)</f>
        <v>11348.399999999996</v>
      </c>
      <c r="L51" s="32">
        <f t="array" aca="1" ref="L51" ca="1">_xlfn.IFNA(SUM((L$3&gt;='Gastos com Pessoal'!$E$7:$E$506)*(L$3&lt;='Gastos com Pessoal'!$F$7:$F$506)*OFFSET('Encargos e Benefícios'!$D$5,1,MATCH($B51,'Encargos e Benefícios'!$E$5:$AB$5,0),500,1)),0)
+_xlfn.IFNA(SUM((L$3&gt;='Gastos com Pessoal'!$E$513:$E$522)*(L$3&lt;='Gastos com Pessoal'!$F$513:$F$522)*OFFSET('Encargos e Benefícios'!$D$511,1,MATCH($B51,'Encargos e Benefícios'!$E$511:$AB$511,0),10,1)),0)
+_xlfn.IFNA(SUM((L$3&gt;='Gastos com Pessoal'!$E$7:$E$506)*(L$3&lt;='Gastos com Pessoal'!$F$7:$F$506)*(IF('Gastos com Pessoal'!$G$7:$G$506&lt;=L$3,1,0))*OFFSET('Gastos com Pessoal'!$H$6,1,MATCH(1&amp;$B51,'Gastos com Pessoal'!$I$532:$AJ$532&amp;'Gastos com Pessoal'!$I$6:$AJ$6,0),500,1)),0)
+_xlfn.IFNA(SUM((L$3&gt;='Gastos com Pessoal'!$E$7:$E$506)*(L$3&lt;='Gastos com Pessoal'!$F$7:$F$506)*(IF('Gastos com Pessoal'!$M$7:$M$506&lt;=L$3,1,0))*OFFSET('Gastos com Pessoal'!$H$6,1,MATCH(2&amp;$B51,'Gastos com Pessoal'!$I$532:$AJ$532&amp;'Gastos com Pessoal'!$I$6:$AJ$6,0),500,1)),0)
+_xlfn.IFNA(SUM((L$3&gt;='Gastos com Pessoal'!$E$7:$E$506)*(L$3&lt;='Gastos com Pessoal'!$F$7:$F$506)*(IF('Gastos com Pessoal'!$S$7:$S$506&lt;=L$3,1,0))*OFFSET('Gastos com Pessoal'!$H$6,1,MATCH(3&amp;$B51,'Gastos com Pessoal'!$I$532:$AJ$532&amp;'Gastos com Pessoal'!$I$6:$AJ$6,0),500,1)),0)
+_xlfn.IFNA(SUM((L$3&gt;='Gastos com Pessoal'!$E$7:$E$506)*(L$3&lt;='Gastos com Pessoal'!$F$7:$F$506)*(IF('Gastos com Pessoal'!$Y$7:$Y$506&lt;=L$3,1,0))*OFFSET('Gastos com Pessoal'!$H$6,1,MATCH(4&amp;$B51,'Gastos com Pessoal'!$I$532:$AJ$532&amp;'Gastos com Pessoal'!$I$6:$AJ$6,0),500,1)),0)
+_xlfn.IFNA(SUM((L$3&gt;='Gastos com Pessoal'!$E$7:$E$506)*(L$3&lt;='Gastos com Pessoal'!$F$7:$F$506)*(IF('Gastos com Pessoal'!$AE$7:$AE$506&lt;=L$3,1,0))*OFFSET('Gastos com Pessoal'!$H$6,1,MATCH(5&amp;$B51,'Gastos com Pessoal'!$I$532:$AJ$532&amp;'Gastos com Pessoal'!$I$6:$AJ$6,0),500,1)),0)
+_xlfn.IFNA(SUM((L$3&gt;='Gastos com Pessoal'!$E$513:$E$522)*(L$3&lt;='Gastos com Pessoal'!$F$513:$F$522)*(IF('Gastos com Pessoal'!$G$513:$G$522&lt;=L$3,1,0))*OFFSET('Gastos com Pessoal'!$H$512,1,MATCH(1&amp;$B51,'Gastos com Pessoal'!$I$532:$AJ$532&amp;'Gastos com Pessoal'!$I$512:$AJ$512,0),10,1)),0)
+_xlfn.IFNA(SUM((L$3&gt;='Gastos com Pessoal'!$E$513:$E$522)*(L$3&lt;='Gastos com Pessoal'!$F$513:$F$522)*(IF('Gastos com Pessoal'!$M$513:$M$522&lt;=L$3,1,0))*OFFSET('Gastos com Pessoal'!$H$512,1,MATCH(2&amp;$B51,'Gastos com Pessoal'!$I$532:$AJ$532&amp;'Gastos com Pessoal'!$I$512:$AJ$512,0),10,1)),0)
+_xlfn.IFNA(SUM((L$3&gt;='Gastos com Pessoal'!$E$513:$E$522)*(L$3&lt;='Gastos com Pessoal'!$F$513:$F$522)*(IF('Gastos com Pessoal'!$S$513:$S$522&lt;=L$3,1,0))*OFFSET('Gastos com Pessoal'!$H$512,1,MATCH(3&amp;$B51,'Gastos com Pessoal'!$I$532:$AJ$532&amp;'Gastos com Pessoal'!$I$512:$AJ$512,0),10,1)),0)
+_xlfn.IFNA(SUM((L$3&gt;='Gastos com Pessoal'!$E$513:$E$522)*(L$3&lt;='Gastos com Pessoal'!$F$513:$F$522)*(IF('Gastos com Pessoal'!$Y$513:$Y$522&lt;=L$3,1,0))*OFFSET('Gastos com Pessoal'!$H$512,1,MATCH(4&amp;$B51,'Gastos com Pessoal'!$I$532:$AJ$532&amp;'Gastos com Pessoal'!$I$512:$AJ$512,0),10,1)),0)
+_xlfn.IFNA(SUM((L$3&gt;='Gastos com Pessoal'!$E$513:$E$522)*(L$3&lt;='Gastos com Pessoal'!$F$513:$F$522)*(IF('Gastos com Pessoal'!$AE$513:$AE$522&lt;=L$3,1,0))*OFFSET('Gastos com Pessoal'!$H$512,1,MATCH(5&amp;$B51,'Gastos com Pessoal'!$I$532:$AJ$532&amp;'Gastos com Pessoal'!$I$512:$AJ$512,0),10,1)),0)</f>
        <v>11348.399999999996</v>
      </c>
      <c r="M51" s="32">
        <f t="array" aca="1" ref="M51" ca="1">_xlfn.IFNA(SUM((M$3&gt;='Gastos com Pessoal'!$E$7:$E$506)*(M$3&lt;='Gastos com Pessoal'!$F$7:$F$506)*OFFSET('Encargos e Benefícios'!$D$5,1,MATCH($B51,'Encargos e Benefícios'!$E$5:$AB$5,0),500,1)),0)
+_xlfn.IFNA(SUM((M$3&gt;='Gastos com Pessoal'!$E$513:$E$522)*(M$3&lt;='Gastos com Pessoal'!$F$513:$F$522)*OFFSET('Encargos e Benefícios'!$D$511,1,MATCH($B51,'Encargos e Benefícios'!$E$511:$AB$511,0),10,1)),0)
+_xlfn.IFNA(SUM((M$3&gt;='Gastos com Pessoal'!$E$7:$E$506)*(M$3&lt;='Gastos com Pessoal'!$F$7:$F$506)*(IF('Gastos com Pessoal'!$G$7:$G$506&lt;=M$3,1,0))*OFFSET('Gastos com Pessoal'!$H$6,1,MATCH(1&amp;$B51,'Gastos com Pessoal'!$I$532:$AJ$532&amp;'Gastos com Pessoal'!$I$6:$AJ$6,0),500,1)),0)
+_xlfn.IFNA(SUM((M$3&gt;='Gastos com Pessoal'!$E$7:$E$506)*(M$3&lt;='Gastos com Pessoal'!$F$7:$F$506)*(IF('Gastos com Pessoal'!$M$7:$M$506&lt;=M$3,1,0))*OFFSET('Gastos com Pessoal'!$H$6,1,MATCH(2&amp;$B51,'Gastos com Pessoal'!$I$532:$AJ$532&amp;'Gastos com Pessoal'!$I$6:$AJ$6,0),500,1)),0)
+_xlfn.IFNA(SUM((M$3&gt;='Gastos com Pessoal'!$E$7:$E$506)*(M$3&lt;='Gastos com Pessoal'!$F$7:$F$506)*(IF('Gastos com Pessoal'!$S$7:$S$506&lt;=M$3,1,0))*OFFSET('Gastos com Pessoal'!$H$6,1,MATCH(3&amp;$B51,'Gastos com Pessoal'!$I$532:$AJ$532&amp;'Gastos com Pessoal'!$I$6:$AJ$6,0),500,1)),0)
+_xlfn.IFNA(SUM((M$3&gt;='Gastos com Pessoal'!$E$7:$E$506)*(M$3&lt;='Gastos com Pessoal'!$F$7:$F$506)*(IF('Gastos com Pessoal'!$Y$7:$Y$506&lt;=M$3,1,0))*OFFSET('Gastos com Pessoal'!$H$6,1,MATCH(4&amp;$B51,'Gastos com Pessoal'!$I$532:$AJ$532&amp;'Gastos com Pessoal'!$I$6:$AJ$6,0),500,1)),0)
+_xlfn.IFNA(SUM((M$3&gt;='Gastos com Pessoal'!$E$7:$E$506)*(M$3&lt;='Gastos com Pessoal'!$F$7:$F$506)*(IF('Gastos com Pessoal'!$AE$7:$AE$506&lt;=M$3,1,0))*OFFSET('Gastos com Pessoal'!$H$6,1,MATCH(5&amp;$B51,'Gastos com Pessoal'!$I$532:$AJ$532&amp;'Gastos com Pessoal'!$I$6:$AJ$6,0),500,1)),0)
+_xlfn.IFNA(SUM((M$3&gt;='Gastos com Pessoal'!$E$513:$E$522)*(M$3&lt;='Gastos com Pessoal'!$F$513:$F$522)*(IF('Gastos com Pessoal'!$G$513:$G$522&lt;=M$3,1,0))*OFFSET('Gastos com Pessoal'!$H$512,1,MATCH(1&amp;$B51,'Gastos com Pessoal'!$I$532:$AJ$532&amp;'Gastos com Pessoal'!$I$512:$AJ$512,0),10,1)),0)
+_xlfn.IFNA(SUM((M$3&gt;='Gastos com Pessoal'!$E$513:$E$522)*(M$3&lt;='Gastos com Pessoal'!$F$513:$F$522)*(IF('Gastos com Pessoal'!$M$513:$M$522&lt;=M$3,1,0))*OFFSET('Gastos com Pessoal'!$H$512,1,MATCH(2&amp;$B51,'Gastos com Pessoal'!$I$532:$AJ$532&amp;'Gastos com Pessoal'!$I$512:$AJ$512,0),10,1)),0)
+_xlfn.IFNA(SUM((M$3&gt;='Gastos com Pessoal'!$E$513:$E$522)*(M$3&lt;='Gastos com Pessoal'!$F$513:$F$522)*(IF('Gastos com Pessoal'!$S$513:$S$522&lt;=M$3,1,0))*OFFSET('Gastos com Pessoal'!$H$512,1,MATCH(3&amp;$B51,'Gastos com Pessoal'!$I$532:$AJ$532&amp;'Gastos com Pessoal'!$I$512:$AJ$512,0),10,1)),0)
+_xlfn.IFNA(SUM((M$3&gt;='Gastos com Pessoal'!$E$513:$E$522)*(M$3&lt;='Gastos com Pessoal'!$F$513:$F$522)*(IF('Gastos com Pessoal'!$Y$513:$Y$522&lt;=M$3,1,0))*OFFSET('Gastos com Pessoal'!$H$512,1,MATCH(4&amp;$B51,'Gastos com Pessoal'!$I$532:$AJ$532&amp;'Gastos com Pessoal'!$I$512:$AJ$512,0),10,1)),0)
+_xlfn.IFNA(SUM((M$3&gt;='Gastos com Pessoal'!$E$513:$E$522)*(M$3&lt;='Gastos com Pessoal'!$F$513:$F$522)*(IF('Gastos com Pessoal'!$AE$513:$AE$522&lt;=M$3,1,0))*OFFSET('Gastos com Pessoal'!$H$512,1,MATCH(5&amp;$B51,'Gastos com Pessoal'!$I$532:$AJ$532&amp;'Gastos com Pessoal'!$I$512:$AJ$512,0),10,1)),0)</f>
        <v>11348.399999999996</v>
      </c>
      <c r="N51" s="32">
        <f t="array" aca="1" ref="N51" ca="1">_xlfn.IFNA(SUM((N$3&gt;='Gastos com Pessoal'!$E$7:$E$506)*(N$3&lt;='Gastos com Pessoal'!$F$7:$F$506)*OFFSET('Encargos e Benefícios'!$D$5,1,MATCH($B51,'Encargos e Benefícios'!$E$5:$AB$5,0),500,1)),0)
+_xlfn.IFNA(SUM((N$3&gt;='Gastos com Pessoal'!$E$513:$E$522)*(N$3&lt;='Gastos com Pessoal'!$F$513:$F$522)*OFFSET('Encargos e Benefícios'!$D$511,1,MATCH($B51,'Encargos e Benefícios'!$E$511:$AB$511,0),10,1)),0)
+_xlfn.IFNA(SUM((N$3&gt;='Gastos com Pessoal'!$E$7:$E$506)*(N$3&lt;='Gastos com Pessoal'!$F$7:$F$506)*(IF('Gastos com Pessoal'!$G$7:$G$506&lt;=N$3,1,0))*OFFSET('Gastos com Pessoal'!$H$6,1,MATCH(1&amp;$B51,'Gastos com Pessoal'!$I$532:$AJ$532&amp;'Gastos com Pessoal'!$I$6:$AJ$6,0),500,1)),0)
+_xlfn.IFNA(SUM((N$3&gt;='Gastos com Pessoal'!$E$7:$E$506)*(N$3&lt;='Gastos com Pessoal'!$F$7:$F$506)*(IF('Gastos com Pessoal'!$M$7:$M$506&lt;=N$3,1,0))*OFFSET('Gastos com Pessoal'!$H$6,1,MATCH(2&amp;$B51,'Gastos com Pessoal'!$I$532:$AJ$532&amp;'Gastos com Pessoal'!$I$6:$AJ$6,0),500,1)),0)
+_xlfn.IFNA(SUM((N$3&gt;='Gastos com Pessoal'!$E$7:$E$506)*(N$3&lt;='Gastos com Pessoal'!$F$7:$F$506)*(IF('Gastos com Pessoal'!$S$7:$S$506&lt;=N$3,1,0))*OFFSET('Gastos com Pessoal'!$H$6,1,MATCH(3&amp;$B51,'Gastos com Pessoal'!$I$532:$AJ$532&amp;'Gastos com Pessoal'!$I$6:$AJ$6,0),500,1)),0)
+_xlfn.IFNA(SUM((N$3&gt;='Gastos com Pessoal'!$E$7:$E$506)*(N$3&lt;='Gastos com Pessoal'!$F$7:$F$506)*(IF('Gastos com Pessoal'!$Y$7:$Y$506&lt;=N$3,1,0))*OFFSET('Gastos com Pessoal'!$H$6,1,MATCH(4&amp;$B51,'Gastos com Pessoal'!$I$532:$AJ$532&amp;'Gastos com Pessoal'!$I$6:$AJ$6,0),500,1)),0)
+_xlfn.IFNA(SUM((N$3&gt;='Gastos com Pessoal'!$E$7:$E$506)*(N$3&lt;='Gastos com Pessoal'!$F$7:$F$506)*(IF('Gastos com Pessoal'!$AE$7:$AE$506&lt;=N$3,1,0))*OFFSET('Gastos com Pessoal'!$H$6,1,MATCH(5&amp;$B51,'Gastos com Pessoal'!$I$532:$AJ$532&amp;'Gastos com Pessoal'!$I$6:$AJ$6,0),500,1)),0)
+_xlfn.IFNA(SUM((N$3&gt;='Gastos com Pessoal'!$E$513:$E$522)*(N$3&lt;='Gastos com Pessoal'!$F$513:$F$522)*(IF('Gastos com Pessoal'!$G$513:$G$522&lt;=N$3,1,0))*OFFSET('Gastos com Pessoal'!$H$512,1,MATCH(1&amp;$B51,'Gastos com Pessoal'!$I$532:$AJ$532&amp;'Gastos com Pessoal'!$I$512:$AJ$512,0),10,1)),0)
+_xlfn.IFNA(SUM((N$3&gt;='Gastos com Pessoal'!$E$513:$E$522)*(N$3&lt;='Gastos com Pessoal'!$F$513:$F$522)*(IF('Gastos com Pessoal'!$M$513:$M$522&lt;=N$3,1,0))*OFFSET('Gastos com Pessoal'!$H$512,1,MATCH(2&amp;$B51,'Gastos com Pessoal'!$I$532:$AJ$532&amp;'Gastos com Pessoal'!$I$512:$AJ$512,0),10,1)),0)
+_xlfn.IFNA(SUM((N$3&gt;='Gastos com Pessoal'!$E$513:$E$522)*(N$3&lt;='Gastos com Pessoal'!$F$513:$F$522)*(IF('Gastos com Pessoal'!$S$513:$S$522&lt;=N$3,1,0))*OFFSET('Gastos com Pessoal'!$H$512,1,MATCH(3&amp;$B51,'Gastos com Pessoal'!$I$532:$AJ$532&amp;'Gastos com Pessoal'!$I$512:$AJ$512,0),10,1)),0)
+_xlfn.IFNA(SUM((N$3&gt;='Gastos com Pessoal'!$E$513:$E$522)*(N$3&lt;='Gastos com Pessoal'!$F$513:$F$522)*(IF('Gastos com Pessoal'!$Y$513:$Y$522&lt;=N$3,1,0))*OFFSET('Gastos com Pessoal'!$H$512,1,MATCH(4&amp;$B51,'Gastos com Pessoal'!$I$532:$AJ$532&amp;'Gastos com Pessoal'!$I$512:$AJ$512,0),10,1)),0)
+_xlfn.IFNA(SUM((N$3&gt;='Gastos com Pessoal'!$E$513:$E$522)*(N$3&lt;='Gastos com Pessoal'!$F$513:$F$522)*(IF('Gastos com Pessoal'!$AE$513:$AE$522&lt;=N$3,1,0))*OFFSET('Gastos com Pessoal'!$H$512,1,MATCH(5&amp;$B51,'Gastos com Pessoal'!$I$532:$AJ$532&amp;'Gastos com Pessoal'!$I$512:$AJ$512,0),10,1)),0)</f>
        <v>11348.399999999996</v>
      </c>
      <c r="O51" s="32">
        <f t="array" aca="1" ref="O51" ca="1">_xlfn.IFNA(SUM((O$3&gt;='Gastos com Pessoal'!$E$7:$E$506)*(O$3&lt;='Gastos com Pessoal'!$F$7:$F$506)*OFFSET('Encargos e Benefícios'!$D$5,1,MATCH($B51,'Encargos e Benefícios'!$E$5:$AB$5,0),500,1)),0)
+_xlfn.IFNA(SUM((O$3&gt;='Gastos com Pessoal'!$E$513:$E$522)*(O$3&lt;='Gastos com Pessoal'!$F$513:$F$522)*OFFSET('Encargos e Benefícios'!$D$511,1,MATCH($B51,'Encargos e Benefícios'!$E$511:$AB$511,0),10,1)),0)
+_xlfn.IFNA(SUM((O$3&gt;='Gastos com Pessoal'!$E$7:$E$506)*(O$3&lt;='Gastos com Pessoal'!$F$7:$F$506)*(IF('Gastos com Pessoal'!$G$7:$G$506&lt;=O$3,1,0))*OFFSET('Gastos com Pessoal'!$H$6,1,MATCH(1&amp;$B51,'Gastos com Pessoal'!$I$532:$AJ$532&amp;'Gastos com Pessoal'!$I$6:$AJ$6,0),500,1)),0)
+_xlfn.IFNA(SUM((O$3&gt;='Gastos com Pessoal'!$E$7:$E$506)*(O$3&lt;='Gastos com Pessoal'!$F$7:$F$506)*(IF('Gastos com Pessoal'!$M$7:$M$506&lt;=O$3,1,0))*OFFSET('Gastos com Pessoal'!$H$6,1,MATCH(2&amp;$B51,'Gastos com Pessoal'!$I$532:$AJ$532&amp;'Gastos com Pessoal'!$I$6:$AJ$6,0),500,1)),0)
+_xlfn.IFNA(SUM((O$3&gt;='Gastos com Pessoal'!$E$7:$E$506)*(O$3&lt;='Gastos com Pessoal'!$F$7:$F$506)*(IF('Gastos com Pessoal'!$S$7:$S$506&lt;=O$3,1,0))*OFFSET('Gastos com Pessoal'!$H$6,1,MATCH(3&amp;$B51,'Gastos com Pessoal'!$I$532:$AJ$532&amp;'Gastos com Pessoal'!$I$6:$AJ$6,0),500,1)),0)
+_xlfn.IFNA(SUM((O$3&gt;='Gastos com Pessoal'!$E$7:$E$506)*(O$3&lt;='Gastos com Pessoal'!$F$7:$F$506)*(IF('Gastos com Pessoal'!$Y$7:$Y$506&lt;=O$3,1,0))*OFFSET('Gastos com Pessoal'!$H$6,1,MATCH(4&amp;$B51,'Gastos com Pessoal'!$I$532:$AJ$532&amp;'Gastos com Pessoal'!$I$6:$AJ$6,0),500,1)),0)
+_xlfn.IFNA(SUM((O$3&gt;='Gastos com Pessoal'!$E$7:$E$506)*(O$3&lt;='Gastos com Pessoal'!$F$7:$F$506)*(IF('Gastos com Pessoal'!$AE$7:$AE$506&lt;=O$3,1,0))*OFFSET('Gastos com Pessoal'!$H$6,1,MATCH(5&amp;$B51,'Gastos com Pessoal'!$I$532:$AJ$532&amp;'Gastos com Pessoal'!$I$6:$AJ$6,0),500,1)),0)
+_xlfn.IFNA(SUM((O$3&gt;='Gastos com Pessoal'!$E$513:$E$522)*(O$3&lt;='Gastos com Pessoal'!$F$513:$F$522)*(IF('Gastos com Pessoal'!$G$513:$G$522&lt;=O$3,1,0))*OFFSET('Gastos com Pessoal'!$H$512,1,MATCH(1&amp;$B51,'Gastos com Pessoal'!$I$532:$AJ$532&amp;'Gastos com Pessoal'!$I$512:$AJ$512,0),10,1)),0)
+_xlfn.IFNA(SUM((O$3&gt;='Gastos com Pessoal'!$E$513:$E$522)*(O$3&lt;='Gastos com Pessoal'!$F$513:$F$522)*(IF('Gastos com Pessoal'!$M$513:$M$522&lt;=O$3,1,0))*OFFSET('Gastos com Pessoal'!$H$512,1,MATCH(2&amp;$B51,'Gastos com Pessoal'!$I$532:$AJ$532&amp;'Gastos com Pessoal'!$I$512:$AJ$512,0),10,1)),0)
+_xlfn.IFNA(SUM((O$3&gt;='Gastos com Pessoal'!$E$513:$E$522)*(O$3&lt;='Gastos com Pessoal'!$F$513:$F$522)*(IF('Gastos com Pessoal'!$S$513:$S$522&lt;=O$3,1,0))*OFFSET('Gastos com Pessoal'!$H$512,1,MATCH(3&amp;$B51,'Gastos com Pessoal'!$I$532:$AJ$532&amp;'Gastos com Pessoal'!$I$512:$AJ$512,0),10,1)),0)
+_xlfn.IFNA(SUM((O$3&gt;='Gastos com Pessoal'!$E$513:$E$522)*(O$3&lt;='Gastos com Pessoal'!$F$513:$F$522)*(IF('Gastos com Pessoal'!$Y$513:$Y$522&lt;=O$3,1,0))*OFFSET('Gastos com Pessoal'!$H$512,1,MATCH(4&amp;$B51,'Gastos com Pessoal'!$I$532:$AJ$532&amp;'Gastos com Pessoal'!$I$512:$AJ$512,0),10,1)),0)
+_xlfn.IFNA(SUM((O$3&gt;='Gastos com Pessoal'!$E$513:$E$522)*(O$3&lt;='Gastos com Pessoal'!$F$513:$F$522)*(IF('Gastos com Pessoal'!$AE$513:$AE$522&lt;=O$3,1,0))*OFFSET('Gastos com Pessoal'!$H$512,1,MATCH(5&amp;$B51,'Gastos com Pessoal'!$I$532:$AJ$532&amp;'Gastos com Pessoal'!$I$512:$AJ$512,0),10,1)),0)</f>
        <v>11348.399999999996</v>
      </c>
      <c r="P51" s="32">
        <f t="array" aca="1" ref="P51" ca="1">_xlfn.IFNA(SUM((P$3&gt;='Gastos com Pessoal'!$E$7:$E$506)*(P$3&lt;='Gastos com Pessoal'!$F$7:$F$506)*OFFSET('Encargos e Benefícios'!$D$5,1,MATCH($B51,'Encargos e Benefícios'!$E$5:$AB$5,0),500,1)),0)
+_xlfn.IFNA(SUM((P$3&gt;='Gastos com Pessoal'!$E$513:$E$522)*(P$3&lt;='Gastos com Pessoal'!$F$513:$F$522)*OFFSET('Encargos e Benefícios'!$D$511,1,MATCH($B51,'Encargos e Benefícios'!$E$511:$AB$511,0),10,1)),0)
+_xlfn.IFNA(SUM((P$3&gt;='Gastos com Pessoal'!$E$7:$E$506)*(P$3&lt;='Gastos com Pessoal'!$F$7:$F$506)*(IF('Gastos com Pessoal'!$G$7:$G$506&lt;=P$3,1,0))*OFFSET('Gastos com Pessoal'!$H$6,1,MATCH(1&amp;$B51,'Gastos com Pessoal'!$I$532:$AJ$532&amp;'Gastos com Pessoal'!$I$6:$AJ$6,0),500,1)),0)
+_xlfn.IFNA(SUM((P$3&gt;='Gastos com Pessoal'!$E$7:$E$506)*(P$3&lt;='Gastos com Pessoal'!$F$7:$F$506)*(IF('Gastos com Pessoal'!$M$7:$M$506&lt;=P$3,1,0))*OFFSET('Gastos com Pessoal'!$H$6,1,MATCH(2&amp;$B51,'Gastos com Pessoal'!$I$532:$AJ$532&amp;'Gastos com Pessoal'!$I$6:$AJ$6,0),500,1)),0)
+_xlfn.IFNA(SUM((P$3&gt;='Gastos com Pessoal'!$E$7:$E$506)*(P$3&lt;='Gastos com Pessoal'!$F$7:$F$506)*(IF('Gastos com Pessoal'!$S$7:$S$506&lt;=P$3,1,0))*OFFSET('Gastos com Pessoal'!$H$6,1,MATCH(3&amp;$B51,'Gastos com Pessoal'!$I$532:$AJ$532&amp;'Gastos com Pessoal'!$I$6:$AJ$6,0),500,1)),0)
+_xlfn.IFNA(SUM((P$3&gt;='Gastos com Pessoal'!$E$7:$E$506)*(P$3&lt;='Gastos com Pessoal'!$F$7:$F$506)*(IF('Gastos com Pessoal'!$Y$7:$Y$506&lt;=P$3,1,0))*OFFSET('Gastos com Pessoal'!$H$6,1,MATCH(4&amp;$B51,'Gastos com Pessoal'!$I$532:$AJ$532&amp;'Gastos com Pessoal'!$I$6:$AJ$6,0),500,1)),0)
+_xlfn.IFNA(SUM((P$3&gt;='Gastos com Pessoal'!$E$7:$E$506)*(P$3&lt;='Gastos com Pessoal'!$F$7:$F$506)*(IF('Gastos com Pessoal'!$AE$7:$AE$506&lt;=P$3,1,0))*OFFSET('Gastos com Pessoal'!$H$6,1,MATCH(5&amp;$B51,'Gastos com Pessoal'!$I$532:$AJ$532&amp;'Gastos com Pessoal'!$I$6:$AJ$6,0),500,1)),0)
+_xlfn.IFNA(SUM((P$3&gt;='Gastos com Pessoal'!$E$513:$E$522)*(P$3&lt;='Gastos com Pessoal'!$F$513:$F$522)*(IF('Gastos com Pessoal'!$G$513:$G$522&lt;=P$3,1,0))*OFFSET('Gastos com Pessoal'!$H$512,1,MATCH(1&amp;$B51,'Gastos com Pessoal'!$I$532:$AJ$532&amp;'Gastos com Pessoal'!$I$512:$AJ$512,0),10,1)),0)
+_xlfn.IFNA(SUM((P$3&gt;='Gastos com Pessoal'!$E$513:$E$522)*(P$3&lt;='Gastos com Pessoal'!$F$513:$F$522)*(IF('Gastos com Pessoal'!$M$513:$M$522&lt;=P$3,1,0))*OFFSET('Gastos com Pessoal'!$H$512,1,MATCH(2&amp;$B51,'Gastos com Pessoal'!$I$532:$AJ$532&amp;'Gastos com Pessoal'!$I$512:$AJ$512,0),10,1)),0)
+_xlfn.IFNA(SUM((P$3&gt;='Gastos com Pessoal'!$E$513:$E$522)*(P$3&lt;='Gastos com Pessoal'!$F$513:$F$522)*(IF('Gastos com Pessoal'!$S$513:$S$522&lt;=P$3,1,0))*OFFSET('Gastos com Pessoal'!$H$512,1,MATCH(3&amp;$B51,'Gastos com Pessoal'!$I$532:$AJ$532&amp;'Gastos com Pessoal'!$I$512:$AJ$512,0),10,1)),0)
+_xlfn.IFNA(SUM((P$3&gt;='Gastos com Pessoal'!$E$513:$E$522)*(P$3&lt;='Gastos com Pessoal'!$F$513:$F$522)*(IF('Gastos com Pessoal'!$Y$513:$Y$522&lt;=P$3,1,0))*OFFSET('Gastos com Pessoal'!$H$512,1,MATCH(4&amp;$B51,'Gastos com Pessoal'!$I$532:$AJ$532&amp;'Gastos com Pessoal'!$I$512:$AJ$512,0),10,1)),0)
+_xlfn.IFNA(SUM((P$3&gt;='Gastos com Pessoal'!$E$513:$E$522)*(P$3&lt;='Gastos com Pessoal'!$F$513:$F$522)*(IF('Gastos com Pessoal'!$AE$513:$AE$522&lt;=P$3,1,0))*OFFSET('Gastos com Pessoal'!$H$512,1,MATCH(5&amp;$B51,'Gastos com Pessoal'!$I$532:$AJ$532&amp;'Gastos com Pessoal'!$I$512:$AJ$512,0),10,1)),0)</f>
        <v>11348.399999999996</v>
      </c>
      <c r="Q51" s="32">
        <f t="array" aca="1" ref="Q51" ca="1">_xlfn.IFNA(SUM((Q$3&gt;='Gastos com Pessoal'!$E$7:$E$506)*(Q$3&lt;='Gastos com Pessoal'!$F$7:$F$506)*OFFSET('Encargos e Benefícios'!$D$5,1,MATCH($B51,'Encargos e Benefícios'!$E$5:$AB$5,0),500,1)),0)
+_xlfn.IFNA(SUM((Q$3&gt;='Gastos com Pessoal'!$E$513:$E$522)*(Q$3&lt;='Gastos com Pessoal'!$F$513:$F$522)*OFFSET('Encargos e Benefícios'!$D$511,1,MATCH($B51,'Encargos e Benefícios'!$E$511:$AB$511,0),10,1)),0)
+_xlfn.IFNA(SUM((Q$3&gt;='Gastos com Pessoal'!$E$7:$E$506)*(Q$3&lt;='Gastos com Pessoal'!$F$7:$F$506)*(IF('Gastos com Pessoal'!$G$7:$G$506&lt;=Q$3,1,0))*OFFSET('Gastos com Pessoal'!$H$6,1,MATCH(1&amp;$B51,'Gastos com Pessoal'!$I$532:$AJ$532&amp;'Gastos com Pessoal'!$I$6:$AJ$6,0),500,1)),0)
+_xlfn.IFNA(SUM((Q$3&gt;='Gastos com Pessoal'!$E$7:$E$506)*(Q$3&lt;='Gastos com Pessoal'!$F$7:$F$506)*(IF('Gastos com Pessoal'!$M$7:$M$506&lt;=Q$3,1,0))*OFFSET('Gastos com Pessoal'!$H$6,1,MATCH(2&amp;$B51,'Gastos com Pessoal'!$I$532:$AJ$532&amp;'Gastos com Pessoal'!$I$6:$AJ$6,0),500,1)),0)
+_xlfn.IFNA(SUM((Q$3&gt;='Gastos com Pessoal'!$E$7:$E$506)*(Q$3&lt;='Gastos com Pessoal'!$F$7:$F$506)*(IF('Gastos com Pessoal'!$S$7:$S$506&lt;=Q$3,1,0))*OFFSET('Gastos com Pessoal'!$H$6,1,MATCH(3&amp;$B51,'Gastos com Pessoal'!$I$532:$AJ$532&amp;'Gastos com Pessoal'!$I$6:$AJ$6,0),500,1)),0)
+_xlfn.IFNA(SUM((Q$3&gt;='Gastos com Pessoal'!$E$7:$E$506)*(Q$3&lt;='Gastos com Pessoal'!$F$7:$F$506)*(IF('Gastos com Pessoal'!$Y$7:$Y$506&lt;=Q$3,1,0))*OFFSET('Gastos com Pessoal'!$H$6,1,MATCH(4&amp;$B51,'Gastos com Pessoal'!$I$532:$AJ$532&amp;'Gastos com Pessoal'!$I$6:$AJ$6,0),500,1)),0)
+_xlfn.IFNA(SUM((Q$3&gt;='Gastos com Pessoal'!$E$7:$E$506)*(Q$3&lt;='Gastos com Pessoal'!$F$7:$F$506)*(IF('Gastos com Pessoal'!$AE$7:$AE$506&lt;=Q$3,1,0))*OFFSET('Gastos com Pessoal'!$H$6,1,MATCH(5&amp;$B51,'Gastos com Pessoal'!$I$532:$AJ$532&amp;'Gastos com Pessoal'!$I$6:$AJ$6,0),500,1)),0)
+_xlfn.IFNA(SUM((Q$3&gt;='Gastos com Pessoal'!$E$513:$E$522)*(Q$3&lt;='Gastos com Pessoal'!$F$513:$F$522)*(IF('Gastos com Pessoal'!$G$513:$G$522&lt;=Q$3,1,0))*OFFSET('Gastos com Pessoal'!$H$512,1,MATCH(1&amp;$B51,'Gastos com Pessoal'!$I$532:$AJ$532&amp;'Gastos com Pessoal'!$I$512:$AJ$512,0),10,1)),0)
+_xlfn.IFNA(SUM((Q$3&gt;='Gastos com Pessoal'!$E$513:$E$522)*(Q$3&lt;='Gastos com Pessoal'!$F$513:$F$522)*(IF('Gastos com Pessoal'!$M$513:$M$522&lt;=Q$3,1,0))*OFFSET('Gastos com Pessoal'!$H$512,1,MATCH(2&amp;$B51,'Gastos com Pessoal'!$I$532:$AJ$532&amp;'Gastos com Pessoal'!$I$512:$AJ$512,0),10,1)),0)
+_xlfn.IFNA(SUM((Q$3&gt;='Gastos com Pessoal'!$E$513:$E$522)*(Q$3&lt;='Gastos com Pessoal'!$F$513:$F$522)*(IF('Gastos com Pessoal'!$S$513:$S$522&lt;=Q$3,1,0))*OFFSET('Gastos com Pessoal'!$H$512,1,MATCH(3&amp;$B51,'Gastos com Pessoal'!$I$532:$AJ$532&amp;'Gastos com Pessoal'!$I$512:$AJ$512,0),10,1)),0)
+_xlfn.IFNA(SUM((Q$3&gt;='Gastos com Pessoal'!$E$513:$E$522)*(Q$3&lt;='Gastos com Pessoal'!$F$513:$F$522)*(IF('Gastos com Pessoal'!$Y$513:$Y$522&lt;=Q$3,1,0))*OFFSET('Gastos com Pessoal'!$H$512,1,MATCH(4&amp;$B51,'Gastos com Pessoal'!$I$532:$AJ$532&amp;'Gastos com Pessoal'!$I$512:$AJ$512,0),10,1)),0)
+_xlfn.IFNA(SUM((Q$3&gt;='Gastos com Pessoal'!$E$513:$E$522)*(Q$3&lt;='Gastos com Pessoal'!$F$513:$F$522)*(IF('Gastos com Pessoal'!$AE$513:$AE$522&lt;=Q$3,1,0))*OFFSET('Gastos com Pessoal'!$H$512,1,MATCH(5&amp;$B51,'Gastos com Pessoal'!$I$532:$AJ$532&amp;'Gastos com Pessoal'!$I$512:$AJ$512,0),10,1)),0)</f>
        <v>11348.399999999996</v>
      </c>
      <c r="R51" s="32">
        <f t="array" aca="1" ref="R51" ca="1">_xlfn.IFNA(SUM((R$3&gt;='Gastos com Pessoal'!$E$7:$E$506)*(R$3&lt;='Gastos com Pessoal'!$F$7:$F$506)*OFFSET('Encargos e Benefícios'!$D$5,1,MATCH($B51,'Encargos e Benefícios'!$E$5:$AB$5,0),500,1)),0)
+_xlfn.IFNA(SUM((R$3&gt;='Gastos com Pessoal'!$E$513:$E$522)*(R$3&lt;='Gastos com Pessoal'!$F$513:$F$522)*OFFSET('Encargos e Benefícios'!$D$511,1,MATCH($B51,'Encargos e Benefícios'!$E$511:$AB$511,0),10,1)),0)
+_xlfn.IFNA(SUM((R$3&gt;='Gastos com Pessoal'!$E$7:$E$506)*(R$3&lt;='Gastos com Pessoal'!$F$7:$F$506)*(IF('Gastos com Pessoal'!$G$7:$G$506&lt;=R$3,1,0))*OFFSET('Gastos com Pessoal'!$H$6,1,MATCH(1&amp;$B51,'Gastos com Pessoal'!$I$532:$AJ$532&amp;'Gastos com Pessoal'!$I$6:$AJ$6,0),500,1)),0)
+_xlfn.IFNA(SUM((R$3&gt;='Gastos com Pessoal'!$E$7:$E$506)*(R$3&lt;='Gastos com Pessoal'!$F$7:$F$506)*(IF('Gastos com Pessoal'!$M$7:$M$506&lt;=R$3,1,0))*OFFSET('Gastos com Pessoal'!$H$6,1,MATCH(2&amp;$B51,'Gastos com Pessoal'!$I$532:$AJ$532&amp;'Gastos com Pessoal'!$I$6:$AJ$6,0),500,1)),0)
+_xlfn.IFNA(SUM((R$3&gt;='Gastos com Pessoal'!$E$7:$E$506)*(R$3&lt;='Gastos com Pessoal'!$F$7:$F$506)*(IF('Gastos com Pessoal'!$S$7:$S$506&lt;=R$3,1,0))*OFFSET('Gastos com Pessoal'!$H$6,1,MATCH(3&amp;$B51,'Gastos com Pessoal'!$I$532:$AJ$532&amp;'Gastos com Pessoal'!$I$6:$AJ$6,0),500,1)),0)
+_xlfn.IFNA(SUM((R$3&gt;='Gastos com Pessoal'!$E$7:$E$506)*(R$3&lt;='Gastos com Pessoal'!$F$7:$F$506)*(IF('Gastos com Pessoal'!$Y$7:$Y$506&lt;=R$3,1,0))*OFFSET('Gastos com Pessoal'!$H$6,1,MATCH(4&amp;$B51,'Gastos com Pessoal'!$I$532:$AJ$532&amp;'Gastos com Pessoal'!$I$6:$AJ$6,0),500,1)),0)
+_xlfn.IFNA(SUM((R$3&gt;='Gastos com Pessoal'!$E$7:$E$506)*(R$3&lt;='Gastos com Pessoal'!$F$7:$F$506)*(IF('Gastos com Pessoal'!$AE$7:$AE$506&lt;=R$3,1,0))*OFFSET('Gastos com Pessoal'!$H$6,1,MATCH(5&amp;$B51,'Gastos com Pessoal'!$I$532:$AJ$532&amp;'Gastos com Pessoal'!$I$6:$AJ$6,0),500,1)),0)
+_xlfn.IFNA(SUM((R$3&gt;='Gastos com Pessoal'!$E$513:$E$522)*(R$3&lt;='Gastos com Pessoal'!$F$513:$F$522)*(IF('Gastos com Pessoal'!$G$513:$G$522&lt;=R$3,1,0))*OFFSET('Gastos com Pessoal'!$H$512,1,MATCH(1&amp;$B51,'Gastos com Pessoal'!$I$532:$AJ$532&amp;'Gastos com Pessoal'!$I$512:$AJ$512,0),10,1)),0)
+_xlfn.IFNA(SUM((R$3&gt;='Gastos com Pessoal'!$E$513:$E$522)*(R$3&lt;='Gastos com Pessoal'!$F$513:$F$522)*(IF('Gastos com Pessoal'!$M$513:$M$522&lt;=R$3,1,0))*OFFSET('Gastos com Pessoal'!$H$512,1,MATCH(2&amp;$B51,'Gastos com Pessoal'!$I$532:$AJ$532&amp;'Gastos com Pessoal'!$I$512:$AJ$512,0),10,1)),0)
+_xlfn.IFNA(SUM((R$3&gt;='Gastos com Pessoal'!$E$513:$E$522)*(R$3&lt;='Gastos com Pessoal'!$F$513:$F$522)*(IF('Gastos com Pessoal'!$S$513:$S$522&lt;=R$3,1,0))*OFFSET('Gastos com Pessoal'!$H$512,1,MATCH(3&amp;$B51,'Gastos com Pessoal'!$I$532:$AJ$532&amp;'Gastos com Pessoal'!$I$512:$AJ$512,0),10,1)),0)
+_xlfn.IFNA(SUM((R$3&gt;='Gastos com Pessoal'!$E$513:$E$522)*(R$3&lt;='Gastos com Pessoal'!$F$513:$F$522)*(IF('Gastos com Pessoal'!$Y$513:$Y$522&lt;=R$3,1,0))*OFFSET('Gastos com Pessoal'!$H$512,1,MATCH(4&amp;$B51,'Gastos com Pessoal'!$I$532:$AJ$532&amp;'Gastos com Pessoal'!$I$512:$AJ$512,0),10,1)),0)
+_xlfn.IFNA(SUM((R$3&gt;='Gastos com Pessoal'!$E$513:$E$522)*(R$3&lt;='Gastos com Pessoal'!$F$513:$F$522)*(IF('Gastos com Pessoal'!$AE$513:$AE$522&lt;=R$3,1,0))*OFFSET('Gastos com Pessoal'!$H$512,1,MATCH(5&amp;$B51,'Gastos com Pessoal'!$I$532:$AJ$532&amp;'Gastos com Pessoal'!$I$512:$AJ$512,0),10,1)),0)</f>
        <v>11348.399999999996</v>
      </c>
      <c r="S51" s="32">
        <f t="array" aca="1" ref="S51" ca="1">_xlfn.IFNA(SUM((S$3&gt;='Gastos com Pessoal'!$E$7:$E$506)*(S$3&lt;='Gastos com Pessoal'!$F$7:$F$506)*OFFSET('Encargos e Benefícios'!$D$5,1,MATCH($B51,'Encargos e Benefícios'!$E$5:$AB$5,0),500,1)),0)
+_xlfn.IFNA(SUM((S$3&gt;='Gastos com Pessoal'!$E$513:$E$522)*(S$3&lt;='Gastos com Pessoal'!$F$513:$F$522)*OFFSET('Encargos e Benefícios'!$D$511,1,MATCH($B51,'Encargos e Benefícios'!$E$511:$AB$511,0),10,1)),0)
+_xlfn.IFNA(SUM((S$3&gt;='Gastos com Pessoal'!$E$7:$E$506)*(S$3&lt;='Gastos com Pessoal'!$F$7:$F$506)*(IF('Gastos com Pessoal'!$G$7:$G$506&lt;=S$3,1,0))*OFFSET('Gastos com Pessoal'!$H$6,1,MATCH(1&amp;$B51,'Gastos com Pessoal'!$I$532:$AJ$532&amp;'Gastos com Pessoal'!$I$6:$AJ$6,0),500,1)),0)
+_xlfn.IFNA(SUM((S$3&gt;='Gastos com Pessoal'!$E$7:$E$506)*(S$3&lt;='Gastos com Pessoal'!$F$7:$F$506)*(IF('Gastos com Pessoal'!$M$7:$M$506&lt;=S$3,1,0))*OFFSET('Gastos com Pessoal'!$H$6,1,MATCH(2&amp;$B51,'Gastos com Pessoal'!$I$532:$AJ$532&amp;'Gastos com Pessoal'!$I$6:$AJ$6,0),500,1)),0)
+_xlfn.IFNA(SUM((S$3&gt;='Gastos com Pessoal'!$E$7:$E$506)*(S$3&lt;='Gastos com Pessoal'!$F$7:$F$506)*(IF('Gastos com Pessoal'!$S$7:$S$506&lt;=S$3,1,0))*OFFSET('Gastos com Pessoal'!$H$6,1,MATCH(3&amp;$B51,'Gastos com Pessoal'!$I$532:$AJ$532&amp;'Gastos com Pessoal'!$I$6:$AJ$6,0),500,1)),0)
+_xlfn.IFNA(SUM((S$3&gt;='Gastos com Pessoal'!$E$7:$E$506)*(S$3&lt;='Gastos com Pessoal'!$F$7:$F$506)*(IF('Gastos com Pessoal'!$Y$7:$Y$506&lt;=S$3,1,0))*OFFSET('Gastos com Pessoal'!$H$6,1,MATCH(4&amp;$B51,'Gastos com Pessoal'!$I$532:$AJ$532&amp;'Gastos com Pessoal'!$I$6:$AJ$6,0),500,1)),0)
+_xlfn.IFNA(SUM((S$3&gt;='Gastos com Pessoal'!$E$7:$E$506)*(S$3&lt;='Gastos com Pessoal'!$F$7:$F$506)*(IF('Gastos com Pessoal'!$AE$7:$AE$506&lt;=S$3,1,0))*OFFSET('Gastos com Pessoal'!$H$6,1,MATCH(5&amp;$B51,'Gastos com Pessoal'!$I$532:$AJ$532&amp;'Gastos com Pessoal'!$I$6:$AJ$6,0),500,1)),0)
+_xlfn.IFNA(SUM((S$3&gt;='Gastos com Pessoal'!$E$513:$E$522)*(S$3&lt;='Gastos com Pessoal'!$F$513:$F$522)*(IF('Gastos com Pessoal'!$G$513:$G$522&lt;=S$3,1,0))*OFFSET('Gastos com Pessoal'!$H$512,1,MATCH(1&amp;$B51,'Gastos com Pessoal'!$I$532:$AJ$532&amp;'Gastos com Pessoal'!$I$512:$AJ$512,0),10,1)),0)
+_xlfn.IFNA(SUM((S$3&gt;='Gastos com Pessoal'!$E$513:$E$522)*(S$3&lt;='Gastos com Pessoal'!$F$513:$F$522)*(IF('Gastos com Pessoal'!$M$513:$M$522&lt;=S$3,1,0))*OFFSET('Gastos com Pessoal'!$H$512,1,MATCH(2&amp;$B51,'Gastos com Pessoal'!$I$532:$AJ$532&amp;'Gastos com Pessoal'!$I$512:$AJ$512,0),10,1)),0)
+_xlfn.IFNA(SUM((S$3&gt;='Gastos com Pessoal'!$E$513:$E$522)*(S$3&lt;='Gastos com Pessoal'!$F$513:$F$522)*(IF('Gastos com Pessoal'!$S$513:$S$522&lt;=S$3,1,0))*OFFSET('Gastos com Pessoal'!$H$512,1,MATCH(3&amp;$B51,'Gastos com Pessoal'!$I$532:$AJ$532&amp;'Gastos com Pessoal'!$I$512:$AJ$512,0),10,1)),0)
+_xlfn.IFNA(SUM((S$3&gt;='Gastos com Pessoal'!$E$513:$E$522)*(S$3&lt;='Gastos com Pessoal'!$F$513:$F$522)*(IF('Gastos com Pessoal'!$Y$513:$Y$522&lt;=S$3,1,0))*OFFSET('Gastos com Pessoal'!$H$512,1,MATCH(4&amp;$B51,'Gastos com Pessoal'!$I$532:$AJ$532&amp;'Gastos com Pessoal'!$I$512:$AJ$512,0),10,1)),0)
+_xlfn.IFNA(SUM((S$3&gt;='Gastos com Pessoal'!$E$513:$E$522)*(S$3&lt;='Gastos com Pessoal'!$F$513:$F$522)*(IF('Gastos com Pessoal'!$AE$513:$AE$522&lt;=S$3,1,0))*OFFSET('Gastos com Pessoal'!$H$512,1,MATCH(5&amp;$B51,'Gastos com Pessoal'!$I$532:$AJ$532&amp;'Gastos com Pessoal'!$I$512:$AJ$512,0),10,1)),0)</f>
        <v>11348.399999999996</v>
      </c>
      <c r="T51" s="32">
        <f t="array" aca="1" ref="T51" ca="1">_xlfn.IFNA(SUM((T$3&gt;='Gastos com Pessoal'!$E$7:$E$506)*(T$3&lt;='Gastos com Pessoal'!$F$7:$F$506)*OFFSET('Encargos e Benefícios'!$D$5,1,MATCH($B51,'Encargos e Benefícios'!$E$5:$AB$5,0),500,1)),0)
+_xlfn.IFNA(SUM((T$3&gt;='Gastos com Pessoal'!$E$513:$E$522)*(T$3&lt;='Gastos com Pessoal'!$F$513:$F$522)*OFFSET('Encargos e Benefícios'!$D$511,1,MATCH($B51,'Encargos e Benefícios'!$E$511:$AB$511,0),10,1)),0)
+_xlfn.IFNA(SUM((T$3&gt;='Gastos com Pessoal'!$E$7:$E$506)*(T$3&lt;='Gastos com Pessoal'!$F$7:$F$506)*(IF('Gastos com Pessoal'!$G$7:$G$506&lt;=T$3,1,0))*OFFSET('Gastos com Pessoal'!$H$6,1,MATCH(1&amp;$B51,'Gastos com Pessoal'!$I$532:$AJ$532&amp;'Gastos com Pessoal'!$I$6:$AJ$6,0),500,1)),0)
+_xlfn.IFNA(SUM((T$3&gt;='Gastos com Pessoal'!$E$7:$E$506)*(T$3&lt;='Gastos com Pessoal'!$F$7:$F$506)*(IF('Gastos com Pessoal'!$M$7:$M$506&lt;=T$3,1,0))*OFFSET('Gastos com Pessoal'!$H$6,1,MATCH(2&amp;$B51,'Gastos com Pessoal'!$I$532:$AJ$532&amp;'Gastos com Pessoal'!$I$6:$AJ$6,0),500,1)),0)
+_xlfn.IFNA(SUM((T$3&gt;='Gastos com Pessoal'!$E$7:$E$506)*(T$3&lt;='Gastos com Pessoal'!$F$7:$F$506)*(IF('Gastos com Pessoal'!$S$7:$S$506&lt;=T$3,1,0))*OFFSET('Gastos com Pessoal'!$H$6,1,MATCH(3&amp;$B51,'Gastos com Pessoal'!$I$532:$AJ$532&amp;'Gastos com Pessoal'!$I$6:$AJ$6,0),500,1)),0)
+_xlfn.IFNA(SUM((T$3&gt;='Gastos com Pessoal'!$E$7:$E$506)*(T$3&lt;='Gastos com Pessoal'!$F$7:$F$506)*(IF('Gastos com Pessoal'!$Y$7:$Y$506&lt;=T$3,1,0))*OFFSET('Gastos com Pessoal'!$H$6,1,MATCH(4&amp;$B51,'Gastos com Pessoal'!$I$532:$AJ$532&amp;'Gastos com Pessoal'!$I$6:$AJ$6,0),500,1)),0)
+_xlfn.IFNA(SUM((T$3&gt;='Gastos com Pessoal'!$E$7:$E$506)*(T$3&lt;='Gastos com Pessoal'!$F$7:$F$506)*(IF('Gastos com Pessoal'!$AE$7:$AE$506&lt;=T$3,1,0))*OFFSET('Gastos com Pessoal'!$H$6,1,MATCH(5&amp;$B51,'Gastos com Pessoal'!$I$532:$AJ$532&amp;'Gastos com Pessoal'!$I$6:$AJ$6,0),500,1)),0)
+_xlfn.IFNA(SUM((T$3&gt;='Gastos com Pessoal'!$E$513:$E$522)*(T$3&lt;='Gastos com Pessoal'!$F$513:$F$522)*(IF('Gastos com Pessoal'!$G$513:$G$522&lt;=T$3,1,0))*OFFSET('Gastos com Pessoal'!$H$512,1,MATCH(1&amp;$B51,'Gastos com Pessoal'!$I$532:$AJ$532&amp;'Gastos com Pessoal'!$I$512:$AJ$512,0),10,1)),0)
+_xlfn.IFNA(SUM((T$3&gt;='Gastos com Pessoal'!$E$513:$E$522)*(T$3&lt;='Gastos com Pessoal'!$F$513:$F$522)*(IF('Gastos com Pessoal'!$M$513:$M$522&lt;=T$3,1,0))*OFFSET('Gastos com Pessoal'!$H$512,1,MATCH(2&amp;$B51,'Gastos com Pessoal'!$I$532:$AJ$532&amp;'Gastos com Pessoal'!$I$512:$AJ$512,0),10,1)),0)
+_xlfn.IFNA(SUM((T$3&gt;='Gastos com Pessoal'!$E$513:$E$522)*(T$3&lt;='Gastos com Pessoal'!$F$513:$F$522)*(IF('Gastos com Pessoal'!$S$513:$S$522&lt;=T$3,1,0))*OFFSET('Gastos com Pessoal'!$H$512,1,MATCH(3&amp;$B51,'Gastos com Pessoal'!$I$532:$AJ$532&amp;'Gastos com Pessoal'!$I$512:$AJ$512,0),10,1)),0)
+_xlfn.IFNA(SUM((T$3&gt;='Gastos com Pessoal'!$E$513:$E$522)*(T$3&lt;='Gastos com Pessoal'!$F$513:$F$522)*(IF('Gastos com Pessoal'!$Y$513:$Y$522&lt;=T$3,1,0))*OFFSET('Gastos com Pessoal'!$H$512,1,MATCH(4&amp;$B51,'Gastos com Pessoal'!$I$532:$AJ$532&amp;'Gastos com Pessoal'!$I$512:$AJ$512,0),10,1)),0)
+_xlfn.IFNA(SUM((T$3&gt;='Gastos com Pessoal'!$E$513:$E$522)*(T$3&lt;='Gastos com Pessoal'!$F$513:$F$522)*(IF('Gastos com Pessoal'!$AE$513:$AE$522&lt;=T$3,1,0))*OFFSET('Gastos com Pessoal'!$H$512,1,MATCH(5&amp;$B51,'Gastos com Pessoal'!$I$532:$AJ$532&amp;'Gastos com Pessoal'!$I$512:$AJ$512,0),10,1)),0)</f>
        <v>11348.399999999996</v>
      </c>
      <c r="U51" s="32">
        <f t="array" aca="1" ref="U51" ca="1">_xlfn.IFNA(SUM((U$3&gt;='Gastos com Pessoal'!$E$7:$E$506)*(U$3&lt;='Gastos com Pessoal'!$F$7:$F$506)*OFFSET('Encargos e Benefícios'!$D$5,1,MATCH($B51,'Encargos e Benefícios'!$E$5:$AB$5,0),500,1)),0)
+_xlfn.IFNA(SUM((U$3&gt;='Gastos com Pessoal'!$E$513:$E$522)*(U$3&lt;='Gastos com Pessoal'!$F$513:$F$522)*OFFSET('Encargos e Benefícios'!$D$511,1,MATCH($B51,'Encargos e Benefícios'!$E$511:$AB$511,0),10,1)),0)
+_xlfn.IFNA(SUM((U$3&gt;='Gastos com Pessoal'!$E$7:$E$506)*(U$3&lt;='Gastos com Pessoal'!$F$7:$F$506)*(IF('Gastos com Pessoal'!$G$7:$G$506&lt;=U$3,1,0))*OFFSET('Gastos com Pessoal'!$H$6,1,MATCH(1&amp;$B51,'Gastos com Pessoal'!$I$532:$AJ$532&amp;'Gastos com Pessoal'!$I$6:$AJ$6,0),500,1)),0)
+_xlfn.IFNA(SUM((U$3&gt;='Gastos com Pessoal'!$E$7:$E$506)*(U$3&lt;='Gastos com Pessoal'!$F$7:$F$506)*(IF('Gastos com Pessoal'!$M$7:$M$506&lt;=U$3,1,0))*OFFSET('Gastos com Pessoal'!$H$6,1,MATCH(2&amp;$B51,'Gastos com Pessoal'!$I$532:$AJ$532&amp;'Gastos com Pessoal'!$I$6:$AJ$6,0),500,1)),0)
+_xlfn.IFNA(SUM((U$3&gt;='Gastos com Pessoal'!$E$7:$E$506)*(U$3&lt;='Gastos com Pessoal'!$F$7:$F$506)*(IF('Gastos com Pessoal'!$S$7:$S$506&lt;=U$3,1,0))*OFFSET('Gastos com Pessoal'!$H$6,1,MATCH(3&amp;$B51,'Gastos com Pessoal'!$I$532:$AJ$532&amp;'Gastos com Pessoal'!$I$6:$AJ$6,0),500,1)),0)
+_xlfn.IFNA(SUM((U$3&gt;='Gastos com Pessoal'!$E$7:$E$506)*(U$3&lt;='Gastos com Pessoal'!$F$7:$F$506)*(IF('Gastos com Pessoal'!$Y$7:$Y$506&lt;=U$3,1,0))*OFFSET('Gastos com Pessoal'!$H$6,1,MATCH(4&amp;$B51,'Gastos com Pessoal'!$I$532:$AJ$532&amp;'Gastos com Pessoal'!$I$6:$AJ$6,0),500,1)),0)
+_xlfn.IFNA(SUM((U$3&gt;='Gastos com Pessoal'!$E$7:$E$506)*(U$3&lt;='Gastos com Pessoal'!$F$7:$F$506)*(IF('Gastos com Pessoal'!$AE$7:$AE$506&lt;=U$3,1,0))*OFFSET('Gastos com Pessoal'!$H$6,1,MATCH(5&amp;$B51,'Gastos com Pessoal'!$I$532:$AJ$532&amp;'Gastos com Pessoal'!$I$6:$AJ$6,0),500,1)),0)
+_xlfn.IFNA(SUM((U$3&gt;='Gastos com Pessoal'!$E$513:$E$522)*(U$3&lt;='Gastos com Pessoal'!$F$513:$F$522)*(IF('Gastos com Pessoal'!$G$513:$G$522&lt;=U$3,1,0))*OFFSET('Gastos com Pessoal'!$H$512,1,MATCH(1&amp;$B51,'Gastos com Pessoal'!$I$532:$AJ$532&amp;'Gastos com Pessoal'!$I$512:$AJ$512,0),10,1)),0)
+_xlfn.IFNA(SUM((U$3&gt;='Gastos com Pessoal'!$E$513:$E$522)*(U$3&lt;='Gastos com Pessoal'!$F$513:$F$522)*(IF('Gastos com Pessoal'!$M$513:$M$522&lt;=U$3,1,0))*OFFSET('Gastos com Pessoal'!$H$512,1,MATCH(2&amp;$B51,'Gastos com Pessoal'!$I$532:$AJ$532&amp;'Gastos com Pessoal'!$I$512:$AJ$512,0),10,1)),0)
+_xlfn.IFNA(SUM((U$3&gt;='Gastos com Pessoal'!$E$513:$E$522)*(U$3&lt;='Gastos com Pessoal'!$F$513:$F$522)*(IF('Gastos com Pessoal'!$S$513:$S$522&lt;=U$3,1,0))*OFFSET('Gastos com Pessoal'!$H$512,1,MATCH(3&amp;$B51,'Gastos com Pessoal'!$I$532:$AJ$532&amp;'Gastos com Pessoal'!$I$512:$AJ$512,0),10,1)),0)
+_xlfn.IFNA(SUM((U$3&gt;='Gastos com Pessoal'!$E$513:$E$522)*(U$3&lt;='Gastos com Pessoal'!$F$513:$F$522)*(IF('Gastos com Pessoal'!$Y$513:$Y$522&lt;=U$3,1,0))*OFFSET('Gastos com Pessoal'!$H$512,1,MATCH(4&amp;$B51,'Gastos com Pessoal'!$I$532:$AJ$532&amp;'Gastos com Pessoal'!$I$512:$AJ$512,0),10,1)),0)
+_xlfn.IFNA(SUM((U$3&gt;='Gastos com Pessoal'!$E$513:$E$522)*(U$3&lt;='Gastos com Pessoal'!$F$513:$F$522)*(IF('Gastos com Pessoal'!$AE$513:$AE$522&lt;=U$3,1,0))*OFFSET('Gastos com Pessoal'!$H$512,1,MATCH(5&amp;$B51,'Gastos com Pessoal'!$I$532:$AJ$532&amp;'Gastos com Pessoal'!$I$512:$AJ$512,0),10,1)),0)</f>
        <v>11348.399999999996</v>
      </c>
      <c r="V51" s="32">
        <f t="array" aca="1" ref="V51" ca="1">_xlfn.IFNA(SUM((V$3&gt;='Gastos com Pessoal'!$E$7:$E$506)*(V$3&lt;='Gastos com Pessoal'!$F$7:$F$506)*OFFSET('Encargos e Benefícios'!$D$5,1,MATCH($B51,'Encargos e Benefícios'!$E$5:$AB$5,0),500,1)),0)
+_xlfn.IFNA(SUM((V$3&gt;='Gastos com Pessoal'!$E$513:$E$522)*(V$3&lt;='Gastos com Pessoal'!$F$513:$F$522)*OFFSET('Encargos e Benefícios'!$D$511,1,MATCH($B51,'Encargos e Benefícios'!$E$511:$AB$511,0),10,1)),0)
+_xlfn.IFNA(SUM((V$3&gt;='Gastos com Pessoal'!$E$7:$E$506)*(V$3&lt;='Gastos com Pessoal'!$F$7:$F$506)*(IF('Gastos com Pessoal'!$G$7:$G$506&lt;=V$3,1,0))*OFFSET('Gastos com Pessoal'!$H$6,1,MATCH(1&amp;$B51,'Gastos com Pessoal'!$I$532:$AJ$532&amp;'Gastos com Pessoal'!$I$6:$AJ$6,0),500,1)),0)
+_xlfn.IFNA(SUM((V$3&gt;='Gastos com Pessoal'!$E$7:$E$506)*(V$3&lt;='Gastos com Pessoal'!$F$7:$F$506)*(IF('Gastos com Pessoal'!$M$7:$M$506&lt;=V$3,1,0))*OFFSET('Gastos com Pessoal'!$H$6,1,MATCH(2&amp;$B51,'Gastos com Pessoal'!$I$532:$AJ$532&amp;'Gastos com Pessoal'!$I$6:$AJ$6,0),500,1)),0)
+_xlfn.IFNA(SUM((V$3&gt;='Gastos com Pessoal'!$E$7:$E$506)*(V$3&lt;='Gastos com Pessoal'!$F$7:$F$506)*(IF('Gastos com Pessoal'!$S$7:$S$506&lt;=V$3,1,0))*OFFSET('Gastos com Pessoal'!$H$6,1,MATCH(3&amp;$B51,'Gastos com Pessoal'!$I$532:$AJ$532&amp;'Gastos com Pessoal'!$I$6:$AJ$6,0),500,1)),0)
+_xlfn.IFNA(SUM((V$3&gt;='Gastos com Pessoal'!$E$7:$E$506)*(V$3&lt;='Gastos com Pessoal'!$F$7:$F$506)*(IF('Gastos com Pessoal'!$Y$7:$Y$506&lt;=V$3,1,0))*OFFSET('Gastos com Pessoal'!$H$6,1,MATCH(4&amp;$B51,'Gastos com Pessoal'!$I$532:$AJ$532&amp;'Gastos com Pessoal'!$I$6:$AJ$6,0),500,1)),0)
+_xlfn.IFNA(SUM((V$3&gt;='Gastos com Pessoal'!$E$7:$E$506)*(V$3&lt;='Gastos com Pessoal'!$F$7:$F$506)*(IF('Gastos com Pessoal'!$AE$7:$AE$506&lt;=V$3,1,0))*OFFSET('Gastos com Pessoal'!$H$6,1,MATCH(5&amp;$B51,'Gastos com Pessoal'!$I$532:$AJ$532&amp;'Gastos com Pessoal'!$I$6:$AJ$6,0),500,1)),0)
+_xlfn.IFNA(SUM((V$3&gt;='Gastos com Pessoal'!$E$513:$E$522)*(V$3&lt;='Gastos com Pessoal'!$F$513:$F$522)*(IF('Gastos com Pessoal'!$G$513:$G$522&lt;=V$3,1,0))*OFFSET('Gastos com Pessoal'!$H$512,1,MATCH(1&amp;$B51,'Gastos com Pessoal'!$I$532:$AJ$532&amp;'Gastos com Pessoal'!$I$512:$AJ$512,0),10,1)),0)
+_xlfn.IFNA(SUM((V$3&gt;='Gastos com Pessoal'!$E$513:$E$522)*(V$3&lt;='Gastos com Pessoal'!$F$513:$F$522)*(IF('Gastos com Pessoal'!$M$513:$M$522&lt;=V$3,1,0))*OFFSET('Gastos com Pessoal'!$H$512,1,MATCH(2&amp;$B51,'Gastos com Pessoal'!$I$532:$AJ$532&amp;'Gastos com Pessoal'!$I$512:$AJ$512,0),10,1)),0)
+_xlfn.IFNA(SUM((V$3&gt;='Gastos com Pessoal'!$E$513:$E$522)*(V$3&lt;='Gastos com Pessoal'!$F$513:$F$522)*(IF('Gastos com Pessoal'!$S$513:$S$522&lt;=V$3,1,0))*OFFSET('Gastos com Pessoal'!$H$512,1,MATCH(3&amp;$B51,'Gastos com Pessoal'!$I$532:$AJ$532&amp;'Gastos com Pessoal'!$I$512:$AJ$512,0),10,1)),0)
+_xlfn.IFNA(SUM((V$3&gt;='Gastos com Pessoal'!$E$513:$E$522)*(V$3&lt;='Gastos com Pessoal'!$F$513:$F$522)*(IF('Gastos com Pessoal'!$Y$513:$Y$522&lt;=V$3,1,0))*OFFSET('Gastos com Pessoal'!$H$512,1,MATCH(4&amp;$B51,'Gastos com Pessoal'!$I$532:$AJ$532&amp;'Gastos com Pessoal'!$I$512:$AJ$512,0),10,1)),0)
+_xlfn.IFNA(SUM((V$3&gt;='Gastos com Pessoal'!$E$513:$E$522)*(V$3&lt;='Gastos com Pessoal'!$F$513:$F$522)*(IF('Gastos com Pessoal'!$AE$513:$AE$522&lt;=V$3,1,0))*OFFSET('Gastos com Pessoal'!$H$512,1,MATCH(5&amp;$B51,'Gastos com Pessoal'!$I$532:$AJ$532&amp;'Gastos com Pessoal'!$I$512:$AJ$512,0),10,1)),0)</f>
        <v>11348.399999999996</v>
      </c>
      <c r="W51" s="32">
        <f t="array" aca="1" ref="W51" ca="1">_xlfn.IFNA(SUM((W$3&gt;='Gastos com Pessoal'!$E$7:$E$506)*(W$3&lt;='Gastos com Pessoal'!$F$7:$F$506)*OFFSET('Encargos e Benefícios'!$D$5,1,MATCH($B51,'Encargos e Benefícios'!$E$5:$AB$5,0),500,1)),0)
+_xlfn.IFNA(SUM((W$3&gt;='Gastos com Pessoal'!$E$513:$E$522)*(W$3&lt;='Gastos com Pessoal'!$F$513:$F$522)*OFFSET('Encargos e Benefícios'!$D$511,1,MATCH($B51,'Encargos e Benefícios'!$E$511:$AB$511,0),10,1)),0)
+_xlfn.IFNA(SUM((W$3&gt;='Gastos com Pessoal'!$E$7:$E$506)*(W$3&lt;='Gastos com Pessoal'!$F$7:$F$506)*(IF('Gastos com Pessoal'!$G$7:$G$506&lt;=W$3,1,0))*OFFSET('Gastos com Pessoal'!$H$6,1,MATCH(1&amp;$B51,'Gastos com Pessoal'!$I$532:$AJ$532&amp;'Gastos com Pessoal'!$I$6:$AJ$6,0),500,1)),0)
+_xlfn.IFNA(SUM((W$3&gt;='Gastos com Pessoal'!$E$7:$E$506)*(W$3&lt;='Gastos com Pessoal'!$F$7:$F$506)*(IF('Gastos com Pessoal'!$M$7:$M$506&lt;=W$3,1,0))*OFFSET('Gastos com Pessoal'!$H$6,1,MATCH(2&amp;$B51,'Gastos com Pessoal'!$I$532:$AJ$532&amp;'Gastos com Pessoal'!$I$6:$AJ$6,0),500,1)),0)
+_xlfn.IFNA(SUM((W$3&gt;='Gastos com Pessoal'!$E$7:$E$506)*(W$3&lt;='Gastos com Pessoal'!$F$7:$F$506)*(IF('Gastos com Pessoal'!$S$7:$S$506&lt;=W$3,1,0))*OFFSET('Gastos com Pessoal'!$H$6,1,MATCH(3&amp;$B51,'Gastos com Pessoal'!$I$532:$AJ$532&amp;'Gastos com Pessoal'!$I$6:$AJ$6,0),500,1)),0)
+_xlfn.IFNA(SUM((W$3&gt;='Gastos com Pessoal'!$E$7:$E$506)*(W$3&lt;='Gastos com Pessoal'!$F$7:$F$506)*(IF('Gastos com Pessoal'!$Y$7:$Y$506&lt;=W$3,1,0))*OFFSET('Gastos com Pessoal'!$H$6,1,MATCH(4&amp;$B51,'Gastos com Pessoal'!$I$532:$AJ$532&amp;'Gastos com Pessoal'!$I$6:$AJ$6,0),500,1)),0)
+_xlfn.IFNA(SUM((W$3&gt;='Gastos com Pessoal'!$E$7:$E$506)*(W$3&lt;='Gastos com Pessoal'!$F$7:$F$506)*(IF('Gastos com Pessoal'!$AE$7:$AE$506&lt;=W$3,1,0))*OFFSET('Gastos com Pessoal'!$H$6,1,MATCH(5&amp;$B51,'Gastos com Pessoal'!$I$532:$AJ$532&amp;'Gastos com Pessoal'!$I$6:$AJ$6,0),500,1)),0)
+_xlfn.IFNA(SUM((W$3&gt;='Gastos com Pessoal'!$E$513:$E$522)*(W$3&lt;='Gastos com Pessoal'!$F$513:$F$522)*(IF('Gastos com Pessoal'!$G$513:$G$522&lt;=W$3,1,0))*OFFSET('Gastos com Pessoal'!$H$512,1,MATCH(1&amp;$B51,'Gastos com Pessoal'!$I$532:$AJ$532&amp;'Gastos com Pessoal'!$I$512:$AJ$512,0),10,1)),0)
+_xlfn.IFNA(SUM((W$3&gt;='Gastos com Pessoal'!$E$513:$E$522)*(W$3&lt;='Gastos com Pessoal'!$F$513:$F$522)*(IF('Gastos com Pessoal'!$M$513:$M$522&lt;=W$3,1,0))*OFFSET('Gastos com Pessoal'!$H$512,1,MATCH(2&amp;$B51,'Gastos com Pessoal'!$I$532:$AJ$532&amp;'Gastos com Pessoal'!$I$512:$AJ$512,0),10,1)),0)
+_xlfn.IFNA(SUM((W$3&gt;='Gastos com Pessoal'!$E$513:$E$522)*(W$3&lt;='Gastos com Pessoal'!$F$513:$F$522)*(IF('Gastos com Pessoal'!$S$513:$S$522&lt;=W$3,1,0))*OFFSET('Gastos com Pessoal'!$H$512,1,MATCH(3&amp;$B51,'Gastos com Pessoal'!$I$532:$AJ$532&amp;'Gastos com Pessoal'!$I$512:$AJ$512,0),10,1)),0)
+_xlfn.IFNA(SUM((W$3&gt;='Gastos com Pessoal'!$E$513:$E$522)*(W$3&lt;='Gastos com Pessoal'!$F$513:$F$522)*(IF('Gastos com Pessoal'!$Y$513:$Y$522&lt;=W$3,1,0))*OFFSET('Gastos com Pessoal'!$H$512,1,MATCH(4&amp;$B51,'Gastos com Pessoal'!$I$532:$AJ$532&amp;'Gastos com Pessoal'!$I$512:$AJ$512,0),10,1)),0)
+_xlfn.IFNA(SUM((W$3&gt;='Gastos com Pessoal'!$E$513:$E$522)*(W$3&lt;='Gastos com Pessoal'!$F$513:$F$522)*(IF('Gastos com Pessoal'!$AE$513:$AE$522&lt;=W$3,1,0))*OFFSET('Gastos com Pessoal'!$H$512,1,MATCH(5&amp;$B51,'Gastos com Pessoal'!$I$532:$AJ$532&amp;'Gastos com Pessoal'!$I$512:$AJ$512,0),10,1)),0)</f>
        <v>11348.399999999996</v>
      </c>
      <c r="X51" s="32">
        <f t="array" aca="1" ref="X51" ca="1">_xlfn.IFNA(SUM((X$3&gt;='Gastos com Pessoal'!$E$7:$E$506)*(X$3&lt;='Gastos com Pessoal'!$F$7:$F$506)*OFFSET('Encargos e Benefícios'!$D$5,1,MATCH($B51,'Encargos e Benefícios'!$E$5:$AB$5,0),500,1)),0)
+_xlfn.IFNA(SUM((X$3&gt;='Gastos com Pessoal'!$E$513:$E$522)*(X$3&lt;='Gastos com Pessoal'!$F$513:$F$522)*OFFSET('Encargos e Benefícios'!$D$511,1,MATCH($B51,'Encargos e Benefícios'!$E$511:$AB$511,0),10,1)),0)
+_xlfn.IFNA(SUM((X$3&gt;='Gastos com Pessoal'!$E$7:$E$506)*(X$3&lt;='Gastos com Pessoal'!$F$7:$F$506)*(IF('Gastos com Pessoal'!$G$7:$G$506&lt;=X$3,1,0))*OFFSET('Gastos com Pessoal'!$H$6,1,MATCH(1&amp;$B51,'Gastos com Pessoal'!$I$532:$AJ$532&amp;'Gastos com Pessoal'!$I$6:$AJ$6,0),500,1)),0)
+_xlfn.IFNA(SUM((X$3&gt;='Gastos com Pessoal'!$E$7:$E$506)*(X$3&lt;='Gastos com Pessoal'!$F$7:$F$506)*(IF('Gastos com Pessoal'!$M$7:$M$506&lt;=X$3,1,0))*OFFSET('Gastos com Pessoal'!$H$6,1,MATCH(2&amp;$B51,'Gastos com Pessoal'!$I$532:$AJ$532&amp;'Gastos com Pessoal'!$I$6:$AJ$6,0),500,1)),0)
+_xlfn.IFNA(SUM((X$3&gt;='Gastos com Pessoal'!$E$7:$E$506)*(X$3&lt;='Gastos com Pessoal'!$F$7:$F$506)*(IF('Gastos com Pessoal'!$S$7:$S$506&lt;=X$3,1,0))*OFFSET('Gastos com Pessoal'!$H$6,1,MATCH(3&amp;$B51,'Gastos com Pessoal'!$I$532:$AJ$532&amp;'Gastos com Pessoal'!$I$6:$AJ$6,0),500,1)),0)
+_xlfn.IFNA(SUM((X$3&gt;='Gastos com Pessoal'!$E$7:$E$506)*(X$3&lt;='Gastos com Pessoal'!$F$7:$F$506)*(IF('Gastos com Pessoal'!$Y$7:$Y$506&lt;=X$3,1,0))*OFFSET('Gastos com Pessoal'!$H$6,1,MATCH(4&amp;$B51,'Gastos com Pessoal'!$I$532:$AJ$532&amp;'Gastos com Pessoal'!$I$6:$AJ$6,0),500,1)),0)
+_xlfn.IFNA(SUM((X$3&gt;='Gastos com Pessoal'!$E$7:$E$506)*(X$3&lt;='Gastos com Pessoal'!$F$7:$F$506)*(IF('Gastos com Pessoal'!$AE$7:$AE$506&lt;=X$3,1,0))*OFFSET('Gastos com Pessoal'!$H$6,1,MATCH(5&amp;$B51,'Gastos com Pessoal'!$I$532:$AJ$532&amp;'Gastos com Pessoal'!$I$6:$AJ$6,0),500,1)),0)
+_xlfn.IFNA(SUM((X$3&gt;='Gastos com Pessoal'!$E$513:$E$522)*(X$3&lt;='Gastos com Pessoal'!$F$513:$F$522)*(IF('Gastos com Pessoal'!$G$513:$G$522&lt;=X$3,1,0))*OFFSET('Gastos com Pessoal'!$H$512,1,MATCH(1&amp;$B51,'Gastos com Pessoal'!$I$532:$AJ$532&amp;'Gastos com Pessoal'!$I$512:$AJ$512,0),10,1)),0)
+_xlfn.IFNA(SUM((X$3&gt;='Gastos com Pessoal'!$E$513:$E$522)*(X$3&lt;='Gastos com Pessoal'!$F$513:$F$522)*(IF('Gastos com Pessoal'!$M$513:$M$522&lt;=X$3,1,0))*OFFSET('Gastos com Pessoal'!$H$512,1,MATCH(2&amp;$B51,'Gastos com Pessoal'!$I$532:$AJ$532&amp;'Gastos com Pessoal'!$I$512:$AJ$512,0),10,1)),0)
+_xlfn.IFNA(SUM((X$3&gt;='Gastos com Pessoal'!$E$513:$E$522)*(X$3&lt;='Gastos com Pessoal'!$F$513:$F$522)*(IF('Gastos com Pessoal'!$S$513:$S$522&lt;=X$3,1,0))*OFFSET('Gastos com Pessoal'!$H$512,1,MATCH(3&amp;$B51,'Gastos com Pessoal'!$I$532:$AJ$532&amp;'Gastos com Pessoal'!$I$512:$AJ$512,0),10,1)),0)
+_xlfn.IFNA(SUM((X$3&gt;='Gastos com Pessoal'!$E$513:$E$522)*(X$3&lt;='Gastos com Pessoal'!$F$513:$F$522)*(IF('Gastos com Pessoal'!$Y$513:$Y$522&lt;=X$3,1,0))*OFFSET('Gastos com Pessoal'!$H$512,1,MATCH(4&amp;$B51,'Gastos com Pessoal'!$I$532:$AJ$532&amp;'Gastos com Pessoal'!$I$512:$AJ$512,0),10,1)),0)
+_xlfn.IFNA(SUM((X$3&gt;='Gastos com Pessoal'!$E$513:$E$522)*(X$3&lt;='Gastos com Pessoal'!$F$513:$F$522)*(IF('Gastos com Pessoal'!$AE$513:$AE$522&lt;=X$3,1,0))*OFFSET('Gastos com Pessoal'!$H$512,1,MATCH(5&amp;$B51,'Gastos com Pessoal'!$I$532:$AJ$532&amp;'Gastos com Pessoal'!$I$512:$AJ$512,0),10,1)),0)</f>
        <v>11348.399999999996</v>
      </c>
      <c r="Y51" s="32">
        <f t="array" aca="1" ref="Y51" ca="1">_xlfn.IFNA(SUM((Y$3&gt;='Gastos com Pessoal'!$E$7:$E$506)*(Y$3&lt;='Gastos com Pessoal'!$F$7:$F$506)*OFFSET('Encargos e Benefícios'!$D$5,1,MATCH($B51,'Encargos e Benefícios'!$E$5:$AB$5,0),500,1)),0)
+_xlfn.IFNA(SUM((Y$3&gt;='Gastos com Pessoal'!$E$513:$E$522)*(Y$3&lt;='Gastos com Pessoal'!$F$513:$F$522)*OFFSET('Encargos e Benefícios'!$D$511,1,MATCH($B51,'Encargos e Benefícios'!$E$511:$AB$511,0),10,1)),0)
+_xlfn.IFNA(SUM((Y$3&gt;='Gastos com Pessoal'!$E$7:$E$506)*(Y$3&lt;='Gastos com Pessoal'!$F$7:$F$506)*(IF('Gastos com Pessoal'!$G$7:$G$506&lt;=Y$3,1,0))*OFFSET('Gastos com Pessoal'!$H$6,1,MATCH(1&amp;$B51,'Gastos com Pessoal'!$I$532:$AJ$532&amp;'Gastos com Pessoal'!$I$6:$AJ$6,0),500,1)),0)
+_xlfn.IFNA(SUM((Y$3&gt;='Gastos com Pessoal'!$E$7:$E$506)*(Y$3&lt;='Gastos com Pessoal'!$F$7:$F$506)*(IF('Gastos com Pessoal'!$M$7:$M$506&lt;=Y$3,1,0))*OFFSET('Gastos com Pessoal'!$H$6,1,MATCH(2&amp;$B51,'Gastos com Pessoal'!$I$532:$AJ$532&amp;'Gastos com Pessoal'!$I$6:$AJ$6,0),500,1)),0)
+_xlfn.IFNA(SUM((Y$3&gt;='Gastos com Pessoal'!$E$7:$E$506)*(Y$3&lt;='Gastos com Pessoal'!$F$7:$F$506)*(IF('Gastos com Pessoal'!$S$7:$S$506&lt;=Y$3,1,0))*OFFSET('Gastos com Pessoal'!$H$6,1,MATCH(3&amp;$B51,'Gastos com Pessoal'!$I$532:$AJ$532&amp;'Gastos com Pessoal'!$I$6:$AJ$6,0),500,1)),0)
+_xlfn.IFNA(SUM((Y$3&gt;='Gastos com Pessoal'!$E$7:$E$506)*(Y$3&lt;='Gastos com Pessoal'!$F$7:$F$506)*(IF('Gastos com Pessoal'!$Y$7:$Y$506&lt;=Y$3,1,0))*OFFSET('Gastos com Pessoal'!$H$6,1,MATCH(4&amp;$B51,'Gastos com Pessoal'!$I$532:$AJ$532&amp;'Gastos com Pessoal'!$I$6:$AJ$6,0),500,1)),0)
+_xlfn.IFNA(SUM((Y$3&gt;='Gastos com Pessoal'!$E$7:$E$506)*(Y$3&lt;='Gastos com Pessoal'!$F$7:$F$506)*(IF('Gastos com Pessoal'!$AE$7:$AE$506&lt;=Y$3,1,0))*OFFSET('Gastos com Pessoal'!$H$6,1,MATCH(5&amp;$B51,'Gastos com Pessoal'!$I$532:$AJ$532&amp;'Gastos com Pessoal'!$I$6:$AJ$6,0),500,1)),0)
+_xlfn.IFNA(SUM((Y$3&gt;='Gastos com Pessoal'!$E$513:$E$522)*(Y$3&lt;='Gastos com Pessoal'!$F$513:$F$522)*(IF('Gastos com Pessoal'!$G$513:$G$522&lt;=Y$3,1,0))*OFFSET('Gastos com Pessoal'!$H$512,1,MATCH(1&amp;$B51,'Gastos com Pessoal'!$I$532:$AJ$532&amp;'Gastos com Pessoal'!$I$512:$AJ$512,0),10,1)),0)
+_xlfn.IFNA(SUM((Y$3&gt;='Gastos com Pessoal'!$E$513:$E$522)*(Y$3&lt;='Gastos com Pessoal'!$F$513:$F$522)*(IF('Gastos com Pessoal'!$M$513:$M$522&lt;=Y$3,1,0))*OFFSET('Gastos com Pessoal'!$H$512,1,MATCH(2&amp;$B51,'Gastos com Pessoal'!$I$532:$AJ$532&amp;'Gastos com Pessoal'!$I$512:$AJ$512,0),10,1)),0)
+_xlfn.IFNA(SUM((Y$3&gt;='Gastos com Pessoal'!$E$513:$E$522)*(Y$3&lt;='Gastos com Pessoal'!$F$513:$F$522)*(IF('Gastos com Pessoal'!$S$513:$S$522&lt;=Y$3,1,0))*OFFSET('Gastos com Pessoal'!$H$512,1,MATCH(3&amp;$B51,'Gastos com Pessoal'!$I$532:$AJ$532&amp;'Gastos com Pessoal'!$I$512:$AJ$512,0),10,1)),0)
+_xlfn.IFNA(SUM((Y$3&gt;='Gastos com Pessoal'!$E$513:$E$522)*(Y$3&lt;='Gastos com Pessoal'!$F$513:$F$522)*(IF('Gastos com Pessoal'!$Y$513:$Y$522&lt;=Y$3,1,0))*OFFSET('Gastos com Pessoal'!$H$512,1,MATCH(4&amp;$B51,'Gastos com Pessoal'!$I$532:$AJ$532&amp;'Gastos com Pessoal'!$I$512:$AJ$512,0),10,1)),0)
+_xlfn.IFNA(SUM((Y$3&gt;='Gastos com Pessoal'!$E$513:$E$522)*(Y$3&lt;='Gastos com Pessoal'!$F$513:$F$522)*(IF('Gastos com Pessoal'!$AE$513:$AE$522&lt;=Y$3,1,0))*OFFSET('Gastos com Pessoal'!$H$512,1,MATCH(5&amp;$B51,'Gastos com Pessoal'!$I$532:$AJ$532&amp;'Gastos com Pessoal'!$I$512:$AJ$512,0),10,1)),0)</f>
        <v>11348.399999999996</v>
      </c>
      <c r="Z51" s="32">
        <f t="array" aca="1" ref="Z51" ca="1">_xlfn.IFNA(SUM((Z$3&gt;='Gastos com Pessoal'!$E$7:$E$506)*(Z$3&lt;='Gastos com Pessoal'!$F$7:$F$506)*OFFSET('Encargos e Benefícios'!$D$5,1,MATCH($B51,'Encargos e Benefícios'!$E$5:$AB$5,0),500,1)),0)
+_xlfn.IFNA(SUM((Z$3&gt;='Gastos com Pessoal'!$E$513:$E$522)*(Z$3&lt;='Gastos com Pessoal'!$F$513:$F$522)*OFFSET('Encargos e Benefícios'!$D$511,1,MATCH($B51,'Encargos e Benefícios'!$E$511:$AB$511,0),10,1)),0)
+_xlfn.IFNA(SUM((Z$3&gt;='Gastos com Pessoal'!$E$7:$E$506)*(Z$3&lt;='Gastos com Pessoal'!$F$7:$F$506)*(IF('Gastos com Pessoal'!$G$7:$G$506&lt;=Z$3,1,0))*OFFSET('Gastos com Pessoal'!$H$6,1,MATCH(1&amp;$B51,'Gastos com Pessoal'!$I$532:$AJ$532&amp;'Gastos com Pessoal'!$I$6:$AJ$6,0),500,1)),0)
+_xlfn.IFNA(SUM((Z$3&gt;='Gastos com Pessoal'!$E$7:$E$506)*(Z$3&lt;='Gastos com Pessoal'!$F$7:$F$506)*(IF('Gastos com Pessoal'!$M$7:$M$506&lt;=Z$3,1,0))*OFFSET('Gastos com Pessoal'!$H$6,1,MATCH(2&amp;$B51,'Gastos com Pessoal'!$I$532:$AJ$532&amp;'Gastos com Pessoal'!$I$6:$AJ$6,0),500,1)),0)
+_xlfn.IFNA(SUM((Z$3&gt;='Gastos com Pessoal'!$E$7:$E$506)*(Z$3&lt;='Gastos com Pessoal'!$F$7:$F$506)*(IF('Gastos com Pessoal'!$S$7:$S$506&lt;=Z$3,1,0))*OFFSET('Gastos com Pessoal'!$H$6,1,MATCH(3&amp;$B51,'Gastos com Pessoal'!$I$532:$AJ$532&amp;'Gastos com Pessoal'!$I$6:$AJ$6,0),500,1)),0)
+_xlfn.IFNA(SUM((Z$3&gt;='Gastos com Pessoal'!$E$7:$E$506)*(Z$3&lt;='Gastos com Pessoal'!$F$7:$F$506)*(IF('Gastos com Pessoal'!$Y$7:$Y$506&lt;=Z$3,1,0))*OFFSET('Gastos com Pessoal'!$H$6,1,MATCH(4&amp;$B51,'Gastos com Pessoal'!$I$532:$AJ$532&amp;'Gastos com Pessoal'!$I$6:$AJ$6,0),500,1)),0)
+_xlfn.IFNA(SUM((Z$3&gt;='Gastos com Pessoal'!$E$7:$E$506)*(Z$3&lt;='Gastos com Pessoal'!$F$7:$F$506)*(IF('Gastos com Pessoal'!$AE$7:$AE$506&lt;=Z$3,1,0))*OFFSET('Gastos com Pessoal'!$H$6,1,MATCH(5&amp;$B51,'Gastos com Pessoal'!$I$532:$AJ$532&amp;'Gastos com Pessoal'!$I$6:$AJ$6,0),500,1)),0)
+_xlfn.IFNA(SUM((Z$3&gt;='Gastos com Pessoal'!$E$513:$E$522)*(Z$3&lt;='Gastos com Pessoal'!$F$513:$F$522)*(IF('Gastos com Pessoal'!$G$513:$G$522&lt;=Z$3,1,0))*OFFSET('Gastos com Pessoal'!$H$512,1,MATCH(1&amp;$B51,'Gastos com Pessoal'!$I$532:$AJ$532&amp;'Gastos com Pessoal'!$I$512:$AJ$512,0),10,1)),0)
+_xlfn.IFNA(SUM((Z$3&gt;='Gastos com Pessoal'!$E$513:$E$522)*(Z$3&lt;='Gastos com Pessoal'!$F$513:$F$522)*(IF('Gastos com Pessoal'!$M$513:$M$522&lt;=Z$3,1,0))*OFFSET('Gastos com Pessoal'!$H$512,1,MATCH(2&amp;$B51,'Gastos com Pessoal'!$I$532:$AJ$532&amp;'Gastos com Pessoal'!$I$512:$AJ$512,0),10,1)),0)
+_xlfn.IFNA(SUM((Z$3&gt;='Gastos com Pessoal'!$E$513:$E$522)*(Z$3&lt;='Gastos com Pessoal'!$F$513:$F$522)*(IF('Gastos com Pessoal'!$S$513:$S$522&lt;=Z$3,1,0))*OFFSET('Gastos com Pessoal'!$H$512,1,MATCH(3&amp;$B51,'Gastos com Pessoal'!$I$532:$AJ$532&amp;'Gastos com Pessoal'!$I$512:$AJ$512,0),10,1)),0)
+_xlfn.IFNA(SUM((Z$3&gt;='Gastos com Pessoal'!$E$513:$E$522)*(Z$3&lt;='Gastos com Pessoal'!$F$513:$F$522)*(IF('Gastos com Pessoal'!$Y$513:$Y$522&lt;=Z$3,1,0))*OFFSET('Gastos com Pessoal'!$H$512,1,MATCH(4&amp;$B51,'Gastos com Pessoal'!$I$532:$AJ$532&amp;'Gastos com Pessoal'!$I$512:$AJ$512,0),10,1)),0)
+_xlfn.IFNA(SUM((Z$3&gt;='Gastos com Pessoal'!$E$513:$E$522)*(Z$3&lt;='Gastos com Pessoal'!$F$513:$F$522)*(IF('Gastos com Pessoal'!$AE$513:$AE$522&lt;=Z$3,1,0))*OFFSET('Gastos com Pessoal'!$H$512,1,MATCH(5&amp;$B51,'Gastos com Pessoal'!$I$532:$AJ$532&amp;'Gastos com Pessoal'!$I$512:$AJ$512,0),10,1)),0)</f>
        <v>11348.399999999996</v>
      </c>
      <c r="AA51" s="32">
        <f t="array" aca="1" ref="AA51" ca="1">_xlfn.IFNA(SUM((AA$3&gt;='Gastos com Pessoal'!$E$7:$E$506)*(AA$3&lt;='Gastos com Pessoal'!$F$7:$F$506)*OFFSET('Encargos e Benefícios'!$D$5,1,MATCH($B51,'Encargos e Benefícios'!$E$5:$AB$5,0),500,1)),0)
+_xlfn.IFNA(SUM((AA$3&gt;='Gastos com Pessoal'!$E$513:$E$522)*(AA$3&lt;='Gastos com Pessoal'!$F$513:$F$522)*OFFSET('Encargos e Benefícios'!$D$511,1,MATCH($B51,'Encargos e Benefícios'!$E$511:$AB$511,0),10,1)),0)
+_xlfn.IFNA(SUM((AA$3&gt;='Gastos com Pessoal'!$E$7:$E$506)*(AA$3&lt;='Gastos com Pessoal'!$F$7:$F$506)*(IF('Gastos com Pessoal'!$G$7:$G$506&lt;=AA$3,1,0))*OFFSET('Gastos com Pessoal'!$H$6,1,MATCH(1&amp;$B51,'Gastos com Pessoal'!$I$532:$AJ$532&amp;'Gastos com Pessoal'!$I$6:$AJ$6,0),500,1)),0)
+_xlfn.IFNA(SUM((AA$3&gt;='Gastos com Pessoal'!$E$7:$E$506)*(AA$3&lt;='Gastos com Pessoal'!$F$7:$F$506)*(IF('Gastos com Pessoal'!$M$7:$M$506&lt;=AA$3,1,0))*OFFSET('Gastos com Pessoal'!$H$6,1,MATCH(2&amp;$B51,'Gastos com Pessoal'!$I$532:$AJ$532&amp;'Gastos com Pessoal'!$I$6:$AJ$6,0),500,1)),0)
+_xlfn.IFNA(SUM((AA$3&gt;='Gastos com Pessoal'!$E$7:$E$506)*(AA$3&lt;='Gastos com Pessoal'!$F$7:$F$506)*(IF('Gastos com Pessoal'!$S$7:$S$506&lt;=AA$3,1,0))*OFFSET('Gastos com Pessoal'!$H$6,1,MATCH(3&amp;$B51,'Gastos com Pessoal'!$I$532:$AJ$532&amp;'Gastos com Pessoal'!$I$6:$AJ$6,0),500,1)),0)
+_xlfn.IFNA(SUM((AA$3&gt;='Gastos com Pessoal'!$E$7:$E$506)*(AA$3&lt;='Gastos com Pessoal'!$F$7:$F$506)*(IF('Gastos com Pessoal'!$Y$7:$Y$506&lt;=AA$3,1,0))*OFFSET('Gastos com Pessoal'!$H$6,1,MATCH(4&amp;$B51,'Gastos com Pessoal'!$I$532:$AJ$532&amp;'Gastos com Pessoal'!$I$6:$AJ$6,0),500,1)),0)
+_xlfn.IFNA(SUM((AA$3&gt;='Gastos com Pessoal'!$E$7:$E$506)*(AA$3&lt;='Gastos com Pessoal'!$F$7:$F$506)*(IF('Gastos com Pessoal'!$AE$7:$AE$506&lt;=AA$3,1,0))*OFFSET('Gastos com Pessoal'!$H$6,1,MATCH(5&amp;$B51,'Gastos com Pessoal'!$I$532:$AJ$532&amp;'Gastos com Pessoal'!$I$6:$AJ$6,0),500,1)),0)
+_xlfn.IFNA(SUM((AA$3&gt;='Gastos com Pessoal'!$E$513:$E$522)*(AA$3&lt;='Gastos com Pessoal'!$F$513:$F$522)*(IF('Gastos com Pessoal'!$G$513:$G$522&lt;=AA$3,1,0))*OFFSET('Gastos com Pessoal'!$H$512,1,MATCH(1&amp;$B51,'Gastos com Pessoal'!$I$532:$AJ$532&amp;'Gastos com Pessoal'!$I$512:$AJ$512,0),10,1)),0)
+_xlfn.IFNA(SUM((AA$3&gt;='Gastos com Pessoal'!$E$513:$E$522)*(AA$3&lt;='Gastos com Pessoal'!$F$513:$F$522)*(IF('Gastos com Pessoal'!$M$513:$M$522&lt;=AA$3,1,0))*OFFSET('Gastos com Pessoal'!$H$512,1,MATCH(2&amp;$B51,'Gastos com Pessoal'!$I$532:$AJ$532&amp;'Gastos com Pessoal'!$I$512:$AJ$512,0),10,1)),0)
+_xlfn.IFNA(SUM((AA$3&gt;='Gastos com Pessoal'!$E$513:$E$522)*(AA$3&lt;='Gastos com Pessoal'!$F$513:$F$522)*(IF('Gastos com Pessoal'!$S$513:$S$522&lt;=AA$3,1,0))*OFFSET('Gastos com Pessoal'!$H$512,1,MATCH(3&amp;$B51,'Gastos com Pessoal'!$I$532:$AJ$532&amp;'Gastos com Pessoal'!$I$512:$AJ$512,0),10,1)),0)
+_xlfn.IFNA(SUM((AA$3&gt;='Gastos com Pessoal'!$E$513:$E$522)*(AA$3&lt;='Gastos com Pessoal'!$F$513:$F$522)*(IF('Gastos com Pessoal'!$Y$513:$Y$522&lt;=AA$3,1,0))*OFFSET('Gastos com Pessoal'!$H$512,1,MATCH(4&amp;$B51,'Gastos com Pessoal'!$I$532:$AJ$532&amp;'Gastos com Pessoal'!$I$512:$AJ$512,0),10,1)),0)
+_xlfn.IFNA(SUM((AA$3&gt;='Gastos com Pessoal'!$E$513:$E$522)*(AA$3&lt;='Gastos com Pessoal'!$F$513:$F$522)*(IF('Gastos com Pessoal'!$AE$513:$AE$522&lt;=AA$3,1,0))*OFFSET('Gastos com Pessoal'!$H$512,1,MATCH(5&amp;$B51,'Gastos com Pessoal'!$I$532:$AJ$532&amp;'Gastos com Pessoal'!$I$512:$AJ$512,0),10,1)),0)</f>
        <v>11348.399999999996</v>
      </c>
      <c r="AB51" s="32">
        <f t="array" aca="1" ref="AB51" ca="1">_xlfn.IFNA(SUM((AB$3&gt;='Gastos com Pessoal'!$E$7:$E$506)*(AB$3&lt;='Gastos com Pessoal'!$F$7:$F$506)*OFFSET('Encargos e Benefícios'!$D$5,1,MATCH($B51,'Encargos e Benefícios'!$E$5:$AB$5,0),500,1)),0)
+_xlfn.IFNA(SUM((AB$3&gt;='Gastos com Pessoal'!$E$513:$E$522)*(AB$3&lt;='Gastos com Pessoal'!$F$513:$F$522)*OFFSET('Encargos e Benefícios'!$D$511,1,MATCH($B51,'Encargos e Benefícios'!$E$511:$AB$511,0),10,1)),0)
+_xlfn.IFNA(SUM((AB$3&gt;='Gastos com Pessoal'!$E$7:$E$506)*(AB$3&lt;='Gastos com Pessoal'!$F$7:$F$506)*(IF('Gastos com Pessoal'!$G$7:$G$506&lt;=AB$3,1,0))*OFFSET('Gastos com Pessoal'!$H$6,1,MATCH(1&amp;$B51,'Gastos com Pessoal'!$I$532:$AJ$532&amp;'Gastos com Pessoal'!$I$6:$AJ$6,0),500,1)),0)
+_xlfn.IFNA(SUM((AB$3&gt;='Gastos com Pessoal'!$E$7:$E$506)*(AB$3&lt;='Gastos com Pessoal'!$F$7:$F$506)*(IF('Gastos com Pessoal'!$M$7:$M$506&lt;=AB$3,1,0))*OFFSET('Gastos com Pessoal'!$H$6,1,MATCH(2&amp;$B51,'Gastos com Pessoal'!$I$532:$AJ$532&amp;'Gastos com Pessoal'!$I$6:$AJ$6,0),500,1)),0)
+_xlfn.IFNA(SUM((AB$3&gt;='Gastos com Pessoal'!$E$7:$E$506)*(AB$3&lt;='Gastos com Pessoal'!$F$7:$F$506)*(IF('Gastos com Pessoal'!$S$7:$S$506&lt;=AB$3,1,0))*OFFSET('Gastos com Pessoal'!$H$6,1,MATCH(3&amp;$B51,'Gastos com Pessoal'!$I$532:$AJ$532&amp;'Gastos com Pessoal'!$I$6:$AJ$6,0),500,1)),0)
+_xlfn.IFNA(SUM((AB$3&gt;='Gastos com Pessoal'!$E$7:$E$506)*(AB$3&lt;='Gastos com Pessoal'!$F$7:$F$506)*(IF('Gastos com Pessoal'!$Y$7:$Y$506&lt;=AB$3,1,0))*OFFSET('Gastos com Pessoal'!$H$6,1,MATCH(4&amp;$B51,'Gastos com Pessoal'!$I$532:$AJ$532&amp;'Gastos com Pessoal'!$I$6:$AJ$6,0),500,1)),0)
+_xlfn.IFNA(SUM((AB$3&gt;='Gastos com Pessoal'!$E$7:$E$506)*(AB$3&lt;='Gastos com Pessoal'!$F$7:$F$506)*(IF('Gastos com Pessoal'!$AE$7:$AE$506&lt;=AB$3,1,0))*OFFSET('Gastos com Pessoal'!$H$6,1,MATCH(5&amp;$B51,'Gastos com Pessoal'!$I$532:$AJ$532&amp;'Gastos com Pessoal'!$I$6:$AJ$6,0),500,1)),0)
+_xlfn.IFNA(SUM((AB$3&gt;='Gastos com Pessoal'!$E$513:$E$522)*(AB$3&lt;='Gastos com Pessoal'!$F$513:$F$522)*(IF('Gastos com Pessoal'!$G$513:$G$522&lt;=AB$3,1,0))*OFFSET('Gastos com Pessoal'!$H$512,1,MATCH(1&amp;$B51,'Gastos com Pessoal'!$I$532:$AJ$532&amp;'Gastos com Pessoal'!$I$512:$AJ$512,0),10,1)),0)
+_xlfn.IFNA(SUM((AB$3&gt;='Gastos com Pessoal'!$E$513:$E$522)*(AB$3&lt;='Gastos com Pessoal'!$F$513:$F$522)*(IF('Gastos com Pessoal'!$M$513:$M$522&lt;=AB$3,1,0))*OFFSET('Gastos com Pessoal'!$H$512,1,MATCH(2&amp;$B51,'Gastos com Pessoal'!$I$532:$AJ$532&amp;'Gastos com Pessoal'!$I$512:$AJ$512,0),10,1)),0)
+_xlfn.IFNA(SUM((AB$3&gt;='Gastos com Pessoal'!$E$513:$E$522)*(AB$3&lt;='Gastos com Pessoal'!$F$513:$F$522)*(IF('Gastos com Pessoal'!$S$513:$S$522&lt;=AB$3,1,0))*OFFSET('Gastos com Pessoal'!$H$512,1,MATCH(3&amp;$B51,'Gastos com Pessoal'!$I$532:$AJ$532&amp;'Gastos com Pessoal'!$I$512:$AJ$512,0),10,1)),0)
+_xlfn.IFNA(SUM((AB$3&gt;='Gastos com Pessoal'!$E$513:$E$522)*(AB$3&lt;='Gastos com Pessoal'!$F$513:$F$522)*(IF('Gastos com Pessoal'!$Y$513:$Y$522&lt;=AB$3,1,0))*OFFSET('Gastos com Pessoal'!$H$512,1,MATCH(4&amp;$B51,'Gastos com Pessoal'!$I$532:$AJ$532&amp;'Gastos com Pessoal'!$I$512:$AJ$512,0),10,1)),0)
+_xlfn.IFNA(SUM((AB$3&gt;='Gastos com Pessoal'!$E$513:$E$522)*(AB$3&lt;='Gastos com Pessoal'!$F$513:$F$522)*(IF('Gastos com Pessoal'!$AE$513:$AE$522&lt;=AB$3,1,0))*OFFSET('Gastos com Pessoal'!$H$512,1,MATCH(5&amp;$B51,'Gastos com Pessoal'!$I$532:$AJ$532&amp;'Gastos com Pessoal'!$I$512:$AJ$512,0),10,1)),0)</f>
        <v>11348.399999999996</v>
      </c>
      <c r="AC51" s="32">
        <f t="array" aca="1" ref="AC51" ca="1">_xlfn.IFNA(SUM((AC$3&gt;='Gastos com Pessoal'!$E$7:$E$506)*(AC$3&lt;='Gastos com Pessoal'!$F$7:$F$506)*OFFSET('Encargos e Benefícios'!$D$5,1,MATCH($B51,'Encargos e Benefícios'!$E$5:$AB$5,0),500,1)),0)
+_xlfn.IFNA(SUM((AC$3&gt;='Gastos com Pessoal'!$E$513:$E$522)*(AC$3&lt;='Gastos com Pessoal'!$F$513:$F$522)*OFFSET('Encargos e Benefícios'!$D$511,1,MATCH($B51,'Encargos e Benefícios'!$E$511:$AB$511,0),10,1)),0)
+_xlfn.IFNA(SUM((AC$3&gt;='Gastos com Pessoal'!$E$7:$E$506)*(AC$3&lt;='Gastos com Pessoal'!$F$7:$F$506)*(IF('Gastos com Pessoal'!$G$7:$G$506&lt;=AC$3,1,0))*OFFSET('Gastos com Pessoal'!$H$6,1,MATCH(1&amp;$B51,'Gastos com Pessoal'!$I$532:$AJ$532&amp;'Gastos com Pessoal'!$I$6:$AJ$6,0),500,1)),0)
+_xlfn.IFNA(SUM((AC$3&gt;='Gastos com Pessoal'!$E$7:$E$506)*(AC$3&lt;='Gastos com Pessoal'!$F$7:$F$506)*(IF('Gastos com Pessoal'!$M$7:$M$506&lt;=AC$3,1,0))*OFFSET('Gastos com Pessoal'!$H$6,1,MATCH(2&amp;$B51,'Gastos com Pessoal'!$I$532:$AJ$532&amp;'Gastos com Pessoal'!$I$6:$AJ$6,0),500,1)),0)
+_xlfn.IFNA(SUM((AC$3&gt;='Gastos com Pessoal'!$E$7:$E$506)*(AC$3&lt;='Gastos com Pessoal'!$F$7:$F$506)*(IF('Gastos com Pessoal'!$S$7:$S$506&lt;=AC$3,1,0))*OFFSET('Gastos com Pessoal'!$H$6,1,MATCH(3&amp;$B51,'Gastos com Pessoal'!$I$532:$AJ$532&amp;'Gastos com Pessoal'!$I$6:$AJ$6,0),500,1)),0)
+_xlfn.IFNA(SUM((AC$3&gt;='Gastos com Pessoal'!$E$7:$E$506)*(AC$3&lt;='Gastos com Pessoal'!$F$7:$F$506)*(IF('Gastos com Pessoal'!$Y$7:$Y$506&lt;=AC$3,1,0))*OFFSET('Gastos com Pessoal'!$H$6,1,MATCH(4&amp;$B51,'Gastos com Pessoal'!$I$532:$AJ$532&amp;'Gastos com Pessoal'!$I$6:$AJ$6,0),500,1)),0)
+_xlfn.IFNA(SUM((AC$3&gt;='Gastos com Pessoal'!$E$7:$E$506)*(AC$3&lt;='Gastos com Pessoal'!$F$7:$F$506)*(IF('Gastos com Pessoal'!$AE$7:$AE$506&lt;=AC$3,1,0))*OFFSET('Gastos com Pessoal'!$H$6,1,MATCH(5&amp;$B51,'Gastos com Pessoal'!$I$532:$AJ$532&amp;'Gastos com Pessoal'!$I$6:$AJ$6,0),500,1)),0)
+_xlfn.IFNA(SUM((AC$3&gt;='Gastos com Pessoal'!$E$513:$E$522)*(AC$3&lt;='Gastos com Pessoal'!$F$513:$F$522)*(IF('Gastos com Pessoal'!$G$513:$G$522&lt;=AC$3,1,0))*OFFSET('Gastos com Pessoal'!$H$512,1,MATCH(1&amp;$B51,'Gastos com Pessoal'!$I$532:$AJ$532&amp;'Gastos com Pessoal'!$I$512:$AJ$512,0),10,1)),0)
+_xlfn.IFNA(SUM((AC$3&gt;='Gastos com Pessoal'!$E$513:$E$522)*(AC$3&lt;='Gastos com Pessoal'!$F$513:$F$522)*(IF('Gastos com Pessoal'!$M$513:$M$522&lt;=AC$3,1,0))*OFFSET('Gastos com Pessoal'!$H$512,1,MATCH(2&amp;$B51,'Gastos com Pessoal'!$I$532:$AJ$532&amp;'Gastos com Pessoal'!$I$512:$AJ$512,0),10,1)),0)
+_xlfn.IFNA(SUM((AC$3&gt;='Gastos com Pessoal'!$E$513:$E$522)*(AC$3&lt;='Gastos com Pessoal'!$F$513:$F$522)*(IF('Gastos com Pessoal'!$S$513:$S$522&lt;=AC$3,1,0))*OFFSET('Gastos com Pessoal'!$H$512,1,MATCH(3&amp;$B51,'Gastos com Pessoal'!$I$532:$AJ$532&amp;'Gastos com Pessoal'!$I$512:$AJ$512,0),10,1)),0)
+_xlfn.IFNA(SUM((AC$3&gt;='Gastos com Pessoal'!$E$513:$E$522)*(AC$3&lt;='Gastos com Pessoal'!$F$513:$F$522)*(IF('Gastos com Pessoal'!$Y$513:$Y$522&lt;=AC$3,1,0))*OFFSET('Gastos com Pessoal'!$H$512,1,MATCH(4&amp;$B51,'Gastos com Pessoal'!$I$532:$AJ$532&amp;'Gastos com Pessoal'!$I$512:$AJ$512,0),10,1)),0)
+_xlfn.IFNA(SUM((AC$3&gt;='Gastos com Pessoal'!$E$513:$E$522)*(AC$3&lt;='Gastos com Pessoal'!$F$513:$F$522)*(IF('Gastos com Pessoal'!$AE$513:$AE$522&lt;=AC$3,1,0))*OFFSET('Gastos com Pessoal'!$H$512,1,MATCH(5&amp;$B51,'Gastos com Pessoal'!$I$532:$AJ$532&amp;'Gastos com Pessoal'!$I$512:$AJ$512,0),10,1)),0)</f>
        <v>11348.399999999996</v>
      </c>
      <c r="AD51" s="32">
        <f t="array" aca="1" ref="AD51" ca="1">_xlfn.IFNA(SUM((AD$3&gt;='Gastos com Pessoal'!$E$7:$E$506)*(AD$3&lt;='Gastos com Pessoal'!$F$7:$F$506)*OFFSET('Encargos e Benefícios'!$D$5,1,MATCH($B51,'Encargos e Benefícios'!$E$5:$AB$5,0),500,1)),0)
+_xlfn.IFNA(SUM((AD$3&gt;='Gastos com Pessoal'!$E$513:$E$522)*(AD$3&lt;='Gastos com Pessoal'!$F$513:$F$522)*OFFSET('Encargos e Benefícios'!$D$511,1,MATCH($B51,'Encargos e Benefícios'!$E$511:$AB$511,0),10,1)),0)
+_xlfn.IFNA(SUM((AD$3&gt;='Gastos com Pessoal'!$E$7:$E$506)*(AD$3&lt;='Gastos com Pessoal'!$F$7:$F$506)*(IF('Gastos com Pessoal'!$G$7:$G$506&lt;=AD$3,1,0))*OFFSET('Gastos com Pessoal'!$H$6,1,MATCH(1&amp;$B51,'Gastos com Pessoal'!$I$532:$AJ$532&amp;'Gastos com Pessoal'!$I$6:$AJ$6,0),500,1)),0)
+_xlfn.IFNA(SUM((AD$3&gt;='Gastos com Pessoal'!$E$7:$E$506)*(AD$3&lt;='Gastos com Pessoal'!$F$7:$F$506)*(IF('Gastos com Pessoal'!$M$7:$M$506&lt;=AD$3,1,0))*OFFSET('Gastos com Pessoal'!$H$6,1,MATCH(2&amp;$B51,'Gastos com Pessoal'!$I$532:$AJ$532&amp;'Gastos com Pessoal'!$I$6:$AJ$6,0),500,1)),0)
+_xlfn.IFNA(SUM((AD$3&gt;='Gastos com Pessoal'!$E$7:$E$506)*(AD$3&lt;='Gastos com Pessoal'!$F$7:$F$506)*(IF('Gastos com Pessoal'!$S$7:$S$506&lt;=AD$3,1,0))*OFFSET('Gastos com Pessoal'!$H$6,1,MATCH(3&amp;$B51,'Gastos com Pessoal'!$I$532:$AJ$532&amp;'Gastos com Pessoal'!$I$6:$AJ$6,0),500,1)),0)
+_xlfn.IFNA(SUM((AD$3&gt;='Gastos com Pessoal'!$E$7:$E$506)*(AD$3&lt;='Gastos com Pessoal'!$F$7:$F$506)*(IF('Gastos com Pessoal'!$Y$7:$Y$506&lt;=AD$3,1,0))*OFFSET('Gastos com Pessoal'!$H$6,1,MATCH(4&amp;$B51,'Gastos com Pessoal'!$I$532:$AJ$532&amp;'Gastos com Pessoal'!$I$6:$AJ$6,0),500,1)),0)
+_xlfn.IFNA(SUM((AD$3&gt;='Gastos com Pessoal'!$E$7:$E$506)*(AD$3&lt;='Gastos com Pessoal'!$F$7:$F$506)*(IF('Gastos com Pessoal'!$AE$7:$AE$506&lt;=AD$3,1,0))*OFFSET('Gastos com Pessoal'!$H$6,1,MATCH(5&amp;$B51,'Gastos com Pessoal'!$I$532:$AJ$532&amp;'Gastos com Pessoal'!$I$6:$AJ$6,0),500,1)),0)
+_xlfn.IFNA(SUM((AD$3&gt;='Gastos com Pessoal'!$E$513:$E$522)*(AD$3&lt;='Gastos com Pessoal'!$F$513:$F$522)*(IF('Gastos com Pessoal'!$G$513:$G$522&lt;=AD$3,1,0))*OFFSET('Gastos com Pessoal'!$H$512,1,MATCH(1&amp;$B51,'Gastos com Pessoal'!$I$532:$AJ$532&amp;'Gastos com Pessoal'!$I$512:$AJ$512,0),10,1)),0)
+_xlfn.IFNA(SUM((AD$3&gt;='Gastos com Pessoal'!$E$513:$E$522)*(AD$3&lt;='Gastos com Pessoal'!$F$513:$F$522)*(IF('Gastos com Pessoal'!$M$513:$M$522&lt;=AD$3,1,0))*OFFSET('Gastos com Pessoal'!$H$512,1,MATCH(2&amp;$B51,'Gastos com Pessoal'!$I$532:$AJ$532&amp;'Gastos com Pessoal'!$I$512:$AJ$512,0),10,1)),0)
+_xlfn.IFNA(SUM((AD$3&gt;='Gastos com Pessoal'!$E$513:$E$522)*(AD$3&lt;='Gastos com Pessoal'!$F$513:$F$522)*(IF('Gastos com Pessoal'!$S$513:$S$522&lt;=AD$3,1,0))*OFFSET('Gastos com Pessoal'!$H$512,1,MATCH(3&amp;$B51,'Gastos com Pessoal'!$I$532:$AJ$532&amp;'Gastos com Pessoal'!$I$512:$AJ$512,0),10,1)),0)
+_xlfn.IFNA(SUM((AD$3&gt;='Gastos com Pessoal'!$E$513:$E$522)*(AD$3&lt;='Gastos com Pessoal'!$F$513:$F$522)*(IF('Gastos com Pessoal'!$Y$513:$Y$522&lt;=AD$3,1,0))*OFFSET('Gastos com Pessoal'!$H$512,1,MATCH(4&amp;$B51,'Gastos com Pessoal'!$I$532:$AJ$532&amp;'Gastos com Pessoal'!$I$512:$AJ$512,0),10,1)),0)
+_xlfn.IFNA(SUM((AD$3&gt;='Gastos com Pessoal'!$E$513:$E$522)*(AD$3&lt;='Gastos com Pessoal'!$F$513:$F$522)*(IF('Gastos com Pessoal'!$AE$513:$AE$522&lt;=AD$3,1,0))*OFFSET('Gastos com Pessoal'!$H$512,1,MATCH(5&amp;$B51,'Gastos com Pessoal'!$I$532:$AJ$532&amp;'Gastos com Pessoal'!$I$512:$AJ$512,0),10,1)),0)</f>
        <v>11348.399999999996</v>
      </c>
      <c r="AE51" s="32">
        <f t="array" aca="1" ref="AE51" ca="1">_xlfn.IFNA(SUM((AE$3&gt;='Gastos com Pessoal'!$E$7:$E$506)*(AE$3&lt;='Gastos com Pessoal'!$F$7:$F$506)*OFFSET('Encargos e Benefícios'!$D$5,1,MATCH($B51,'Encargos e Benefícios'!$E$5:$AB$5,0),500,1)),0)
+_xlfn.IFNA(SUM((AE$3&gt;='Gastos com Pessoal'!$E$513:$E$522)*(AE$3&lt;='Gastos com Pessoal'!$F$513:$F$522)*OFFSET('Encargos e Benefícios'!$D$511,1,MATCH($B51,'Encargos e Benefícios'!$E$511:$AB$511,0),10,1)),0)
+_xlfn.IFNA(SUM((AE$3&gt;='Gastos com Pessoal'!$E$7:$E$506)*(AE$3&lt;='Gastos com Pessoal'!$F$7:$F$506)*(IF('Gastos com Pessoal'!$G$7:$G$506&lt;=AE$3,1,0))*OFFSET('Gastos com Pessoal'!$H$6,1,MATCH(1&amp;$B51,'Gastos com Pessoal'!$I$532:$AJ$532&amp;'Gastos com Pessoal'!$I$6:$AJ$6,0),500,1)),0)
+_xlfn.IFNA(SUM((AE$3&gt;='Gastos com Pessoal'!$E$7:$E$506)*(AE$3&lt;='Gastos com Pessoal'!$F$7:$F$506)*(IF('Gastos com Pessoal'!$M$7:$M$506&lt;=AE$3,1,0))*OFFSET('Gastos com Pessoal'!$H$6,1,MATCH(2&amp;$B51,'Gastos com Pessoal'!$I$532:$AJ$532&amp;'Gastos com Pessoal'!$I$6:$AJ$6,0),500,1)),0)
+_xlfn.IFNA(SUM((AE$3&gt;='Gastos com Pessoal'!$E$7:$E$506)*(AE$3&lt;='Gastos com Pessoal'!$F$7:$F$506)*(IF('Gastos com Pessoal'!$S$7:$S$506&lt;=AE$3,1,0))*OFFSET('Gastos com Pessoal'!$H$6,1,MATCH(3&amp;$B51,'Gastos com Pessoal'!$I$532:$AJ$532&amp;'Gastos com Pessoal'!$I$6:$AJ$6,0),500,1)),0)
+_xlfn.IFNA(SUM((AE$3&gt;='Gastos com Pessoal'!$E$7:$E$506)*(AE$3&lt;='Gastos com Pessoal'!$F$7:$F$506)*(IF('Gastos com Pessoal'!$Y$7:$Y$506&lt;=AE$3,1,0))*OFFSET('Gastos com Pessoal'!$H$6,1,MATCH(4&amp;$B51,'Gastos com Pessoal'!$I$532:$AJ$532&amp;'Gastos com Pessoal'!$I$6:$AJ$6,0),500,1)),0)
+_xlfn.IFNA(SUM((AE$3&gt;='Gastos com Pessoal'!$E$7:$E$506)*(AE$3&lt;='Gastos com Pessoal'!$F$7:$F$506)*(IF('Gastos com Pessoal'!$AE$7:$AE$506&lt;=AE$3,1,0))*OFFSET('Gastos com Pessoal'!$H$6,1,MATCH(5&amp;$B51,'Gastos com Pessoal'!$I$532:$AJ$532&amp;'Gastos com Pessoal'!$I$6:$AJ$6,0),500,1)),0)
+_xlfn.IFNA(SUM((AE$3&gt;='Gastos com Pessoal'!$E$513:$E$522)*(AE$3&lt;='Gastos com Pessoal'!$F$513:$F$522)*(IF('Gastos com Pessoal'!$G$513:$G$522&lt;=AE$3,1,0))*OFFSET('Gastos com Pessoal'!$H$512,1,MATCH(1&amp;$B51,'Gastos com Pessoal'!$I$532:$AJ$532&amp;'Gastos com Pessoal'!$I$512:$AJ$512,0),10,1)),0)
+_xlfn.IFNA(SUM((AE$3&gt;='Gastos com Pessoal'!$E$513:$E$522)*(AE$3&lt;='Gastos com Pessoal'!$F$513:$F$522)*(IF('Gastos com Pessoal'!$M$513:$M$522&lt;=AE$3,1,0))*OFFSET('Gastos com Pessoal'!$H$512,1,MATCH(2&amp;$B51,'Gastos com Pessoal'!$I$532:$AJ$532&amp;'Gastos com Pessoal'!$I$512:$AJ$512,0),10,1)),0)
+_xlfn.IFNA(SUM((AE$3&gt;='Gastos com Pessoal'!$E$513:$E$522)*(AE$3&lt;='Gastos com Pessoal'!$F$513:$F$522)*(IF('Gastos com Pessoal'!$S$513:$S$522&lt;=AE$3,1,0))*OFFSET('Gastos com Pessoal'!$H$512,1,MATCH(3&amp;$B51,'Gastos com Pessoal'!$I$532:$AJ$532&amp;'Gastos com Pessoal'!$I$512:$AJ$512,0),10,1)),0)
+_xlfn.IFNA(SUM((AE$3&gt;='Gastos com Pessoal'!$E$513:$E$522)*(AE$3&lt;='Gastos com Pessoal'!$F$513:$F$522)*(IF('Gastos com Pessoal'!$Y$513:$Y$522&lt;=AE$3,1,0))*OFFSET('Gastos com Pessoal'!$H$512,1,MATCH(4&amp;$B51,'Gastos com Pessoal'!$I$532:$AJ$532&amp;'Gastos com Pessoal'!$I$512:$AJ$512,0),10,1)),0)
+_xlfn.IFNA(SUM((AE$3&gt;='Gastos com Pessoal'!$E$513:$E$522)*(AE$3&lt;='Gastos com Pessoal'!$F$513:$F$522)*(IF('Gastos com Pessoal'!$AE$513:$AE$522&lt;=AE$3,1,0))*OFFSET('Gastos com Pessoal'!$H$512,1,MATCH(5&amp;$B51,'Gastos com Pessoal'!$I$532:$AJ$532&amp;'Gastos com Pessoal'!$I$512:$AJ$512,0),10,1)),0)</f>
        <v>11348.399999999996</v>
      </c>
      <c r="AF51" s="32">
        <f t="array" aca="1" ref="AF51" ca="1">_xlfn.IFNA(SUM((AF$3&gt;='Gastos com Pessoal'!$E$7:$E$506)*(AF$3&lt;='Gastos com Pessoal'!$F$7:$F$506)*OFFSET('Encargos e Benefícios'!$D$5,1,MATCH($B51,'Encargos e Benefícios'!$E$5:$AB$5,0),500,1)),0)
+_xlfn.IFNA(SUM((AF$3&gt;='Gastos com Pessoal'!$E$513:$E$522)*(AF$3&lt;='Gastos com Pessoal'!$F$513:$F$522)*OFFSET('Encargos e Benefícios'!$D$511,1,MATCH($B51,'Encargos e Benefícios'!$E$511:$AB$511,0),10,1)),0)
+_xlfn.IFNA(SUM((AF$3&gt;='Gastos com Pessoal'!$E$7:$E$506)*(AF$3&lt;='Gastos com Pessoal'!$F$7:$F$506)*(IF('Gastos com Pessoal'!$G$7:$G$506&lt;=AF$3,1,0))*OFFSET('Gastos com Pessoal'!$H$6,1,MATCH(1&amp;$B51,'Gastos com Pessoal'!$I$532:$AJ$532&amp;'Gastos com Pessoal'!$I$6:$AJ$6,0),500,1)),0)
+_xlfn.IFNA(SUM((AF$3&gt;='Gastos com Pessoal'!$E$7:$E$506)*(AF$3&lt;='Gastos com Pessoal'!$F$7:$F$506)*(IF('Gastos com Pessoal'!$M$7:$M$506&lt;=AF$3,1,0))*OFFSET('Gastos com Pessoal'!$H$6,1,MATCH(2&amp;$B51,'Gastos com Pessoal'!$I$532:$AJ$532&amp;'Gastos com Pessoal'!$I$6:$AJ$6,0),500,1)),0)
+_xlfn.IFNA(SUM((AF$3&gt;='Gastos com Pessoal'!$E$7:$E$506)*(AF$3&lt;='Gastos com Pessoal'!$F$7:$F$506)*(IF('Gastos com Pessoal'!$S$7:$S$506&lt;=AF$3,1,0))*OFFSET('Gastos com Pessoal'!$H$6,1,MATCH(3&amp;$B51,'Gastos com Pessoal'!$I$532:$AJ$532&amp;'Gastos com Pessoal'!$I$6:$AJ$6,0),500,1)),0)
+_xlfn.IFNA(SUM((AF$3&gt;='Gastos com Pessoal'!$E$7:$E$506)*(AF$3&lt;='Gastos com Pessoal'!$F$7:$F$506)*(IF('Gastos com Pessoal'!$Y$7:$Y$506&lt;=AF$3,1,0))*OFFSET('Gastos com Pessoal'!$H$6,1,MATCH(4&amp;$B51,'Gastos com Pessoal'!$I$532:$AJ$532&amp;'Gastos com Pessoal'!$I$6:$AJ$6,0),500,1)),0)
+_xlfn.IFNA(SUM((AF$3&gt;='Gastos com Pessoal'!$E$7:$E$506)*(AF$3&lt;='Gastos com Pessoal'!$F$7:$F$506)*(IF('Gastos com Pessoal'!$AE$7:$AE$506&lt;=AF$3,1,0))*OFFSET('Gastos com Pessoal'!$H$6,1,MATCH(5&amp;$B51,'Gastos com Pessoal'!$I$532:$AJ$532&amp;'Gastos com Pessoal'!$I$6:$AJ$6,0),500,1)),0)
+_xlfn.IFNA(SUM((AF$3&gt;='Gastos com Pessoal'!$E$513:$E$522)*(AF$3&lt;='Gastos com Pessoal'!$F$513:$F$522)*(IF('Gastos com Pessoal'!$G$513:$G$522&lt;=AF$3,1,0))*OFFSET('Gastos com Pessoal'!$H$512,1,MATCH(1&amp;$B51,'Gastos com Pessoal'!$I$532:$AJ$532&amp;'Gastos com Pessoal'!$I$512:$AJ$512,0),10,1)),0)
+_xlfn.IFNA(SUM((AF$3&gt;='Gastos com Pessoal'!$E$513:$E$522)*(AF$3&lt;='Gastos com Pessoal'!$F$513:$F$522)*(IF('Gastos com Pessoal'!$M$513:$M$522&lt;=AF$3,1,0))*OFFSET('Gastos com Pessoal'!$H$512,1,MATCH(2&amp;$B51,'Gastos com Pessoal'!$I$532:$AJ$532&amp;'Gastos com Pessoal'!$I$512:$AJ$512,0),10,1)),0)
+_xlfn.IFNA(SUM((AF$3&gt;='Gastos com Pessoal'!$E$513:$E$522)*(AF$3&lt;='Gastos com Pessoal'!$F$513:$F$522)*(IF('Gastos com Pessoal'!$S$513:$S$522&lt;=AF$3,1,0))*OFFSET('Gastos com Pessoal'!$H$512,1,MATCH(3&amp;$B51,'Gastos com Pessoal'!$I$532:$AJ$532&amp;'Gastos com Pessoal'!$I$512:$AJ$512,0),10,1)),0)
+_xlfn.IFNA(SUM((AF$3&gt;='Gastos com Pessoal'!$E$513:$E$522)*(AF$3&lt;='Gastos com Pessoal'!$F$513:$F$522)*(IF('Gastos com Pessoal'!$Y$513:$Y$522&lt;=AF$3,1,0))*OFFSET('Gastos com Pessoal'!$H$512,1,MATCH(4&amp;$B51,'Gastos com Pessoal'!$I$532:$AJ$532&amp;'Gastos com Pessoal'!$I$512:$AJ$512,0),10,1)),0)
+_xlfn.IFNA(SUM((AF$3&gt;='Gastos com Pessoal'!$E$513:$E$522)*(AF$3&lt;='Gastos com Pessoal'!$F$513:$F$522)*(IF('Gastos com Pessoal'!$AE$513:$AE$522&lt;=AF$3,1,0))*OFFSET('Gastos com Pessoal'!$H$512,1,MATCH(5&amp;$B51,'Gastos com Pessoal'!$I$532:$AJ$532&amp;'Gastos com Pessoal'!$I$512:$AJ$512,0),10,1)),0)</f>
        <v>11348.399999999996</v>
      </c>
      <c r="AG51" s="32">
        <f t="array" aca="1" ref="AG51" ca="1">_xlfn.IFNA(SUM((AG$3&gt;='Gastos com Pessoal'!$E$7:$E$506)*(AG$3&lt;='Gastos com Pessoal'!$F$7:$F$506)*OFFSET('Encargos e Benefícios'!$D$5,1,MATCH($B51,'Encargos e Benefícios'!$E$5:$AB$5,0),500,1)),0)
+_xlfn.IFNA(SUM((AG$3&gt;='Gastos com Pessoal'!$E$513:$E$522)*(AG$3&lt;='Gastos com Pessoal'!$F$513:$F$522)*OFFSET('Encargos e Benefícios'!$D$511,1,MATCH($B51,'Encargos e Benefícios'!$E$511:$AB$511,0),10,1)),0)
+_xlfn.IFNA(SUM((AG$3&gt;='Gastos com Pessoal'!$E$7:$E$506)*(AG$3&lt;='Gastos com Pessoal'!$F$7:$F$506)*(IF('Gastos com Pessoal'!$G$7:$G$506&lt;=AG$3,1,0))*OFFSET('Gastos com Pessoal'!$H$6,1,MATCH(1&amp;$B51,'Gastos com Pessoal'!$I$532:$AJ$532&amp;'Gastos com Pessoal'!$I$6:$AJ$6,0),500,1)),0)
+_xlfn.IFNA(SUM((AG$3&gt;='Gastos com Pessoal'!$E$7:$E$506)*(AG$3&lt;='Gastos com Pessoal'!$F$7:$F$506)*(IF('Gastos com Pessoal'!$M$7:$M$506&lt;=AG$3,1,0))*OFFSET('Gastos com Pessoal'!$H$6,1,MATCH(2&amp;$B51,'Gastos com Pessoal'!$I$532:$AJ$532&amp;'Gastos com Pessoal'!$I$6:$AJ$6,0),500,1)),0)
+_xlfn.IFNA(SUM((AG$3&gt;='Gastos com Pessoal'!$E$7:$E$506)*(AG$3&lt;='Gastos com Pessoal'!$F$7:$F$506)*(IF('Gastos com Pessoal'!$S$7:$S$506&lt;=AG$3,1,0))*OFFSET('Gastos com Pessoal'!$H$6,1,MATCH(3&amp;$B51,'Gastos com Pessoal'!$I$532:$AJ$532&amp;'Gastos com Pessoal'!$I$6:$AJ$6,0),500,1)),0)
+_xlfn.IFNA(SUM((AG$3&gt;='Gastos com Pessoal'!$E$7:$E$506)*(AG$3&lt;='Gastos com Pessoal'!$F$7:$F$506)*(IF('Gastos com Pessoal'!$Y$7:$Y$506&lt;=AG$3,1,0))*OFFSET('Gastos com Pessoal'!$H$6,1,MATCH(4&amp;$B51,'Gastos com Pessoal'!$I$532:$AJ$532&amp;'Gastos com Pessoal'!$I$6:$AJ$6,0),500,1)),0)
+_xlfn.IFNA(SUM((AG$3&gt;='Gastos com Pessoal'!$E$7:$E$506)*(AG$3&lt;='Gastos com Pessoal'!$F$7:$F$506)*(IF('Gastos com Pessoal'!$AE$7:$AE$506&lt;=AG$3,1,0))*OFFSET('Gastos com Pessoal'!$H$6,1,MATCH(5&amp;$B51,'Gastos com Pessoal'!$I$532:$AJ$532&amp;'Gastos com Pessoal'!$I$6:$AJ$6,0),500,1)),0)
+_xlfn.IFNA(SUM((AG$3&gt;='Gastos com Pessoal'!$E$513:$E$522)*(AG$3&lt;='Gastos com Pessoal'!$F$513:$F$522)*(IF('Gastos com Pessoal'!$G$513:$G$522&lt;=AG$3,1,0))*OFFSET('Gastos com Pessoal'!$H$512,1,MATCH(1&amp;$B51,'Gastos com Pessoal'!$I$532:$AJ$532&amp;'Gastos com Pessoal'!$I$512:$AJ$512,0),10,1)),0)
+_xlfn.IFNA(SUM((AG$3&gt;='Gastos com Pessoal'!$E$513:$E$522)*(AG$3&lt;='Gastos com Pessoal'!$F$513:$F$522)*(IF('Gastos com Pessoal'!$M$513:$M$522&lt;=AG$3,1,0))*OFFSET('Gastos com Pessoal'!$H$512,1,MATCH(2&amp;$B51,'Gastos com Pessoal'!$I$532:$AJ$532&amp;'Gastos com Pessoal'!$I$512:$AJ$512,0),10,1)),0)
+_xlfn.IFNA(SUM((AG$3&gt;='Gastos com Pessoal'!$E$513:$E$522)*(AG$3&lt;='Gastos com Pessoal'!$F$513:$F$522)*(IF('Gastos com Pessoal'!$S$513:$S$522&lt;=AG$3,1,0))*OFFSET('Gastos com Pessoal'!$H$512,1,MATCH(3&amp;$B51,'Gastos com Pessoal'!$I$532:$AJ$532&amp;'Gastos com Pessoal'!$I$512:$AJ$512,0),10,1)),0)
+_xlfn.IFNA(SUM((AG$3&gt;='Gastos com Pessoal'!$E$513:$E$522)*(AG$3&lt;='Gastos com Pessoal'!$F$513:$F$522)*(IF('Gastos com Pessoal'!$Y$513:$Y$522&lt;=AG$3,1,0))*OFFSET('Gastos com Pessoal'!$H$512,1,MATCH(4&amp;$B51,'Gastos com Pessoal'!$I$532:$AJ$532&amp;'Gastos com Pessoal'!$I$512:$AJ$512,0),10,1)),0)
+_xlfn.IFNA(SUM((AG$3&gt;='Gastos com Pessoal'!$E$513:$E$522)*(AG$3&lt;='Gastos com Pessoal'!$F$513:$F$522)*(IF('Gastos com Pessoal'!$AE$513:$AE$522&lt;=AG$3,1,0))*OFFSET('Gastos com Pessoal'!$H$512,1,MATCH(5&amp;$B51,'Gastos com Pessoal'!$I$532:$AJ$532&amp;'Gastos com Pessoal'!$I$512:$AJ$512,0),10,1)),0)</f>
        <v>11348.399999999996</v>
      </c>
      <c r="AH51" s="32">
        <f t="array" aca="1" ref="AH51" ca="1">_xlfn.IFNA(SUM((AH$3&gt;='Gastos com Pessoal'!$E$7:$E$506)*(AH$3&lt;='Gastos com Pessoal'!$F$7:$F$506)*OFFSET('Encargos e Benefícios'!$D$5,1,MATCH($B51,'Encargos e Benefícios'!$E$5:$AB$5,0),500,1)),0)
+_xlfn.IFNA(SUM((AH$3&gt;='Gastos com Pessoal'!$E$513:$E$522)*(AH$3&lt;='Gastos com Pessoal'!$F$513:$F$522)*OFFSET('Encargos e Benefícios'!$D$511,1,MATCH($B51,'Encargos e Benefícios'!$E$511:$AB$511,0),10,1)),0)
+_xlfn.IFNA(SUM((AH$3&gt;='Gastos com Pessoal'!$E$7:$E$506)*(AH$3&lt;='Gastos com Pessoal'!$F$7:$F$506)*(IF('Gastos com Pessoal'!$G$7:$G$506&lt;=AH$3,1,0))*OFFSET('Gastos com Pessoal'!$H$6,1,MATCH(1&amp;$B51,'Gastos com Pessoal'!$I$532:$AJ$532&amp;'Gastos com Pessoal'!$I$6:$AJ$6,0),500,1)),0)
+_xlfn.IFNA(SUM((AH$3&gt;='Gastos com Pessoal'!$E$7:$E$506)*(AH$3&lt;='Gastos com Pessoal'!$F$7:$F$506)*(IF('Gastos com Pessoal'!$M$7:$M$506&lt;=AH$3,1,0))*OFFSET('Gastos com Pessoal'!$H$6,1,MATCH(2&amp;$B51,'Gastos com Pessoal'!$I$532:$AJ$532&amp;'Gastos com Pessoal'!$I$6:$AJ$6,0),500,1)),0)
+_xlfn.IFNA(SUM((AH$3&gt;='Gastos com Pessoal'!$E$7:$E$506)*(AH$3&lt;='Gastos com Pessoal'!$F$7:$F$506)*(IF('Gastos com Pessoal'!$S$7:$S$506&lt;=AH$3,1,0))*OFFSET('Gastos com Pessoal'!$H$6,1,MATCH(3&amp;$B51,'Gastos com Pessoal'!$I$532:$AJ$532&amp;'Gastos com Pessoal'!$I$6:$AJ$6,0),500,1)),0)
+_xlfn.IFNA(SUM((AH$3&gt;='Gastos com Pessoal'!$E$7:$E$506)*(AH$3&lt;='Gastos com Pessoal'!$F$7:$F$506)*(IF('Gastos com Pessoal'!$Y$7:$Y$506&lt;=AH$3,1,0))*OFFSET('Gastos com Pessoal'!$H$6,1,MATCH(4&amp;$B51,'Gastos com Pessoal'!$I$532:$AJ$532&amp;'Gastos com Pessoal'!$I$6:$AJ$6,0),500,1)),0)
+_xlfn.IFNA(SUM((AH$3&gt;='Gastos com Pessoal'!$E$7:$E$506)*(AH$3&lt;='Gastos com Pessoal'!$F$7:$F$506)*(IF('Gastos com Pessoal'!$AE$7:$AE$506&lt;=AH$3,1,0))*OFFSET('Gastos com Pessoal'!$H$6,1,MATCH(5&amp;$B51,'Gastos com Pessoal'!$I$532:$AJ$532&amp;'Gastos com Pessoal'!$I$6:$AJ$6,0),500,1)),0)
+_xlfn.IFNA(SUM((AH$3&gt;='Gastos com Pessoal'!$E$513:$E$522)*(AH$3&lt;='Gastos com Pessoal'!$F$513:$F$522)*(IF('Gastos com Pessoal'!$G$513:$G$522&lt;=AH$3,1,0))*OFFSET('Gastos com Pessoal'!$H$512,1,MATCH(1&amp;$B51,'Gastos com Pessoal'!$I$532:$AJ$532&amp;'Gastos com Pessoal'!$I$512:$AJ$512,0),10,1)),0)
+_xlfn.IFNA(SUM((AH$3&gt;='Gastos com Pessoal'!$E$513:$E$522)*(AH$3&lt;='Gastos com Pessoal'!$F$513:$F$522)*(IF('Gastos com Pessoal'!$M$513:$M$522&lt;=AH$3,1,0))*OFFSET('Gastos com Pessoal'!$H$512,1,MATCH(2&amp;$B51,'Gastos com Pessoal'!$I$532:$AJ$532&amp;'Gastos com Pessoal'!$I$512:$AJ$512,0),10,1)),0)
+_xlfn.IFNA(SUM((AH$3&gt;='Gastos com Pessoal'!$E$513:$E$522)*(AH$3&lt;='Gastos com Pessoal'!$F$513:$F$522)*(IF('Gastos com Pessoal'!$S$513:$S$522&lt;=AH$3,1,0))*OFFSET('Gastos com Pessoal'!$H$512,1,MATCH(3&amp;$B51,'Gastos com Pessoal'!$I$532:$AJ$532&amp;'Gastos com Pessoal'!$I$512:$AJ$512,0),10,1)),0)
+_xlfn.IFNA(SUM((AH$3&gt;='Gastos com Pessoal'!$E$513:$E$522)*(AH$3&lt;='Gastos com Pessoal'!$F$513:$F$522)*(IF('Gastos com Pessoal'!$Y$513:$Y$522&lt;=AH$3,1,0))*OFFSET('Gastos com Pessoal'!$H$512,1,MATCH(4&amp;$B51,'Gastos com Pessoal'!$I$532:$AJ$532&amp;'Gastos com Pessoal'!$I$512:$AJ$512,0),10,1)),0)
+_xlfn.IFNA(SUM((AH$3&gt;='Gastos com Pessoal'!$E$513:$E$522)*(AH$3&lt;='Gastos com Pessoal'!$F$513:$F$522)*(IF('Gastos com Pessoal'!$AE$513:$AE$522&lt;=AH$3,1,0))*OFFSET('Gastos com Pessoal'!$H$512,1,MATCH(5&amp;$B51,'Gastos com Pessoal'!$I$532:$AJ$532&amp;'Gastos com Pessoal'!$I$512:$AJ$512,0),10,1)),0)</f>
        <v>11348.399999999996</v>
      </c>
      <c r="AI51" s="32">
        <f t="array" aca="1" ref="AI51" ca="1">_xlfn.IFNA(SUM((AI$3&gt;='Gastos com Pessoal'!$E$7:$E$506)*(AI$3&lt;='Gastos com Pessoal'!$F$7:$F$506)*OFFSET('Encargos e Benefícios'!$D$5,1,MATCH($B51,'Encargos e Benefícios'!$E$5:$AB$5,0),500,1)),0)
+_xlfn.IFNA(SUM((AI$3&gt;='Gastos com Pessoal'!$E$513:$E$522)*(AI$3&lt;='Gastos com Pessoal'!$F$513:$F$522)*OFFSET('Encargos e Benefícios'!$D$511,1,MATCH($B51,'Encargos e Benefícios'!$E$511:$AB$511,0),10,1)),0)
+_xlfn.IFNA(SUM((AI$3&gt;='Gastos com Pessoal'!$E$7:$E$506)*(AI$3&lt;='Gastos com Pessoal'!$F$7:$F$506)*(IF('Gastos com Pessoal'!$G$7:$G$506&lt;=AI$3,1,0))*OFFSET('Gastos com Pessoal'!$H$6,1,MATCH(1&amp;$B51,'Gastos com Pessoal'!$I$532:$AJ$532&amp;'Gastos com Pessoal'!$I$6:$AJ$6,0),500,1)),0)
+_xlfn.IFNA(SUM((AI$3&gt;='Gastos com Pessoal'!$E$7:$E$506)*(AI$3&lt;='Gastos com Pessoal'!$F$7:$F$506)*(IF('Gastos com Pessoal'!$M$7:$M$506&lt;=AI$3,1,0))*OFFSET('Gastos com Pessoal'!$H$6,1,MATCH(2&amp;$B51,'Gastos com Pessoal'!$I$532:$AJ$532&amp;'Gastos com Pessoal'!$I$6:$AJ$6,0),500,1)),0)
+_xlfn.IFNA(SUM((AI$3&gt;='Gastos com Pessoal'!$E$7:$E$506)*(AI$3&lt;='Gastos com Pessoal'!$F$7:$F$506)*(IF('Gastos com Pessoal'!$S$7:$S$506&lt;=AI$3,1,0))*OFFSET('Gastos com Pessoal'!$H$6,1,MATCH(3&amp;$B51,'Gastos com Pessoal'!$I$532:$AJ$532&amp;'Gastos com Pessoal'!$I$6:$AJ$6,0),500,1)),0)
+_xlfn.IFNA(SUM((AI$3&gt;='Gastos com Pessoal'!$E$7:$E$506)*(AI$3&lt;='Gastos com Pessoal'!$F$7:$F$506)*(IF('Gastos com Pessoal'!$Y$7:$Y$506&lt;=AI$3,1,0))*OFFSET('Gastos com Pessoal'!$H$6,1,MATCH(4&amp;$B51,'Gastos com Pessoal'!$I$532:$AJ$532&amp;'Gastos com Pessoal'!$I$6:$AJ$6,0),500,1)),0)
+_xlfn.IFNA(SUM((AI$3&gt;='Gastos com Pessoal'!$E$7:$E$506)*(AI$3&lt;='Gastos com Pessoal'!$F$7:$F$506)*(IF('Gastos com Pessoal'!$AE$7:$AE$506&lt;=AI$3,1,0))*OFFSET('Gastos com Pessoal'!$H$6,1,MATCH(5&amp;$B51,'Gastos com Pessoal'!$I$532:$AJ$532&amp;'Gastos com Pessoal'!$I$6:$AJ$6,0),500,1)),0)
+_xlfn.IFNA(SUM((AI$3&gt;='Gastos com Pessoal'!$E$513:$E$522)*(AI$3&lt;='Gastos com Pessoal'!$F$513:$F$522)*(IF('Gastos com Pessoal'!$G$513:$G$522&lt;=AI$3,1,0))*OFFSET('Gastos com Pessoal'!$H$512,1,MATCH(1&amp;$B51,'Gastos com Pessoal'!$I$532:$AJ$532&amp;'Gastos com Pessoal'!$I$512:$AJ$512,0),10,1)),0)
+_xlfn.IFNA(SUM((AI$3&gt;='Gastos com Pessoal'!$E$513:$E$522)*(AI$3&lt;='Gastos com Pessoal'!$F$513:$F$522)*(IF('Gastos com Pessoal'!$M$513:$M$522&lt;=AI$3,1,0))*OFFSET('Gastos com Pessoal'!$H$512,1,MATCH(2&amp;$B51,'Gastos com Pessoal'!$I$532:$AJ$532&amp;'Gastos com Pessoal'!$I$512:$AJ$512,0),10,1)),0)
+_xlfn.IFNA(SUM((AI$3&gt;='Gastos com Pessoal'!$E$513:$E$522)*(AI$3&lt;='Gastos com Pessoal'!$F$513:$F$522)*(IF('Gastos com Pessoal'!$S$513:$S$522&lt;=AI$3,1,0))*OFFSET('Gastos com Pessoal'!$H$512,1,MATCH(3&amp;$B51,'Gastos com Pessoal'!$I$532:$AJ$532&amp;'Gastos com Pessoal'!$I$512:$AJ$512,0),10,1)),0)
+_xlfn.IFNA(SUM((AI$3&gt;='Gastos com Pessoal'!$E$513:$E$522)*(AI$3&lt;='Gastos com Pessoal'!$F$513:$F$522)*(IF('Gastos com Pessoal'!$Y$513:$Y$522&lt;=AI$3,1,0))*OFFSET('Gastos com Pessoal'!$H$512,1,MATCH(4&amp;$B51,'Gastos com Pessoal'!$I$532:$AJ$532&amp;'Gastos com Pessoal'!$I$512:$AJ$512,0),10,1)),0)
+_xlfn.IFNA(SUM((AI$3&gt;='Gastos com Pessoal'!$E$513:$E$522)*(AI$3&lt;='Gastos com Pessoal'!$F$513:$F$522)*(IF('Gastos com Pessoal'!$AE$513:$AE$522&lt;=AI$3,1,0))*OFFSET('Gastos com Pessoal'!$H$512,1,MATCH(5&amp;$B51,'Gastos com Pessoal'!$I$532:$AJ$532&amp;'Gastos com Pessoal'!$I$512:$AJ$512,0),10,1)),0)</f>
        <v>11348.399999999996</v>
      </c>
      <c r="AJ51" s="32">
        <f t="array" aca="1" ref="AJ51" ca="1">_xlfn.IFNA(SUM((AJ$3&gt;='Gastos com Pessoal'!$E$7:$E$506)*(AJ$3&lt;='Gastos com Pessoal'!$F$7:$F$506)*OFFSET('Encargos e Benefícios'!$D$5,1,MATCH($B51,'Encargos e Benefícios'!$E$5:$AB$5,0),500,1)),0)
+_xlfn.IFNA(SUM((AJ$3&gt;='Gastos com Pessoal'!$E$513:$E$522)*(AJ$3&lt;='Gastos com Pessoal'!$F$513:$F$522)*OFFSET('Encargos e Benefícios'!$D$511,1,MATCH($B51,'Encargos e Benefícios'!$E$511:$AB$511,0),10,1)),0)
+_xlfn.IFNA(SUM((AJ$3&gt;='Gastos com Pessoal'!$E$7:$E$506)*(AJ$3&lt;='Gastos com Pessoal'!$F$7:$F$506)*(IF('Gastos com Pessoal'!$G$7:$G$506&lt;=AJ$3,1,0))*OFFSET('Gastos com Pessoal'!$H$6,1,MATCH(1&amp;$B51,'Gastos com Pessoal'!$I$532:$AJ$532&amp;'Gastos com Pessoal'!$I$6:$AJ$6,0),500,1)),0)
+_xlfn.IFNA(SUM((AJ$3&gt;='Gastos com Pessoal'!$E$7:$E$506)*(AJ$3&lt;='Gastos com Pessoal'!$F$7:$F$506)*(IF('Gastos com Pessoal'!$M$7:$M$506&lt;=AJ$3,1,0))*OFFSET('Gastos com Pessoal'!$H$6,1,MATCH(2&amp;$B51,'Gastos com Pessoal'!$I$532:$AJ$532&amp;'Gastos com Pessoal'!$I$6:$AJ$6,0),500,1)),0)
+_xlfn.IFNA(SUM((AJ$3&gt;='Gastos com Pessoal'!$E$7:$E$506)*(AJ$3&lt;='Gastos com Pessoal'!$F$7:$F$506)*(IF('Gastos com Pessoal'!$S$7:$S$506&lt;=AJ$3,1,0))*OFFSET('Gastos com Pessoal'!$H$6,1,MATCH(3&amp;$B51,'Gastos com Pessoal'!$I$532:$AJ$532&amp;'Gastos com Pessoal'!$I$6:$AJ$6,0),500,1)),0)
+_xlfn.IFNA(SUM((AJ$3&gt;='Gastos com Pessoal'!$E$7:$E$506)*(AJ$3&lt;='Gastos com Pessoal'!$F$7:$F$506)*(IF('Gastos com Pessoal'!$Y$7:$Y$506&lt;=AJ$3,1,0))*OFFSET('Gastos com Pessoal'!$H$6,1,MATCH(4&amp;$B51,'Gastos com Pessoal'!$I$532:$AJ$532&amp;'Gastos com Pessoal'!$I$6:$AJ$6,0),500,1)),0)
+_xlfn.IFNA(SUM((AJ$3&gt;='Gastos com Pessoal'!$E$7:$E$506)*(AJ$3&lt;='Gastos com Pessoal'!$F$7:$F$506)*(IF('Gastos com Pessoal'!$AE$7:$AE$506&lt;=AJ$3,1,0))*OFFSET('Gastos com Pessoal'!$H$6,1,MATCH(5&amp;$B51,'Gastos com Pessoal'!$I$532:$AJ$532&amp;'Gastos com Pessoal'!$I$6:$AJ$6,0),500,1)),0)
+_xlfn.IFNA(SUM((AJ$3&gt;='Gastos com Pessoal'!$E$513:$E$522)*(AJ$3&lt;='Gastos com Pessoal'!$F$513:$F$522)*(IF('Gastos com Pessoal'!$G$513:$G$522&lt;=AJ$3,1,0))*OFFSET('Gastos com Pessoal'!$H$512,1,MATCH(1&amp;$B51,'Gastos com Pessoal'!$I$532:$AJ$532&amp;'Gastos com Pessoal'!$I$512:$AJ$512,0),10,1)),0)
+_xlfn.IFNA(SUM((AJ$3&gt;='Gastos com Pessoal'!$E$513:$E$522)*(AJ$3&lt;='Gastos com Pessoal'!$F$513:$F$522)*(IF('Gastos com Pessoal'!$M$513:$M$522&lt;=AJ$3,1,0))*OFFSET('Gastos com Pessoal'!$H$512,1,MATCH(2&amp;$B51,'Gastos com Pessoal'!$I$532:$AJ$532&amp;'Gastos com Pessoal'!$I$512:$AJ$512,0),10,1)),0)
+_xlfn.IFNA(SUM((AJ$3&gt;='Gastos com Pessoal'!$E$513:$E$522)*(AJ$3&lt;='Gastos com Pessoal'!$F$513:$F$522)*(IF('Gastos com Pessoal'!$S$513:$S$522&lt;=AJ$3,1,0))*OFFSET('Gastos com Pessoal'!$H$512,1,MATCH(3&amp;$B51,'Gastos com Pessoal'!$I$532:$AJ$532&amp;'Gastos com Pessoal'!$I$512:$AJ$512,0),10,1)),0)
+_xlfn.IFNA(SUM((AJ$3&gt;='Gastos com Pessoal'!$E$513:$E$522)*(AJ$3&lt;='Gastos com Pessoal'!$F$513:$F$522)*(IF('Gastos com Pessoal'!$Y$513:$Y$522&lt;=AJ$3,1,0))*OFFSET('Gastos com Pessoal'!$H$512,1,MATCH(4&amp;$B51,'Gastos com Pessoal'!$I$532:$AJ$532&amp;'Gastos com Pessoal'!$I$512:$AJ$512,0),10,1)),0)
+_xlfn.IFNA(SUM((AJ$3&gt;='Gastos com Pessoal'!$E$513:$E$522)*(AJ$3&lt;='Gastos com Pessoal'!$F$513:$F$522)*(IF('Gastos com Pessoal'!$AE$513:$AE$522&lt;=AJ$3,1,0))*OFFSET('Gastos com Pessoal'!$H$512,1,MATCH(5&amp;$B51,'Gastos com Pessoal'!$I$532:$AJ$532&amp;'Gastos com Pessoal'!$I$512:$AJ$512,0),10,1)),0)</f>
        <v>11348.399999999996</v>
      </c>
      <c r="AK51" s="32">
        <f t="array" aca="1" ref="AK51" ca="1">_xlfn.IFNA(SUM((AK$3&gt;='Gastos com Pessoal'!$E$7:$E$506)*(AK$3&lt;='Gastos com Pessoal'!$F$7:$F$506)*OFFSET('Encargos e Benefícios'!$D$5,1,MATCH($B51,'Encargos e Benefícios'!$E$5:$AB$5,0),500,1)),0)
+_xlfn.IFNA(SUM((AK$3&gt;='Gastos com Pessoal'!$E$513:$E$522)*(AK$3&lt;='Gastos com Pessoal'!$F$513:$F$522)*OFFSET('Encargos e Benefícios'!$D$511,1,MATCH($B51,'Encargos e Benefícios'!$E$511:$AB$511,0),10,1)),0)
+_xlfn.IFNA(SUM((AK$3&gt;='Gastos com Pessoal'!$E$7:$E$506)*(AK$3&lt;='Gastos com Pessoal'!$F$7:$F$506)*(IF('Gastos com Pessoal'!$G$7:$G$506&lt;=AK$3,1,0))*OFFSET('Gastos com Pessoal'!$H$6,1,MATCH(1&amp;$B51,'Gastos com Pessoal'!$I$532:$AJ$532&amp;'Gastos com Pessoal'!$I$6:$AJ$6,0),500,1)),0)
+_xlfn.IFNA(SUM((AK$3&gt;='Gastos com Pessoal'!$E$7:$E$506)*(AK$3&lt;='Gastos com Pessoal'!$F$7:$F$506)*(IF('Gastos com Pessoal'!$M$7:$M$506&lt;=AK$3,1,0))*OFFSET('Gastos com Pessoal'!$H$6,1,MATCH(2&amp;$B51,'Gastos com Pessoal'!$I$532:$AJ$532&amp;'Gastos com Pessoal'!$I$6:$AJ$6,0),500,1)),0)
+_xlfn.IFNA(SUM((AK$3&gt;='Gastos com Pessoal'!$E$7:$E$506)*(AK$3&lt;='Gastos com Pessoal'!$F$7:$F$506)*(IF('Gastos com Pessoal'!$S$7:$S$506&lt;=AK$3,1,0))*OFFSET('Gastos com Pessoal'!$H$6,1,MATCH(3&amp;$B51,'Gastos com Pessoal'!$I$532:$AJ$532&amp;'Gastos com Pessoal'!$I$6:$AJ$6,0),500,1)),0)
+_xlfn.IFNA(SUM((AK$3&gt;='Gastos com Pessoal'!$E$7:$E$506)*(AK$3&lt;='Gastos com Pessoal'!$F$7:$F$506)*(IF('Gastos com Pessoal'!$Y$7:$Y$506&lt;=AK$3,1,0))*OFFSET('Gastos com Pessoal'!$H$6,1,MATCH(4&amp;$B51,'Gastos com Pessoal'!$I$532:$AJ$532&amp;'Gastos com Pessoal'!$I$6:$AJ$6,0),500,1)),0)
+_xlfn.IFNA(SUM((AK$3&gt;='Gastos com Pessoal'!$E$7:$E$506)*(AK$3&lt;='Gastos com Pessoal'!$F$7:$F$506)*(IF('Gastos com Pessoal'!$AE$7:$AE$506&lt;=AK$3,1,0))*OFFSET('Gastos com Pessoal'!$H$6,1,MATCH(5&amp;$B51,'Gastos com Pessoal'!$I$532:$AJ$532&amp;'Gastos com Pessoal'!$I$6:$AJ$6,0),500,1)),0)
+_xlfn.IFNA(SUM((AK$3&gt;='Gastos com Pessoal'!$E$513:$E$522)*(AK$3&lt;='Gastos com Pessoal'!$F$513:$F$522)*(IF('Gastos com Pessoal'!$G$513:$G$522&lt;=AK$3,1,0))*OFFSET('Gastos com Pessoal'!$H$512,1,MATCH(1&amp;$B51,'Gastos com Pessoal'!$I$532:$AJ$532&amp;'Gastos com Pessoal'!$I$512:$AJ$512,0),10,1)),0)
+_xlfn.IFNA(SUM((AK$3&gt;='Gastos com Pessoal'!$E$513:$E$522)*(AK$3&lt;='Gastos com Pessoal'!$F$513:$F$522)*(IF('Gastos com Pessoal'!$M$513:$M$522&lt;=AK$3,1,0))*OFFSET('Gastos com Pessoal'!$H$512,1,MATCH(2&amp;$B51,'Gastos com Pessoal'!$I$532:$AJ$532&amp;'Gastos com Pessoal'!$I$512:$AJ$512,0),10,1)),0)
+_xlfn.IFNA(SUM((AK$3&gt;='Gastos com Pessoal'!$E$513:$E$522)*(AK$3&lt;='Gastos com Pessoal'!$F$513:$F$522)*(IF('Gastos com Pessoal'!$S$513:$S$522&lt;=AK$3,1,0))*OFFSET('Gastos com Pessoal'!$H$512,1,MATCH(3&amp;$B51,'Gastos com Pessoal'!$I$532:$AJ$532&amp;'Gastos com Pessoal'!$I$512:$AJ$512,0),10,1)),0)
+_xlfn.IFNA(SUM((AK$3&gt;='Gastos com Pessoal'!$E$513:$E$522)*(AK$3&lt;='Gastos com Pessoal'!$F$513:$F$522)*(IF('Gastos com Pessoal'!$Y$513:$Y$522&lt;=AK$3,1,0))*OFFSET('Gastos com Pessoal'!$H$512,1,MATCH(4&amp;$B51,'Gastos com Pessoal'!$I$532:$AJ$532&amp;'Gastos com Pessoal'!$I$512:$AJ$512,0),10,1)),0)
+_xlfn.IFNA(SUM((AK$3&gt;='Gastos com Pessoal'!$E$513:$E$522)*(AK$3&lt;='Gastos com Pessoal'!$F$513:$F$522)*(IF('Gastos com Pessoal'!$AE$513:$AE$522&lt;=AK$3,1,0))*OFFSET('Gastos com Pessoal'!$H$512,1,MATCH(5&amp;$B51,'Gastos com Pessoal'!$I$532:$AJ$532&amp;'Gastos com Pessoal'!$I$512:$AJ$512,0),10,1)),0)</f>
        <v>11348.399999999996</v>
      </c>
      <c r="AL51" s="32">
        <f t="array" aca="1" ref="AL51" ca="1">_xlfn.IFNA(SUM((AL$3&gt;='Gastos com Pessoal'!$E$7:$E$506)*(AL$3&lt;='Gastos com Pessoal'!$F$7:$F$506)*OFFSET('Encargos e Benefícios'!$D$5,1,MATCH($B51,'Encargos e Benefícios'!$E$5:$AB$5,0),500,1)),0)
+_xlfn.IFNA(SUM((AL$3&gt;='Gastos com Pessoal'!$E$513:$E$522)*(AL$3&lt;='Gastos com Pessoal'!$F$513:$F$522)*OFFSET('Encargos e Benefícios'!$D$511,1,MATCH($B51,'Encargos e Benefícios'!$E$511:$AB$511,0),10,1)),0)
+_xlfn.IFNA(SUM((AL$3&gt;='Gastos com Pessoal'!$E$7:$E$506)*(AL$3&lt;='Gastos com Pessoal'!$F$7:$F$506)*(IF('Gastos com Pessoal'!$G$7:$G$506&lt;=AL$3,1,0))*OFFSET('Gastos com Pessoal'!$H$6,1,MATCH(1&amp;$B51,'Gastos com Pessoal'!$I$532:$AJ$532&amp;'Gastos com Pessoal'!$I$6:$AJ$6,0),500,1)),0)
+_xlfn.IFNA(SUM((AL$3&gt;='Gastos com Pessoal'!$E$7:$E$506)*(AL$3&lt;='Gastos com Pessoal'!$F$7:$F$506)*(IF('Gastos com Pessoal'!$M$7:$M$506&lt;=AL$3,1,0))*OFFSET('Gastos com Pessoal'!$H$6,1,MATCH(2&amp;$B51,'Gastos com Pessoal'!$I$532:$AJ$532&amp;'Gastos com Pessoal'!$I$6:$AJ$6,0),500,1)),0)
+_xlfn.IFNA(SUM((AL$3&gt;='Gastos com Pessoal'!$E$7:$E$506)*(AL$3&lt;='Gastos com Pessoal'!$F$7:$F$506)*(IF('Gastos com Pessoal'!$S$7:$S$506&lt;=AL$3,1,0))*OFFSET('Gastos com Pessoal'!$H$6,1,MATCH(3&amp;$B51,'Gastos com Pessoal'!$I$532:$AJ$532&amp;'Gastos com Pessoal'!$I$6:$AJ$6,0),500,1)),0)
+_xlfn.IFNA(SUM((AL$3&gt;='Gastos com Pessoal'!$E$7:$E$506)*(AL$3&lt;='Gastos com Pessoal'!$F$7:$F$506)*(IF('Gastos com Pessoal'!$Y$7:$Y$506&lt;=AL$3,1,0))*OFFSET('Gastos com Pessoal'!$H$6,1,MATCH(4&amp;$B51,'Gastos com Pessoal'!$I$532:$AJ$532&amp;'Gastos com Pessoal'!$I$6:$AJ$6,0),500,1)),0)
+_xlfn.IFNA(SUM((AL$3&gt;='Gastos com Pessoal'!$E$7:$E$506)*(AL$3&lt;='Gastos com Pessoal'!$F$7:$F$506)*(IF('Gastos com Pessoal'!$AE$7:$AE$506&lt;=AL$3,1,0))*OFFSET('Gastos com Pessoal'!$H$6,1,MATCH(5&amp;$B51,'Gastos com Pessoal'!$I$532:$AJ$532&amp;'Gastos com Pessoal'!$I$6:$AJ$6,0),500,1)),0)
+_xlfn.IFNA(SUM((AL$3&gt;='Gastos com Pessoal'!$E$513:$E$522)*(AL$3&lt;='Gastos com Pessoal'!$F$513:$F$522)*(IF('Gastos com Pessoal'!$G$513:$G$522&lt;=AL$3,1,0))*OFFSET('Gastos com Pessoal'!$H$512,1,MATCH(1&amp;$B51,'Gastos com Pessoal'!$I$532:$AJ$532&amp;'Gastos com Pessoal'!$I$512:$AJ$512,0),10,1)),0)
+_xlfn.IFNA(SUM((AL$3&gt;='Gastos com Pessoal'!$E$513:$E$522)*(AL$3&lt;='Gastos com Pessoal'!$F$513:$F$522)*(IF('Gastos com Pessoal'!$M$513:$M$522&lt;=AL$3,1,0))*OFFSET('Gastos com Pessoal'!$H$512,1,MATCH(2&amp;$B51,'Gastos com Pessoal'!$I$532:$AJ$532&amp;'Gastos com Pessoal'!$I$512:$AJ$512,0),10,1)),0)
+_xlfn.IFNA(SUM((AL$3&gt;='Gastos com Pessoal'!$E$513:$E$522)*(AL$3&lt;='Gastos com Pessoal'!$F$513:$F$522)*(IF('Gastos com Pessoal'!$S$513:$S$522&lt;=AL$3,1,0))*OFFSET('Gastos com Pessoal'!$H$512,1,MATCH(3&amp;$B51,'Gastos com Pessoal'!$I$532:$AJ$532&amp;'Gastos com Pessoal'!$I$512:$AJ$512,0),10,1)),0)
+_xlfn.IFNA(SUM((AL$3&gt;='Gastos com Pessoal'!$E$513:$E$522)*(AL$3&lt;='Gastos com Pessoal'!$F$513:$F$522)*(IF('Gastos com Pessoal'!$Y$513:$Y$522&lt;=AL$3,1,0))*OFFSET('Gastos com Pessoal'!$H$512,1,MATCH(4&amp;$B51,'Gastos com Pessoal'!$I$532:$AJ$532&amp;'Gastos com Pessoal'!$I$512:$AJ$512,0),10,1)),0)
+_xlfn.IFNA(SUM((AL$3&gt;='Gastos com Pessoal'!$E$513:$E$522)*(AL$3&lt;='Gastos com Pessoal'!$F$513:$F$522)*(IF('Gastos com Pessoal'!$AE$513:$AE$522&lt;=AL$3,1,0))*OFFSET('Gastos com Pessoal'!$H$512,1,MATCH(5&amp;$B51,'Gastos com Pessoal'!$I$532:$AJ$532&amp;'Gastos com Pessoal'!$I$512:$AJ$512,0),10,1)),0)</f>
        <v>11348.399999999996</v>
      </c>
      <c r="AM51" s="32">
        <f t="array" aca="1" ref="AM51" ca="1">_xlfn.IFNA(SUM((AM$3&gt;='Gastos com Pessoal'!$E$7:$E$506)*(AM$3&lt;='Gastos com Pessoal'!$F$7:$F$506)*OFFSET('Encargos e Benefícios'!$D$5,1,MATCH($B51,'Encargos e Benefícios'!$E$5:$AB$5,0),500,1)),0)
+_xlfn.IFNA(SUM((AM$3&gt;='Gastos com Pessoal'!$E$513:$E$522)*(AM$3&lt;='Gastos com Pessoal'!$F$513:$F$522)*OFFSET('Encargos e Benefícios'!$D$511,1,MATCH($B51,'Encargos e Benefícios'!$E$511:$AB$511,0),10,1)),0)
+_xlfn.IFNA(SUM((AM$3&gt;='Gastos com Pessoal'!$E$7:$E$506)*(AM$3&lt;='Gastos com Pessoal'!$F$7:$F$506)*(IF('Gastos com Pessoal'!$G$7:$G$506&lt;=AM$3,1,0))*OFFSET('Gastos com Pessoal'!$H$6,1,MATCH(1&amp;$B51,'Gastos com Pessoal'!$I$532:$AJ$532&amp;'Gastos com Pessoal'!$I$6:$AJ$6,0),500,1)),0)
+_xlfn.IFNA(SUM((AM$3&gt;='Gastos com Pessoal'!$E$7:$E$506)*(AM$3&lt;='Gastos com Pessoal'!$F$7:$F$506)*(IF('Gastos com Pessoal'!$M$7:$M$506&lt;=AM$3,1,0))*OFFSET('Gastos com Pessoal'!$H$6,1,MATCH(2&amp;$B51,'Gastos com Pessoal'!$I$532:$AJ$532&amp;'Gastos com Pessoal'!$I$6:$AJ$6,0),500,1)),0)
+_xlfn.IFNA(SUM((AM$3&gt;='Gastos com Pessoal'!$E$7:$E$506)*(AM$3&lt;='Gastos com Pessoal'!$F$7:$F$506)*(IF('Gastos com Pessoal'!$S$7:$S$506&lt;=AM$3,1,0))*OFFSET('Gastos com Pessoal'!$H$6,1,MATCH(3&amp;$B51,'Gastos com Pessoal'!$I$532:$AJ$532&amp;'Gastos com Pessoal'!$I$6:$AJ$6,0),500,1)),0)
+_xlfn.IFNA(SUM((AM$3&gt;='Gastos com Pessoal'!$E$7:$E$506)*(AM$3&lt;='Gastos com Pessoal'!$F$7:$F$506)*(IF('Gastos com Pessoal'!$Y$7:$Y$506&lt;=AM$3,1,0))*OFFSET('Gastos com Pessoal'!$H$6,1,MATCH(4&amp;$B51,'Gastos com Pessoal'!$I$532:$AJ$532&amp;'Gastos com Pessoal'!$I$6:$AJ$6,0),500,1)),0)
+_xlfn.IFNA(SUM((AM$3&gt;='Gastos com Pessoal'!$E$7:$E$506)*(AM$3&lt;='Gastos com Pessoal'!$F$7:$F$506)*(IF('Gastos com Pessoal'!$AE$7:$AE$506&lt;=AM$3,1,0))*OFFSET('Gastos com Pessoal'!$H$6,1,MATCH(5&amp;$B51,'Gastos com Pessoal'!$I$532:$AJ$532&amp;'Gastos com Pessoal'!$I$6:$AJ$6,0),500,1)),0)
+_xlfn.IFNA(SUM((AM$3&gt;='Gastos com Pessoal'!$E$513:$E$522)*(AM$3&lt;='Gastos com Pessoal'!$F$513:$F$522)*(IF('Gastos com Pessoal'!$G$513:$G$522&lt;=AM$3,1,0))*OFFSET('Gastos com Pessoal'!$H$512,1,MATCH(1&amp;$B51,'Gastos com Pessoal'!$I$532:$AJ$532&amp;'Gastos com Pessoal'!$I$512:$AJ$512,0),10,1)),0)
+_xlfn.IFNA(SUM((AM$3&gt;='Gastos com Pessoal'!$E$513:$E$522)*(AM$3&lt;='Gastos com Pessoal'!$F$513:$F$522)*(IF('Gastos com Pessoal'!$M$513:$M$522&lt;=AM$3,1,0))*OFFSET('Gastos com Pessoal'!$H$512,1,MATCH(2&amp;$B51,'Gastos com Pessoal'!$I$532:$AJ$532&amp;'Gastos com Pessoal'!$I$512:$AJ$512,0),10,1)),0)
+_xlfn.IFNA(SUM((AM$3&gt;='Gastos com Pessoal'!$E$513:$E$522)*(AM$3&lt;='Gastos com Pessoal'!$F$513:$F$522)*(IF('Gastos com Pessoal'!$S$513:$S$522&lt;=AM$3,1,0))*OFFSET('Gastos com Pessoal'!$H$512,1,MATCH(3&amp;$B51,'Gastos com Pessoal'!$I$532:$AJ$532&amp;'Gastos com Pessoal'!$I$512:$AJ$512,0),10,1)),0)
+_xlfn.IFNA(SUM((AM$3&gt;='Gastos com Pessoal'!$E$513:$E$522)*(AM$3&lt;='Gastos com Pessoal'!$F$513:$F$522)*(IF('Gastos com Pessoal'!$Y$513:$Y$522&lt;=AM$3,1,0))*OFFSET('Gastos com Pessoal'!$H$512,1,MATCH(4&amp;$B51,'Gastos com Pessoal'!$I$532:$AJ$532&amp;'Gastos com Pessoal'!$I$512:$AJ$512,0),10,1)),0)
+_xlfn.IFNA(SUM((AM$3&gt;='Gastos com Pessoal'!$E$513:$E$522)*(AM$3&lt;='Gastos com Pessoal'!$F$513:$F$522)*(IF('Gastos com Pessoal'!$AE$513:$AE$522&lt;=AM$3,1,0))*OFFSET('Gastos com Pessoal'!$H$512,1,MATCH(5&amp;$B51,'Gastos com Pessoal'!$I$532:$AJ$532&amp;'Gastos com Pessoal'!$I$512:$AJ$512,0),10,1)),0)</f>
        <v>0</v>
      </c>
      <c r="AN51" s="32">
        <f t="array" aca="1" ref="AN51" ca="1">_xlfn.IFNA(SUM((AN$3&gt;='Gastos com Pessoal'!$E$7:$E$506)*(AN$3&lt;='Gastos com Pessoal'!$F$7:$F$506)*OFFSET('Encargos e Benefícios'!$D$5,1,MATCH($B51,'Encargos e Benefícios'!$E$5:$AB$5,0),500,1)),0)
+_xlfn.IFNA(SUM((AN$3&gt;='Gastos com Pessoal'!$E$513:$E$522)*(AN$3&lt;='Gastos com Pessoal'!$F$513:$F$522)*OFFSET('Encargos e Benefícios'!$D$511,1,MATCH($B51,'Encargos e Benefícios'!$E$511:$AB$511,0),10,1)),0)
+_xlfn.IFNA(SUM((AN$3&gt;='Gastos com Pessoal'!$E$7:$E$506)*(AN$3&lt;='Gastos com Pessoal'!$F$7:$F$506)*(IF('Gastos com Pessoal'!$G$7:$G$506&lt;=AN$3,1,0))*OFFSET('Gastos com Pessoal'!$H$6,1,MATCH(1&amp;$B51,'Gastos com Pessoal'!$I$532:$AJ$532&amp;'Gastos com Pessoal'!$I$6:$AJ$6,0),500,1)),0)
+_xlfn.IFNA(SUM((AN$3&gt;='Gastos com Pessoal'!$E$7:$E$506)*(AN$3&lt;='Gastos com Pessoal'!$F$7:$F$506)*(IF('Gastos com Pessoal'!$M$7:$M$506&lt;=AN$3,1,0))*OFFSET('Gastos com Pessoal'!$H$6,1,MATCH(2&amp;$B51,'Gastos com Pessoal'!$I$532:$AJ$532&amp;'Gastos com Pessoal'!$I$6:$AJ$6,0),500,1)),0)
+_xlfn.IFNA(SUM((AN$3&gt;='Gastos com Pessoal'!$E$7:$E$506)*(AN$3&lt;='Gastos com Pessoal'!$F$7:$F$506)*(IF('Gastos com Pessoal'!$S$7:$S$506&lt;=AN$3,1,0))*OFFSET('Gastos com Pessoal'!$H$6,1,MATCH(3&amp;$B51,'Gastos com Pessoal'!$I$532:$AJ$532&amp;'Gastos com Pessoal'!$I$6:$AJ$6,0),500,1)),0)
+_xlfn.IFNA(SUM((AN$3&gt;='Gastos com Pessoal'!$E$7:$E$506)*(AN$3&lt;='Gastos com Pessoal'!$F$7:$F$506)*(IF('Gastos com Pessoal'!$Y$7:$Y$506&lt;=AN$3,1,0))*OFFSET('Gastos com Pessoal'!$H$6,1,MATCH(4&amp;$B51,'Gastos com Pessoal'!$I$532:$AJ$532&amp;'Gastos com Pessoal'!$I$6:$AJ$6,0),500,1)),0)
+_xlfn.IFNA(SUM((AN$3&gt;='Gastos com Pessoal'!$E$7:$E$506)*(AN$3&lt;='Gastos com Pessoal'!$F$7:$F$506)*(IF('Gastos com Pessoal'!$AE$7:$AE$506&lt;=AN$3,1,0))*OFFSET('Gastos com Pessoal'!$H$6,1,MATCH(5&amp;$B51,'Gastos com Pessoal'!$I$532:$AJ$532&amp;'Gastos com Pessoal'!$I$6:$AJ$6,0),500,1)),0)
+_xlfn.IFNA(SUM((AN$3&gt;='Gastos com Pessoal'!$E$513:$E$522)*(AN$3&lt;='Gastos com Pessoal'!$F$513:$F$522)*(IF('Gastos com Pessoal'!$G$513:$G$522&lt;=AN$3,1,0))*OFFSET('Gastos com Pessoal'!$H$512,1,MATCH(1&amp;$B51,'Gastos com Pessoal'!$I$532:$AJ$532&amp;'Gastos com Pessoal'!$I$512:$AJ$512,0),10,1)),0)
+_xlfn.IFNA(SUM((AN$3&gt;='Gastos com Pessoal'!$E$513:$E$522)*(AN$3&lt;='Gastos com Pessoal'!$F$513:$F$522)*(IF('Gastos com Pessoal'!$M$513:$M$522&lt;=AN$3,1,0))*OFFSET('Gastos com Pessoal'!$H$512,1,MATCH(2&amp;$B51,'Gastos com Pessoal'!$I$532:$AJ$532&amp;'Gastos com Pessoal'!$I$512:$AJ$512,0),10,1)),0)
+_xlfn.IFNA(SUM((AN$3&gt;='Gastos com Pessoal'!$E$513:$E$522)*(AN$3&lt;='Gastos com Pessoal'!$F$513:$F$522)*(IF('Gastos com Pessoal'!$S$513:$S$522&lt;=AN$3,1,0))*OFFSET('Gastos com Pessoal'!$H$512,1,MATCH(3&amp;$B51,'Gastos com Pessoal'!$I$532:$AJ$532&amp;'Gastos com Pessoal'!$I$512:$AJ$512,0),10,1)),0)
+_xlfn.IFNA(SUM((AN$3&gt;='Gastos com Pessoal'!$E$513:$E$522)*(AN$3&lt;='Gastos com Pessoal'!$F$513:$F$522)*(IF('Gastos com Pessoal'!$Y$513:$Y$522&lt;=AN$3,1,0))*OFFSET('Gastos com Pessoal'!$H$512,1,MATCH(4&amp;$B51,'Gastos com Pessoal'!$I$532:$AJ$532&amp;'Gastos com Pessoal'!$I$512:$AJ$512,0),10,1)),0)
+_xlfn.IFNA(SUM((AN$3&gt;='Gastos com Pessoal'!$E$513:$E$522)*(AN$3&lt;='Gastos com Pessoal'!$F$513:$F$522)*(IF('Gastos com Pessoal'!$AE$513:$AE$522&lt;=AN$3,1,0))*OFFSET('Gastos com Pessoal'!$H$512,1,MATCH(5&amp;$B51,'Gastos com Pessoal'!$I$532:$AJ$532&amp;'Gastos com Pessoal'!$I$512:$AJ$512,0),10,1)),0)</f>
        <v>0</v>
      </c>
      <c r="AO51" s="32">
        <f t="array" aca="1" ref="AO51" ca="1">_xlfn.IFNA(SUM((AO$3&gt;='Gastos com Pessoal'!$E$7:$E$506)*(AO$3&lt;='Gastos com Pessoal'!$F$7:$F$506)*OFFSET('Encargos e Benefícios'!$D$5,1,MATCH($B51,'Encargos e Benefícios'!$E$5:$AB$5,0),500,1)),0)
+_xlfn.IFNA(SUM((AO$3&gt;='Gastos com Pessoal'!$E$513:$E$522)*(AO$3&lt;='Gastos com Pessoal'!$F$513:$F$522)*OFFSET('Encargos e Benefícios'!$D$511,1,MATCH($B51,'Encargos e Benefícios'!$E$511:$AB$511,0),10,1)),0)
+_xlfn.IFNA(SUM((AO$3&gt;='Gastos com Pessoal'!$E$7:$E$506)*(AO$3&lt;='Gastos com Pessoal'!$F$7:$F$506)*(IF('Gastos com Pessoal'!$G$7:$G$506&lt;=AO$3,1,0))*OFFSET('Gastos com Pessoal'!$H$6,1,MATCH(1&amp;$B51,'Gastos com Pessoal'!$I$532:$AJ$532&amp;'Gastos com Pessoal'!$I$6:$AJ$6,0),500,1)),0)
+_xlfn.IFNA(SUM((AO$3&gt;='Gastos com Pessoal'!$E$7:$E$506)*(AO$3&lt;='Gastos com Pessoal'!$F$7:$F$506)*(IF('Gastos com Pessoal'!$M$7:$M$506&lt;=AO$3,1,0))*OFFSET('Gastos com Pessoal'!$H$6,1,MATCH(2&amp;$B51,'Gastos com Pessoal'!$I$532:$AJ$532&amp;'Gastos com Pessoal'!$I$6:$AJ$6,0),500,1)),0)
+_xlfn.IFNA(SUM((AO$3&gt;='Gastos com Pessoal'!$E$7:$E$506)*(AO$3&lt;='Gastos com Pessoal'!$F$7:$F$506)*(IF('Gastos com Pessoal'!$S$7:$S$506&lt;=AO$3,1,0))*OFFSET('Gastos com Pessoal'!$H$6,1,MATCH(3&amp;$B51,'Gastos com Pessoal'!$I$532:$AJ$532&amp;'Gastos com Pessoal'!$I$6:$AJ$6,0),500,1)),0)
+_xlfn.IFNA(SUM((AO$3&gt;='Gastos com Pessoal'!$E$7:$E$506)*(AO$3&lt;='Gastos com Pessoal'!$F$7:$F$506)*(IF('Gastos com Pessoal'!$Y$7:$Y$506&lt;=AO$3,1,0))*OFFSET('Gastos com Pessoal'!$H$6,1,MATCH(4&amp;$B51,'Gastos com Pessoal'!$I$532:$AJ$532&amp;'Gastos com Pessoal'!$I$6:$AJ$6,0),500,1)),0)
+_xlfn.IFNA(SUM((AO$3&gt;='Gastos com Pessoal'!$E$7:$E$506)*(AO$3&lt;='Gastos com Pessoal'!$F$7:$F$506)*(IF('Gastos com Pessoal'!$AE$7:$AE$506&lt;=AO$3,1,0))*OFFSET('Gastos com Pessoal'!$H$6,1,MATCH(5&amp;$B51,'Gastos com Pessoal'!$I$532:$AJ$532&amp;'Gastos com Pessoal'!$I$6:$AJ$6,0),500,1)),0)
+_xlfn.IFNA(SUM((AO$3&gt;='Gastos com Pessoal'!$E$513:$E$522)*(AO$3&lt;='Gastos com Pessoal'!$F$513:$F$522)*(IF('Gastos com Pessoal'!$G$513:$G$522&lt;=AO$3,1,0))*OFFSET('Gastos com Pessoal'!$H$512,1,MATCH(1&amp;$B51,'Gastos com Pessoal'!$I$532:$AJ$532&amp;'Gastos com Pessoal'!$I$512:$AJ$512,0),10,1)),0)
+_xlfn.IFNA(SUM((AO$3&gt;='Gastos com Pessoal'!$E$513:$E$522)*(AO$3&lt;='Gastos com Pessoal'!$F$513:$F$522)*(IF('Gastos com Pessoal'!$M$513:$M$522&lt;=AO$3,1,0))*OFFSET('Gastos com Pessoal'!$H$512,1,MATCH(2&amp;$B51,'Gastos com Pessoal'!$I$532:$AJ$532&amp;'Gastos com Pessoal'!$I$512:$AJ$512,0),10,1)),0)
+_xlfn.IFNA(SUM((AO$3&gt;='Gastos com Pessoal'!$E$513:$E$522)*(AO$3&lt;='Gastos com Pessoal'!$F$513:$F$522)*(IF('Gastos com Pessoal'!$S$513:$S$522&lt;=AO$3,1,0))*OFFSET('Gastos com Pessoal'!$H$512,1,MATCH(3&amp;$B51,'Gastos com Pessoal'!$I$532:$AJ$532&amp;'Gastos com Pessoal'!$I$512:$AJ$512,0),10,1)),0)
+_xlfn.IFNA(SUM((AO$3&gt;='Gastos com Pessoal'!$E$513:$E$522)*(AO$3&lt;='Gastos com Pessoal'!$F$513:$F$522)*(IF('Gastos com Pessoal'!$Y$513:$Y$522&lt;=AO$3,1,0))*OFFSET('Gastos com Pessoal'!$H$512,1,MATCH(4&amp;$B51,'Gastos com Pessoal'!$I$532:$AJ$532&amp;'Gastos com Pessoal'!$I$512:$AJ$512,0),10,1)),0)
+_xlfn.IFNA(SUM((AO$3&gt;='Gastos com Pessoal'!$E$513:$E$522)*(AO$3&lt;='Gastos com Pessoal'!$F$513:$F$522)*(IF('Gastos com Pessoal'!$AE$513:$AE$522&lt;=AO$3,1,0))*OFFSET('Gastos com Pessoal'!$H$512,1,MATCH(5&amp;$B51,'Gastos com Pessoal'!$I$532:$AJ$532&amp;'Gastos com Pessoal'!$I$512:$AJ$512,0),10,1)),0)</f>
        <v>0</v>
      </c>
      <c r="AP51" s="32">
        <f t="array" aca="1" ref="AP51" ca="1">_xlfn.IFNA(SUM((AP$3&gt;='Gastos com Pessoal'!$E$7:$E$506)*(AP$3&lt;='Gastos com Pessoal'!$F$7:$F$506)*OFFSET('Encargos e Benefícios'!$D$5,1,MATCH($B51,'Encargos e Benefícios'!$E$5:$AB$5,0),500,1)),0)
+_xlfn.IFNA(SUM((AP$3&gt;='Gastos com Pessoal'!$E$513:$E$522)*(AP$3&lt;='Gastos com Pessoal'!$F$513:$F$522)*OFFSET('Encargos e Benefícios'!$D$511,1,MATCH($B51,'Encargos e Benefícios'!$E$511:$AB$511,0),10,1)),0)
+_xlfn.IFNA(SUM((AP$3&gt;='Gastos com Pessoal'!$E$7:$E$506)*(AP$3&lt;='Gastos com Pessoal'!$F$7:$F$506)*(IF('Gastos com Pessoal'!$G$7:$G$506&lt;=AP$3,1,0))*OFFSET('Gastos com Pessoal'!$H$6,1,MATCH(1&amp;$B51,'Gastos com Pessoal'!$I$532:$AJ$532&amp;'Gastos com Pessoal'!$I$6:$AJ$6,0),500,1)),0)
+_xlfn.IFNA(SUM((AP$3&gt;='Gastos com Pessoal'!$E$7:$E$506)*(AP$3&lt;='Gastos com Pessoal'!$F$7:$F$506)*(IF('Gastos com Pessoal'!$M$7:$M$506&lt;=AP$3,1,0))*OFFSET('Gastos com Pessoal'!$H$6,1,MATCH(2&amp;$B51,'Gastos com Pessoal'!$I$532:$AJ$532&amp;'Gastos com Pessoal'!$I$6:$AJ$6,0),500,1)),0)
+_xlfn.IFNA(SUM((AP$3&gt;='Gastos com Pessoal'!$E$7:$E$506)*(AP$3&lt;='Gastos com Pessoal'!$F$7:$F$506)*(IF('Gastos com Pessoal'!$S$7:$S$506&lt;=AP$3,1,0))*OFFSET('Gastos com Pessoal'!$H$6,1,MATCH(3&amp;$B51,'Gastos com Pessoal'!$I$532:$AJ$532&amp;'Gastos com Pessoal'!$I$6:$AJ$6,0),500,1)),0)
+_xlfn.IFNA(SUM((AP$3&gt;='Gastos com Pessoal'!$E$7:$E$506)*(AP$3&lt;='Gastos com Pessoal'!$F$7:$F$506)*(IF('Gastos com Pessoal'!$Y$7:$Y$506&lt;=AP$3,1,0))*OFFSET('Gastos com Pessoal'!$H$6,1,MATCH(4&amp;$B51,'Gastos com Pessoal'!$I$532:$AJ$532&amp;'Gastos com Pessoal'!$I$6:$AJ$6,0),500,1)),0)
+_xlfn.IFNA(SUM((AP$3&gt;='Gastos com Pessoal'!$E$7:$E$506)*(AP$3&lt;='Gastos com Pessoal'!$F$7:$F$506)*(IF('Gastos com Pessoal'!$AE$7:$AE$506&lt;=AP$3,1,0))*OFFSET('Gastos com Pessoal'!$H$6,1,MATCH(5&amp;$B51,'Gastos com Pessoal'!$I$532:$AJ$532&amp;'Gastos com Pessoal'!$I$6:$AJ$6,0),500,1)),0)
+_xlfn.IFNA(SUM((AP$3&gt;='Gastos com Pessoal'!$E$513:$E$522)*(AP$3&lt;='Gastos com Pessoal'!$F$513:$F$522)*(IF('Gastos com Pessoal'!$G$513:$G$522&lt;=AP$3,1,0))*OFFSET('Gastos com Pessoal'!$H$512,1,MATCH(1&amp;$B51,'Gastos com Pessoal'!$I$532:$AJ$532&amp;'Gastos com Pessoal'!$I$512:$AJ$512,0),10,1)),0)
+_xlfn.IFNA(SUM((AP$3&gt;='Gastos com Pessoal'!$E$513:$E$522)*(AP$3&lt;='Gastos com Pessoal'!$F$513:$F$522)*(IF('Gastos com Pessoal'!$M$513:$M$522&lt;=AP$3,1,0))*OFFSET('Gastos com Pessoal'!$H$512,1,MATCH(2&amp;$B51,'Gastos com Pessoal'!$I$532:$AJ$532&amp;'Gastos com Pessoal'!$I$512:$AJ$512,0),10,1)),0)
+_xlfn.IFNA(SUM((AP$3&gt;='Gastos com Pessoal'!$E$513:$E$522)*(AP$3&lt;='Gastos com Pessoal'!$F$513:$F$522)*(IF('Gastos com Pessoal'!$S$513:$S$522&lt;=AP$3,1,0))*OFFSET('Gastos com Pessoal'!$H$512,1,MATCH(3&amp;$B51,'Gastos com Pessoal'!$I$532:$AJ$532&amp;'Gastos com Pessoal'!$I$512:$AJ$512,0),10,1)),0)
+_xlfn.IFNA(SUM((AP$3&gt;='Gastos com Pessoal'!$E$513:$E$522)*(AP$3&lt;='Gastos com Pessoal'!$F$513:$F$522)*(IF('Gastos com Pessoal'!$Y$513:$Y$522&lt;=AP$3,1,0))*OFFSET('Gastos com Pessoal'!$H$512,1,MATCH(4&amp;$B51,'Gastos com Pessoal'!$I$532:$AJ$532&amp;'Gastos com Pessoal'!$I$512:$AJ$512,0),10,1)),0)
+_xlfn.IFNA(SUM((AP$3&gt;='Gastos com Pessoal'!$E$513:$E$522)*(AP$3&lt;='Gastos com Pessoal'!$F$513:$F$522)*(IF('Gastos com Pessoal'!$AE$513:$AE$522&lt;=AP$3,1,0))*OFFSET('Gastos com Pessoal'!$H$512,1,MATCH(5&amp;$B51,'Gastos com Pessoal'!$I$532:$AJ$532&amp;'Gastos com Pessoal'!$I$512:$AJ$512,0),10,1)),0)</f>
        <v>0</v>
      </c>
      <c r="AQ51" s="32">
        <f t="array" aca="1" ref="AQ51" ca="1">_xlfn.IFNA(SUM((AQ$3&gt;='Gastos com Pessoal'!$E$7:$E$506)*(AQ$3&lt;='Gastos com Pessoal'!$F$7:$F$506)*OFFSET('Encargos e Benefícios'!$D$5,1,MATCH($B51,'Encargos e Benefícios'!$E$5:$AB$5,0),500,1)),0)
+_xlfn.IFNA(SUM((AQ$3&gt;='Gastos com Pessoal'!$E$513:$E$522)*(AQ$3&lt;='Gastos com Pessoal'!$F$513:$F$522)*OFFSET('Encargos e Benefícios'!$D$511,1,MATCH($B51,'Encargos e Benefícios'!$E$511:$AB$511,0),10,1)),0)
+_xlfn.IFNA(SUM((AQ$3&gt;='Gastos com Pessoal'!$E$7:$E$506)*(AQ$3&lt;='Gastos com Pessoal'!$F$7:$F$506)*(IF('Gastos com Pessoal'!$G$7:$G$506&lt;=AQ$3,1,0))*OFFSET('Gastos com Pessoal'!$H$6,1,MATCH(1&amp;$B51,'Gastos com Pessoal'!$I$532:$AJ$532&amp;'Gastos com Pessoal'!$I$6:$AJ$6,0),500,1)),0)
+_xlfn.IFNA(SUM((AQ$3&gt;='Gastos com Pessoal'!$E$7:$E$506)*(AQ$3&lt;='Gastos com Pessoal'!$F$7:$F$506)*(IF('Gastos com Pessoal'!$M$7:$M$506&lt;=AQ$3,1,0))*OFFSET('Gastos com Pessoal'!$H$6,1,MATCH(2&amp;$B51,'Gastos com Pessoal'!$I$532:$AJ$532&amp;'Gastos com Pessoal'!$I$6:$AJ$6,0),500,1)),0)
+_xlfn.IFNA(SUM((AQ$3&gt;='Gastos com Pessoal'!$E$7:$E$506)*(AQ$3&lt;='Gastos com Pessoal'!$F$7:$F$506)*(IF('Gastos com Pessoal'!$S$7:$S$506&lt;=AQ$3,1,0))*OFFSET('Gastos com Pessoal'!$H$6,1,MATCH(3&amp;$B51,'Gastos com Pessoal'!$I$532:$AJ$532&amp;'Gastos com Pessoal'!$I$6:$AJ$6,0),500,1)),0)
+_xlfn.IFNA(SUM((AQ$3&gt;='Gastos com Pessoal'!$E$7:$E$506)*(AQ$3&lt;='Gastos com Pessoal'!$F$7:$F$506)*(IF('Gastos com Pessoal'!$Y$7:$Y$506&lt;=AQ$3,1,0))*OFFSET('Gastos com Pessoal'!$H$6,1,MATCH(4&amp;$B51,'Gastos com Pessoal'!$I$532:$AJ$532&amp;'Gastos com Pessoal'!$I$6:$AJ$6,0),500,1)),0)
+_xlfn.IFNA(SUM((AQ$3&gt;='Gastos com Pessoal'!$E$7:$E$506)*(AQ$3&lt;='Gastos com Pessoal'!$F$7:$F$506)*(IF('Gastos com Pessoal'!$AE$7:$AE$506&lt;=AQ$3,1,0))*OFFSET('Gastos com Pessoal'!$H$6,1,MATCH(5&amp;$B51,'Gastos com Pessoal'!$I$532:$AJ$532&amp;'Gastos com Pessoal'!$I$6:$AJ$6,0),500,1)),0)
+_xlfn.IFNA(SUM((AQ$3&gt;='Gastos com Pessoal'!$E$513:$E$522)*(AQ$3&lt;='Gastos com Pessoal'!$F$513:$F$522)*(IF('Gastos com Pessoal'!$G$513:$G$522&lt;=AQ$3,1,0))*OFFSET('Gastos com Pessoal'!$H$512,1,MATCH(1&amp;$B51,'Gastos com Pessoal'!$I$532:$AJ$532&amp;'Gastos com Pessoal'!$I$512:$AJ$512,0),10,1)),0)
+_xlfn.IFNA(SUM((AQ$3&gt;='Gastos com Pessoal'!$E$513:$E$522)*(AQ$3&lt;='Gastos com Pessoal'!$F$513:$F$522)*(IF('Gastos com Pessoal'!$M$513:$M$522&lt;=AQ$3,1,0))*OFFSET('Gastos com Pessoal'!$H$512,1,MATCH(2&amp;$B51,'Gastos com Pessoal'!$I$532:$AJ$532&amp;'Gastos com Pessoal'!$I$512:$AJ$512,0),10,1)),0)
+_xlfn.IFNA(SUM((AQ$3&gt;='Gastos com Pessoal'!$E$513:$E$522)*(AQ$3&lt;='Gastos com Pessoal'!$F$513:$F$522)*(IF('Gastos com Pessoal'!$S$513:$S$522&lt;=AQ$3,1,0))*OFFSET('Gastos com Pessoal'!$H$512,1,MATCH(3&amp;$B51,'Gastos com Pessoal'!$I$532:$AJ$532&amp;'Gastos com Pessoal'!$I$512:$AJ$512,0),10,1)),0)
+_xlfn.IFNA(SUM((AQ$3&gt;='Gastos com Pessoal'!$E$513:$E$522)*(AQ$3&lt;='Gastos com Pessoal'!$F$513:$F$522)*(IF('Gastos com Pessoal'!$Y$513:$Y$522&lt;=AQ$3,1,0))*OFFSET('Gastos com Pessoal'!$H$512,1,MATCH(4&amp;$B51,'Gastos com Pessoal'!$I$532:$AJ$532&amp;'Gastos com Pessoal'!$I$512:$AJ$512,0),10,1)),0)
+_xlfn.IFNA(SUM((AQ$3&gt;='Gastos com Pessoal'!$E$513:$E$522)*(AQ$3&lt;='Gastos com Pessoal'!$F$513:$F$522)*(IF('Gastos com Pessoal'!$AE$513:$AE$522&lt;=AQ$3,1,0))*OFFSET('Gastos com Pessoal'!$H$512,1,MATCH(5&amp;$B51,'Gastos com Pessoal'!$I$532:$AJ$532&amp;'Gastos com Pessoal'!$I$512:$AJ$512,0),10,1)),0)</f>
        <v>0</v>
      </c>
      <c r="AR51" s="32">
        <f t="array" aca="1" ref="AR51" ca="1">_xlfn.IFNA(SUM((AR$3&gt;='Gastos com Pessoal'!$E$7:$E$506)*(AR$3&lt;='Gastos com Pessoal'!$F$7:$F$506)*OFFSET('Encargos e Benefícios'!$D$5,1,MATCH($B51,'Encargos e Benefícios'!$E$5:$AB$5,0),500,1)),0)
+_xlfn.IFNA(SUM((AR$3&gt;='Gastos com Pessoal'!$E$513:$E$522)*(AR$3&lt;='Gastos com Pessoal'!$F$513:$F$522)*OFFSET('Encargos e Benefícios'!$D$511,1,MATCH($B51,'Encargos e Benefícios'!$E$511:$AB$511,0),10,1)),0)
+_xlfn.IFNA(SUM((AR$3&gt;='Gastos com Pessoal'!$E$7:$E$506)*(AR$3&lt;='Gastos com Pessoal'!$F$7:$F$506)*(IF('Gastos com Pessoal'!$G$7:$G$506&lt;=AR$3,1,0))*OFFSET('Gastos com Pessoal'!$H$6,1,MATCH(1&amp;$B51,'Gastos com Pessoal'!$I$532:$AJ$532&amp;'Gastos com Pessoal'!$I$6:$AJ$6,0),500,1)),0)
+_xlfn.IFNA(SUM((AR$3&gt;='Gastos com Pessoal'!$E$7:$E$506)*(AR$3&lt;='Gastos com Pessoal'!$F$7:$F$506)*(IF('Gastos com Pessoal'!$M$7:$M$506&lt;=AR$3,1,0))*OFFSET('Gastos com Pessoal'!$H$6,1,MATCH(2&amp;$B51,'Gastos com Pessoal'!$I$532:$AJ$532&amp;'Gastos com Pessoal'!$I$6:$AJ$6,0),500,1)),0)
+_xlfn.IFNA(SUM((AR$3&gt;='Gastos com Pessoal'!$E$7:$E$506)*(AR$3&lt;='Gastos com Pessoal'!$F$7:$F$506)*(IF('Gastos com Pessoal'!$S$7:$S$506&lt;=AR$3,1,0))*OFFSET('Gastos com Pessoal'!$H$6,1,MATCH(3&amp;$B51,'Gastos com Pessoal'!$I$532:$AJ$532&amp;'Gastos com Pessoal'!$I$6:$AJ$6,0),500,1)),0)
+_xlfn.IFNA(SUM((AR$3&gt;='Gastos com Pessoal'!$E$7:$E$506)*(AR$3&lt;='Gastos com Pessoal'!$F$7:$F$506)*(IF('Gastos com Pessoal'!$Y$7:$Y$506&lt;=AR$3,1,0))*OFFSET('Gastos com Pessoal'!$H$6,1,MATCH(4&amp;$B51,'Gastos com Pessoal'!$I$532:$AJ$532&amp;'Gastos com Pessoal'!$I$6:$AJ$6,0),500,1)),0)
+_xlfn.IFNA(SUM((AR$3&gt;='Gastos com Pessoal'!$E$7:$E$506)*(AR$3&lt;='Gastos com Pessoal'!$F$7:$F$506)*(IF('Gastos com Pessoal'!$AE$7:$AE$506&lt;=AR$3,1,0))*OFFSET('Gastos com Pessoal'!$H$6,1,MATCH(5&amp;$B51,'Gastos com Pessoal'!$I$532:$AJ$532&amp;'Gastos com Pessoal'!$I$6:$AJ$6,0),500,1)),0)
+_xlfn.IFNA(SUM((AR$3&gt;='Gastos com Pessoal'!$E$513:$E$522)*(AR$3&lt;='Gastos com Pessoal'!$F$513:$F$522)*(IF('Gastos com Pessoal'!$G$513:$G$522&lt;=AR$3,1,0))*OFFSET('Gastos com Pessoal'!$H$512,1,MATCH(1&amp;$B51,'Gastos com Pessoal'!$I$532:$AJ$532&amp;'Gastos com Pessoal'!$I$512:$AJ$512,0),10,1)),0)
+_xlfn.IFNA(SUM((AR$3&gt;='Gastos com Pessoal'!$E$513:$E$522)*(AR$3&lt;='Gastos com Pessoal'!$F$513:$F$522)*(IF('Gastos com Pessoal'!$M$513:$M$522&lt;=AR$3,1,0))*OFFSET('Gastos com Pessoal'!$H$512,1,MATCH(2&amp;$B51,'Gastos com Pessoal'!$I$532:$AJ$532&amp;'Gastos com Pessoal'!$I$512:$AJ$512,0),10,1)),0)
+_xlfn.IFNA(SUM((AR$3&gt;='Gastos com Pessoal'!$E$513:$E$522)*(AR$3&lt;='Gastos com Pessoal'!$F$513:$F$522)*(IF('Gastos com Pessoal'!$S$513:$S$522&lt;=AR$3,1,0))*OFFSET('Gastos com Pessoal'!$H$512,1,MATCH(3&amp;$B51,'Gastos com Pessoal'!$I$532:$AJ$532&amp;'Gastos com Pessoal'!$I$512:$AJ$512,0),10,1)),0)
+_xlfn.IFNA(SUM((AR$3&gt;='Gastos com Pessoal'!$E$513:$E$522)*(AR$3&lt;='Gastos com Pessoal'!$F$513:$F$522)*(IF('Gastos com Pessoal'!$Y$513:$Y$522&lt;=AR$3,1,0))*OFFSET('Gastos com Pessoal'!$H$512,1,MATCH(4&amp;$B51,'Gastos com Pessoal'!$I$532:$AJ$532&amp;'Gastos com Pessoal'!$I$512:$AJ$512,0),10,1)),0)
+_xlfn.IFNA(SUM((AR$3&gt;='Gastos com Pessoal'!$E$513:$E$522)*(AR$3&lt;='Gastos com Pessoal'!$F$513:$F$522)*(IF('Gastos com Pessoal'!$AE$513:$AE$522&lt;=AR$3,1,0))*OFFSET('Gastos com Pessoal'!$H$512,1,MATCH(5&amp;$B51,'Gastos com Pessoal'!$I$532:$AJ$532&amp;'Gastos com Pessoal'!$I$512:$AJ$512,0),10,1)),0)</f>
        <v>0</v>
      </c>
      <c r="AS51" s="32">
        <f t="array" aca="1" ref="AS51" ca="1">_xlfn.IFNA(SUM((AS$3&gt;='Gastos com Pessoal'!$E$7:$E$506)*(AS$3&lt;='Gastos com Pessoal'!$F$7:$F$506)*OFFSET('Encargos e Benefícios'!$D$5,1,MATCH($B51,'Encargos e Benefícios'!$E$5:$AB$5,0),500,1)),0)
+_xlfn.IFNA(SUM((AS$3&gt;='Gastos com Pessoal'!$E$513:$E$522)*(AS$3&lt;='Gastos com Pessoal'!$F$513:$F$522)*OFFSET('Encargos e Benefícios'!$D$511,1,MATCH($B51,'Encargos e Benefícios'!$E$511:$AB$511,0),10,1)),0)
+_xlfn.IFNA(SUM((AS$3&gt;='Gastos com Pessoal'!$E$7:$E$506)*(AS$3&lt;='Gastos com Pessoal'!$F$7:$F$506)*(IF('Gastos com Pessoal'!$G$7:$G$506&lt;=AS$3,1,0))*OFFSET('Gastos com Pessoal'!$H$6,1,MATCH(1&amp;$B51,'Gastos com Pessoal'!$I$532:$AJ$532&amp;'Gastos com Pessoal'!$I$6:$AJ$6,0),500,1)),0)
+_xlfn.IFNA(SUM((AS$3&gt;='Gastos com Pessoal'!$E$7:$E$506)*(AS$3&lt;='Gastos com Pessoal'!$F$7:$F$506)*(IF('Gastos com Pessoal'!$M$7:$M$506&lt;=AS$3,1,0))*OFFSET('Gastos com Pessoal'!$H$6,1,MATCH(2&amp;$B51,'Gastos com Pessoal'!$I$532:$AJ$532&amp;'Gastos com Pessoal'!$I$6:$AJ$6,0),500,1)),0)
+_xlfn.IFNA(SUM((AS$3&gt;='Gastos com Pessoal'!$E$7:$E$506)*(AS$3&lt;='Gastos com Pessoal'!$F$7:$F$506)*(IF('Gastos com Pessoal'!$S$7:$S$506&lt;=AS$3,1,0))*OFFSET('Gastos com Pessoal'!$H$6,1,MATCH(3&amp;$B51,'Gastos com Pessoal'!$I$532:$AJ$532&amp;'Gastos com Pessoal'!$I$6:$AJ$6,0),500,1)),0)
+_xlfn.IFNA(SUM((AS$3&gt;='Gastos com Pessoal'!$E$7:$E$506)*(AS$3&lt;='Gastos com Pessoal'!$F$7:$F$506)*(IF('Gastos com Pessoal'!$Y$7:$Y$506&lt;=AS$3,1,0))*OFFSET('Gastos com Pessoal'!$H$6,1,MATCH(4&amp;$B51,'Gastos com Pessoal'!$I$532:$AJ$532&amp;'Gastos com Pessoal'!$I$6:$AJ$6,0),500,1)),0)
+_xlfn.IFNA(SUM((AS$3&gt;='Gastos com Pessoal'!$E$7:$E$506)*(AS$3&lt;='Gastos com Pessoal'!$F$7:$F$506)*(IF('Gastos com Pessoal'!$AE$7:$AE$506&lt;=AS$3,1,0))*OFFSET('Gastos com Pessoal'!$H$6,1,MATCH(5&amp;$B51,'Gastos com Pessoal'!$I$532:$AJ$532&amp;'Gastos com Pessoal'!$I$6:$AJ$6,0),500,1)),0)
+_xlfn.IFNA(SUM((AS$3&gt;='Gastos com Pessoal'!$E$513:$E$522)*(AS$3&lt;='Gastos com Pessoal'!$F$513:$F$522)*(IF('Gastos com Pessoal'!$G$513:$G$522&lt;=AS$3,1,0))*OFFSET('Gastos com Pessoal'!$H$512,1,MATCH(1&amp;$B51,'Gastos com Pessoal'!$I$532:$AJ$532&amp;'Gastos com Pessoal'!$I$512:$AJ$512,0),10,1)),0)
+_xlfn.IFNA(SUM((AS$3&gt;='Gastos com Pessoal'!$E$513:$E$522)*(AS$3&lt;='Gastos com Pessoal'!$F$513:$F$522)*(IF('Gastos com Pessoal'!$M$513:$M$522&lt;=AS$3,1,0))*OFFSET('Gastos com Pessoal'!$H$512,1,MATCH(2&amp;$B51,'Gastos com Pessoal'!$I$532:$AJ$532&amp;'Gastos com Pessoal'!$I$512:$AJ$512,0),10,1)),0)
+_xlfn.IFNA(SUM((AS$3&gt;='Gastos com Pessoal'!$E$513:$E$522)*(AS$3&lt;='Gastos com Pessoal'!$F$513:$F$522)*(IF('Gastos com Pessoal'!$S$513:$S$522&lt;=AS$3,1,0))*OFFSET('Gastos com Pessoal'!$H$512,1,MATCH(3&amp;$B51,'Gastos com Pessoal'!$I$532:$AJ$532&amp;'Gastos com Pessoal'!$I$512:$AJ$512,0),10,1)),0)
+_xlfn.IFNA(SUM((AS$3&gt;='Gastos com Pessoal'!$E$513:$E$522)*(AS$3&lt;='Gastos com Pessoal'!$F$513:$F$522)*(IF('Gastos com Pessoal'!$Y$513:$Y$522&lt;=AS$3,1,0))*OFFSET('Gastos com Pessoal'!$H$512,1,MATCH(4&amp;$B51,'Gastos com Pessoal'!$I$532:$AJ$532&amp;'Gastos com Pessoal'!$I$512:$AJ$512,0),10,1)),0)
+_xlfn.IFNA(SUM((AS$3&gt;='Gastos com Pessoal'!$E$513:$E$522)*(AS$3&lt;='Gastos com Pessoal'!$F$513:$F$522)*(IF('Gastos com Pessoal'!$AE$513:$AE$522&lt;=AS$3,1,0))*OFFSET('Gastos com Pessoal'!$H$512,1,MATCH(5&amp;$B51,'Gastos com Pessoal'!$I$532:$AJ$532&amp;'Gastos com Pessoal'!$I$512:$AJ$512,0),10,1)),0)</f>
        <v>0</v>
      </c>
      <c r="AT51" s="32">
        <f t="array" aca="1" ref="AT51" ca="1">_xlfn.IFNA(SUM((AT$3&gt;='Gastos com Pessoal'!$E$7:$E$506)*(AT$3&lt;='Gastos com Pessoal'!$F$7:$F$506)*OFFSET('Encargos e Benefícios'!$D$5,1,MATCH($B51,'Encargos e Benefícios'!$E$5:$AB$5,0),500,1)),0)
+_xlfn.IFNA(SUM((AT$3&gt;='Gastos com Pessoal'!$E$513:$E$522)*(AT$3&lt;='Gastos com Pessoal'!$F$513:$F$522)*OFFSET('Encargos e Benefícios'!$D$511,1,MATCH($B51,'Encargos e Benefícios'!$E$511:$AB$511,0),10,1)),0)
+_xlfn.IFNA(SUM((AT$3&gt;='Gastos com Pessoal'!$E$7:$E$506)*(AT$3&lt;='Gastos com Pessoal'!$F$7:$F$506)*(IF('Gastos com Pessoal'!$G$7:$G$506&lt;=AT$3,1,0))*OFFSET('Gastos com Pessoal'!$H$6,1,MATCH(1&amp;$B51,'Gastos com Pessoal'!$I$532:$AJ$532&amp;'Gastos com Pessoal'!$I$6:$AJ$6,0),500,1)),0)
+_xlfn.IFNA(SUM((AT$3&gt;='Gastos com Pessoal'!$E$7:$E$506)*(AT$3&lt;='Gastos com Pessoal'!$F$7:$F$506)*(IF('Gastos com Pessoal'!$M$7:$M$506&lt;=AT$3,1,0))*OFFSET('Gastos com Pessoal'!$H$6,1,MATCH(2&amp;$B51,'Gastos com Pessoal'!$I$532:$AJ$532&amp;'Gastos com Pessoal'!$I$6:$AJ$6,0),500,1)),0)
+_xlfn.IFNA(SUM((AT$3&gt;='Gastos com Pessoal'!$E$7:$E$506)*(AT$3&lt;='Gastos com Pessoal'!$F$7:$F$506)*(IF('Gastos com Pessoal'!$S$7:$S$506&lt;=AT$3,1,0))*OFFSET('Gastos com Pessoal'!$H$6,1,MATCH(3&amp;$B51,'Gastos com Pessoal'!$I$532:$AJ$532&amp;'Gastos com Pessoal'!$I$6:$AJ$6,0),500,1)),0)
+_xlfn.IFNA(SUM((AT$3&gt;='Gastos com Pessoal'!$E$7:$E$506)*(AT$3&lt;='Gastos com Pessoal'!$F$7:$F$506)*(IF('Gastos com Pessoal'!$Y$7:$Y$506&lt;=AT$3,1,0))*OFFSET('Gastos com Pessoal'!$H$6,1,MATCH(4&amp;$B51,'Gastos com Pessoal'!$I$532:$AJ$532&amp;'Gastos com Pessoal'!$I$6:$AJ$6,0),500,1)),0)
+_xlfn.IFNA(SUM((AT$3&gt;='Gastos com Pessoal'!$E$7:$E$506)*(AT$3&lt;='Gastos com Pessoal'!$F$7:$F$506)*(IF('Gastos com Pessoal'!$AE$7:$AE$506&lt;=AT$3,1,0))*OFFSET('Gastos com Pessoal'!$H$6,1,MATCH(5&amp;$B51,'Gastos com Pessoal'!$I$532:$AJ$532&amp;'Gastos com Pessoal'!$I$6:$AJ$6,0),500,1)),0)
+_xlfn.IFNA(SUM((AT$3&gt;='Gastos com Pessoal'!$E$513:$E$522)*(AT$3&lt;='Gastos com Pessoal'!$F$513:$F$522)*(IF('Gastos com Pessoal'!$G$513:$G$522&lt;=AT$3,1,0))*OFFSET('Gastos com Pessoal'!$H$512,1,MATCH(1&amp;$B51,'Gastos com Pessoal'!$I$532:$AJ$532&amp;'Gastos com Pessoal'!$I$512:$AJ$512,0),10,1)),0)
+_xlfn.IFNA(SUM((AT$3&gt;='Gastos com Pessoal'!$E$513:$E$522)*(AT$3&lt;='Gastos com Pessoal'!$F$513:$F$522)*(IF('Gastos com Pessoal'!$M$513:$M$522&lt;=AT$3,1,0))*OFFSET('Gastos com Pessoal'!$H$512,1,MATCH(2&amp;$B51,'Gastos com Pessoal'!$I$532:$AJ$532&amp;'Gastos com Pessoal'!$I$512:$AJ$512,0),10,1)),0)
+_xlfn.IFNA(SUM((AT$3&gt;='Gastos com Pessoal'!$E$513:$E$522)*(AT$3&lt;='Gastos com Pessoal'!$F$513:$F$522)*(IF('Gastos com Pessoal'!$S$513:$S$522&lt;=AT$3,1,0))*OFFSET('Gastos com Pessoal'!$H$512,1,MATCH(3&amp;$B51,'Gastos com Pessoal'!$I$532:$AJ$532&amp;'Gastos com Pessoal'!$I$512:$AJ$512,0),10,1)),0)
+_xlfn.IFNA(SUM((AT$3&gt;='Gastos com Pessoal'!$E$513:$E$522)*(AT$3&lt;='Gastos com Pessoal'!$F$513:$F$522)*(IF('Gastos com Pessoal'!$Y$513:$Y$522&lt;=AT$3,1,0))*OFFSET('Gastos com Pessoal'!$H$512,1,MATCH(4&amp;$B51,'Gastos com Pessoal'!$I$532:$AJ$532&amp;'Gastos com Pessoal'!$I$512:$AJ$512,0),10,1)),0)
+_xlfn.IFNA(SUM((AT$3&gt;='Gastos com Pessoal'!$E$513:$E$522)*(AT$3&lt;='Gastos com Pessoal'!$F$513:$F$522)*(IF('Gastos com Pessoal'!$AE$513:$AE$522&lt;=AT$3,1,0))*OFFSET('Gastos com Pessoal'!$H$512,1,MATCH(5&amp;$B51,'Gastos com Pessoal'!$I$532:$AJ$532&amp;'Gastos com Pessoal'!$I$512:$AJ$512,0),10,1)),0)</f>
        <v>0</v>
      </c>
      <c r="AU51" s="32">
        <f t="array" aca="1" ref="AU51" ca="1">_xlfn.IFNA(SUM((AU$3&gt;='Gastos com Pessoal'!$E$7:$E$506)*(AU$3&lt;='Gastos com Pessoal'!$F$7:$F$506)*OFFSET('Encargos e Benefícios'!$D$5,1,MATCH($B51,'Encargos e Benefícios'!$E$5:$AB$5,0),500,1)),0)
+_xlfn.IFNA(SUM((AU$3&gt;='Gastos com Pessoal'!$E$513:$E$522)*(AU$3&lt;='Gastos com Pessoal'!$F$513:$F$522)*OFFSET('Encargos e Benefícios'!$D$511,1,MATCH($B51,'Encargos e Benefícios'!$E$511:$AB$511,0),10,1)),0)
+_xlfn.IFNA(SUM((AU$3&gt;='Gastos com Pessoal'!$E$7:$E$506)*(AU$3&lt;='Gastos com Pessoal'!$F$7:$F$506)*(IF('Gastos com Pessoal'!$G$7:$G$506&lt;=AU$3,1,0))*OFFSET('Gastos com Pessoal'!$H$6,1,MATCH(1&amp;$B51,'Gastos com Pessoal'!$I$532:$AJ$532&amp;'Gastos com Pessoal'!$I$6:$AJ$6,0),500,1)),0)
+_xlfn.IFNA(SUM((AU$3&gt;='Gastos com Pessoal'!$E$7:$E$506)*(AU$3&lt;='Gastos com Pessoal'!$F$7:$F$506)*(IF('Gastos com Pessoal'!$M$7:$M$506&lt;=AU$3,1,0))*OFFSET('Gastos com Pessoal'!$H$6,1,MATCH(2&amp;$B51,'Gastos com Pessoal'!$I$532:$AJ$532&amp;'Gastos com Pessoal'!$I$6:$AJ$6,0),500,1)),0)
+_xlfn.IFNA(SUM((AU$3&gt;='Gastos com Pessoal'!$E$7:$E$506)*(AU$3&lt;='Gastos com Pessoal'!$F$7:$F$506)*(IF('Gastos com Pessoal'!$S$7:$S$506&lt;=AU$3,1,0))*OFFSET('Gastos com Pessoal'!$H$6,1,MATCH(3&amp;$B51,'Gastos com Pessoal'!$I$532:$AJ$532&amp;'Gastos com Pessoal'!$I$6:$AJ$6,0),500,1)),0)
+_xlfn.IFNA(SUM((AU$3&gt;='Gastos com Pessoal'!$E$7:$E$506)*(AU$3&lt;='Gastos com Pessoal'!$F$7:$F$506)*(IF('Gastos com Pessoal'!$Y$7:$Y$506&lt;=AU$3,1,0))*OFFSET('Gastos com Pessoal'!$H$6,1,MATCH(4&amp;$B51,'Gastos com Pessoal'!$I$532:$AJ$532&amp;'Gastos com Pessoal'!$I$6:$AJ$6,0),500,1)),0)
+_xlfn.IFNA(SUM((AU$3&gt;='Gastos com Pessoal'!$E$7:$E$506)*(AU$3&lt;='Gastos com Pessoal'!$F$7:$F$506)*(IF('Gastos com Pessoal'!$AE$7:$AE$506&lt;=AU$3,1,0))*OFFSET('Gastos com Pessoal'!$H$6,1,MATCH(5&amp;$B51,'Gastos com Pessoal'!$I$532:$AJ$532&amp;'Gastos com Pessoal'!$I$6:$AJ$6,0),500,1)),0)
+_xlfn.IFNA(SUM((AU$3&gt;='Gastos com Pessoal'!$E$513:$E$522)*(AU$3&lt;='Gastos com Pessoal'!$F$513:$F$522)*(IF('Gastos com Pessoal'!$G$513:$G$522&lt;=AU$3,1,0))*OFFSET('Gastos com Pessoal'!$H$512,1,MATCH(1&amp;$B51,'Gastos com Pessoal'!$I$532:$AJ$532&amp;'Gastos com Pessoal'!$I$512:$AJ$512,0),10,1)),0)
+_xlfn.IFNA(SUM((AU$3&gt;='Gastos com Pessoal'!$E$513:$E$522)*(AU$3&lt;='Gastos com Pessoal'!$F$513:$F$522)*(IF('Gastos com Pessoal'!$M$513:$M$522&lt;=AU$3,1,0))*OFFSET('Gastos com Pessoal'!$H$512,1,MATCH(2&amp;$B51,'Gastos com Pessoal'!$I$532:$AJ$532&amp;'Gastos com Pessoal'!$I$512:$AJ$512,0),10,1)),0)
+_xlfn.IFNA(SUM((AU$3&gt;='Gastos com Pessoal'!$E$513:$E$522)*(AU$3&lt;='Gastos com Pessoal'!$F$513:$F$522)*(IF('Gastos com Pessoal'!$S$513:$S$522&lt;=AU$3,1,0))*OFFSET('Gastos com Pessoal'!$H$512,1,MATCH(3&amp;$B51,'Gastos com Pessoal'!$I$532:$AJ$532&amp;'Gastos com Pessoal'!$I$512:$AJ$512,0),10,1)),0)
+_xlfn.IFNA(SUM((AU$3&gt;='Gastos com Pessoal'!$E$513:$E$522)*(AU$3&lt;='Gastos com Pessoal'!$F$513:$F$522)*(IF('Gastos com Pessoal'!$Y$513:$Y$522&lt;=AU$3,1,0))*OFFSET('Gastos com Pessoal'!$H$512,1,MATCH(4&amp;$B51,'Gastos com Pessoal'!$I$532:$AJ$532&amp;'Gastos com Pessoal'!$I$512:$AJ$512,0),10,1)),0)
+_xlfn.IFNA(SUM((AU$3&gt;='Gastos com Pessoal'!$E$513:$E$522)*(AU$3&lt;='Gastos com Pessoal'!$F$513:$F$522)*(IF('Gastos com Pessoal'!$AE$513:$AE$522&lt;=AU$3,1,0))*OFFSET('Gastos com Pessoal'!$H$512,1,MATCH(5&amp;$B51,'Gastos com Pessoal'!$I$532:$AJ$532&amp;'Gastos com Pessoal'!$I$512:$AJ$512,0),10,1)),0)</f>
        <v>0</v>
      </c>
      <c r="AV51" s="32">
        <f t="array" aca="1" ref="AV51" ca="1">_xlfn.IFNA(SUM((AV$3&gt;='Gastos com Pessoal'!$E$7:$E$506)*(AV$3&lt;='Gastos com Pessoal'!$F$7:$F$506)*OFFSET('Encargos e Benefícios'!$D$5,1,MATCH($B51,'Encargos e Benefícios'!$E$5:$AB$5,0),500,1)),0)
+_xlfn.IFNA(SUM((AV$3&gt;='Gastos com Pessoal'!$E$513:$E$522)*(AV$3&lt;='Gastos com Pessoal'!$F$513:$F$522)*OFFSET('Encargos e Benefícios'!$D$511,1,MATCH($B51,'Encargos e Benefícios'!$E$511:$AB$511,0),10,1)),0)
+_xlfn.IFNA(SUM((AV$3&gt;='Gastos com Pessoal'!$E$7:$E$506)*(AV$3&lt;='Gastos com Pessoal'!$F$7:$F$506)*(IF('Gastos com Pessoal'!$G$7:$G$506&lt;=AV$3,1,0))*OFFSET('Gastos com Pessoal'!$H$6,1,MATCH(1&amp;$B51,'Gastos com Pessoal'!$I$532:$AJ$532&amp;'Gastos com Pessoal'!$I$6:$AJ$6,0),500,1)),0)
+_xlfn.IFNA(SUM((AV$3&gt;='Gastos com Pessoal'!$E$7:$E$506)*(AV$3&lt;='Gastos com Pessoal'!$F$7:$F$506)*(IF('Gastos com Pessoal'!$M$7:$M$506&lt;=AV$3,1,0))*OFFSET('Gastos com Pessoal'!$H$6,1,MATCH(2&amp;$B51,'Gastos com Pessoal'!$I$532:$AJ$532&amp;'Gastos com Pessoal'!$I$6:$AJ$6,0),500,1)),0)
+_xlfn.IFNA(SUM((AV$3&gt;='Gastos com Pessoal'!$E$7:$E$506)*(AV$3&lt;='Gastos com Pessoal'!$F$7:$F$506)*(IF('Gastos com Pessoal'!$S$7:$S$506&lt;=AV$3,1,0))*OFFSET('Gastos com Pessoal'!$H$6,1,MATCH(3&amp;$B51,'Gastos com Pessoal'!$I$532:$AJ$532&amp;'Gastos com Pessoal'!$I$6:$AJ$6,0),500,1)),0)
+_xlfn.IFNA(SUM((AV$3&gt;='Gastos com Pessoal'!$E$7:$E$506)*(AV$3&lt;='Gastos com Pessoal'!$F$7:$F$506)*(IF('Gastos com Pessoal'!$Y$7:$Y$506&lt;=AV$3,1,0))*OFFSET('Gastos com Pessoal'!$H$6,1,MATCH(4&amp;$B51,'Gastos com Pessoal'!$I$532:$AJ$532&amp;'Gastos com Pessoal'!$I$6:$AJ$6,0),500,1)),0)
+_xlfn.IFNA(SUM((AV$3&gt;='Gastos com Pessoal'!$E$7:$E$506)*(AV$3&lt;='Gastos com Pessoal'!$F$7:$F$506)*(IF('Gastos com Pessoal'!$AE$7:$AE$506&lt;=AV$3,1,0))*OFFSET('Gastos com Pessoal'!$H$6,1,MATCH(5&amp;$B51,'Gastos com Pessoal'!$I$532:$AJ$532&amp;'Gastos com Pessoal'!$I$6:$AJ$6,0),500,1)),0)
+_xlfn.IFNA(SUM((AV$3&gt;='Gastos com Pessoal'!$E$513:$E$522)*(AV$3&lt;='Gastos com Pessoal'!$F$513:$F$522)*(IF('Gastos com Pessoal'!$G$513:$G$522&lt;=AV$3,1,0))*OFFSET('Gastos com Pessoal'!$H$512,1,MATCH(1&amp;$B51,'Gastos com Pessoal'!$I$532:$AJ$532&amp;'Gastos com Pessoal'!$I$512:$AJ$512,0),10,1)),0)
+_xlfn.IFNA(SUM((AV$3&gt;='Gastos com Pessoal'!$E$513:$E$522)*(AV$3&lt;='Gastos com Pessoal'!$F$513:$F$522)*(IF('Gastos com Pessoal'!$M$513:$M$522&lt;=AV$3,1,0))*OFFSET('Gastos com Pessoal'!$H$512,1,MATCH(2&amp;$B51,'Gastos com Pessoal'!$I$532:$AJ$532&amp;'Gastos com Pessoal'!$I$512:$AJ$512,0),10,1)),0)
+_xlfn.IFNA(SUM((AV$3&gt;='Gastos com Pessoal'!$E$513:$E$522)*(AV$3&lt;='Gastos com Pessoal'!$F$513:$F$522)*(IF('Gastos com Pessoal'!$S$513:$S$522&lt;=AV$3,1,0))*OFFSET('Gastos com Pessoal'!$H$512,1,MATCH(3&amp;$B51,'Gastos com Pessoal'!$I$532:$AJ$532&amp;'Gastos com Pessoal'!$I$512:$AJ$512,0),10,1)),0)
+_xlfn.IFNA(SUM((AV$3&gt;='Gastos com Pessoal'!$E$513:$E$522)*(AV$3&lt;='Gastos com Pessoal'!$F$513:$F$522)*(IF('Gastos com Pessoal'!$Y$513:$Y$522&lt;=AV$3,1,0))*OFFSET('Gastos com Pessoal'!$H$512,1,MATCH(4&amp;$B51,'Gastos com Pessoal'!$I$532:$AJ$532&amp;'Gastos com Pessoal'!$I$512:$AJ$512,0),10,1)),0)
+_xlfn.IFNA(SUM((AV$3&gt;='Gastos com Pessoal'!$E$513:$E$522)*(AV$3&lt;='Gastos com Pessoal'!$F$513:$F$522)*(IF('Gastos com Pessoal'!$AE$513:$AE$522&lt;=AV$3,1,0))*OFFSET('Gastos com Pessoal'!$H$512,1,MATCH(5&amp;$B51,'Gastos com Pessoal'!$I$532:$AJ$532&amp;'Gastos com Pessoal'!$I$512:$AJ$512,0),10,1)),0)</f>
        <v>0</v>
      </c>
      <c r="AW51" s="32">
        <f t="array" aca="1" ref="AW51" ca="1">_xlfn.IFNA(SUM((AW$3&gt;='Gastos com Pessoal'!$E$7:$E$506)*(AW$3&lt;='Gastos com Pessoal'!$F$7:$F$506)*OFFSET('Encargos e Benefícios'!$D$5,1,MATCH($B51,'Encargos e Benefícios'!$E$5:$AB$5,0),500,1)),0)
+_xlfn.IFNA(SUM((AW$3&gt;='Gastos com Pessoal'!$E$513:$E$522)*(AW$3&lt;='Gastos com Pessoal'!$F$513:$F$522)*OFFSET('Encargos e Benefícios'!$D$511,1,MATCH($B51,'Encargos e Benefícios'!$E$511:$AB$511,0),10,1)),0)
+_xlfn.IFNA(SUM((AW$3&gt;='Gastos com Pessoal'!$E$7:$E$506)*(AW$3&lt;='Gastos com Pessoal'!$F$7:$F$506)*(IF('Gastos com Pessoal'!$G$7:$G$506&lt;=AW$3,1,0))*OFFSET('Gastos com Pessoal'!$H$6,1,MATCH(1&amp;$B51,'Gastos com Pessoal'!$I$532:$AJ$532&amp;'Gastos com Pessoal'!$I$6:$AJ$6,0),500,1)),0)
+_xlfn.IFNA(SUM((AW$3&gt;='Gastos com Pessoal'!$E$7:$E$506)*(AW$3&lt;='Gastos com Pessoal'!$F$7:$F$506)*(IF('Gastos com Pessoal'!$M$7:$M$506&lt;=AW$3,1,0))*OFFSET('Gastos com Pessoal'!$H$6,1,MATCH(2&amp;$B51,'Gastos com Pessoal'!$I$532:$AJ$532&amp;'Gastos com Pessoal'!$I$6:$AJ$6,0),500,1)),0)
+_xlfn.IFNA(SUM((AW$3&gt;='Gastos com Pessoal'!$E$7:$E$506)*(AW$3&lt;='Gastos com Pessoal'!$F$7:$F$506)*(IF('Gastos com Pessoal'!$S$7:$S$506&lt;=AW$3,1,0))*OFFSET('Gastos com Pessoal'!$H$6,1,MATCH(3&amp;$B51,'Gastos com Pessoal'!$I$532:$AJ$532&amp;'Gastos com Pessoal'!$I$6:$AJ$6,0),500,1)),0)
+_xlfn.IFNA(SUM((AW$3&gt;='Gastos com Pessoal'!$E$7:$E$506)*(AW$3&lt;='Gastos com Pessoal'!$F$7:$F$506)*(IF('Gastos com Pessoal'!$Y$7:$Y$506&lt;=AW$3,1,0))*OFFSET('Gastos com Pessoal'!$H$6,1,MATCH(4&amp;$B51,'Gastos com Pessoal'!$I$532:$AJ$532&amp;'Gastos com Pessoal'!$I$6:$AJ$6,0),500,1)),0)
+_xlfn.IFNA(SUM((AW$3&gt;='Gastos com Pessoal'!$E$7:$E$506)*(AW$3&lt;='Gastos com Pessoal'!$F$7:$F$506)*(IF('Gastos com Pessoal'!$AE$7:$AE$506&lt;=AW$3,1,0))*OFFSET('Gastos com Pessoal'!$H$6,1,MATCH(5&amp;$B51,'Gastos com Pessoal'!$I$532:$AJ$532&amp;'Gastos com Pessoal'!$I$6:$AJ$6,0),500,1)),0)
+_xlfn.IFNA(SUM((AW$3&gt;='Gastos com Pessoal'!$E$513:$E$522)*(AW$3&lt;='Gastos com Pessoal'!$F$513:$F$522)*(IF('Gastos com Pessoal'!$G$513:$G$522&lt;=AW$3,1,0))*OFFSET('Gastos com Pessoal'!$H$512,1,MATCH(1&amp;$B51,'Gastos com Pessoal'!$I$532:$AJ$532&amp;'Gastos com Pessoal'!$I$512:$AJ$512,0),10,1)),0)
+_xlfn.IFNA(SUM((AW$3&gt;='Gastos com Pessoal'!$E$513:$E$522)*(AW$3&lt;='Gastos com Pessoal'!$F$513:$F$522)*(IF('Gastos com Pessoal'!$M$513:$M$522&lt;=AW$3,1,0))*OFFSET('Gastos com Pessoal'!$H$512,1,MATCH(2&amp;$B51,'Gastos com Pessoal'!$I$532:$AJ$532&amp;'Gastos com Pessoal'!$I$512:$AJ$512,0),10,1)),0)
+_xlfn.IFNA(SUM((AW$3&gt;='Gastos com Pessoal'!$E$513:$E$522)*(AW$3&lt;='Gastos com Pessoal'!$F$513:$F$522)*(IF('Gastos com Pessoal'!$S$513:$S$522&lt;=AW$3,1,0))*OFFSET('Gastos com Pessoal'!$H$512,1,MATCH(3&amp;$B51,'Gastos com Pessoal'!$I$532:$AJ$532&amp;'Gastos com Pessoal'!$I$512:$AJ$512,0),10,1)),0)
+_xlfn.IFNA(SUM((AW$3&gt;='Gastos com Pessoal'!$E$513:$E$522)*(AW$3&lt;='Gastos com Pessoal'!$F$513:$F$522)*(IF('Gastos com Pessoal'!$Y$513:$Y$522&lt;=AW$3,1,0))*OFFSET('Gastos com Pessoal'!$H$512,1,MATCH(4&amp;$B51,'Gastos com Pessoal'!$I$532:$AJ$532&amp;'Gastos com Pessoal'!$I$512:$AJ$512,0),10,1)),0)
+_xlfn.IFNA(SUM((AW$3&gt;='Gastos com Pessoal'!$E$513:$E$522)*(AW$3&lt;='Gastos com Pessoal'!$F$513:$F$522)*(IF('Gastos com Pessoal'!$AE$513:$AE$522&lt;=AW$3,1,0))*OFFSET('Gastos com Pessoal'!$H$512,1,MATCH(5&amp;$B51,'Gastos com Pessoal'!$I$532:$AJ$532&amp;'Gastos com Pessoal'!$I$512:$AJ$512,0),10,1)),0)</f>
        <v>0</v>
      </c>
      <c r="AX51" s="32">
        <f t="array" aca="1" ref="AX51" ca="1">_xlfn.IFNA(SUM((AX$3&gt;='Gastos com Pessoal'!$E$7:$E$506)*(AX$3&lt;='Gastos com Pessoal'!$F$7:$F$506)*OFFSET('Encargos e Benefícios'!$D$5,1,MATCH($B51,'Encargos e Benefícios'!$E$5:$AB$5,0),500,1)),0)
+_xlfn.IFNA(SUM((AX$3&gt;='Gastos com Pessoal'!$E$513:$E$522)*(AX$3&lt;='Gastos com Pessoal'!$F$513:$F$522)*OFFSET('Encargos e Benefícios'!$D$511,1,MATCH($B51,'Encargos e Benefícios'!$E$511:$AB$511,0),10,1)),0)
+_xlfn.IFNA(SUM((AX$3&gt;='Gastos com Pessoal'!$E$7:$E$506)*(AX$3&lt;='Gastos com Pessoal'!$F$7:$F$506)*(IF('Gastos com Pessoal'!$G$7:$G$506&lt;=AX$3,1,0))*OFFSET('Gastos com Pessoal'!$H$6,1,MATCH(1&amp;$B51,'Gastos com Pessoal'!$I$532:$AJ$532&amp;'Gastos com Pessoal'!$I$6:$AJ$6,0),500,1)),0)
+_xlfn.IFNA(SUM((AX$3&gt;='Gastos com Pessoal'!$E$7:$E$506)*(AX$3&lt;='Gastos com Pessoal'!$F$7:$F$506)*(IF('Gastos com Pessoal'!$M$7:$M$506&lt;=AX$3,1,0))*OFFSET('Gastos com Pessoal'!$H$6,1,MATCH(2&amp;$B51,'Gastos com Pessoal'!$I$532:$AJ$532&amp;'Gastos com Pessoal'!$I$6:$AJ$6,0),500,1)),0)
+_xlfn.IFNA(SUM((AX$3&gt;='Gastos com Pessoal'!$E$7:$E$506)*(AX$3&lt;='Gastos com Pessoal'!$F$7:$F$506)*(IF('Gastos com Pessoal'!$S$7:$S$506&lt;=AX$3,1,0))*OFFSET('Gastos com Pessoal'!$H$6,1,MATCH(3&amp;$B51,'Gastos com Pessoal'!$I$532:$AJ$532&amp;'Gastos com Pessoal'!$I$6:$AJ$6,0),500,1)),0)
+_xlfn.IFNA(SUM((AX$3&gt;='Gastos com Pessoal'!$E$7:$E$506)*(AX$3&lt;='Gastos com Pessoal'!$F$7:$F$506)*(IF('Gastos com Pessoal'!$Y$7:$Y$506&lt;=AX$3,1,0))*OFFSET('Gastos com Pessoal'!$H$6,1,MATCH(4&amp;$B51,'Gastos com Pessoal'!$I$532:$AJ$532&amp;'Gastos com Pessoal'!$I$6:$AJ$6,0),500,1)),0)
+_xlfn.IFNA(SUM((AX$3&gt;='Gastos com Pessoal'!$E$7:$E$506)*(AX$3&lt;='Gastos com Pessoal'!$F$7:$F$506)*(IF('Gastos com Pessoal'!$AE$7:$AE$506&lt;=AX$3,1,0))*OFFSET('Gastos com Pessoal'!$H$6,1,MATCH(5&amp;$B51,'Gastos com Pessoal'!$I$532:$AJ$532&amp;'Gastos com Pessoal'!$I$6:$AJ$6,0),500,1)),0)
+_xlfn.IFNA(SUM((AX$3&gt;='Gastos com Pessoal'!$E$513:$E$522)*(AX$3&lt;='Gastos com Pessoal'!$F$513:$F$522)*(IF('Gastos com Pessoal'!$G$513:$G$522&lt;=AX$3,1,0))*OFFSET('Gastos com Pessoal'!$H$512,1,MATCH(1&amp;$B51,'Gastos com Pessoal'!$I$532:$AJ$532&amp;'Gastos com Pessoal'!$I$512:$AJ$512,0),10,1)),0)
+_xlfn.IFNA(SUM((AX$3&gt;='Gastos com Pessoal'!$E$513:$E$522)*(AX$3&lt;='Gastos com Pessoal'!$F$513:$F$522)*(IF('Gastos com Pessoal'!$M$513:$M$522&lt;=AX$3,1,0))*OFFSET('Gastos com Pessoal'!$H$512,1,MATCH(2&amp;$B51,'Gastos com Pessoal'!$I$532:$AJ$532&amp;'Gastos com Pessoal'!$I$512:$AJ$512,0),10,1)),0)
+_xlfn.IFNA(SUM((AX$3&gt;='Gastos com Pessoal'!$E$513:$E$522)*(AX$3&lt;='Gastos com Pessoal'!$F$513:$F$522)*(IF('Gastos com Pessoal'!$S$513:$S$522&lt;=AX$3,1,0))*OFFSET('Gastos com Pessoal'!$H$512,1,MATCH(3&amp;$B51,'Gastos com Pessoal'!$I$532:$AJ$532&amp;'Gastos com Pessoal'!$I$512:$AJ$512,0),10,1)),0)
+_xlfn.IFNA(SUM((AX$3&gt;='Gastos com Pessoal'!$E$513:$E$522)*(AX$3&lt;='Gastos com Pessoal'!$F$513:$F$522)*(IF('Gastos com Pessoal'!$Y$513:$Y$522&lt;=AX$3,1,0))*OFFSET('Gastos com Pessoal'!$H$512,1,MATCH(4&amp;$B51,'Gastos com Pessoal'!$I$532:$AJ$532&amp;'Gastos com Pessoal'!$I$512:$AJ$512,0),10,1)),0)
+_xlfn.IFNA(SUM((AX$3&gt;='Gastos com Pessoal'!$E$513:$E$522)*(AX$3&lt;='Gastos com Pessoal'!$F$513:$F$522)*(IF('Gastos com Pessoal'!$AE$513:$AE$522&lt;=AX$3,1,0))*OFFSET('Gastos com Pessoal'!$H$512,1,MATCH(5&amp;$B51,'Gastos com Pessoal'!$I$532:$AJ$532&amp;'Gastos com Pessoal'!$I$512:$AJ$512,0),10,1)),0)</f>
        <v>0</v>
      </c>
      <c r="AY51" s="32">
        <f t="array" aca="1" ref="AY51" ca="1">_xlfn.IFNA(SUM((AY$3&gt;='Gastos com Pessoal'!$E$7:$E$506)*(AY$3&lt;='Gastos com Pessoal'!$F$7:$F$506)*OFFSET('Encargos e Benefícios'!$D$5,1,MATCH($B51,'Encargos e Benefícios'!$E$5:$AB$5,0),500,1)),0)
+_xlfn.IFNA(SUM((AY$3&gt;='Gastos com Pessoal'!$E$513:$E$522)*(AY$3&lt;='Gastos com Pessoal'!$F$513:$F$522)*OFFSET('Encargos e Benefícios'!$D$511,1,MATCH($B51,'Encargos e Benefícios'!$E$511:$AB$511,0),10,1)),0)
+_xlfn.IFNA(SUM((AY$3&gt;='Gastos com Pessoal'!$E$7:$E$506)*(AY$3&lt;='Gastos com Pessoal'!$F$7:$F$506)*(IF('Gastos com Pessoal'!$G$7:$G$506&lt;=AY$3,1,0))*OFFSET('Gastos com Pessoal'!$H$6,1,MATCH(1&amp;$B51,'Gastos com Pessoal'!$I$532:$AJ$532&amp;'Gastos com Pessoal'!$I$6:$AJ$6,0),500,1)),0)
+_xlfn.IFNA(SUM((AY$3&gt;='Gastos com Pessoal'!$E$7:$E$506)*(AY$3&lt;='Gastos com Pessoal'!$F$7:$F$506)*(IF('Gastos com Pessoal'!$M$7:$M$506&lt;=AY$3,1,0))*OFFSET('Gastos com Pessoal'!$H$6,1,MATCH(2&amp;$B51,'Gastos com Pessoal'!$I$532:$AJ$532&amp;'Gastos com Pessoal'!$I$6:$AJ$6,0),500,1)),0)
+_xlfn.IFNA(SUM((AY$3&gt;='Gastos com Pessoal'!$E$7:$E$506)*(AY$3&lt;='Gastos com Pessoal'!$F$7:$F$506)*(IF('Gastos com Pessoal'!$S$7:$S$506&lt;=AY$3,1,0))*OFFSET('Gastos com Pessoal'!$H$6,1,MATCH(3&amp;$B51,'Gastos com Pessoal'!$I$532:$AJ$532&amp;'Gastos com Pessoal'!$I$6:$AJ$6,0),500,1)),0)
+_xlfn.IFNA(SUM((AY$3&gt;='Gastos com Pessoal'!$E$7:$E$506)*(AY$3&lt;='Gastos com Pessoal'!$F$7:$F$506)*(IF('Gastos com Pessoal'!$Y$7:$Y$506&lt;=AY$3,1,0))*OFFSET('Gastos com Pessoal'!$H$6,1,MATCH(4&amp;$B51,'Gastos com Pessoal'!$I$532:$AJ$532&amp;'Gastos com Pessoal'!$I$6:$AJ$6,0),500,1)),0)
+_xlfn.IFNA(SUM((AY$3&gt;='Gastos com Pessoal'!$E$7:$E$506)*(AY$3&lt;='Gastos com Pessoal'!$F$7:$F$506)*(IF('Gastos com Pessoal'!$AE$7:$AE$506&lt;=AY$3,1,0))*OFFSET('Gastos com Pessoal'!$H$6,1,MATCH(5&amp;$B51,'Gastos com Pessoal'!$I$532:$AJ$532&amp;'Gastos com Pessoal'!$I$6:$AJ$6,0),500,1)),0)
+_xlfn.IFNA(SUM((AY$3&gt;='Gastos com Pessoal'!$E$513:$E$522)*(AY$3&lt;='Gastos com Pessoal'!$F$513:$F$522)*(IF('Gastos com Pessoal'!$G$513:$G$522&lt;=AY$3,1,0))*OFFSET('Gastos com Pessoal'!$H$512,1,MATCH(1&amp;$B51,'Gastos com Pessoal'!$I$532:$AJ$532&amp;'Gastos com Pessoal'!$I$512:$AJ$512,0),10,1)),0)
+_xlfn.IFNA(SUM((AY$3&gt;='Gastos com Pessoal'!$E$513:$E$522)*(AY$3&lt;='Gastos com Pessoal'!$F$513:$F$522)*(IF('Gastos com Pessoal'!$M$513:$M$522&lt;=AY$3,1,0))*OFFSET('Gastos com Pessoal'!$H$512,1,MATCH(2&amp;$B51,'Gastos com Pessoal'!$I$532:$AJ$532&amp;'Gastos com Pessoal'!$I$512:$AJ$512,0),10,1)),0)
+_xlfn.IFNA(SUM((AY$3&gt;='Gastos com Pessoal'!$E$513:$E$522)*(AY$3&lt;='Gastos com Pessoal'!$F$513:$F$522)*(IF('Gastos com Pessoal'!$S$513:$S$522&lt;=AY$3,1,0))*OFFSET('Gastos com Pessoal'!$H$512,1,MATCH(3&amp;$B51,'Gastos com Pessoal'!$I$532:$AJ$532&amp;'Gastos com Pessoal'!$I$512:$AJ$512,0),10,1)),0)
+_xlfn.IFNA(SUM((AY$3&gt;='Gastos com Pessoal'!$E$513:$E$522)*(AY$3&lt;='Gastos com Pessoal'!$F$513:$F$522)*(IF('Gastos com Pessoal'!$Y$513:$Y$522&lt;=AY$3,1,0))*OFFSET('Gastos com Pessoal'!$H$512,1,MATCH(4&amp;$B51,'Gastos com Pessoal'!$I$532:$AJ$532&amp;'Gastos com Pessoal'!$I$512:$AJ$512,0),10,1)),0)
+_xlfn.IFNA(SUM((AY$3&gt;='Gastos com Pessoal'!$E$513:$E$522)*(AY$3&lt;='Gastos com Pessoal'!$F$513:$F$522)*(IF('Gastos com Pessoal'!$AE$513:$AE$522&lt;=AY$3,1,0))*OFFSET('Gastos com Pessoal'!$H$512,1,MATCH(5&amp;$B51,'Gastos com Pessoal'!$I$532:$AJ$532&amp;'Gastos com Pessoal'!$I$512:$AJ$512,0),10,1)),0)</f>
        <v>0</v>
      </c>
      <c r="AZ51" s="32">
        <f t="array" aca="1" ref="AZ51" ca="1">_xlfn.IFNA(SUM((AZ$3&gt;='Gastos com Pessoal'!$E$7:$E$506)*(AZ$3&lt;='Gastos com Pessoal'!$F$7:$F$506)*OFFSET('Encargos e Benefícios'!$D$5,1,MATCH($B51,'Encargos e Benefícios'!$E$5:$AB$5,0),500,1)),0)
+_xlfn.IFNA(SUM((AZ$3&gt;='Gastos com Pessoal'!$E$513:$E$522)*(AZ$3&lt;='Gastos com Pessoal'!$F$513:$F$522)*OFFSET('Encargos e Benefícios'!$D$511,1,MATCH($B51,'Encargos e Benefícios'!$E$511:$AB$511,0),10,1)),0)
+_xlfn.IFNA(SUM((AZ$3&gt;='Gastos com Pessoal'!$E$7:$E$506)*(AZ$3&lt;='Gastos com Pessoal'!$F$7:$F$506)*(IF('Gastos com Pessoal'!$G$7:$G$506&lt;=AZ$3,1,0))*OFFSET('Gastos com Pessoal'!$H$6,1,MATCH(1&amp;$B51,'Gastos com Pessoal'!$I$532:$AJ$532&amp;'Gastos com Pessoal'!$I$6:$AJ$6,0),500,1)),0)
+_xlfn.IFNA(SUM((AZ$3&gt;='Gastos com Pessoal'!$E$7:$E$506)*(AZ$3&lt;='Gastos com Pessoal'!$F$7:$F$506)*(IF('Gastos com Pessoal'!$M$7:$M$506&lt;=AZ$3,1,0))*OFFSET('Gastos com Pessoal'!$H$6,1,MATCH(2&amp;$B51,'Gastos com Pessoal'!$I$532:$AJ$532&amp;'Gastos com Pessoal'!$I$6:$AJ$6,0),500,1)),0)
+_xlfn.IFNA(SUM((AZ$3&gt;='Gastos com Pessoal'!$E$7:$E$506)*(AZ$3&lt;='Gastos com Pessoal'!$F$7:$F$506)*(IF('Gastos com Pessoal'!$S$7:$S$506&lt;=AZ$3,1,0))*OFFSET('Gastos com Pessoal'!$H$6,1,MATCH(3&amp;$B51,'Gastos com Pessoal'!$I$532:$AJ$532&amp;'Gastos com Pessoal'!$I$6:$AJ$6,0),500,1)),0)
+_xlfn.IFNA(SUM((AZ$3&gt;='Gastos com Pessoal'!$E$7:$E$506)*(AZ$3&lt;='Gastos com Pessoal'!$F$7:$F$506)*(IF('Gastos com Pessoal'!$Y$7:$Y$506&lt;=AZ$3,1,0))*OFFSET('Gastos com Pessoal'!$H$6,1,MATCH(4&amp;$B51,'Gastos com Pessoal'!$I$532:$AJ$532&amp;'Gastos com Pessoal'!$I$6:$AJ$6,0),500,1)),0)
+_xlfn.IFNA(SUM((AZ$3&gt;='Gastos com Pessoal'!$E$7:$E$506)*(AZ$3&lt;='Gastos com Pessoal'!$F$7:$F$506)*(IF('Gastos com Pessoal'!$AE$7:$AE$506&lt;=AZ$3,1,0))*OFFSET('Gastos com Pessoal'!$H$6,1,MATCH(5&amp;$B51,'Gastos com Pessoal'!$I$532:$AJ$532&amp;'Gastos com Pessoal'!$I$6:$AJ$6,0),500,1)),0)
+_xlfn.IFNA(SUM((AZ$3&gt;='Gastos com Pessoal'!$E$513:$E$522)*(AZ$3&lt;='Gastos com Pessoal'!$F$513:$F$522)*(IF('Gastos com Pessoal'!$G$513:$G$522&lt;=AZ$3,1,0))*OFFSET('Gastos com Pessoal'!$H$512,1,MATCH(1&amp;$B51,'Gastos com Pessoal'!$I$532:$AJ$532&amp;'Gastos com Pessoal'!$I$512:$AJ$512,0),10,1)),0)
+_xlfn.IFNA(SUM((AZ$3&gt;='Gastos com Pessoal'!$E$513:$E$522)*(AZ$3&lt;='Gastos com Pessoal'!$F$513:$F$522)*(IF('Gastos com Pessoal'!$M$513:$M$522&lt;=AZ$3,1,0))*OFFSET('Gastos com Pessoal'!$H$512,1,MATCH(2&amp;$B51,'Gastos com Pessoal'!$I$532:$AJ$532&amp;'Gastos com Pessoal'!$I$512:$AJ$512,0),10,1)),0)
+_xlfn.IFNA(SUM((AZ$3&gt;='Gastos com Pessoal'!$E$513:$E$522)*(AZ$3&lt;='Gastos com Pessoal'!$F$513:$F$522)*(IF('Gastos com Pessoal'!$S$513:$S$522&lt;=AZ$3,1,0))*OFFSET('Gastos com Pessoal'!$H$512,1,MATCH(3&amp;$B51,'Gastos com Pessoal'!$I$532:$AJ$532&amp;'Gastos com Pessoal'!$I$512:$AJ$512,0),10,1)),0)
+_xlfn.IFNA(SUM((AZ$3&gt;='Gastos com Pessoal'!$E$513:$E$522)*(AZ$3&lt;='Gastos com Pessoal'!$F$513:$F$522)*(IF('Gastos com Pessoal'!$Y$513:$Y$522&lt;=AZ$3,1,0))*OFFSET('Gastos com Pessoal'!$H$512,1,MATCH(4&amp;$B51,'Gastos com Pessoal'!$I$532:$AJ$532&amp;'Gastos com Pessoal'!$I$512:$AJ$512,0),10,1)),0)
+_xlfn.IFNA(SUM((AZ$3&gt;='Gastos com Pessoal'!$E$513:$E$522)*(AZ$3&lt;='Gastos com Pessoal'!$F$513:$F$522)*(IF('Gastos com Pessoal'!$AE$513:$AE$522&lt;=AZ$3,1,0))*OFFSET('Gastos com Pessoal'!$H$512,1,MATCH(5&amp;$B51,'Gastos com Pessoal'!$I$532:$AJ$532&amp;'Gastos com Pessoal'!$I$512:$AJ$512,0),10,1)),0)</f>
        <v>0</v>
      </c>
      <c r="BA51" s="32">
        <f t="array" aca="1" ref="BA51" ca="1">_xlfn.IFNA(SUM((BA$3&gt;='Gastos com Pessoal'!$E$7:$E$506)*(BA$3&lt;='Gastos com Pessoal'!$F$7:$F$506)*OFFSET('Encargos e Benefícios'!$D$5,1,MATCH($B51,'Encargos e Benefícios'!$E$5:$AB$5,0),500,1)),0)
+_xlfn.IFNA(SUM((BA$3&gt;='Gastos com Pessoal'!$E$513:$E$522)*(BA$3&lt;='Gastos com Pessoal'!$F$513:$F$522)*OFFSET('Encargos e Benefícios'!$D$511,1,MATCH($B51,'Encargos e Benefícios'!$E$511:$AB$511,0),10,1)),0)
+_xlfn.IFNA(SUM((BA$3&gt;='Gastos com Pessoal'!$E$7:$E$506)*(BA$3&lt;='Gastos com Pessoal'!$F$7:$F$506)*(IF('Gastos com Pessoal'!$G$7:$G$506&lt;=BA$3,1,0))*OFFSET('Gastos com Pessoal'!$H$6,1,MATCH(1&amp;$B51,'Gastos com Pessoal'!$I$532:$AJ$532&amp;'Gastos com Pessoal'!$I$6:$AJ$6,0),500,1)),0)
+_xlfn.IFNA(SUM((BA$3&gt;='Gastos com Pessoal'!$E$7:$E$506)*(BA$3&lt;='Gastos com Pessoal'!$F$7:$F$506)*(IF('Gastos com Pessoal'!$M$7:$M$506&lt;=BA$3,1,0))*OFFSET('Gastos com Pessoal'!$H$6,1,MATCH(2&amp;$B51,'Gastos com Pessoal'!$I$532:$AJ$532&amp;'Gastos com Pessoal'!$I$6:$AJ$6,0),500,1)),0)
+_xlfn.IFNA(SUM((BA$3&gt;='Gastos com Pessoal'!$E$7:$E$506)*(BA$3&lt;='Gastos com Pessoal'!$F$7:$F$506)*(IF('Gastos com Pessoal'!$S$7:$S$506&lt;=BA$3,1,0))*OFFSET('Gastos com Pessoal'!$H$6,1,MATCH(3&amp;$B51,'Gastos com Pessoal'!$I$532:$AJ$532&amp;'Gastos com Pessoal'!$I$6:$AJ$6,0),500,1)),0)
+_xlfn.IFNA(SUM((BA$3&gt;='Gastos com Pessoal'!$E$7:$E$506)*(BA$3&lt;='Gastos com Pessoal'!$F$7:$F$506)*(IF('Gastos com Pessoal'!$Y$7:$Y$506&lt;=BA$3,1,0))*OFFSET('Gastos com Pessoal'!$H$6,1,MATCH(4&amp;$B51,'Gastos com Pessoal'!$I$532:$AJ$532&amp;'Gastos com Pessoal'!$I$6:$AJ$6,0),500,1)),0)
+_xlfn.IFNA(SUM((BA$3&gt;='Gastos com Pessoal'!$E$7:$E$506)*(BA$3&lt;='Gastos com Pessoal'!$F$7:$F$506)*(IF('Gastos com Pessoal'!$AE$7:$AE$506&lt;=BA$3,1,0))*OFFSET('Gastos com Pessoal'!$H$6,1,MATCH(5&amp;$B51,'Gastos com Pessoal'!$I$532:$AJ$532&amp;'Gastos com Pessoal'!$I$6:$AJ$6,0),500,1)),0)
+_xlfn.IFNA(SUM((BA$3&gt;='Gastos com Pessoal'!$E$513:$E$522)*(BA$3&lt;='Gastos com Pessoal'!$F$513:$F$522)*(IF('Gastos com Pessoal'!$G$513:$G$522&lt;=BA$3,1,0))*OFFSET('Gastos com Pessoal'!$H$512,1,MATCH(1&amp;$B51,'Gastos com Pessoal'!$I$532:$AJ$532&amp;'Gastos com Pessoal'!$I$512:$AJ$512,0),10,1)),0)
+_xlfn.IFNA(SUM((BA$3&gt;='Gastos com Pessoal'!$E$513:$E$522)*(BA$3&lt;='Gastos com Pessoal'!$F$513:$F$522)*(IF('Gastos com Pessoal'!$M$513:$M$522&lt;=BA$3,1,0))*OFFSET('Gastos com Pessoal'!$H$512,1,MATCH(2&amp;$B51,'Gastos com Pessoal'!$I$532:$AJ$532&amp;'Gastos com Pessoal'!$I$512:$AJ$512,0),10,1)),0)
+_xlfn.IFNA(SUM((BA$3&gt;='Gastos com Pessoal'!$E$513:$E$522)*(BA$3&lt;='Gastos com Pessoal'!$F$513:$F$522)*(IF('Gastos com Pessoal'!$S$513:$S$522&lt;=BA$3,1,0))*OFFSET('Gastos com Pessoal'!$H$512,1,MATCH(3&amp;$B51,'Gastos com Pessoal'!$I$532:$AJ$532&amp;'Gastos com Pessoal'!$I$512:$AJ$512,0),10,1)),0)
+_xlfn.IFNA(SUM((BA$3&gt;='Gastos com Pessoal'!$E$513:$E$522)*(BA$3&lt;='Gastos com Pessoal'!$F$513:$F$522)*(IF('Gastos com Pessoal'!$Y$513:$Y$522&lt;=BA$3,1,0))*OFFSET('Gastos com Pessoal'!$H$512,1,MATCH(4&amp;$B51,'Gastos com Pessoal'!$I$532:$AJ$532&amp;'Gastos com Pessoal'!$I$512:$AJ$512,0),10,1)),0)
+_xlfn.IFNA(SUM((BA$3&gt;='Gastos com Pessoal'!$E$513:$E$522)*(BA$3&lt;='Gastos com Pessoal'!$F$513:$F$522)*(IF('Gastos com Pessoal'!$AE$513:$AE$522&lt;=BA$3,1,0))*OFFSET('Gastos com Pessoal'!$H$512,1,MATCH(5&amp;$B51,'Gastos com Pessoal'!$I$532:$AJ$532&amp;'Gastos com Pessoal'!$I$512:$AJ$512,0),10,1)),0)</f>
        <v>0</v>
      </c>
      <c r="BB51" s="32">
        <f t="array" aca="1" ref="BB51" ca="1">_xlfn.IFNA(SUM((BB$3&gt;='Gastos com Pessoal'!$E$7:$E$506)*(BB$3&lt;='Gastos com Pessoal'!$F$7:$F$506)*OFFSET('Encargos e Benefícios'!$D$5,1,MATCH($B51,'Encargos e Benefícios'!$E$5:$AB$5,0),500,1)),0)
+_xlfn.IFNA(SUM((BB$3&gt;='Gastos com Pessoal'!$E$513:$E$522)*(BB$3&lt;='Gastos com Pessoal'!$F$513:$F$522)*OFFSET('Encargos e Benefícios'!$D$511,1,MATCH($B51,'Encargos e Benefícios'!$E$511:$AB$511,0),10,1)),0)
+_xlfn.IFNA(SUM((BB$3&gt;='Gastos com Pessoal'!$E$7:$E$506)*(BB$3&lt;='Gastos com Pessoal'!$F$7:$F$506)*(IF('Gastos com Pessoal'!$G$7:$G$506&lt;=BB$3,1,0))*OFFSET('Gastos com Pessoal'!$H$6,1,MATCH(1&amp;$B51,'Gastos com Pessoal'!$I$532:$AJ$532&amp;'Gastos com Pessoal'!$I$6:$AJ$6,0),500,1)),0)
+_xlfn.IFNA(SUM((BB$3&gt;='Gastos com Pessoal'!$E$7:$E$506)*(BB$3&lt;='Gastos com Pessoal'!$F$7:$F$506)*(IF('Gastos com Pessoal'!$M$7:$M$506&lt;=BB$3,1,0))*OFFSET('Gastos com Pessoal'!$H$6,1,MATCH(2&amp;$B51,'Gastos com Pessoal'!$I$532:$AJ$532&amp;'Gastos com Pessoal'!$I$6:$AJ$6,0),500,1)),0)
+_xlfn.IFNA(SUM((BB$3&gt;='Gastos com Pessoal'!$E$7:$E$506)*(BB$3&lt;='Gastos com Pessoal'!$F$7:$F$506)*(IF('Gastos com Pessoal'!$S$7:$S$506&lt;=BB$3,1,0))*OFFSET('Gastos com Pessoal'!$H$6,1,MATCH(3&amp;$B51,'Gastos com Pessoal'!$I$532:$AJ$532&amp;'Gastos com Pessoal'!$I$6:$AJ$6,0),500,1)),0)
+_xlfn.IFNA(SUM((BB$3&gt;='Gastos com Pessoal'!$E$7:$E$506)*(BB$3&lt;='Gastos com Pessoal'!$F$7:$F$506)*(IF('Gastos com Pessoal'!$Y$7:$Y$506&lt;=BB$3,1,0))*OFFSET('Gastos com Pessoal'!$H$6,1,MATCH(4&amp;$B51,'Gastos com Pessoal'!$I$532:$AJ$532&amp;'Gastos com Pessoal'!$I$6:$AJ$6,0),500,1)),0)
+_xlfn.IFNA(SUM((BB$3&gt;='Gastos com Pessoal'!$E$7:$E$506)*(BB$3&lt;='Gastos com Pessoal'!$F$7:$F$506)*(IF('Gastos com Pessoal'!$AE$7:$AE$506&lt;=BB$3,1,0))*OFFSET('Gastos com Pessoal'!$H$6,1,MATCH(5&amp;$B51,'Gastos com Pessoal'!$I$532:$AJ$532&amp;'Gastos com Pessoal'!$I$6:$AJ$6,0),500,1)),0)
+_xlfn.IFNA(SUM((BB$3&gt;='Gastos com Pessoal'!$E$513:$E$522)*(BB$3&lt;='Gastos com Pessoal'!$F$513:$F$522)*(IF('Gastos com Pessoal'!$G$513:$G$522&lt;=BB$3,1,0))*OFFSET('Gastos com Pessoal'!$H$512,1,MATCH(1&amp;$B51,'Gastos com Pessoal'!$I$532:$AJ$532&amp;'Gastos com Pessoal'!$I$512:$AJ$512,0),10,1)),0)
+_xlfn.IFNA(SUM((BB$3&gt;='Gastos com Pessoal'!$E$513:$E$522)*(BB$3&lt;='Gastos com Pessoal'!$F$513:$F$522)*(IF('Gastos com Pessoal'!$M$513:$M$522&lt;=BB$3,1,0))*OFFSET('Gastos com Pessoal'!$H$512,1,MATCH(2&amp;$B51,'Gastos com Pessoal'!$I$532:$AJ$532&amp;'Gastos com Pessoal'!$I$512:$AJ$512,0),10,1)),0)
+_xlfn.IFNA(SUM((BB$3&gt;='Gastos com Pessoal'!$E$513:$E$522)*(BB$3&lt;='Gastos com Pessoal'!$F$513:$F$522)*(IF('Gastos com Pessoal'!$S$513:$S$522&lt;=BB$3,1,0))*OFFSET('Gastos com Pessoal'!$H$512,1,MATCH(3&amp;$B51,'Gastos com Pessoal'!$I$532:$AJ$532&amp;'Gastos com Pessoal'!$I$512:$AJ$512,0),10,1)),0)
+_xlfn.IFNA(SUM((BB$3&gt;='Gastos com Pessoal'!$E$513:$E$522)*(BB$3&lt;='Gastos com Pessoal'!$F$513:$F$522)*(IF('Gastos com Pessoal'!$Y$513:$Y$522&lt;=BB$3,1,0))*OFFSET('Gastos com Pessoal'!$H$512,1,MATCH(4&amp;$B51,'Gastos com Pessoal'!$I$532:$AJ$532&amp;'Gastos com Pessoal'!$I$512:$AJ$512,0),10,1)),0)
+_xlfn.IFNA(SUM((BB$3&gt;='Gastos com Pessoal'!$E$513:$E$522)*(BB$3&lt;='Gastos com Pessoal'!$F$513:$F$522)*(IF('Gastos com Pessoal'!$AE$513:$AE$522&lt;=BB$3,1,0))*OFFSET('Gastos com Pessoal'!$H$512,1,MATCH(5&amp;$B51,'Gastos com Pessoal'!$I$532:$AJ$532&amp;'Gastos com Pessoal'!$I$512:$AJ$512,0),10,1)),0)</f>
        <v>0</v>
      </c>
      <c r="BC51" s="32">
        <f t="array" aca="1" ref="BC51" ca="1">_xlfn.IFNA(SUM((BC$3&gt;='Gastos com Pessoal'!$E$7:$E$506)*(BC$3&lt;='Gastos com Pessoal'!$F$7:$F$506)*OFFSET('Encargos e Benefícios'!$D$5,1,MATCH($B51,'Encargos e Benefícios'!$E$5:$AB$5,0),500,1)),0)
+_xlfn.IFNA(SUM((BC$3&gt;='Gastos com Pessoal'!$E$513:$E$522)*(BC$3&lt;='Gastos com Pessoal'!$F$513:$F$522)*OFFSET('Encargos e Benefícios'!$D$511,1,MATCH($B51,'Encargos e Benefícios'!$E$511:$AB$511,0),10,1)),0)
+_xlfn.IFNA(SUM((BC$3&gt;='Gastos com Pessoal'!$E$7:$E$506)*(BC$3&lt;='Gastos com Pessoal'!$F$7:$F$506)*(IF('Gastos com Pessoal'!$G$7:$G$506&lt;=BC$3,1,0))*OFFSET('Gastos com Pessoal'!$H$6,1,MATCH(1&amp;$B51,'Gastos com Pessoal'!$I$532:$AJ$532&amp;'Gastos com Pessoal'!$I$6:$AJ$6,0),500,1)),0)
+_xlfn.IFNA(SUM((BC$3&gt;='Gastos com Pessoal'!$E$7:$E$506)*(BC$3&lt;='Gastos com Pessoal'!$F$7:$F$506)*(IF('Gastos com Pessoal'!$M$7:$M$506&lt;=BC$3,1,0))*OFFSET('Gastos com Pessoal'!$H$6,1,MATCH(2&amp;$B51,'Gastos com Pessoal'!$I$532:$AJ$532&amp;'Gastos com Pessoal'!$I$6:$AJ$6,0),500,1)),0)
+_xlfn.IFNA(SUM((BC$3&gt;='Gastos com Pessoal'!$E$7:$E$506)*(BC$3&lt;='Gastos com Pessoal'!$F$7:$F$506)*(IF('Gastos com Pessoal'!$S$7:$S$506&lt;=BC$3,1,0))*OFFSET('Gastos com Pessoal'!$H$6,1,MATCH(3&amp;$B51,'Gastos com Pessoal'!$I$532:$AJ$532&amp;'Gastos com Pessoal'!$I$6:$AJ$6,0),500,1)),0)
+_xlfn.IFNA(SUM((BC$3&gt;='Gastos com Pessoal'!$E$7:$E$506)*(BC$3&lt;='Gastos com Pessoal'!$F$7:$F$506)*(IF('Gastos com Pessoal'!$Y$7:$Y$506&lt;=BC$3,1,0))*OFFSET('Gastos com Pessoal'!$H$6,1,MATCH(4&amp;$B51,'Gastos com Pessoal'!$I$532:$AJ$532&amp;'Gastos com Pessoal'!$I$6:$AJ$6,0),500,1)),0)
+_xlfn.IFNA(SUM((BC$3&gt;='Gastos com Pessoal'!$E$7:$E$506)*(BC$3&lt;='Gastos com Pessoal'!$F$7:$F$506)*(IF('Gastos com Pessoal'!$AE$7:$AE$506&lt;=BC$3,1,0))*OFFSET('Gastos com Pessoal'!$H$6,1,MATCH(5&amp;$B51,'Gastos com Pessoal'!$I$532:$AJ$532&amp;'Gastos com Pessoal'!$I$6:$AJ$6,0),500,1)),0)
+_xlfn.IFNA(SUM((BC$3&gt;='Gastos com Pessoal'!$E$513:$E$522)*(BC$3&lt;='Gastos com Pessoal'!$F$513:$F$522)*(IF('Gastos com Pessoal'!$G$513:$G$522&lt;=BC$3,1,0))*OFFSET('Gastos com Pessoal'!$H$512,1,MATCH(1&amp;$B51,'Gastos com Pessoal'!$I$532:$AJ$532&amp;'Gastos com Pessoal'!$I$512:$AJ$512,0),10,1)),0)
+_xlfn.IFNA(SUM((BC$3&gt;='Gastos com Pessoal'!$E$513:$E$522)*(BC$3&lt;='Gastos com Pessoal'!$F$513:$F$522)*(IF('Gastos com Pessoal'!$M$513:$M$522&lt;=BC$3,1,0))*OFFSET('Gastos com Pessoal'!$H$512,1,MATCH(2&amp;$B51,'Gastos com Pessoal'!$I$532:$AJ$532&amp;'Gastos com Pessoal'!$I$512:$AJ$512,0),10,1)),0)
+_xlfn.IFNA(SUM((BC$3&gt;='Gastos com Pessoal'!$E$513:$E$522)*(BC$3&lt;='Gastos com Pessoal'!$F$513:$F$522)*(IF('Gastos com Pessoal'!$S$513:$S$522&lt;=BC$3,1,0))*OFFSET('Gastos com Pessoal'!$H$512,1,MATCH(3&amp;$B51,'Gastos com Pessoal'!$I$532:$AJ$532&amp;'Gastos com Pessoal'!$I$512:$AJ$512,0),10,1)),0)
+_xlfn.IFNA(SUM((BC$3&gt;='Gastos com Pessoal'!$E$513:$E$522)*(BC$3&lt;='Gastos com Pessoal'!$F$513:$F$522)*(IF('Gastos com Pessoal'!$Y$513:$Y$522&lt;=BC$3,1,0))*OFFSET('Gastos com Pessoal'!$H$512,1,MATCH(4&amp;$B51,'Gastos com Pessoal'!$I$532:$AJ$532&amp;'Gastos com Pessoal'!$I$512:$AJ$512,0),10,1)),0)
+_xlfn.IFNA(SUM((BC$3&gt;='Gastos com Pessoal'!$E$513:$E$522)*(BC$3&lt;='Gastos com Pessoal'!$F$513:$F$522)*(IF('Gastos com Pessoal'!$AE$513:$AE$522&lt;=BC$3,1,0))*OFFSET('Gastos com Pessoal'!$H$512,1,MATCH(5&amp;$B51,'Gastos com Pessoal'!$I$532:$AJ$532&amp;'Gastos com Pessoal'!$I$512:$AJ$512,0),10,1)),0)</f>
        <v>0</v>
      </c>
      <c r="BD51" s="32">
        <f t="array" aca="1" ref="BD51" ca="1">_xlfn.IFNA(SUM((BD$3&gt;='Gastos com Pessoal'!$E$7:$E$506)*(BD$3&lt;='Gastos com Pessoal'!$F$7:$F$506)*OFFSET('Encargos e Benefícios'!$D$5,1,MATCH($B51,'Encargos e Benefícios'!$E$5:$AB$5,0),500,1)),0)
+_xlfn.IFNA(SUM((BD$3&gt;='Gastos com Pessoal'!$E$513:$E$522)*(BD$3&lt;='Gastos com Pessoal'!$F$513:$F$522)*OFFSET('Encargos e Benefícios'!$D$511,1,MATCH($B51,'Encargos e Benefícios'!$E$511:$AB$511,0),10,1)),0)
+_xlfn.IFNA(SUM((BD$3&gt;='Gastos com Pessoal'!$E$7:$E$506)*(BD$3&lt;='Gastos com Pessoal'!$F$7:$F$506)*(IF('Gastos com Pessoal'!$G$7:$G$506&lt;=BD$3,1,0))*OFFSET('Gastos com Pessoal'!$H$6,1,MATCH(1&amp;$B51,'Gastos com Pessoal'!$I$532:$AJ$532&amp;'Gastos com Pessoal'!$I$6:$AJ$6,0),500,1)),0)
+_xlfn.IFNA(SUM((BD$3&gt;='Gastos com Pessoal'!$E$7:$E$506)*(BD$3&lt;='Gastos com Pessoal'!$F$7:$F$506)*(IF('Gastos com Pessoal'!$M$7:$M$506&lt;=BD$3,1,0))*OFFSET('Gastos com Pessoal'!$H$6,1,MATCH(2&amp;$B51,'Gastos com Pessoal'!$I$532:$AJ$532&amp;'Gastos com Pessoal'!$I$6:$AJ$6,0),500,1)),0)
+_xlfn.IFNA(SUM((BD$3&gt;='Gastos com Pessoal'!$E$7:$E$506)*(BD$3&lt;='Gastos com Pessoal'!$F$7:$F$506)*(IF('Gastos com Pessoal'!$S$7:$S$506&lt;=BD$3,1,0))*OFFSET('Gastos com Pessoal'!$H$6,1,MATCH(3&amp;$B51,'Gastos com Pessoal'!$I$532:$AJ$532&amp;'Gastos com Pessoal'!$I$6:$AJ$6,0),500,1)),0)
+_xlfn.IFNA(SUM((BD$3&gt;='Gastos com Pessoal'!$E$7:$E$506)*(BD$3&lt;='Gastos com Pessoal'!$F$7:$F$506)*(IF('Gastos com Pessoal'!$Y$7:$Y$506&lt;=BD$3,1,0))*OFFSET('Gastos com Pessoal'!$H$6,1,MATCH(4&amp;$B51,'Gastos com Pessoal'!$I$532:$AJ$532&amp;'Gastos com Pessoal'!$I$6:$AJ$6,0),500,1)),0)
+_xlfn.IFNA(SUM((BD$3&gt;='Gastos com Pessoal'!$E$7:$E$506)*(BD$3&lt;='Gastos com Pessoal'!$F$7:$F$506)*(IF('Gastos com Pessoal'!$AE$7:$AE$506&lt;=BD$3,1,0))*OFFSET('Gastos com Pessoal'!$H$6,1,MATCH(5&amp;$B51,'Gastos com Pessoal'!$I$532:$AJ$532&amp;'Gastos com Pessoal'!$I$6:$AJ$6,0),500,1)),0)
+_xlfn.IFNA(SUM((BD$3&gt;='Gastos com Pessoal'!$E$513:$E$522)*(BD$3&lt;='Gastos com Pessoal'!$F$513:$F$522)*(IF('Gastos com Pessoal'!$G$513:$G$522&lt;=BD$3,1,0))*OFFSET('Gastos com Pessoal'!$H$512,1,MATCH(1&amp;$B51,'Gastos com Pessoal'!$I$532:$AJ$532&amp;'Gastos com Pessoal'!$I$512:$AJ$512,0),10,1)),0)
+_xlfn.IFNA(SUM((BD$3&gt;='Gastos com Pessoal'!$E$513:$E$522)*(BD$3&lt;='Gastos com Pessoal'!$F$513:$F$522)*(IF('Gastos com Pessoal'!$M$513:$M$522&lt;=BD$3,1,0))*OFFSET('Gastos com Pessoal'!$H$512,1,MATCH(2&amp;$B51,'Gastos com Pessoal'!$I$532:$AJ$532&amp;'Gastos com Pessoal'!$I$512:$AJ$512,0),10,1)),0)
+_xlfn.IFNA(SUM((BD$3&gt;='Gastos com Pessoal'!$E$513:$E$522)*(BD$3&lt;='Gastos com Pessoal'!$F$513:$F$522)*(IF('Gastos com Pessoal'!$S$513:$S$522&lt;=BD$3,1,0))*OFFSET('Gastos com Pessoal'!$H$512,1,MATCH(3&amp;$B51,'Gastos com Pessoal'!$I$532:$AJ$532&amp;'Gastos com Pessoal'!$I$512:$AJ$512,0),10,1)),0)
+_xlfn.IFNA(SUM((BD$3&gt;='Gastos com Pessoal'!$E$513:$E$522)*(BD$3&lt;='Gastos com Pessoal'!$F$513:$F$522)*(IF('Gastos com Pessoal'!$Y$513:$Y$522&lt;=BD$3,1,0))*OFFSET('Gastos com Pessoal'!$H$512,1,MATCH(4&amp;$B51,'Gastos com Pessoal'!$I$532:$AJ$532&amp;'Gastos com Pessoal'!$I$512:$AJ$512,0),10,1)),0)
+_xlfn.IFNA(SUM((BD$3&gt;='Gastos com Pessoal'!$E$513:$E$522)*(BD$3&lt;='Gastos com Pessoal'!$F$513:$F$522)*(IF('Gastos com Pessoal'!$AE$513:$AE$522&lt;=BD$3,1,0))*OFFSET('Gastos com Pessoal'!$H$512,1,MATCH(5&amp;$B51,'Gastos com Pessoal'!$I$532:$AJ$532&amp;'Gastos com Pessoal'!$I$512:$AJ$512,0),10,1)),0)</f>
        <v>0</v>
      </c>
      <c r="BE51" s="32">
        <f t="array" aca="1" ref="BE51" ca="1">_xlfn.IFNA(SUM((BE$3&gt;='Gastos com Pessoal'!$E$7:$E$506)*(BE$3&lt;='Gastos com Pessoal'!$F$7:$F$506)*OFFSET('Encargos e Benefícios'!$D$5,1,MATCH($B51,'Encargos e Benefícios'!$E$5:$AB$5,0),500,1)),0)
+_xlfn.IFNA(SUM((BE$3&gt;='Gastos com Pessoal'!$E$513:$E$522)*(BE$3&lt;='Gastos com Pessoal'!$F$513:$F$522)*OFFSET('Encargos e Benefícios'!$D$511,1,MATCH($B51,'Encargos e Benefícios'!$E$511:$AB$511,0),10,1)),0)
+_xlfn.IFNA(SUM((BE$3&gt;='Gastos com Pessoal'!$E$7:$E$506)*(BE$3&lt;='Gastos com Pessoal'!$F$7:$F$506)*(IF('Gastos com Pessoal'!$G$7:$G$506&lt;=BE$3,1,0))*OFFSET('Gastos com Pessoal'!$H$6,1,MATCH(1&amp;$B51,'Gastos com Pessoal'!$I$532:$AJ$532&amp;'Gastos com Pessoal'!$I$6:$AJ$6,0),500,1)),0)
+_xlfn.IFNA(SUM((BE$3&gt;='Gastos com Pessoal'!$E$7:$E$506)*(BE$3&lt;='Gastos com Pessoal'!$F$7:$F$506)*(IF('Gastos com Pessoal'!$M$7:$M$506&lt;=BE$3,1,0))*OFFSET('Gastos com Pessoal'!$H$6,1,MATCH(2&amp;$B51,'Gastos com Pessoal'!$I$532:$AJ$532&amp;'Gastos com Pessoal'!$I$6:$AJ$6,0),500,1)),0)
+_xlfn.IFNA(SUM((BE$3&gt;='Gastos com Pessoal'!$E$7:$E$506)*(BE$3&lt;='Gastos com Pessoal'!$F$7:$F$506)*(IF('Gastos com Pessoal'!$S$7:$S$506&lt;=BE$3,1,0))*OFFSET('Gastos com Pessoal'!$H$6,1,MATCH(3&amp;$B51,'Gastos com Pessoal'!$I$532:$AJ$532&amp;'Gastos com Pessoal'!$I$6:$AJ$6,0),500,1)),0)
+_xlfn.IFNA(SUM((BE$3&gt;='Gastos com Pessoal'!$E$7:$E$506)*(BE$3&lt;='Gastos com Pessoal'!$F$7:$F$506)*(IF('Gastos com Pessoal'!$Y$7:$Y$506&lt;=BE$3,1,0))*OFFSET('Gastos com Pessoal'!$H$6,1,MATCH(4&amp;$B51,'Gastos com Pessoal'!$I$532:$AJ$532&amp;'Gastos com Pessoal'!$I$6:$AJ$6,0),500,1)),0)
+_xlfn.IFNA(SUM((BE$3&gt;='Gastos com Pessoal'!$E$7:$E$506)*(BE$3&lt;='Gastos com Pessoal'!$F$7:$F$506)*(IF('Gastos com Pessoal'!$AE$7:$AE$506&lt;=BE$3,1,0))*OFFSET('Gastos com Pessoal'!$H$6,1,MATCH(5&amp;$B51,'Gastos com Pessoal'!$I$532:$AJ$532&amp;'Gastos com Pessoal'!$I$6:$AJ$6,0),500,1)),0)
+_xlfn.IFNA(SUM((BE$3&gt;='Gastos com Pessoal'!$E$513:$E$522)*(BE$3&lt;='Gastos com Pessoal'!$F$513:$F$522)*(IF('Gastos com Pessoal'!$G$513:$G$522&lt;=BE$3,1,0))*OFFSET('Gastos com Pessoal'!$H$512,1,MATCH(1&amp;$B51,'Gastos com Pessoal'!$I$532:$AJ$532&amp;'Gastos com Pessoal'!$I$512:$AJ$512,0),10,1)),0)
+_xlfn.IFNA(SUM((BE$3&gt;='Gastos com Pessoal'!$E$513:$E$522)*(BE$3&lt;='Gastos com Pessoal'!$F$513:$F$522)*(IF('Gastos com Pessoal'!$M$513:$M$522&lt;=BE$3,1,0))*OFFSET('Gastos com Pessoal'!$H$512,1,MATCH(2&amp;$B51,'Gastos com Pessoal'!$I$532:$AJ$532&amp;'Gastos com Pessoal'!$I$512:$AJ$512,0),10,1)),0)
+_xlfn.IFNA(SUM((BE$3&gt;='Gastos com Pessoal'!$E$513:$E$522)*(BE$3&lt;='Gastos com Pessoal'!$F$513:$F$522)*(IF('Gastos com Pessoal'!$S$513:$S$522&lt;=BE$3,1,0))*OFFSET('Gastos com Pessoal'!$H$512,1,MATCH(3&amp;$B51,'Gastos com Pessoal'!$I$532:$AJ$532&amp;'Gastos com Pessoal'!$I$512:$AJ$512,0),10,1)),0)
+_xlfn.IFNA(SUM((BE$3&gt;='Gastos com Pessoal'!$E$513:$E$522)*(BE$3&lt;='Gastos com Pessoal'!$F$513:$F$522)*(IF('Gastos com Pessoal'!$Y$513:$Y$522&lt;=BE$3,1,0))*OFFSET('Gastos com Pessoal'!$H$512,1,MATCH(4&amp;$B51,'Gastos com Pessoal'!$I$532:$AJ$532&amp;'Gastos com Pessoal'!$I$512:$AJ$512,0),10,1)),0)
+_xlfn.IFNA(SUM((BE$3&gt;='Gastos com Pessoal'!$E$513:$E$522)*(BE$3&lt;='Gastos com Pessoal'!$F$513:$F$522)*(IF('Gastos com Pessoal'!$AE$513:$AE$522&lt;=BE$3,1,0))*OFFSET('Gastos com Pessoal'!$H$512,1,MATCH(5&amp;$B51,'Gastos com Pessoal'!$I$532:$AJ$532&amp;'Gastos com Pessoal'!$I$512:$AJ$512,0),10,1)),0)</f>
        <v>0</v>
      </c>
      <c r="BF51" s="32">
        <f t="array" aca="1" ref="BF51" ca="1">_xlfn.IFNA(SUM((BF$3&gt;='Gastos com Pessoal'!$E$7:$E$506)*(BF$3&lt;='Gastos com Pessoal'!$F$7:$F$506)*OFFSET('Encargos e Benefícios'!$D$5,1,MATCH($B51,'Encargos e Benefícios'!$E$5:$AB$5,0),500,1)),0)
+_xlfn.IFNA(SUM((BF$3&gt;='Gastos com Pessoal'!$E$513:$E$522)*(BF$3&lt;='Gastos com Pessoal'!$F$513:$F$522)*OFFSET('Encargos e Benefícios'!$D$511,1,MATCH($B51,'Encargos e Benefícios'!$E$511:$AB$511,0),10,1)),0)
+_xlfn.IFNA(SUM((BF$3&gt;='Gastos com Pessoal'!$E$7:$E$506)*(BF$3&lt;='Gastos com Pessoal'!$F$7:$F$506)*(IF('Gastos com Pessoal'!$G$7:$G$506&lt;=BF$3,1,0))*OFFSET('Gastos com Pessoal'!$H$6,1,MATCH(1&amp;$B51,'Gastos com Pessoal'!$I$532:$AJ$532&amp;'Gastos com Pessoal'!$I$6:$AJ$6,0),500,1)),0)
+_xlfn.IFNA(SUM((BF$3&gt;='Gastos com Pessoal'!$E$7:$E$506)*(BF$3&lt;='Gastos com Pessoal'!$F$7:$F$506)*(IF('Gastos com Pessoal'!$M$7:$M$506&lt;=BF$3,1,0))*OFFSET('Gastos com Pessoal'!$H$6,1,MATCH(2&amp;$B51,'Gastos com Pessoal'!$I$532:$AJ$532&amp;'Gastos com Pessoal'!$I$6:$AJ$6,0),500,1)),0)
+_xlfn.IFNA(SUM((BF$3&gt;='Gastos com Pessoal'!$E$7:$E$506)*(BF$3&lt;='Gastos com Pessoal'!$F$7:$F$506)*(IF('Gastos com Pessoal'!$S$7:$S$506&lt;=BF$3,1,0))*OFFSET('Gastos com Pessoal'!$H$6,1,MATCH(3&amp;$B51,'Gastos com Pessoal'!$I$532:$AJ$532&amp;'Gastos com Pessoal'!$I$6:$AJ$6,0),500,1)),0)
+_xlfn.IFNA(SUM((BF$3&gt;='Gastos com Pessoal'!$E$7:$E$506)*(BF$3&lt;='Gastos com Pessoal'!$F$7:$F$506)*(IF('Gastos com Pessoal'!$Y$7:$Y$506&lt;=BF$3,1,0))*OFFSET('Gastos com Pessoal'!$H$6,1,MATCH(4&amp;$B51,'Gastos com Pessoal'!$I$532:$AJ$532&amp;'Gastos com Pessoal'!$I$6:$AJ$6,0),500,1)),0)
+_xlfn.IFNA(SUM((BF$3&gt;='Gastos com Pessoal'!$E$7:$E$506)*(BF$3&lt;='Gastos com Pessoal'!$F$7:$F$506)*(IF('Gastos com Pessoal'!$AE$7:$AE$506&lt;=BF$3,1,0))*OFFSET('Gastos com Pessoal'!$H$6,1,MATCH(5&amp;$B51,'Gastos com Pessoal'!$I$532:$AJ$532&amp;'Gastos com Pessoal'!$I$6:$AJ$6,0),500,1)),0)
+_xlfn.IFNA(SUM((BF$3&gt;='Gastos com Pessoal'!$E$513:$E$522)*(BF$3&lt;='Gastos com Pessoal'!$F$513:$F$522)*(IF('Gastos com Pessoal'!$G$513:$G$522&lt;=BF$3,1,0))*OFFSET('Gastos com Pessoal'!$H$512,1,MATCH(1&amp;$B51,'Gastos com Pessoal'!$I$532:$AJ$532&amp;'Gastos com Pessoal'!$I$512:$AJ$512,0),10,1)),0)
+_xlfn.IFNA(SUM((BF$3&gt;='Gastos com Pessoal'!$E$513:$E$522)*(BF$3&lt;='Gastos com Pessoal'!$F$513:$F$522)*(IF('Gastos com Pessoal'!$M$513:$M$522&lt;=BF$3,1,0))*OFFSET('Gastos com Pessoal'!$H$512,1,MATCH(2&amp;$B51,'Gastos com Pessoal'!$I$532:$AJ$532&amp;'Gastos com Pessoal'!$I$512:$AJ$512,0),10,1)),0)
+_xlfn.IFNA(SUM((BF$3&gt;='Gastos com Pessoal'!$E$513:$E$522)*(BF$3&lt;='Gastos com Pessoal'!$F$513:$F$522)*(IF('Gastos com Pessoal'!$S$513:$S$522&lt;=BF$3,1,0))*OFFSET('Gastos com Pessoal'!$H$512,1,MATCH(3&amp;$B51,'Gastos com Pessoal'!$I$532:$AJ$532&amp;'Gastos com Pessoal'!$I$512:$AJ$512,0),10,1)),0)
+_xlfn.IFNA(SUM((BF$3&gt;='Gastos com Pessoal'!$E$513:$E$522)*(BF$3&lt;='Gastos com Pessoal'!$F$513:$F$522)*(IF('Gastos com Pessoal'!$Y$513:$Y$522&lt;=BF$3,1,0))*OFFSET('Gastos com Pessoal'!$H$512,1,MATCH(4&amp;$B51,'Gastos com Pessoal'!$I$532:$AJ$532&amp;'Gastos com Pessoal'!$I$512:$AJ$512,0),10,1)),0)
+_xlfn.IFNA(SUM((BF$3&gt;='Gastos com Pessoal'!$E$513:$E$522)*(BF$3&lt;='Gastos com Pessoal'!$F$513:$F$522)*(IF('Gastos com Pessoal'!$AE$513:$AE$522&lt;=BF$3,1,0))*OFFSET('Gastos com Pessoal'!$H$512,1,MATCH(5&amp;$B51,'Gastos com Pessoal'!$I$532:$AJ$532&amp;'Gastos com Pessoal'!$I$512:$AJ$512,0),10,1)),0)</f>
        <v>0</v>
      </c>
      <c r="BG51" s="32">
        <f t="array" aca="1" ref="BG51" ca="1">_xlfn.IFNA(SUM((BG$3&gt;='Gastos com Pessoal'!$E$7:$E$506)*(BG$3&lt;='Gastos com Pessoal'!$F$7:$F$506)*OFFSET('Encargos e Benefícios'!$D$5,1,MATCH($B51,'Encargos e Benefícios'!$E$5:$AB$5,0),500,1)),0)
+_xlfn.IFNA(SUM((BG$3&gt;='Gastos com Pessoal'!$E$513:$E$522)*(BG$3&lt;='Gastos com Pessoal'!$F$513:$F$522)*OFFSET('Encargos e Benefícios'!$D$511,1,MATCH($B51,'Encargos e Benefícios'!$E$511:$AB$511,0),10,1)),0)
+_xlfn.IFNA(SUM((BG$3&gt;='Gastos com Pessoal'!$E$7:$E$506)*(BG$3&lt;='Gastos com Pessoal'!$F$7:$F$506)*(IF('Gastos com Pessoal'!$G$7:$G$506&lt;=BG$3,1,0))*OFFSET('Gastos com Pessoal'!$H$6,1,MATCH(1&amp;$B51,'Gastos com Pessoal'!$I$532:$AJ$532&amp;'Gastos com Pessoal'!$I$6:$AJ$6,0),500,1)),0)
+_xlfn.IFNA(SUM((BG$3&gt;='Gastos com Pessoal'!$E$7:$E$506)*(BG$3&lt;='Gastos com Pessoal'!$F$7:$F$506)*(IF('Gastos com Pessoal'!$M$7:$M$506&lt;=BG$3,1,0))*OFFSET('Gastos com Pessoal'!$H$6,1,MATCH(2&amp;$B51,'Gastos com Pessoal'!$I$532:$AJ$532&amp;'Gastos com Pessoal'!$I$6:$AJ$6,0),500,1)),0)
+_xlfn.IFNA(SUM((BG$3&gt;='Gastos com Pessoal'!$E$7:$E$506)*(BG$3&lt;='Gastos com Pessoal'!$F$7:$F$506)*(IF('Gastos com Pessoal'!$S$7:$S$506&lt;=BG$3,1,0))*OFFSET('Gastos com Pessoal'!$H$6,1,MATCH(3&amp;$B51,'Gastos com Pessoal'!$I$532:$AJ$532&amp;'Gastos com Pessoal'!$I$6:$AJ$6,0),500,1)),0)
+_xlfn.IFNA(SUM((BG$3&gt;='Gastos com Pessoal'!$E$7:$E$506)*(BG$3&lt;='Gastos com Pessoal'!$F$7:$F$506)*(IF('Gastos com Pessoal'!$Y$7:$Y$506&lt;=BG$3,1,0))*OFFSET('Gastos com Pessoal'!$H$6,1,MATCH(4&amp;$B51,'Gastos com Pessoal'!$I$532:$AJ$532&amp;'Gastos com Pessoal'!$I$6:$AJ$6,0),500,1)),0)
+_xlfn.IFNA(SUM((BG$3&gt;='Gastos com Pessoal'!$E$7:$E$506)*(BG$3&lt;='Gastos com Pessoal'!$F$7:$F$506)*(IF('Gastos com Pessoal'!$AE$7:$AE$506&lt;=BG$3,1,0))*OFFSET('Gastos com Pessoal'!$H$6,1,MATCH(5&amp;$B51,'Gastos com Pessoal'!$I$532:$AJ$532&amp;'Gastos com Pessoal'!$I$6:$AJ$6,0),500,1)),0)
+_xlfn.IFNA(SUM((BG$3&gt;='Gastos com Pessoal'!$E$513:$E$522)*(BG$3&lt;='Gastos com Pessoal'!$F$513:$F$522)*(IF('Gastos com Pessoal'!$G$513:$G$522&lt;=BG$3,1,0))*OFFSET('Gastos com Pessoal'!$H$512,1,MATCH(1&amp;$B51,'Gastos com Pessoal'!$I$532:$AJ$532&amp;'Gastos com Pessoal'!$I$512:$AJ$512,0),10,1)),0)
+_xlfn.IFNA(SUM((BG$3&gt;='Gastos com Pessoal'!$E$513:$E$522)*(BG$3&lt;='Gastos com Pessoal'!$F$513:$F$522)*(IF('Gastos com Pessoal'!$M$513:$M$522&lt;=BG$3,1,0))*OFFSET('Gastos com Pessoal'!$H$512,1,MATCH(2&amp;$B51,'Gastos com Pessoal'!$I$532:$AJ$532&amp;'Gastos com Pessoal'!$I$512:$AJ$512,0),10,1)),0)
+_xlfn.IFNA(SUM((BG$3&gt;='Gastos com Pessoal'!$E$513:$E$522)*(BG$3&lt;='Gastos com Pessoal'!$F$513:$F$522)*(IF('Gastos com Pessoal'!$S$513:$S$522&lt;=BG$3,1,0))*OFFSET('Gastos com Pessoal'!$H$512,1,MATCH(3&amp;$B51,'Gastos com Pessoal'!$I$532:$AJ$532&amp;'Gastos com Pessoal'!$I$512:$AJ$512,0),10,1)),0)
+_xlfn.IFNA(SUM((BG$3&gt;='Gastos com Pessoal'!$E$513:$E$522)*(BG$3&lt;='Gastos com Pessoal'!$F$513:$F$522)*(IF('Gastos com Pessoal'!$Y$513:$Y$522&lt;=BG$3,1,0))*OFFSET('Gastos com Pessoal'!$H$512,1,MATCH(4&amp;$B51,'Gastos com Pessoal'!$I$532:$AJ$532&amp;'Gastos com Pessoal'!$I$512:$AJ$512,0),10,1)),0)
+_xlfn.IFNA(SUM((BG$3&gt;='Gastos com Pessoal'!$E$513:$E$522)*(BG$3&lt;='Gastos com Pessoal'!$F$513:$F$522)*(IF('Gastos com Pessoal'!$AE$513:$AE$522&lt;=BG$3,1,0))*OFFSET('Gastos com Pessoal'!$H$512,1,MATCH(5&amp;$B51,'Gastos com Pessoal'!$I$532:$AJ$532&amp;'Gastos com Pessoal'!$I$512:$AJ$512,0),10,1)),0)</f>
        <v>0</v>
      </c>
      <c r="BH51" s="32">
        <f t="array" aca="1" ref="BH51" ca="1">_xlfn.IFNA(SUM((BH$3&gt;='Gastos com Pessoal'!$E$7:$E$506)*(BH$3&lt;='Gastos com Pessoal'!$F$7:$F$506)*OFFSET('Encargos e Benefícios'!$D$5,1,MATCH($B51,'Encargos e Benefícios'!$E$5:$AB$5,0),500,1)),0)
+_xlfn.IFNA(SUM((BH$3&gt;='Gastos com Pessoal'!$E$513:$E$522)*(BH$3&lt;='Gastos com Pessoal'!$F$513:$F$522)*OFFSET('Encargos e Benefícios'!$D$511,1,MATCH($B51,'Encargos e Benefícios'!$E$511:$AB$511,0),10,1)),0)
+_xlfn.IFNA(SUM((BH$3&gt;='Gastos com Pessoal'!$E$7:$E$506)*(BH$3&lt;='Gastos com Pessoal'!$F$7:$F$506)*(IF('Gastos com Pessoal'!$G$7:$G$506&lt;=BH$3,1,0))*OFFSET('Gastos com Pessoal'!$H$6,1,MATCH(1&amp;$B51,'Gastos com Pessoal'!$I$532:$AJ$532&amp;'Gastos com Pessoal'!$I$6:$AJ$6,0),500,1)),0)
+_xlfn.IFNA(SUM((BH$3&gt;='Gastos com Pessoal'!$E$7:$E$506)*(BH$3&lt;='Gastos com Pessoal'!$F$7:$F$506)*(IF('Gastos com Pessoal'!$M$7:$M$506&lt;=BH$3,1,0))*OFFSET('Gastos com Pessoal'!$H$6,1,MATCH(2&amp;$B51,'Gastos com Pessoal'!$I$532:$AJ$532&amp;'Gastos com Pessoal'!$I$6:$AJ$6,0),500,1)),0)
+_xlfn.IFNA(SUM((BH$3&gt;='Gastos com Pessoal'!$E$7:$E$506)*(BH$3&lt;='Gastos com Pessoal'!$F$7:$F$506)*(IF('Gastos com Pessoal'!$S$7:$S$506&lt;=BH$3,1,0))*OFFSET('Gastos com Pessoal'!$H$6,1,MATCH(3&amp;$B51,'Gastos com Pessoal'!$I$532:$AJ$532&amp;'Gastos com Pessoal'!$I$6:$AJ$6,0),500,1)),0)
+_xlfn.IFNA(SUM((BH$3&gt;='Gastos com Pessoal'!$E$7:$E$506)*(BH$3&lt;='Gastos com Pessoal'!$F$7:$F$506)*(IF('Gastos com Pessoal'!$Y$7:$Y$506&lt;=BH$3,1,0))*OFFSET('Gastos com Pessoal'!$H$6,1,MATCH(4&amp;$B51,'Gastos com Pessoal'!$I$532:$AJ$532&amp;'Gastos com Pessoal'!$I$6:$AJ$6,0),500,1)),0)
+_xlfn.IFNA(SUM((BH$3&gt;='Gastos com Pessoal'!$E$7:$E$506)*(BH$3&lt;='Gastos com Pessoal'!$F$7:$F$506)*(IF('Gastos com Pessoal'!$AE$7:$AE$506&lt;=BH$3,1,0))*OFFSET('Gastos com Pessoal'!$H$6,1,MATCH(5&amp;$B51,'Gastos com Pessoal'!$I$532:$AJ$532&amp;'Gastos com Pessoal'!$I$6:$AJ$6,0),500,1)),0)
+_xlfn.IFNA(SUM((BH$3&gt;='Gastos com Pessoal'!$E$513:$E$522)*(BH$3&lt;='Gastos com Pessoal'!$F$513:$F$522)*(IF('Gastos com Pessoal'!$G$513:$G$522&lt;=BH$3,1,0))*OFFSET('Gastos com Pessoal'!$H$512,1,MATCH(1&amp;$B51,'Gastos com Pessoal'!$I$532:$AJ$532&amp;'Gastos com Pessoal'!$I$512:$AJ$512,0),10,1)),0)
+_xlfn.IFNA(SUM((BH$3&gt;='Gastos com Pessoal'!$E$513:$E$522)*(BH$3&lt;='Gastos com Pessoal'!$F$513:$F$522)*(IF('Gastos com Pessoal'!$M$513:$M$522&lt;=BH$3,1,0))*OFFSET('Gastos com Pessoal'!$H$512,1,MATCH(2&amp;$B51,'Gastos com Pessoal'!$I$532:$AJ$532&amp;'Gastos com Pessoal'!$I$512:$AJ$512,0),10,1)),0)
+_xlfn.IFNA(SUM((BH$3&gt;='Gastos com Pessoal'!$E$513:$E$522)*(BH$3&lt;='Gastos com Pessoal'!$F$513:$F$522)*(IF('Gastos com Pessoal'!$S$513:$S$522&lt;=BH$3,1,0))*OFFSET('Gastos com Pessoal'!$H$512,1,MATCH(3&amp;$B51,'Gastos com Pessoal'!$I$532:$AJ$532&amp;'Gastos com Pessoal'!$I$512:$AJ$512,0),10,1)),0)
+_xlfn.IFNA(SUM((BH$3&gt;='Gastos com Pessoal'!$E$513:$E$522)*(BH$3&lt;='Gastos com Pessoal'!$F$513:$F$522)*(IF('Gastos com Pessoal'!$Y$513:$Y$522&lt;=BH$3,1,0))*OFFSET('Gastos com Pessoal'!$H$512,1,MATCH(4&amp;$B51,'Gastos com Pessoal'!$I$532:$AJ$532&amp;'Gastos com Pessoal'!$I$512:$AJ$512,0),10,1)),0)
+_xlfn.IFNA(SUM((BH$3&gt;='Gastos com Pessoal'!$E$513:$E$522)*(BH$3&lt;='Gastos com Pessoal'!$F$513:$F$522)*(IF('Gastos com Pessoal'!$AE$513:$AE$522&lt;=BH$3,1,0))*OFFSET('Gastos com Pessoal'!$H$512,1,MATCH(5&amp;$B51,'Gastos com Pessoal'!$I$532:$AJ$532&amp;'Gastos com Pessoal'!$I$512:$AJ$512,0),10,1)),0)</f>
        <v>0</v>
      </c>
      <c r="BI51" s="32">
        <f t="array" aca="1" ref="BI51" ca="1">_xlfn.IFNA(SUM((BI$3&gt;='Gastos com Pessoal'!$E$7:$E$506)*(BI$3&lt;='Gastos com Pessoal'!$F$7:$F$506)*OFFSET('Encargos e Benefícios'!$D$5,1,MATCH($B51,'Encargos e Benefícios'!$E$5:$AB$5,0),500,1)),0)
+_xlfn.IFNA(SUM((BI$3&gt;='Gastos com Pessoal'!$E$513:$E$522)*(BI$3&lt;='Gastos com Pessoal'!$F$513:$F$522)*OFFSET('Encargos e Benefícios'!$D$511,1,MATCH($B51,'Encargos e Benefícios'!$E$511:$AB$511,0),10,1)),0)
+_xlfn.IFNA(SUM((BI$3&gt;='Gastos com Pessoal'!$E$7:$E$506)*(BI$3&lt;='Gastos com Pessoal'!$F$7:$F$506)*(IF('Gastos com Pessoal'!$G$7:$G$506&lt;=BI$3,1,0))*OFFSET('Gastos com Pessoal'!$H$6,1,MATCH(1&amp;$B51,'Gastos com Pessoal'!$I$532:$AJ$532&amp;'Gastos com Pessoal'!$I$6:$AJ$6,0),500,1)),0)
+_xlfn.IFNA(SUM((BI$3&gt;='Gastos com Pessoal'!$E$7:$E$506)*(BI$3&lt;='Gastos com Pessoal'!$F$7:$F$506)*(IF('Gastos com Pessoal'!$M$7:$M$506&lt;=BI$3,1,0))*OFFSET('Gastos com Pessoal'!$H$6,1,MATCH(2&amp;$B51,'Gastos com Pessoal'!$I$532:$AJ$532&amp;'Gastos com Pessoal'!$I$6:$AJ$6,0),500,1)),0)
+_xlfn.IFNA(SUM((BI$3&gt;='Gastos com Pessoal'!$E$7:$E$506)*(BI$3&lt;='Gastos com Pessoal'!$F$7:$F$506)*(IF('Gastos com Pessoal'!$S$7:$S$506&lt;=BI$3,1,0))*OFFSET('Gastos com Pessoal'!$H$6,1,MATCH(3&amp;$B51,'Gastos com Pessoal'!$I$532:$AJ$532&amp;'Gastos com Pessoal'!$I$6:$AJ$6,0),500,1)),0)
+_xlfn.IFNA(SUM((BI$3&gt;='Gastos com Pessoal'!$E$7:$E$506)*(BI$3&lt;='Gastos com Pessoal'!$F$7:$F$506)*(IF('Gastos com Pessoal'!$Y$7:$Y$506&lt;=BI$3,1,0))*OFFSET('Gastos com Pessoal'!$H$6,1,MATCH(4&amp;$B51,'Gastos com Pessoal'!$I$532:$AJ$532&amp;'Gastos com Pessoal'!$I$6:$AJ$6,0),500,1)),0)
+_xlfn.IFNA(SUM((BI$3&gt;='Gastos com Pessoal'!$E$7:$E$506)*(BI$3&lt;='Gastos com Pessoal'!$F$7:$F$506)*(IF('Gastos com Pessoal'!$AE$7:$AE$506&lt;=BI$3,1,0))*OFFSET('Gastos com Pessoal'!$H$6,1,MATCH(5&amp;$B51,'Gastos com Pessoal'!$I$532:$AJ$532&amp;'Gastos com Pessoal'!$I$6:$AJ$6,0),500,1)),0)
+_xlfn.IFNA(SUM((BI$3&gt;='Gastos com Pessoal'!$E$513:$E$522)*(BI$3&lt;='Gastos com Pessoal'!$F$513:$F$522)*(IF('Gastos com Pessoal'!$G$513:$G$522&lt;=BI$3,1,0))*OFFSET('Gastos com Pessoal'!$H$512,1,MATCH(1&amp;$B51,'Gastos com Pessoal'!$I$532:$AJ$532&amp;'Gastos com Pessoal'!$I$512:$AJ$512,0),10,1)),0)
+_xlfn.IFNA(SUM((BI$3&gt;='Gastos com Pessoal'!$E$513:$E$522)*(BI$3&lt;='Gastos com Pessoal'!$F$513:$F$522)*(IF('Gastos com Pessoal'!$M$513:$M$522&lt;=BI$3,1,0))*OFFSET('Gastos com Pessoal'!$H$512,1,MATCH(2&amp;$B51,'Gastos com Pessoal'!$I$532:$AJ$532&amp;'Gastos com Pessoal'!$I$512:$AJ$512,0),10,1)),0)
+_xlfn.IFNA(SUM((BI$3&gt;='Gastos com Pessoal'!$E$513:$E$522)*(BI$3&lt;='Gastos com Pessoal'!$F$513:$F$522)*(IF('Gastos com Pessoal'!$S$513:$S$522&lt;=BI$3,1,0))*OFFSET('Gastos com Pessoal'!$H$512,1,MATCH(3&amp;$B51,'Gastos com Pessoal'!$I$532:$AJ$532&amp;'Gastos com Pessoal'!$I$512:$AJ$512,0),10,1)),0)
+_xlfn.IFNA(SUM((BI$3&gt;='Gastos com Pessoal'!$E$513:$E$522)*(BI$3&lt;='Gastos com Pessoal'!$F$513:$F$522)*(IF('Gastos com Pessoal'!$Y$513:$Y$522&lt;=BI$3,1,0))*OFFSET('Gastos com Pessoal'!$H$512,1,MATCH(4&amp;$B51,'Gastos com Pessoal'!$I$532:$AJ$532&amp;'Gastos com Pessoal'!$I$512:$AJ$512,0),10,1)),0)
+_xlfn.IFNA(SUM((BI$3&gt;='Gastos com Pessoal'!$E$513:$E$522)*(BI$3&lt;='Gastos com Pessoal'!$F$513:$F$522)*(IF('Gastos com Pessoal'!$AE$513:$AE$522&lt;=BI$3,1,0))*OFFSET('Gastos com Pessoal'!$H$512,1,MATCH(5&amp;$B51,'Gastos com Pessoal'!$I$532:$AJ$532&amp;'Gastos com Pessoal'!$I$512:$AJ$512,0),10,1)),0)</f>
        <v>0</v>
      </c>
      <c r="BJ51" s="32">
        <f t="array" aca="1" ref="BJ51" ca="1">_xlfn.IFNA(SUM((BJ$3&gt;='Gastos com Pessoal'!$E$7:$E$506)*(BJ$3&lt;='Gastos com Pessoal'!$F$7:$F$506)*OFFSET('Encargos e Benefícios'!$D$5,1,MATCH($B51,'Encargos e Benefícios'!$E$5:$AB$5,0),500,1)),0)
+_xlfn.IFNA(SUM((BJ$3&gt;='Gastos com Pessoal'!$E$513:$E$522)*(BJ$3&lt;='Gastos com Pessoal'!$F$513:$F$522)*OFFSET('Encargos e Benefícios'!$D$511,1,MATCH($B51,'Encargos e Benefícios'!$E$511:$AB$511,0),10,1)),0)
+_xlfn.IFNA(SUM((BJ$3&gt;='Gastos com Pessoal'!$E$7:$E$506)*(BJ$3&lt;='Gastos com Pessoal'!$F$7:$F$506)*(IF('Gastos com Pessoal'!$G$7:$G$506&lt;=BJ$3,1,0))*OFFSET('Gastos com Pessoal'!$H$6,1,MATCH(1&amp;$B51,'Gastos com Pessoal'!$I$532:$AJ$532&amp;'Gastos com Pessoal'!$I$6:$AJ$6,0),500,1)),0)
+_xlfn.IFNA(SUM((BJ$3&gt;='Gastos com Pessoal'!$E$7:$E$506)*(BJ$3&lt;='Gastos com Pessoal'!$F$7:$F$506)*(IF('Gastos com Pessoal'!$M$7:$M$506&lt;=BJ$3,1,0))*OFFSET('Gastos com Pessoal'!$H$6,1,MATCH(2&amp;$B51,'Gastos com Pessoal'!$I$532:$AJ$532&amp;'Gastos com Pessoal'!$I$6:$AJ$6,0),500,1)),0)
+_xlfn.IFNA(SUM((BJ$3&gt;='Gastos com Pessoal'!$E$7:$E$506)*(BJ$3&lt;='Gastos com Pessoal'!$F$7:$F$506)*(IF('Gastos com Pessoal'!$S$7:$S$506&lt;=BJ$3,1,0))*OFFSET('Gastos com Pessoal'!$H$6,1,MATCH(3&amp;$B51,'Gastos com Pessoal'!$I$532:$AJ$532&amp;'Gastos com Pessoal'!$I$6:$AJ$6,0),500,1)),0)
+_xlfn.IFNA(SUM((BJ$3&gt;='Gastos com Pessoal'!$E$7:$E$506)*(BJ$3&lt;='Gastos com Pessoal'!$F$7:$F$506)*(IF('Gastos com Pessoal'!$Y$7:$Y$506&lt;=BJ$3,1,0))*OFFSET('Gastos com Pessoal'!$H$6,1,MATCH(4&amp;$B51,'Gastos com Pessoal'!$I$532:$AJ$532&amp;'Gastos com Pessoal'!$I$6:$AJ$6,0),500,1)),0)
+_xlfn.IFNA(SUM((BJ$3&gt;='Gastos com Pessoal'!$E$7:$E$506)*(BJ$3&lt;='Gastos com Pessoal'!$F$7:$F$506)*(IF('Gastos com Pessoal'!$AE$7:$AE$506&lt;=BJ$3,1,0))*OFFSET('Gastos com Pessoal'!$H$6,1,MATCH(5&amp;$B51,'Gastos com Pessoal'!$I$532:$AJ$532&amp;'Gastos com Pessoal'!$I$6:$AJ$6,0),500,1)),0)
+_xlfn.IFNA(SUM((BJ$3&gt;='Gastos com Pessoal'!$E$513:$E$522)*(BJ$3&lt;='Gastos com Pessoal'!$F$513:$F$522)*(IF('Gastos com Pessoal'!$G$513:$G$522&lt;=BJ$3,1,0))*OFFSET('Gastos com Pessoal'!$H$512,1,MATCH(1&amp;$B51,'Gastos com Pessoal'!$I$532:$AJ$532&amp;'Gastos com Pessoal'!$I$512:$AJ$512,0),10,1)),0)
+_xlfn.IFNA(SUM((BJ$3&gt;='Gastos com Pessoal'!$E$513:$E$522)*(BJ$3&lt;='Gastos com Pessoal'!$F$513:$F$522)*(IF('Gastos com Pessoal'!$M$513:$M$522&lt;=BJ$3,1,0))*OFFSET('Gastos com Pessoal'!$H$512,1,MATCH(2&amp;$B51,'Gastos com Pessoal'!$I$532:$AJ$532&amp;'Gastos com Pessoal'!$I$512:$AJ$512,0),10,1)),0)
+_xlfn.IFNA(SUM((BJ$3&gt;='Gastos com Pessoal'!$E$513:$E$522)*(BJ$3&lt;='Gastos com Pessoal'!$F$513:$F$522)*(IF('Gastos com Pessoal'!$S$513:$S$522&lt;=BJ$3,1,0))*OFFSET('Gastos com Pessoal'!$H$512,1,MATCH(3&amp;$B51,'Gastos com Pessoal'!$I$532:$AJ$532&amp;'Gastos com Pessoal'!$I$512:$AJ$512,0),10,1)),0)
+_xlfn.IFNA(SUM((BJ$3&gt;='Gastos com Pessoal'!$E$513:$E$522)*(BJ$3&lt;='Gastos com Pessoal'!$F$513:$F$522)*(IF('Gastos com Pessoal'!$Y$513:$Y$522&lt;=BJ$3,1,0))*OFFSET('Gastos com Pessoal'!$H$512,1,MATCH(4&amp;$B51,'Gastos com Pessoal'!$I$532:$AJ$532&amp;'Gastos com Pessoal'!$I$512:$AJ$512,0),10,1)),0)
+_xlfn.IFNA(SUM((BJ$3&gt;='Gastos com Pessoal'!$E$513:$E$522)*(BJ$3&lt;='Gastos com Pessoal'!$F$513:$F$522)*(IF('Gastos com Pessoal'!$AE$513:$AE$522&lt;=BJ$3,1,0))*OFFSET('Gastos com Pessoal'!$H$512,1,MATCH(5&amp;$B51,'Gastos com Pessoal'!$I$532:$AJ$532&amp;'Gastos com Pessoal'!$I$512:$AJ$512,0),10,1)),0)</f>
        <v>0</v>
      </c>
      <c r="BK51" s="71">
        <f t="shared" ca="1" si="20"/>
        <v>408542.4000000002</v>
      </c>
      <c r="BL51" s="76">
        <f t="shared" ca="1" si="21"/>
        <v>1.1143396069594733E-3</v>
      </c>
    </row>
    <row r="52" spans="1:64" s="49" customFormat="1" ht="23.25" customHeight="1" x14ac:dyDescent="0.2">
      <c r="A52" s="18" t="s">
        <v>177</v>
      </c>
      <c r="B52" s="12" t="s">
        <v>178</v>
      </c>
      <c r="C52" s="32">
        <f t="array" aca="1" ref="C52" ca="1">_xlfn.IFNA(SUM((C$3&gt;='Gastos com Pessoal'!$E$7:$E$506)*(C$3&lt;='Gastos com Pessoal'!$F$7:$F$506)*OFFSET('Encargos e Benefícios'!$D$5,1,MATCH($B52,'Encargos e Benefícios'!$E$5:$AB$5,0),500,1)),0)
+_xlfn.IFNA(SUM((C$3&gt;='Gastos com Pessoal'!$E$513:$E$522)*(C$3&lt;='Gastos com Pessoal'!$F$513:$F$522)*OFFSET('Encargos e Benefícios'!$D$511,1,MATCH($B52,'Encargos e Benefícios'!$E$511:$AB$511,0),10,1)),0)
+_xlfn.IFNA(SUM((C$3&gt;='Gastos com Pessoal'!$E$7:$E$506)*(C$3&lt;='Gastos com Pessoal'!$F$7:$F$506)*(IF('Gastos com Pessoal'!$G$7:$G$506&lt;=C$3,1,0))*OFFSET('Gastos com Pessoal'!$H$6,1,MATCH(1&amp;$B52,'Gastos com Pessoal'!$I$532:$AJ$532&amp;'Gastos com Pessoal'!$I$6:$AJ$6,0),500,1)),0)
+_xlfn.IFNA(SUM((C$3&gt;='Gastos com Pessoal'!$E$7:$E$506)*(C$3&lt;='Gastos com Pessoal'!$F$7:$F$506)*(IF('Gastos com Pessoal'!$M$7:$M$506&lt;=C$3,1,0))*OFFSET('Gastos com Pessoal'!$H$6,1,MATCH(2&amp;$B52,'Gastos com Pessoal'!$I$532:$AJ$532&amp;'Gastos com Pessoal'!$I$6:$AJ$6,0),500,1)),0)
+_xlfn.IFNA(SUM((C$3&gt;='Gastos com Pessoal'!$E$7:$E$506)*(C$3&lt;='Gastos com Pessoal'!$F$7:$F$506)*(IF('Gastos com Pessoal'!$S$7:$S$506&lt;=C$3,1,0))*OFFSET('Gastos com Pessoal'!$H$6,1,MATCH(3&amp;$B52,'Gastos com Pessoal'!$I$532:$AJ$532&amp;'Gastos com Pessoal'!$I$6:$AJ$6,0),500,1)),0)
+_xlfn.IFNA(SUM((C$3&gt;='Gastos com Pessoal'!$E$7:$E$506)*(C$3&lt;='Gastos com Pessoal'!$F$7:$F$506)*(IF('Gastos com Pessoal'!$Y$7:$Y$506&lt;=C$3,1,0))*OFFSET('Gastos com Pessoal'!$H$6,1,MATCH(4&amp;$B52,'Gastos com Pessoal'!$I$532:$AJ$532&amp;'Gastos com Pessoal'!$I$6:$AJ$6,0),500,1)),0)
+_xlfn.IFNA(SUM((C$3&gt;='Gastos com Pessoal'!$E$7:$E$506)*(C$3&lt;='Gastos com Pessoal'!$F$7:$F$506)*(IF('Gastos com Pessoal'!$AE$7:$AE$506&lt;=C$3,1,0))*OFFSET('Gastos com Pessoal'!$H$6,1,MATCH(5&amp;$B52,'Gastos com Pessoal'!$I$532:$AJ$532&amp;'Gastos com Pessoal'!$I$6:$AJ$6,0),500,1)),0)
+_xlfn.IFNA(SUM((C$3&gt;='Gastos com Pessoal'!$E$513:$E$522)*(C$3&lt;='Gastos com Pessoal'!$F$513:$F$522)*(IF('Gastos com Pessoal'!$G$513:$G$522&lt;=C$3,1,0))*OFFSET('Gastos com Pessoal'!$H$512,1,MATCH(1&amp;$B52,'Gastos com Pessoal'!$I$532:$AJ$532&amp;'Gastos com Pessoal'!$I$512:$AJ$512,0),10,1)),0)
+_xlfn.IFNA(SUM((C$3&gt;='Gastos com Pessoal'!$E$513:$E$522)*(C$3&lt;='Gastos com Pessoal'!$F$513:$F$522)*(IF('Gastos com Pessoal'!$M$513:$M$522&lt;=C$3,1,0))*OFFSET('Gastos com Pessoal'!$H$512,1,MATCH(2&amp;$B52,'Gastos com Pessoal'!$I$532:$AJ$532&amp;'Gastos com Pessoal'!$I$512:$AJ$512,0),10,1)),0)
+_xlfn.IFNA(SUM((C$3&gt;='Gastos com Pessoal'!$E$513:$E$522)*(C$3&lt;='Gastos com Pessoal'!$F$513:$F$522)*(IF('Gastos com Pessoal'!$S$513:$S$522&lt;=C$3,1,0))*OFFSET('Gastos com Pessoal'!$H$512,1,MATCH(3&amp;$B52,'Gastos com Pessoal'!$I$532:$AJ$532&amp;'Gastos com Pessoal'!$I$512:$AJ$512,0),10,1)),0)
+_xlfn.IFNA(SUM((C$3&gt;='Gastos com Pessoal'!$E$513:$E$522)*(C$3&lt;='Gastos com Pessoal'!$F$513:$F$522)*(IF('Gastos com Pessoal'!$Y$513:$Y$522&lt;=C$3,1,0))*OFFSET('Gastos com Pessoal'!$H$512,1,MATCH(4&amp;$B52,'Gastos com Pessoal'!$I$532:$AJ$532&amp;'Gastos com Pessoal'!$I$512:$AJ$512,0),10,1)),0)
+_xlfn.IFNA(SUM((C$3&gt;='Gastos com Pessoal'!$E$513:$E$522)*(C$3&lt;='Gastos com Pessoal'!$F$513:$F$522)*(IF('Gastos com Pessoal'!$AE$513:$AE$522&lt;=C$3,1,0))*OFFSET('Gastos com Pessoal'!$H$512,1,MATCH(5&amp;$B52,'Gastos com Pessoal'!$I$532:$AJ$532&amp;'Gastos com Pessoal'!$I$512:$AJ$512,0),10,1)),0)</f>
        <v>25347</v>
      </c>
      <c r="D52" s="32">
        <f t="array" aca="1" ref="D52" ca="1">_xlfn.IFNA(SUM((D$3&gt;='Gastos com Pessoal'!$E$7:$E$506)*(D$3&lt;='Gastos com Pessoal'!$F$7:$F$506)*OFFSET('Encargos e Benefícios'!$D$5,1,MATCH($B52,'Encargos e Benefícios'!$E$5:$AB$5,0),500,1)),0)
+_xlfn.IFNA(SUM((D$3&gt;='Gastos com Pessoal'!$E$513:$E$522)*(D$3&lt;='Gastos com Pessoal'!$F$513:$F$522)*OFFSET('Encargos e Benefícios'!$D$511,1,MATCH($B52,'Encargos e Benefícios'!$E$511:$AB$511,0),10,1)),0)
+_xlfn.IFNA(SUM((D$3&gt;='Gastos com Pessoal'!$E$7:$E$506)*(D$3&lt;='Gastos com Pessoal'!$F$7:$F$506)*(IF('Gastos com Pessoal'!$G$7:$G$506&lt;=D$3,1,0))*OFFSET('Gastos com Pessoal'!$H$6,1,MATCH(1&amp;$B52,'Gastos com Pessoal'!$I$532:$AJ$532&amp;'Gastos com Pessoal'!$I$6:$AJ$6,0),500,1)),0)
+_xlfn.IFNA(SUM((D$3&gt;='Gastos com Pessoal'!$E$7:$E$506)*(D$3&lt;='Gastos com Pessoal'!$F$7:$F$506)*(IF('Gastos com Pessoal'!$M$7:$M$506&lt;=D$3,1,0))*OFFSET('Gastos com Pessoal'!$H$6,1,MATCH(2&amp;$B52,'Gastos com Pessoal'!$I$532:$AJ$532&amp;'Gastos com Pessoal'!$I$6:$AJ$6,0),500,1)),0)
+_xlfn.IFNA(SUM((D$3&gt;='Gastos com Pessoal'!$E$7:$E$506)*(D$3&lt;='Gastos com Pessoal'!$F$7:$F$506)*(IF('Gastos com Pessoal'!$S$7:$S$506&lt;=D$3,1,0))*OFFSET('Gastos com Pessoal'!$H$6,1,MATCH(3&amp;$B52,'Gastos com Pessoal'!$I$532:$AJ$532&amp;'Gastos com Pessoal'!$I$6:$AJ$6,0),500,1)),0)
+_xlfn.IFNA(SUM((D$3&gt;='Gastos com Pessoal'!$E$7:$E$506)*(D$3&lt;='Gastos com Pessoal'!$F$7:$F$506)*(IF('Gastos com Pessoal'!$Y$7:$Y$506&lt;=D$3,1,0))*OFFSET('Gastos com Pessoal'!$H$6,1,MATCH(4&amp;$B52,'Gastos com Pessoal'!$I$532:$AJ$532&amp;'Gastos com Pessoal'!$I$6:$AJ$6,0),500,1)),0)
+_xlfn.IFNA(SUM((D$3&gt;='Gastos com Pessoal'!$E$7:$E$506)*(D$3&lt;='Gastos com Pessoal'!$F$7:$F$506)*(IF('Gastos com Pessoal'!$AE$7:$AE$506&lt;=D$3,1,0))*OFFSET('Gastos com Pessoal'!$H$6,1,MATCH(5&amp;$B52,'Gastos com Pessoal'!$I$532:$AJ$532&amp;'Gastos com Pessoal'!$I$6:$AJ$6,0),500,1)),0)
+_xlfn.IFNA(SUM((D$3&gt;='Gastos com Pessoal'!$E$513:$E$522)*(D$3&lt;='Gastos com Pessoal'!$F$513:$F$522)*(IF('Gastos com Pessoal'!$G$513:$G$522&lt;=D$3,1,0))*OFFSET('Gastos com Pessoal'!$H$512,1,MATCH(1&amp;$B52,'Gastos com Pessoal'!$I$532:$AJ$532&amp;'Gastos com Pessoal'!$I$512:$AJ$512,0),10,1)),0)
+_xlfn.IFNA(SUM((D$3&gt;='Gastos com Pessoal'!$E$513:$E$522)*(D$3&lt;='Gastos com Pessoal'!$F$513:$F$522)*(IF('Gastos com Pessoal'!$M$513:$M$522&lt;=D$3,1,0))*OFFSET('Gastos com Pessoal'!$H$512,1,MATCH(2&amp;$B52,'Gastos com Pessoal'!$I$532:$AJ$532&amp;'Gastos com Pessoal'!$I$512:$AJ$512,0),10,1)),0)
+_xlfn.IFNA(SUM((D$3&gt;='Gastos com Pessoal'!$E$513:$E$522)*(D$3&lt;='Gastos com Pessoal'!$F$513:$F$522)*(IF('Gastos com Pessoal'!$S$513:$S$522&lt;=D$3,1,0))*OFFSET('Gastos com Pessoal'!$H$512,1,MATCH(3&amp;$B52,'Gastos com Pessoal'!$I$532:$AJ$532&amp;'Gastos com Pessoal'!$I$512:$AJ$512,0),10,1)),0)
+_xlfn.IFNA(SUM((D$3&gt;='Gastos com Pessoal'!$E$513:$E$522)*(D$3&lt;='Gastos com Pessoal'!$F$513:$F$522)*(IF('Gastos com Pessoal'!$Y$513:$Y$522&lt;=D$3,1,0))*OFFSET('Gastos com Pessoal'!$H$512,1,MATCH(4&amp;$B52,'Gastos com Pessoal'!$I$532:$AJ$532&amp;'Gastos com Pessoal'!$I$512:$AJ$512,0),10,1)),0)
+_xlfn.IFNA(SUM((D$3&gt;='Gastos com Pessoal'!$E$513:$E$522)*(D$3&lt;='Gastos com Pessoal'!$F$513:$F$522)*(IF('Gastos com Pessoal'!$AE$513:$AE$522&lt;=D$3,1,0))*OFFSET('Gastos com Pessoal'!$H$512,1,MATCH(5&amp;$B52,'Gastos com Pessoal'!$I$532:$AJ$532&amp;'Gastos com Pessoal'!$I$512:$AJ$512,0),10,1)),0)</f>
        <v>25347</v>
      </c>
      <c r="E52" s="32">
        <f t="array" aca="1" ref="E52" ca="1">_xlfn.IFNA(SUM((E$3&gt;='Gastos com Pessoal'!$E$7:$E$506)*(E$3&lt;='Gastos com Pessoal'!$F$7:$F$506)*OFFSET('Encargos e Benefícios'!$D$5,1,MATCH($B52,'Encargos e Benefícios'!$E$5:$AB$5,0),500,1)),0)
+_xlfn.IFNA(SUM((E$3&gt;='Gastos com Pessoal'!$E$513:$E$522)*(E$3&lt;='Gastos com Pessoal'!$F$513:$F$522)*OFFSET('Encargos e Benefícios'!$D$511,1,MATCH($B52,'Encargos e Benefícios'!$E$511:$AB$511,0),10,1)),0)
+_xlfn.IFNA(SUM((E$3&gt;='Gastos com Pessoal'!$E$7:$E$506)*(E$3&lt;='Gastos com Pessoal'!$F$7:$F$506)*(IF('Gastos com Pessoal'!$G$7:$G$506&lt;=E$3,1,0))*OFFSET('Gastos com Pessoal'!$H$6,1,MATCH(1&amp;$B52,'Gastos com Pessoal'!$I$532:$AJ$532&amp;'Gastos com Pessoal'!$I$6:$AJ$6,0),500,1)),0)
+_xlfn.IFNA(SUM((E$3&gt;='Gastos com Pessoal'!$E$7:$E$506)*(E$3&lt;='Gastos com Pessoal'!$F$7:$F$506)*(IF('Gastos com Pessoal'!$M$7:$M$506&lt;=E$3,1,0))*OFFSET('Gastos com Pessoal'!$H$6,1,MATCH(2&amp;$B52,'Gastos com Pessoal'!$I$532:$AJ$532&amp;'Gastos com Pessoal'!$I$6:$AJ$6,0),500,1)),0)
+_xlfn.IFNA(SUM((E$3&gt;='Gastos com Pessoal'!$E$7:$E$506)*(E$3&lt;='Gastos com Pessoal'!$F$7:$F$506)*(IF('Gastos com Pessoal'!$S$7:$S$506&lt;=E$3,1,0))*OFFSET('Gastos com Pessoal'!$H$6,1,MATCH(3&amp;$B52,'Gastos com Pessoal'!$I$532:$AJ$532&amp;'Gastos com Pessoal'!$I$6:$AJ$6,0),500,1)),0)
+_xlfn.IFNA(SUM((E$3&gt;='Gastos com Pessoal'!$E$7:$E$506)*(E$3&lt;='Gastos com Pessoal'!$F$7:$F$506)*(IF('Gastos com Pessoal'!$Y$7:$Y$506&lt;=E$3,1,0))*OFFSET('Gastos com Pessoal'!$H$6,1,MATCH(4&amp;$B52,'Gastos com Pessoal'!$I$532:$AJ$532&amp;'Gastos com Pessoal'!$I$6:$AJ$6,0),500,1)),0)
+_xlfn.IFNA(SUM((E$3&gt;='Gastos com Pessoal'!$E$7:$E$506)*(E$3&lt;='Gastos com Pessoal'!$F$7:$F$506)*(IF('Gastos com Pessoal'!$AE$7:$AE$506&lt;=E$3,1,0))*OFFSET('Gastos com Pessoal'!$H$6,1,MATCH(5&amp;$B52,'Gastos com Pessoal'!$I$532:$AJ$532&amp;'Gastos com Pessoal'!$I$6:$AJ$6,0),500,1)),0)
+_xlfn.IFNA(SUM((E$3&gt;='Gastos com Pessoal'!$E$513:$E$522)*(E$3&lt;='Gastos com Pessoal'!$F$513:$F$522)*(IF('Gastos com Pessoal'!$G$513:$G$522&lt;=E$3,1,0))*OFFSET('Gastos com Pessoal'!$H$512,1,MATCH(1&amp;$B52,'Gastos com Pessoal'!$I$532:$AJ$532&amp;'Gastos com Pessoal'!$I$512:$AJ$512,0),10,1)),0)
+_xlfn.IFNA(SUM((E$3&gt;='Gastos com Pessoal'!$E$513:$E$522)*(E$3&lt;='Gastos com Pessoal'!$F$513:$F$522)*(IF('Gastos com Pessoal'!$M$513:$M$522&lt;=E$3,1,0))*OFFSET('Gastos com Pessoal'!$H$512,1,MATCH(2&amp;$B52,'Gastos com Pessoal'!$I$532:$AJ$532&amp;'Gastos com Pessoal'!$I$512:$AJ$512,0),10,1)),0)
+_xlfn.IFNA(SUM((E$3&gt;='Gastos com Pessoal'!$E$513:$E$522)*(E$3&lt;='Gastos com Pessoal'!$F$513:$F$522)*(IF('Gastos com Pessoal'!$S$513:$S$522&lt;=E$3,1,0))*OFFSET('Gastos com Pessoal'!$H$512,1,MATCH(3&amp;$B52,'Gastos com Pessoal'!$I$532:$AJ$532&amp;'Gastos com Pessoal'!$I$512:$AJ$512,0),10,1)),0)
+_xlfn.IFNA(SUM((E$3&gt;='Gastos com Pessoal'!$E$513:$E$522)*(E$3&lt;='Gastos com Pessoal'!$F$513:$F$522)*(IF('Gastos com Pessoal'!$Y$513:$Y$522&lt;=E$3,1,0))*OFFSET('Gastos com Pessoal'!$H$512,1,MATCH(4&amp;$B52,'Gastos com Pessoal'!$I$532:$AJ$532&amp;'Gastos com Pessoal'!$I$512:$AJ$512,0),10,1)),0)
+_xlfn.IFNA(SUM((E$3&gt;='Gastos com Pessoal'!$E$513:$E$522)*(E$3&lt;='Gastos com Pessoal'!$F$513:$F$522)*(IF('Gastos com Pessoal'!$AE$513:$AE$522&lt;=E$3,1,0))*OFFSET('Gastos com Pessoal'!$H$512,1,MATCH(5&amp;$B52,'Gastos com Pessoal'!$I$532:$AJ$532&amp;'Gastos com Pessoal'!$I$512:$AJ$512,0),10,1)),0)</f>
        <v>25347</v>
      </c>
      <c r="F52" s="32">
        <f t="array" aca="1" ref="F52" ca="1">_xlfn.IFNA(SUM((F$3&gt;='Gastos com Pessoal'!$E$7:$E$506)*(F$3&lt;='Gastos com Pessoal'!$F$7:$F$506)*OFFSET('Encargos e Benefícios'!$D$5,1,MATCH($B52,'Encargos e Benefícios'!$E$5:$AB$5,0),500,1)),0)
+_xlfn.IFNA(SUM((F$3&gt;='Gastos com Pessoal'!$E$513:$E$522)*(F$3&lt;='Gastos com Pessoal'!$F$513:$F$522)*OFFSET('Encargos e Benefícios'!$D$511,1,MATCH($B52,'Encargos e Benefícios'!$E$511:$AB$511,0),10,1)),0)
+_xlfn.IFNA(SUM((F$3&gt;='Gastos com Pessoal'!$E$7:$E$506)*(F$3&lt;='Gastos com Pessoal'!$F$7:$F$506)*(IF('Gastos com Pessoal'!$G$7:$G$506&lt;=F$3,1,0))*OFFSET('Gastos com Pessoal'!$H$6,1,MATCH(1&amp;$B52,'Gastos com Pessoal'!$I$532:$AJ$532&amp;'Gastos com Pessoal'!$I$6:$AJ$6,0),500,1)),0)
+_xlfn.IFNA(SUM((F$3&gt;='Gastos com Pessoal'!$E$7:$E$506)*(F$3&lt;='Gastos com Pessoal'!$F$7:$F$506)*(IF('Gastos com Pessoal'!$M$7:$M$506&lt;=F$3,1,0))*OFFSET('Gastos com Pessoal'!$H$6,1,MATCH(2&amp;$B52,'Gastos com Pessoal'!$I$532:$AJ$532&amp;'Gastos com Pessoal'!$I$6:$AJ$6,0),500,1)),0)
+_xlfn.IFNA(SUM((F$3&gt;='Gastos com Pessoal'!$E$7:$E$506)*(F$3&lt;='Gastos com Pessoal'!$F$7:$F$506)*(IF('Gastos com Pessoal'!$S$7:$S$506&lt;=F$3,1,0))*OFFSET('Gastos com Pessoal'!$H$6,1,MATCH(3&amp;$B52,'Gastos com Pessoal'!$I$532:$AJ$532&amp;'Gastos com Pessoal'!$I$6:$AJ$6,0),500,1)),0)
+_xlfn.IFNA(SUM((F$3&gt;='Gastos com Pessoal'!$E$7:$E$506)*(F$3&lt;='Gastos com Pessoal'!$F$7:$F$506)*(IF('Gastos com Pessoal'!$Y$7:$Y$506&lt;=F$3,1,0))*OFFSET('Gastos com Pessoal'!$H$6,1,MATCH(4&amp;$B52,'Gastos com Pessoal'!$I$532:$AJ$532&amp;'Gastos com Pessoal'!$I$6:$AJ$6,0),500,1)),0)
+_xlfn.IFNA(SUM((F$3&gt;='Gastos com Pessoal'!$E$7:$E$506)*(F$3&lt;='Gastos com Pessoal'!$F$7:$F$506)*(IF('Gastos com Pessoal'!$AE$7:$AE$506&lt;=F$3,1,0))*OFFSET('Gastos com Pessoal'!$H$6,1,MATCH(5&amp;$B52,'Gastos com Pessoal'!$I$532:$AJ$532&amp;'Gastos com Pessoal'!$I$6:$AJ$6,0),500,1)),0)
+_xlfn.IFNA(SUM((F$3&gt;='Gastos com Pessoal'!$E$513:$E$522)*(F$3&lt;='Gastos com Pessoal'!$F$513:$F$522)*(IF('Gastos com Pessoal'!$G$513:$G$522&lt;=F$3,1,0))*OFFSET('Gastos com Pessoal'!$H$512,1,MATCH(1&amp;$B52,'Gastos com Pessoal'!$I$532:$AJ$532&amp;'Gastos com Pessoal'!$I$512:$AJ$512,0),10,1)),0)
+_xlfn.IFNA(SUM((F$3&gt;='Gastos com Pessoal'!$E$513:$E$522)*(F$3&lt;='Gastos com Pessoal'!$F$513:$F$522)*(IF('Gastos com Pessoal'!$M$513:$M$522&lt;=F$3,1,0))*OFFSET('Gastos com Pessoal'!$H$512,1,MATCH(2&amp;$B52,'Gastos com Pessoal'!$I$532:$AJ$532&amp;'Gastos com Pessoal'!$I$512:$AJ$512,0),10,1)),0)
+_xlfn.IFNA(SUM((F$3&gt;='Gastos com Pessoal'!$E$513:$E$522)*(F$3&lt;='Gastos com Pessoal'!$F$513:$F$522)*(IF('Gastos com Pessoal'!$S$513:$S$522&lt;=F$3,1,0))*OFFSET('Gastos com Pessoal'!$H$512,1,MATCH(3&amp;$B52,'Gastos com Pessoal'!$I$532:$AJ$532&amp;'Gastos com Pessoal'!$I$512:$AJ$512,0),10,1)),0)
+_xlfn.IFNA(SUM((F$3&gt;='Gastos com Pessoal'!$E$513:$E$522)*(F$3&lt;='Gastos com Pessoal'!$F$513:$F$522)*(IF('Gastos com Pessoal'!$Y$513:$Y$522&lt;=F$3,1,0))*OFFSET('Gastos com Pessoal'!$H$512,1,MATCH(4&amp;$B52,'Gastos com Pessoal'!$I$532:$AJ$532&amp;'Gastos com Pessoal'!$I$512:$AJ$512,0),10,1)),0)
+_xlfn.IFNA(SUM((F$3&gt;='Gastos com Pessoal'!$E$513:$E$522)*(F$3&lt;='Gastos com Pessoal'!$F$513:$F$522)*(IF('Gastos com Pessoal'!$AE$513:$AE$522&lt;=F$3,1,0))*OFFSET('Gastos com Pessoal'!$H$512,1,MATCH(5&amp;$B52,'Gastos com Pessoal'!$I$532:$AJ$532&amp;'Gastos com Pessoal'!$I$512:$AJ$512,0),10,1)),0)</f>
        <v>25347</v>
      </c>
      <c r="G52" s="32">
        <f t="array" aca="1" ref="G52" ca="1">_xlfn.IFNA(SUM((G$3&gt;='Gastos com Pessoal'!$E$7:$E$506)*(G$3&lt;='Gastos com Pessoal'!$F$7:$F$506)*OFFSET('Encargos e Benefícios'!$D$5,1,MATCH($B52,'Encargos e Benefícios'!$E$5:$AB$5,0),500,1)),0)
+_xlfn.IFNA(SUM((G$3&gt;='Gastos com Pessoal'!$E$513:$E$522)*(G$3&lt;='Gastos com Pessoal'!$F$513:$F$522)*OFFSET('Encargos e Benefícios'!$D$511,1,MATCH($B52,'Encargos e Benefícios'!$E$511:$AB$511,0),10,1)),0)
+_xlfn.IFNA(SUM((G$3&gt;='Gastos com Pessoal'!$E$7:$E$506)*(G$3&lt;='Gastos com Pessoal'!$F$7:$F$506)*(IF('Gastos com Pessoal'!$G$7:$G$506&lt;=G$3,1,0))*OFFSET('Gastos com Pessoal'!$H$6,1,MATCH(1&amp;$B52,'Gastos com Pessoal'!$I$532:$AJ$532&amp;'Gastos com Pessoal'!$I$6:$AJ$6,0),500,1)),0)
+_xlfn.IFNA(SUM((G$3&gt;='Gastos com Pessoal'!$E$7:$E$506)*(G$3&lt;='Gastos com Pessoal'!$F$7:$F$506)*(IF('Gastos com Pessoal'!$M$7:$M$506&lt;=G$3,1,0))*OFFSET('Gastos com Pessoal'!$H$6,1,MATCH(2&amp;$B52,'Gastos com Pessoal'!$I$532:$AJ$532&amp;'Gastos com Pessoal'!$I$6:$AJ$6,0),500,1)),0)
+_xlfn.IFNA(SUM((G$3&gt;='Gastos com Pessoal'!$E$7:$E$506)*(G$3&lt;='Gastos com Pessoal'!$F$7:$F$506)*(IF('Gastos com Pessoal'!$S$7:$S$506&lt;=G$3,1,0))*OFFSET('Gastos com Pessoal'!$H$6,1,MATCH(3&amp;$B52,'Gastos com Pessoal'!$I$532:$AJ$532&amp;'Gastos com Pessoal'!$I$6:$AJ$6,0),500,1)),0)
+_xlfn.IFNA(SUM((G$3&gt;='Gastos com Pessoal'!$E$7:$E$506)*(G$3&lt;='Gastos com Pessoal'!$F$7:$F$506)*(IF('Gastos com Pessoal'!$Y$7:$Y$506&lt;=G$3,1,0))*OFFSET('Gastos com Pessoal'!$H$6,1,MATCH(4&amp;$B52,'Gastos com Pessoal'!$I$532:$AJ$532&amp;'Gastos com Pessoal'!$I$6:$AJ$6,0),500,1)),0)
+_xlfn.IFNA(SUM((G$3&gt;='Gastos com Pessoal'!$E$7:$E$506)*(G$3&lt;='Gastos com Pessoal'!$F$7:$F$506)*(IF('Gastos com Pessoal'!$AE$7:$AE$506&lt;=G$3,1,0))*OFFSET('Gastos com Pessoal'!$H$6,1,MATCH(5&amp;$B52,'Gastos com Pessoal'!$I$532:$AJ$532&amp;'Gastos com Pessoal'!$I$6:$AJ$6,0),500,1)),0)
+_xlfn.IFNA(SUM((G$3&gt;='Gastos com Pessoal'!$E$513:$E$522)*(G$3&lt;='Gastos com Pessoal'!$F$513:$F$522)*(IF('Gastos com Pessoal'!$G$513:$G$522&lt;=G$3,1,0))*OFFSET('Gastos com Pessoal'!$H$512,1,MATCH(1&amp;$B52,'Gastos com Pessoal'!$I$532:$AJ$532&amp;'Gastos com Pessoal'!$I$512:$AJ$512,0),10,1)),0)
+_xlfn.IFNA(SUM((G$3&gt;='Gastos com Pessoal'!$E$513:$E$522)*(G$3&lt;='Gastos com Pessoal'!$F$513:$F$522)*(IF('Gastos com Pessoal'!$M$513:$M$522&lt;=G$3,1,0))*OFFSET('Gastos com Pessoal'!$H$512,1,MATCH(2&amp;$B52,'Gastos com Pessoal'!$I$532:$AJ$532&amp;'Gastos com Pessoal'!$I$512:$AJ$512,0),10,1)),0)
+_xlfn.IFNA(SUM((G$3&gt;='Gastos com Pessoal'!$E$513:$E$522)*(G$3&lt;='Gastos com Pessoal'!$F$513:$F$522)*(IF('Gastos com Pessoal'!$S$513:$S$522&lt;=G$3,1,0))*OFFSET('Gastos com Pessoal'!$H$512,1,MATCH(3&amp;$B52,'Gastos com Pessoal'!$I$532:$AJ$532&amp;'Gastos com Pessoal'!$I$512:$AJ$512,0),10,1)),0)
+_xlfn.IFNA(SUM((G$3&gt;='Gastos com Pessoal'!$E$513:$E$522)*(G$3&lt;='Gastos com Pessoal'!$F$513:$F$522)*(IF('Gastos com Pessoal'!$Y$513:$Y$522&lt;=G$3,1,0))*OFFSET('Gastos com Pessoal'!$H$512,1,MATCH(4&amp;$B52,'Gastos com Pessoal'!$I$532:$AJ$532&amp;'Gastos com Pessoal'!$I$512:$AJ$512,0),10,1)),0)
+_xlfn.IFNA(SUM((G$3&gt;='Gastos com Pessoal'!$E$513:$E$522)*(G$3&lt;='Gastos com Pessoal'!$F$513:$F$522)*(IF('Gastos com Pessoal'!$AE$513:$AE$522&lt;=G$3,1,0))*OFFSET('Gastos com Pessoal'!$H$512,1,MATCH(5&amp;$B52,'Gastos com Pessoal'!$I$532:$AJ$532&amp;'Gastos com Pessoal'!$I$512:$AJ$512,0),10,1)),0)</f>
        <v>25347</v>
      </c>
      <c r="H52" s="32">
        <f t="array" aca="1" ref="H52" ca="1">_xlfn.IFNA(SUM((H$3&gt;='Gastos com Pessoal'!$E$7:$E$506)*(H$3&lt;='Gastos com Pessoal'!$F$7:$F$506)*OFFSET('Encargos e Benefícios'!$D$5,1,MATCH($B52,'Encargos e Benefícios'!$E$5:$AB$5,0),500,1)),0)
+_xlfn.IFNA(SUM((H$3&gt;='Gastos com Pessoal'!$E$513:$E$522)*(H$3&lt;='Gastos com Pessoal'!$F$513:$F$522)*OFFSET('Encargos e Benefícios'!$D$511,1,MATCH($B52,'Encargos e Benefícios'!$E$511:$AB$511,0),10,1)),0)
+_xlfn.IFNA(SUM((H$3&gt;='Gastos com Pessoal'!$E$7:$E$506)*(H$3&lt;='Gastos com Pessoal'!$F$7:$F$506)*(IF('Gastos com Pessoal'!$G$7:$G$506&lt;=H$3,1,0))*OFFSET('Gastos com Pessoal'!$H$6,1,MATCH(1&amp;$B52,'Gastos com Pessoal'!$I$532:$AJ$532&amp;'Gastos com Pessoal'!$I$6:$AJ$6,0),500,1)),0)
+_xlfn.IFNA(SUM((H$3&gt;='Gastos com Pessoal'!$E$7:$E$506)*(H$3&lt;='Gastos com Pessoal'!$F$7:$F$506)*(IF('Gastos com Pessoal'!$M$7:$M$506&lt;=H$3,1,0))*OFFSET('Gastos com Pessoal'!$H$6,1,MATCH(2&amp;$B52,'Gastos com Pessoal'!$I$532:$AJ$532&amp;'Gastos com Pessoal'!$I$6:$AJ$6,0),500,1)),0)
+_xlfn.IFNA(SUM((H$3&gt;='Gastos com Pessoal'!$E$7:$E$506)*(H$3&lt;='Gastos com Pessoal'!$F$7:$F$506)*(IF('Gastos com Pessoal'!$S$7:$S$506&lt;=H$3,1,0))*OFFSET('Gastos com Pessoal'!$H$6,1,MATCH(3&amp;$B52,'Gastos com Pessoal'!$I$532:$AJ$532&amp;'Gastos com Pessoal'!$I$6:$AJ$6,0),500,1)),0)
+_xlfn.IFNA(SUM((H$3&gt;='Gastos com Pessoal'!$E$7:$E$506)*(H$3&lt;='Gastos com Pessoal'!$F$7:$F$506)*(IF('Gastos com Pessoal'!$Y$7:$Y$506&lt;=H$3,1,0))*OFFSET('Gastos com Pessoal'!$H$6,1,MATCH(4&amp;$B52,'Gastos com Pessoal'!$I$532:$AJ$532&amp;'Gastos com Pessoal'!$I$6:$AJ$6,0),500,1)),0)
+_xlfn.IFNA(SUM((H$3&gt;='Gastos com Pessoal'!$E$7:$E$506)*(H$3&lt;='Gastos com Pessoal'!$F$7:$F$506)*(IF('Gastos com Pessoal'!$AE$7:$AE$506&lt;=H$3,1,0))*OFFSET('Gastos com Pessoal'!$H$6,1,MATCH(5&amp;$B52,'Gastos com Pessoal'!$I$532:$AJ$532&amp;'Gastos com Pessoal'!$I$6:$AJ$6,0),500,1)),0)
+_xlfn.IFNA(SUM((H$3&gt;='Gastos com Pessoal'!$E$513:$E$522)*(H$3&lt;='Gastos com Pessoal'!$F$513:$F$522)*(IF('Gastos com Pessoal'!$G$513:$G$522&lt;=H$3,1,0))*OFFSET('Gastos com Pessoal'!$H$512,1,MATCH(1&amp;$B52,'Gastos com Pessoal'!$I$532:$AJ$532&amp;'Gastos com Pessoal'!$I$512:$AJ$512,0),10,1)),0)
+_xlfn.IFNA(SUM((H$3&gt;='Gastos com Pessoal'!$E$513:$E$522)*(H$3&lt;='Gastos com Pessoal'!$F$513:$F$522)*(IF('Gastos com Pessoal'!$M$513:$M$522&lt;=H$3,1,0))*OFFSET('Gastos com Pessoal'!$H$512,1,MATCH(2&amp;$B52,'Gastos com Pessoal'!$I$532:$AJ$532&amp;'Gastos com Pessoal'!$I$512:$AJ$512,0),10,1)),0)
+_xlfn.IFNA(SUM((H$3&gt;='Gastos com Pessoal'!$E$513:$E$522)*(H$3&lt;='Gastos com Pessoal'!$F$513:$F$522)*(IF('Gastos com Pessoal'!$S$513:$S$522&lt;=H$3,1,0))*OFFSET('Gastos com Pessoal'!$H$512,1,MATCH(3&amp;$B52,'Gastos com Pessoal'!$I$532:$AJ$532&amp;'Gastos com Pessoal'!$I$512:$AJ$512,0),10,1)),0)
+_xlfn.IFNA(SUM((H$3&gt;='Gastos com Pessoal'!$E$513:$E$522)*(H$3&lt;='Gastos com Pessoal'!$F$513:$F$522)*(IF('Gastos com Pessoal'!$Y$513:$Y$522&lt;=H$3,1,0))*OFFSET('Gastos com Pessoal'!$H$512,1,MATCH(4&amp;$B52,'Gastos com Pessoal'!$I$532:$AJ$532&amp;'Gastos com Pessoal'!$I$512:$AJ$512,0),10,1)),0)
+_xlfn.IFNA(SUM((H$3&gt;='Gastos com Pessoal'!$E$513:$E$522)*(H$3&lt;='Gastos com Pessoal'!$F$513:$F$522)*(IF('Gastos com Pessoal'!$AE$513:$AE$522&lt;=H$3,1,0))*OFFSET('Gastos com Pessoal'!$H$512,1,MATCH(5&amp;$B52,'Gastos com Pessoal'!$I$532:$AJ$532&amp;'Gastos com Pessoal'!$I$512:$AJ$512,0),10,1)),0)</f>
        <v>25347</v>
      </c>
      <c r="I52" s="32">
        <f t="array" aca="1" ref="I52" ca="1">_xlfn.IFNA(SUM((I$3&gt;='Gastos com Pessoal'!$E$7:$E$506)*(I$3&lt;='Gastos com Pessoal'!$F$7:$F$506)*OFFSET('Encargos e Benefícios'!$D$5,1,MATCH($B52,'Encargos e Benefícios'!$E$5:$AB$5,0),500,1)),0)
+_xlfn.IFNA(SUM((I$3&gt;='Gastos com Pessoal'!$E$513:$E$522)*(I$3&lt;='Gastos com Pessoal'!$F$513:$F$522)*OFFSET('Encargos e Benefícios'!$D$511,1,MATCH($B52,'Encargos e Benefícios'!$E$511:$AB$511,0),10,1)),0)
+_xlfn.IFNA(SUM((I$3&gt;='Gastos com Pessoal'!$E$7:$E$506)*(I$3&lt;='Gastos com Pessoal'!$F$7:$F$506)*(IF('Gastos com Pessoal'!$G$7:$G$506&lt;=I$3,1,0))*OFFSET('Gastos com Pessoal'!$H$6,1,MATCH(1&amp;$B52,'Gastos com Pessoal'!$I$532:$AJ$532&amp;'Gastos com Pessoal'!$I$6:$AJ$6,0),500,1)),0)
+_xlfn.IFNA(SUM((I$3&gt;='Gastos com Pessoal'!$E$7:$E$506)*(I$3&lt;='Gastos com Pessoal'!$F$7:$F$506)*(IF('Gastos com Pessoal'!$M$7:$M$506&lt;=I$3,1,0))*OFFSET('Gastos com Pessoal'!$H$6,1,MATCH(2&amp;$B52,'Gastos com Pessoal'!$I$532:$AJ$532&amp;'Gastos com Pessoal'!$I$6:$AJ$6,0),500,1)),0)
+_xlfn.IFNA(SUM((I$3&gt;='Gastos com Pessoal'!$E$7:$E$506)*(I$3&lt;='Gastos com Pessoal'!$F$7:$F$506)*(IF('Gastos com Pessoal'!$S$7:$S$506&lt;=I$3,1,0))*OFFSET('Gastos com Pessoal'!$H$6,1,MATCH(3&amp;$B52,'Gastos com Pessoal'!$I$532:$AJ$532&amp;'Gastos com Pessoal'!$I$6:$AJ$6,0),500,1)),0)
+_xlfn.IFNA(SUM((I$3&gt;='Gastos com Pessoal'!$E$7:$E$506)*(I$3&lt;='Gastos com Pessoal'!$F$7:$F$506)*(IF('Gastos com Pessoal'!$Y$7:$Y$506&lt;=I$3,1,0))*OFFSET('Gastos com Pessoal'!$H$6,1,MATCH(4&amp;$B52,'Gastos com Pessoal'!$I$532:$AJ$532&amp;'Gastos com Pessoal'!$I$6:$AJ$6,0),500,1)),0)
+_xlfn.IFNA(SUM((I$3&gt;='Gastos com Pessoal'!$E$7:$E$506)*(I$3&lt;='Gastos com Pessoal'!$F$7:$F$506)*(IF('Gastos com Pessoal'!$AE$7:$AE$506&lt;=I$3,1,0))*OFFSET('Gastos com Pessoal'!$H$6,1,MATCH(5&amp;$B52,'Gastos com Pessoal'!$I$532:$AJ$532&amp;'Gastos com Pessoal'!$I$6:$AJ$6,0),500,1)),0)
+_xlfn.IFNA(SUM((I$3&gt;='Gastos com Pessoal'!$E$513:$E$522)*(I$3&lt;='Gastos com Pessoal'!$F$513:$F$522)*(IF('Gastos com Pessoal'!$G$513:$G$522&lt;=I$3,1,0))*OFFSET('Gastos com Pessoal'!$H$512,1,MATCH(1&amp;$B52,'Gastos com Pessoal'!$I$532:$AJ$532&amp;'Gastos com Pessoal'!$I$512:$AJ$512,0),10,1)),0)
+_xlfn.IFNA(SUM((I$3&gt;='Gastos com Pessoal'!$E$513:$E$522)*(I$3&lt;='Gastos com Pessoal'!$F$513:$F$522)*(IF('Gastos com Pessoal'!$M$513:$M$522&lt;=I$3,1,0))*OFFSET('Gastos com Pessoal'!$H$512,1,MATCH(2&amp;$B52,'Gastos com Pessoal'!$I$532:$AJ$532&amp;'Gastos com Pessoal'!$I$512:$AJ$512,0),10,1)),0)
+_xlfn.IFNA(SUM((I$3&gt;='Gastos com Pessoal'!$E$513:$E$522)*(I$3&lt;='Gastos com Pessoal'!$F$513:$F$522)*(IF('Gastos com Pessoal'!$S$513:$S$522&lt;=I$3,1,0))*OFFSET('Gastos com Pessoal'!$H$512,1,MATCH(3&amp;$B52,'Gastos com Pessoal'!$I$532:$AJ$532&amp;'Gastos com Pessoal'!$I$512:$AJ$512,0),10,1)),0)
+_xlfn.IFNA(SUM((I$3&gt;='Gastos com Pessoal'!$E$513:$E$522)*(I$3&lt;='Gastos com Pessoal'!$F$513:$F$522)*(IF('Gastos com Pessoal'!$Y$513:$Y$522&lt;=I$3,1,0))*OFFSET('Gastos com Pessoal'!$H$512,1,MATCH(4&amp;$B52,'Gastos com Pessoal'!$I$532:$AJ$532&amp;'Gastos com Pessoal'!$I$512:$AJ$512,0),10,1)),0)
+_xlfn.IFNA(SUM((I$3&gt;='Gastos com Pessoal'!$E$513:$E$522)*(I$3&lt;='Gastos com Pessoal'!$F$513:$F$522)*(IF('Gastos com Pessoal'!$AE$513:$AE$522&lt;=I$3,1,0))*OFFSET('Gastos com Pessoal'!$H$512,1,MATCH(5&amp;$B52,'Gastos com Pessoal'!$I$532:$AJ$532&amp;'Gastos com Pessoal'!$I$512:$AJ$512,0),10,1)),0)</f>
        <v>25347</v>
      </c>
      <c r="J52" s="32">
        <f t="array" aca="1" ref="J52" ca="1">_xlfn.IFNA(SUM((J$3&gt;='Gastos com Pessoal'!$E$7:$E$506)*(J$3&lt;='Gastos com Pessoal'!$F$7:$F$506)*OFFSET('Encargos e Benefícios'!$D$5,1,MATCH($B52,'Encargos e Benefícios'!$E$5:$AB$5,0),500,1)),0)
+_xlfn.IFNA(SUM((J$3&gt;='Gastos com Pessoal'!$E$513:$E$522)*(J$3&lt;='Gastos com Pessoal'!$F$513:$F$522)*OFFSET('Encargos e Benefícios'!$D$511,1,MATCH($B52,'Encargos e Benefícios'!$E$511:$AB$511,0),10,1)),0)
+_xlfn.IFNA(SUM((J$3&gt;='Gastos com Pessoal'!$E$7:$E$506)*(J$3&lt;='Gastos com Pessoal'!$F$7:$F$506)*(IF('Gastos com Pessoal'!$G$7:$G$506&lt;=J$3,1,0))*OFFSET('Gastos com Pessoal'!$H$6,1,MATCH(1&amp;$B52,'Gastos com Pessoal'!$I$532:$AJ$532&amp;'Gastos com Pessoal'!$I$6:$AJ$6,0),500,1)),0)
+_xlfn.IFNA(SUM((J$3&gt;='Gastos com Pessoal'!$E$7:$E$506)*(J$3&lt;='Gastos com Pessoal'!$F$7:$F$506)*(IF('Gastos com Pessoal'!$M$7:$M$506&lt;=J$3,1,0))*OFFSET('Gastos com Pessoal'!$H$6,1,MATCH(2&amp;$B52,'Gastos com Pessoal'!$I$532:$AJ$532&amp;'Gastos com Pessoal'!$I$6:$AJ$6,0),500,1)),0)
+_xlfn.IFNA(SUM((J$3&gt;='Gastos com Pessoal'!$E$7:$E$506)*(J$3&lt;='Gastos com Pessoal'!$F$7:$F$506)*(IF('Gastos com Pessoal'!$S$7:$S$506&lt;=J$3,1,0))*OFFSET('Gastos com Pessoal'!$H$6,1,MATCH(3&amp;$B52,'Gastos com Pessoal'!$I$532:$AJ$532&amp;'Gastos com Pessoal'!$I$6:$AJ$6,0),500,1)),0)
+_xlfn.IFNA(SUM((J$3&gt;='Gastos com Pessoal'!$E$7:$E$506)*(J$3&lt;='Gastos com Pessoal'!$F$7:$F$506)*(IF('Gastos com Pessoal'!$Y$7:$Y$506&lt;=J$3,1,0))*OFFSET('Gastos com Pessoal'!$H$6,1,MATCH(4&amp;$B52,'Gastos com Pessoal'!$I$532:$AJ$532&amp;'Gastos com Pessoal'!$I$6:$AJ$6,0),500,1)),0)
+_xlfn.IFNA(SUM((J$3&gt;='Gastos com Pessoal'!$E$7:$E$506)*(J$3&lt;='Gastos com Pessoal'!$F$7:$F$506)*(IF('Gastos com Pessoal'!$AE$7:$AE$506&lt;=J$3,1,0))*OFFSET('Gastos com Pessoal'!$H$6,1,MATCH(5&amp;$B52,'Gastos com Pessoal'!$I$532:$AJ$532&amp;'Gastos com Pessoal'!$I$6:$AJ$6,0),500,1)),0)
+_xlfn.IFNA(SUM((J$3&gt;='Gastos com Pessoal'!$E$513:$E$522)*(J$3&lt;='Gastos com Pessoal'!$F$513:$F$522)*(IF('Gastos com Pessoal'!$G$513:$G$522&lt;=J$3,1,0))*OFFSET('Gastos com Pessoal'!$H$512,1,MATCH(1&amp;$B52,'Gastos com Pessoal'!$I$532:$AJ$532&amp;'Gastos com Pessoal'!$I$512:$AJ$512,0),10,1)),0)
+_xlfn.IFNA(SUM((J$3&gt;='Gastos com Pessoal'!$E$513:$E$522)*(J$3&lt;='Gastos com Pessoal'!$F$513:$F$522)*(IF('Gastos com Pessoal'!$M$513:$M$522&lt;=J$3,1,0))*OFFSET('Gastos com Pessoal'!$H$512,1,MATCH(2&amp;$B52,'Gastos com Pessoal'!$I$532:$AJ$532&amp;'Gastos com Pessoal'!$I$512:$AJ$512,0),10,1)),0)
+_xlfn.IFNA(SUM((J$3&gt;='Gastos com Pessoal'!$E$513:$E$522)*(J$3&lt;='Gastos com Pessoal'!$F$513:$F$522)*(IF('Gastos com Pessoal'!$S$513:$S$522&lt;=J$3,1,0))*OFFSET('Gastos com Pessoal'!$H$512,1,MATCH(3&amp;$B52,'Gastos com Pessoal'!$I$532:$AJ$532&amp;'Gastos com Pessoal'!$I$512:$AJ$512,0),10,1)),0)
+_xlfn.IFNA(SUM((J$3&gt;='Gastos com Pessoal'!$E$513:$E$522)*(J$3&lt;='Gastos com Pessoal'!$F$513:$F$522)*(IF('Gastos com Pessoal'!$Y$513:$Y$522&lt;=J$3,1,0))*OFFSET('Gastos com Pessoal'!$H$512,1,MATCH(4&amp;$B52,'Gastos com Pessoal'!$I$532:$AJ$532&amp;'Gastos com Pessoal'!$I$512:$AJ$512,0),10,1)),0)
+_xlfn.IFNA(SUM((J$3&gt;='Gastos com Pessoal'!$E$513:$E$522)*(J$3&lt;='Gastos com Pessoal'!$F$513:$F$522)*(IF('Gastos com Pessoal'!$AE$513:$AE$522&lt;=J$3,1,0))*OFFSET('Gastos com Pessoal'!$H$512,1,MATCH(5&amp;$B52,'Gastos com Pessoal'!$I$532:$AJ$532&amp;'Gastos com Pessoal'!$I$512:$AJ$512,0),10,1)),0)</f>
        <v>25347</v>
      </c>
      <c r="K52" s="32">
        <f t="array" aca="1" ref="K52" ca="1">_xlfn.IFNA(SUM((K$3&gt;='Gastos com Pessoal'!$E$7:$E$506)*(K$3&lt;='Gastos com Pessoal'!$F$7:$F$506)*OFFSET('Encargos e Benefícios'!$D$5,1,MATCH($B52,'Encargos e Benefícios'!$E$5:$AB$5,0),500,1)),0)
+_xlfn.IFNA(SUM((K$3&gt;='Gastos com Pessoal'!$E$513:$E$522)*(K$3&lt;='Gastos com Pessoal'!$F$513:$F$522)*OFFSET('Encargos e Benefícios'!$D$511,1,MATCH($B52,'Encargos e Benefícios'!$E$511:$AB$511,0),10,1)),0)
+_xlfn.IFNA(SUM((K$3&gt;='Gastos com Pessoal'!$E$7:$E$506)*(K$3&lt;='Gastos com Pessoal'!$F$7:$F$506)*(IF('Gastos com Pessoal'!$G$7:$G$506&lt;=K$3,1,0))*OFFSET('Gastos com Pessoal'!$H$6,1,MATCH(1&amp;$B52,'Gastos com Pessoal'!$I$532:$AJ$532&amp;'Gastos com Pessoal'!$I$6:$AJ$6,0),500,1)),0)
+_xlfn.IFNA(SUM((K$3&gt;='Gastos com Pessoal'!$E$7:$E$506)*(K$3&lt;='Gastos com Pessoal'!$F$7:$F$506)*(IF('Gastos com Pessoal'!$M$7:$M$506&lt;=K$3,1,0))*OFFSET('Gastos com Pessoal'!$H$6,1,MATCH(2&amp;$B52,'Gastos com Pessoal'!$I$532:$AJ$532&amp;'Gastos com Pessoal'!$I$6:$AJ$6,0),500,1)),0)
+_xlfn.IFNA(SUM((K$3&gt;='Gastos com Pessoal'!$E$7:$E$506)*(K$3&lt;='Gastos com Pessoal'!$F$7:$F$506)*(IF('Gastos com Pessoal'!$S$7:$S$506&lt;=K$3,1,0))*OFFSET('Gastos com Pessoal'!$H$6,1,MATCH(3&amp;$B52,'Gastos com Pessoal'!$I$532:$AJ$532&amp;'Gastos com Pessoal'!$I$6:$AJ$6,0),500,1)),0)
+_xlfn.IFNA(SUM((K$3&gt;='Gastos com Pessoal'!$E$7:$E$506)*(K$3&lt;='Gastos com Pessoal'!$F$7:$F$506)*(IF('Gastos com Pessoal'!$Y$7:$Y$506&lt;=K$3,1,0))*OFFSET('Gastos com Pessoal'!$H$6,1,MATCH(4&amp;$B52,'Gastos com Pessoal'!$I$532:$AJ$532&amp;'Gastos com Pessoal'!$I$6:$AJ$6,0),500,1)),0)
+_xlfn.IFNA(SUM((K$3&gt;='Gastos com Pessoal'!$E$7:$E$506)*(K$3&lt;='Gastos com Pessoal'!$F$7:$F$506)*(IF('Gastos com Pessoal'!$AE$7:$AE$506&lt;=K$3,1,0))*OFFSET('Gastos com Pessoal'!$H$6,1,MATCH(5&amp;$B52,'Gastos com Pessoal'!$I$532:$AJ$532&amp;'Gastos com Pessoal'!$I$6:$AJ$6,0),500,1)),0)
+_xlfn.IFNA(SUM((K$3&gt;='Gastos com Pessoal'!$E$513:$E$522)*(K$3&lt;='Gastos com Pessoal'!$F$513:$F$522)*(IF('Gastos com Pessoal'!$G$513:$G$522&lt;=K$3,1,0))*OFFSET('Gastos com Pessoal'!$H$512,1,MATCH(1&amp;$B52,'Gastos com Pessoal'!$I$532:$AJ$532&amp;'Gastos com Pessoal'!$I$512:$AJ$512,0),10,1)),0)
+_xlfn.IFNA(SUM((K$3&gt;='Gastos com Pessoal'!$E$513:$E$522)*(K$3&lt;='Gastos com Pessoal'!$F$513:$F$522)*(IF('Gastos com Pessoal'!$M$513:$M$522&lt;=K$3,1,0))*OFFSET('Gastos com Pessoal'!$H$512,1,MATCH(2&amp;$B52,'Gastos com Pessoal'!$I$532:$AJ$532&amp;'Gastos com Pessoal'!$I$512:$AJ$512,0),10,1)),0)
+_xlfn.IFNA(SUM((K$3&gt;='Gastos com Pessoal'!$E$513:$E$522)*(K$3&lt;='Gastos com Pessoal'!$F$513:$F$522)*(IF('Gastos com Pessoal'!$S$513:$S$522&lt;=K$3,1,0))*OFFSET('Gastos com Pessoal'!$H$512,1,MATCH(3&amp;$B52,'Gastos com Pessoal'!$I$532:$AJ$532&amp;'Gastos com Pessoal'!$I$512:$AJ$512,0),10,1)),0)
+_xlfn.IFNA(SUM((K$3&gt;='Gastos com Pessoal'!$E$513:$E$522)*(K$3&lt;='Gastos com Pessoal'!$F$513:$F$522)*(IF('Gastos com Pessoal'!$Y$513:$Y$522&lt;=K$3,1,0))*OFFSET('Gastos com Pessoal'!$H$512,1,MATCH(4&amp;$B52,'Gastos com Pessoal'!$I$532:$AJ$532&amp;'Gastos com Pessoal'!$I$512:$AJ$512,0),10,1)),0)
+_xlfn.IFNA(SUM((K$3&gt;='Gastos com Pessoal'!$E$513:$E$522)*(K$3&lt;='Gastos com Pessoal'!$F$513:$F$522)*(IF('Gastos com Pessoal'!$AE$513:$AE$522&lt;=K$3,1,0))*OFFSET('Gastos com Pessoal'!$H$512,1,MATCH(5&amp;$B52,'Gastos com Pessoal'!$I$532:$AJ$532&amp;'Gastos com Pessoal'!$I$512:$AJ$512,0),10,1)),0)</f>
        <v>25347</v>
      </c>
      <c r="L52" s="32">
        <f t="array" aca="1" ref="L52" ca="1">_xlfn.IFNA(SUM((L$3&gt;='Gastos com Pessoal'!$E$7:$E$506)*(L$3&lt;='Gastos com Pessoal'!$F$7:$F$506)*OFFSET('Encargos e Benefícios'!$D$5,1,MATCH($B52,'Encargos e Benefícios'!$E$5:$AB$5,0),500,1)),0)
+_xlfn.IFNA(SUM((L$3&gt;='Gastos com Pessoal'!$E$513:$E$522)*(L$3&lt;='Gastos com Pessoal'!$F$513:$F$522)*OFFSET('Encargos e Benefícios'!$D$511,1,MATCH($B52,'Encargos e Benefícios'!$E$511:$AB$511,0),10,1)),0)
+_xlfn.IFNA(SUM((L$3&gt;='Gastos com Pessoal'!$E$7:$E$506)*(L$3&lt;='Gastos com Pessoal'!$F$7:$F$506)*(IF('Gastos com Pessoal'!$G$7:$G$506&lt;=L$3,1,0))*OFFSET('Gastos com Pessoal'!$H$6,1,MATCH(1&amp;$B52,'Gastos com Pessoal'!$I$532:$AJ$532&amp;'Gastos com Pessoal'!$I$6:$AJ$6,0),500,1)),0)
+_xlfn.IFNA(SUM((L$3&gt;='Gastos com Pessoal'!$E$7:$E$506)*(L$3&lt;='Gastos com Pessoal'!$F$7:$F$506)*(IF('Gastos com Pessoal'!$M$7:$M$506&lt;=L$3,1,0))*OFFSET('Gastos com Pessoal'!$H$6,1,MATCH(2&amp;$B52,'Gastos com Pessoal'!$I$532:$AJ$532&amp;'Gastos com Pessoal'!$I$6:$AJ$6,0),500,1)),0)
+_xlfn.IFNA(SUM((L$3&gt;='Gastos com Pessoal'!$E$7:$E$506)*(L$3&lt;='Gastos com Pessoal'!$F$7:$F$506)*(IF('Gastos com Pessoal'!$S$7:$S$506&lt;=L$3,1,0))*OFFSET('Gastos com Pessoal'!$H$6,1,MATCH(3&amp;$B52,'Gastos com Pessoal'!$I$532:$AJ$532&amp;'Gastos com Pessoal'!$I$6:$AJ$6,0),500,1)),0)
+_xlfn.IFNA(SUM((L$3&gt;='Gastos com Pessoal'!$E$7:$E$506)*(L$3&lt;='Gastos com Pessoal'!$F$7:$F$506)*(IF('Gastos com Pessoal'!$Y$7:$Y$506&lt;=L$3,1,0))*OFFSET('Gastos com Pessoal'!$H$6,1,MATCH(4&amp;$B52,'Gastos com Pessoal'!$I$532:$AJ$532&amp;'Gastos com Pessoal'!$I$6:$AJ$6,0),500,1)),0)
+_xlfn.IFNA(SUM((L$3&gt;='Gastos com Pessoal'!$E$7:$E$506)*(L$3&lt;='Gastos com Pessoal'!$F$7:$F$506)*(IF('Gastos com Pessoal'!$AE$7:$AE$506&lt;=L$3,1,0))*OFFSET('Gastos com Pessoal'!$H$6,1,MATCH(5&amp;$B52,'Gastos com Pessoal'!$I$532:$AJ$532&amp;'Gastos com Pessoal'!$I$6:$AJ$6,0),500,1)),0)
+_xlfn.IFNA(SUM((L$3&gt;='Gastos com Pessoal'!$E$513:$E$522)*(L$3&lt;='Gastos com Pessoal'!$F$513:$F$522)*(IF('Gastos com Pessoal'!$G$513:$G$522&lt;=L$3,1,0))*OFFSET('Gastos com Pessoal'!$H$512,1,MATCH(1&amp;$B52,'Gastos com Pessoal'!$I$532:$AJ$532&amp;'Gastos com Pessoal'!$I$512:$AJ$512,0),10,1)),0)
+_xlfn.IFNA(SUM((L$3&gt;='Gastos com Pessoal'!$E$513:$E$522)*(L$3&lt;='Gastos com Pessoal'!$F$513:$F$522)*(IF('Gastos com Pessoal'!$M$513:$M$522&lt;=L$3,1,0))*OFFSET('Gastos com Pessoal'!$H$512,1,MATCH(2&amp;$B52,'Gastos com Pessoal'!$I$532:$AJ$532&amp;'Gastos com Pessoal'!$I$512:$AJ$512,0),10,1)),0)
+_xlfn.IFNA(SUM((L$3&gt;='Gastos com Pessoal'!$E$513:$E$522)*(L$3&lt;='Gastos com Pessoal'!$F$513:$F$522)*(IF('Gastos com Pessoal'!$S$513:$S$522&lt;=L$3,1,0))*OFFSET('Gastos com Pessoal'!$H$512,1,MATCH(3&amp;$B52,'Gastos com Pessoal'!$I$532:$AJ$532&amp;'Gastos com Pessoal'!$I$512:$AJ$512,0),10,1)),0)
+_xlfn.IFNA(SUM((L$3&gt;='Gastos com Pessoal'!$E$513:$E$522)*(L$3&lt;='Gastos com Pessoal'!$F$513:$F$522)*(IF('Gastos com Pessoal'!$Y$513:$Y$522&lt;=L$3,1,0))*OFFSET('Gastos com Pessoal'!$H$512,1,MATCH(4&amp;$B52,'Gastos com Pessoal'!$I$532:$AJ$532&amp;'Gastos com Pessoal'!$I$512:$AJ$512,0),10,1)),0)
+_xlfn.IFNA(SUM((L$3&gt;='Gastos com Pessoal'!$E$513:$E$522)*(L$3&lt;='Gastos com Pessoal'!$F$513:$F$522)*(IF('Gastos com Pessoal'!$AE$513:$AE$522&lt;=L$3,1,0))*OFFSET('Gastos com Pessoal'!$H$512,1,MATCH(5&amp;$B52,'Gastos com Pessoal'!$I$532:$AJ$532&amp;'Gastos com Pessoal'!$I$512:$AJ$512,0),10,1)),0)</f>
        <v>25347</v>
      </c>
      <c r="M52" s="32">
        <f t="array" aca="1" ref="M52" ca="1">_xlfn.IFNA(SUM((M$3&gt;='Gastos com Pessoal'!$E$7:$E$506)*(M$3&lt;='Gastos com Pessoal'!$F$7:$F$506)*OFFSET('Encargos e Benefícios'!$D$5,1,MATCH($B52,'Encargos e Benefícios'!$E$5:$AB$5,0),500,1)),0)
+_xlfn.IFNA(SUM((M$3&gt;='Gastos com Pessoal'!$E$513:$E$522)*(M$3&lt;='Gastos com Pessoal'!$F$513:$F$522)*OFFSET('Encargos e Benefícios'!$D$511,1,MATCH($B52,'Encargos e Benefícios'!$E$511:$AB$511,0),10,1)),0)
+_xlfn.IFNA(SUM((M$3&gt;='Gastos com Pessoal'!$E$7:$E$506)*(M$3&lt;='Gastos com Pessoal'!$F$7:$F$506)*(IF('Gastos com Pessoal'!$G$7:$G$506&lt;=M$3,1,0))*OFFSET('Gastos com Pessoal'!$H$6,1,MATCH(1&amp;$B52,'Gastos com Pessoal'!$I$532:$AJ$532&amp;'Gastos com Pessoal'!$I$6:$AJ$6,0),500,1)),0)
+_xlfn.IFNA(SUM((M$3&gt;='Gastos com Pessoal'!$E$7:$E$506)*(M$3&lt;='Gastos com Pessoal'!$F$7:$F$506)*(IF('Gastos com Pessoal'!$M$7:$M$506&lt;=M$3,1,0))*OFFSET('Gastos com Pessoal'!$H$6,1,MATCH(2&amp;$B52,'Gastos com Pessoal'!$I$532:$AJ$532&amp;'Gastos com Pessoal'!$I$6:$AJ$6,0),500,1)),0)
+_xlfn.IFNA(SUM((M$3&gt;='Gastos com Pessoal'!$E$7:$E$506)*(M$3&lt;='Gastos com Pessoal'!$F$7:$F$506)*(IF('Gastos com Pessoal'!$S$7:$S$506&lt;=M$3,1,0))*OFFSET('Gastos com Pessoal'!$H$6,1,MATCH(3&amp;$B52,'Gastos com Pessoal'!$I$532:$AJ$532&amp;'Gastos com Pessoal'!$I$6:$AJ$6,0),500,1)),0)
+_xlfn.IFNA(SUM((M$3&gt;='Gastos com Pessoal'!$E$7:$E$506)*(M$3&lt;='Gastos com Pessoal'!$F$7:$F$506)*(IF('Gastos com Pessoal'!$Y$7:$Y$506&lt;=M$3,1,0))*OFFSET('Gastos com Pessoal'!$H$6,1,MATCH(4&amp;$B52,'Gastos com Pessoal'!$I$532:$AJ$532&amp;'Gastos com Pessoal'!$I$6:$AJ$6,0),500,1)),0)
+_xlfn.IFNA(SUM((M$3&gt;='Gastos com Pessoal'!$E$7:$E$506)*(M$3&lt;='Gastos com Pessoal'!$F$7:$F$506)*(IF('Gastos com Pessoal'!$AE$7:$AE$506&lt;=M$3,1,0))*OFFSET('Gastos com Pessoal'!$H$6,1,MATCH(5&amp;$B52,'Gastos com Pessoal'!$I$532:$AJ$532&amp;'Gastos com Pessoal'!$I$6:$AJ$6,0),500,1)),0)
+_xlfn.IFNA(SUM((M$3&gt;='Gastos com Pessoal'!$E$513:$E$522)*(M$3&lt;='Gastos com Pessoal'!$F$513:$F$522)*(IF('Gastos com Pessoal'!$G$513:$G$522&lt;=M$3,1,0))*OFFSET('Gastos com Pessoal'!$H$512,1,MATCH(1&amp;$B52,'Gastos com Pessoal'!$I$532:$AJ$532&amp;'Gastos com Pessoal'!$I$512:$AJ$512,0),10,1)),0)
+_xlfn.IFNA(SUM((M$3&gt;='Gastos com Pessoal'!$E$513:$E$522)*(M$3&lt;='Gastos com Pessoal'!$F$513:$F$522)*(IF('Gastos com Pessoal'!$M$513:$M$522&lt;=M$3,1,0))*OFFSET('Gastos com Pessoal'!$H$512,1,MATCH(2&amp;$B52,'Gastos com Pessoal'!$I$532:$AJ$532&amp;'Gastos com Pessoal'!$I$512:$AJ$512,0),10,1)),0)
+_xlfn.IFNA(SUM((M$3&gt;='Gastos com Pessoal'!$E$513:$E$522)*(M$3&lt;='Gastos com Pessoal'!$F$513:$F$522)*(IF('Gastos com Pessoal'!$S$513:$S$522&lt;=M$3,1,0))*OFFSET('Gastos com Pessoal'!$H$512,1,MATCH(3&amp;$B52,'Gastos com Pessoal'!$I$532:$AJ$532&amp;'Gastos com Pessoal'!$I$512:$AJ$512,0),10,1)),0)
+_xlfn.IFNA(SUM((M$3&gt;='Gastos com Pessoal'!$E$513:$E$522)*(M$3&lt;='Gastos com Pessoal'!$F$513:$F$522)*(IF('Gastos com Pessoal'!$Y$513:$Y$522&lt;=M$3,1,0))*OFFSET('Gastos com Pessoal'!$H$512,1,MATCH(4&amp;$B52,'Gastos com Pessoal'!$I$532:$AJ$532&amp;'Gastos com Pessoal'!$I$512:$AJ$512,0),10,1)),0)
+_xlfn.IFNA(SUM((M$3&gt;='Gastos com Pessoal'!$E$513:$E$522)*(M$3&lt;='Gastos com Pessoal'!$F$513:$F$522)*(IF('Gastos com Pessoal'!$AE$513:$AE$522&lt;=M$3,1,0))*OFFSET('Gastos com Pessoal'!$H$512,1,MATCH(5&amp;$B52,'Gastos com Pessoal'!$I$532:$AJ$532&amp;'Gastos com Pessoal'!$I$512:$AJ$512,0),10,1)),0)</f>
        <v>25347</v>
      </c>
      <c r="N52" s="32">
        <f t="array" aca="1" ref="N52" ca="1">_xlfn.IFNA(SUM((N$3&gt;='Gastos com Pessoal'!$E$7:$E$506)*(N$3&lt;='Gastos com Pessoal'!$F$7:$F$506)*OFFSET('Encargos e Benefícios'!$D$5,1,MATCH($B52,'Encargos e Benefícios'!$E$5:$AB$5,0),500,1)),0)
+_xlfn.IFNA(SUM((N$3&gt;='Gastos com Pessoal'!$E$513:$E$522)*(N$3&lt;='Gastos com Pessoal'!$F$513:$F$522)*OFFSET('Encargos e Benefícios'!$D$511,1,MATCH($B52,'Encargos e Benefícios'!$E$511:$AB$511,0),10,1)),0)
+_xlfn.IFNA(SUM((N$3&gt;='Gastos com Pessoal'!$E$7:$E$506)*(N$3&lt;='Gastos com Pessoal'!$F$7:$F$506)*(IF('Gastos com Pessoal'!$G$7:$G$506&lt;=N$3,1,0))*OFFSET('Gastos com Pessoal'!$H$6,1,MATCH(1&amp;$B52,'Gastos com Pessoal'!$I$532:$AJ$532&amp;'Gastos com Pessoal'!$I$6:$AJ$6,0),500,1)),0)
+_xlfn.IFNA(SUM((N$3&gt;='Gastos com Pessoal'!$E$7:$E$506)*(N$3&lt;='Gastos com Pessoal'!$F$7:$F$506)*(IF('Gastos com Pessoal'!$M$7:$M$506&lt;=N$3,1,0))*OFFSET('Gastos com Pessoal'!$H$6,1,MATCH(2&amp;$B52,'Gastos com Pessoal'!$I$532:$AJ$532&amp;'Gastos com Pessoal'!$I$6:$AJ$6,0),500,1)),0)
+_xlfn.IFNA(SUM((N$3&gt;='Gastos com Pessoal'!$E$7:$E$506)*(N$3&lt;='Gastos com Pessoal'!$F$7:$F$506)*(IF('Gastos com Pessoal'!$S$7:$S$506&lt;=N$3,1,0))*OFFSET('Gastos com Pessoal'!$H$6,1,MATCH(3&amp;$B52,'Gastos com Pessoal'!$I$532:$AJ$532&amp;'Gastos com Pessoal'!$I$6:$AJ$6,0),500,1)),0)
+_xlfn.IFNA(SUM((N$3&gt;='Gastos com Pessoal'!$E$7:$E$506)*(N$3&lt;='Gastos com Pessoal'!$F$7:$F$506)*(IF('Gastos com Pessoal'!$Y$7:$Y$506&lt;=N$3,1,0))*OFFSET('Gastos com Pessoal'!$H$6,1,MATCH(4&amp;$B52,'Gastos com Pessoal'!$I$532:$AJ$532&amp;'Gastos com Pessoal'!$I$6:$AJ$6,0),500,1)),0)
+_xlfn.IFNA(SUM((N$3&gt;='Gastos com Pessoal'!$E$7:$E$506)*(N$3&lt;='Gastos com Pessoal'!$F$7:$F$506)*(IF('Gastos com Pessoal'!$AE$7:$AE$506&lt;=N$3,1,0))*OFFSET('Gastos com Pessoal'!$H$6,1,MATCH(5&amp;$B52,'Gastos com Pessoal'!$I$532:$AJ$532&amp;'Gastos com Pessoal'!$I$6:$AJ$6,0),500,1)),0)
+_xlfn.IFNA(SUM((N$3&gt;='Gastos com Pessoal'!$E$513:$E$522)*(N$3&lt;='Gastos com Pessoal'!$F$513:$F$522)*(IF('Gastos com Pessoal'!$G$513:$G$522&lt;=N$3,1,0))*OFFSET('Gastos com Pessoal'!$H$512,1,MATCH(1&amp;$B52,'Gastos com Pessoal'!$I$532:$AJ$532&amp;'Gastos com Pessoal'!$I$512:$AJ$512,0),10,1)),0)
+_xlfn.IFNA(SUM((N$3&gt;='Gastos com Pessoal'!$E$513:$E$522)*(N$3&lt;='Gastos com Pessoal'!$F$513:$F$522)*(IF('Gastos com Pessoal'!$M$513:$M$522&lt;=N$3,1,0))*OFFSET('Gastos com Pessoal'!$H$512,1,MATCH(2&amp;$B52,'Gastos com Pessoal'!$I$532:$AJ$532&amp;'Gastos com Pessoal'!$I$512:$AJ$512,0),10,1)),0)
+_xlfn.IFNA(SUM((N$3&gt;='Gastos com Pessoal'!$E$513:$E$522)*(N$3&lt;='Gastos com Pessoal'!$F$513:$F$522)*(IF('Gastos com Pessoal'!$S$513:$S$522&lt;=N$3,1,0))*OFFSET('Gastos com Pessoal'!$H$512,1,MATCH(3&amp;$B52,'Gastos com Pessoal'!$I$532:$AJ$532&amp;'Gastos com Pessoal'!$I$512:$AJ$512,0),10,1)),0)
+_xlfn.IFNA(SUM((N$3&gt;='Gastos com Pessoal'!$E$513:$E$522)*(N$3&lt;='Gastos com Pessoal'!$F$513:$F$522)*(IF('Gastos com Pessoal'!$Y$513:$Y$522&lt;=N$3,1,0))*OFFSET('Gastos com Pessoal'!$H$512,1,MATCH(4&amp;$B52,'Gastos com Pessoal'!$I$532:$AJ$532&amp;'Gastos com Pessoal'!$I$512:$AJ$512,0),10,1)),0)
+_xlfn.IFNA(SUM((N$3&gt;='Gastos com Pessoal'!$E$513:$E$522)*(N$3&lt;='Gastos com Pessoal'!$F$513:$F$522)*(IF('Gastos com Pessoal'!$AE$513:$AE$522&lt;=N$3,1,0))*OFFSET('Gastos com Pessoal'!$H$512,1,MATCH(5&amp;$B52,'Gastos com Pessoal'!$I$532:$AJ$532&amp;'Gastos com Pessoal'!$I$512:$AJ$512,0),10,1)),0)</f>
        <v>25347</v>
      </c>
      <c r="O52" s="32">
        <f t="array" aca="1" ref="O52" ca="1">_xlfn.IFNA(SUM((O$3&gt;='Gastos com Pessoal'!$E$7:$E$506)*(O$3&lt;='Gastos com Pessoal'!$F$7:$F$506)*OFFSET('Encargos e Benefícios'!$D$5,1,MATCH($B52,'Encargos e Benefícios'!$E$5:$AB$5,0),500,1)),0)
+_xlfn.IFNA(SUM((O$3&gt;='Gastos com Pessoal'!$E$513:$E$522)*(O$3&lt;='Gastos com Pessoal'!$F$513:$F$522)*OFFSET('Encargos e Benefícios'!$D$511,1,MATCH($B52,'Encargos e Benefícios'!$E$511:$AB$511,0),10,1)),0)
+_xlfn.IFNA(SUM((O$3&gt;='Gastos com Pessoal'!$E$7:$E$506)*(O$3&lt;='Gastos com Pessoal'!$F$7:$F$506)*(IF('Gastos com Pessoal'!$G$7:$G$506&lt;=O$3,1,0))*OFFSET('Gastos com Pessoal'!$H$6,1,MATCH(1&amp;$B52,'Gastos com Pessoal'!$I$532:$AJ$532&amp;'Gastos com Pessoal'!$I$6:$AJ$6,0),500,1)),0)
+_xlfn.IFNA(SUM((O$3&gt;='Gastos com Pessoal'!$E$7:$E$506)*(O$3&lt;='Gastos com Pessoal'!$F$7:$F$506)*(IF('Gastos com Pessoal'!$M$7:$M$506&lt;=O$3,1,0))*OFFSET('Gastos com Pessoal'!$H$6,1,MATCH(2&amp;$B52,'Gastos com Pessoal'!$I$532:$AJ$532&amp;'Gastos com Pessoal'!$I$6:$AJ$6,0),500,1)),0)
+_xlfn.IFNA(SUM((O$3&gt;='Gastos com Pessoal'!$E$7:$E$506)*(O$3&lt;='Gastos com Pessoal'!$F$7:$F$506)*(IF('Gastos com Pessoal'!$S$7:$S$506&lt;=O$3,1,0))*OFFSET('Gastos com Pessoal'!$H$6,1,MATCH(3&amp;$B52,'Gastos com Pessoal'!$I$532:$AJ$532&amp;'Gastos com Pessoal'!$I$6:$AJ$6,0),500,1)),0)
+_xlfn.IFNA(SUM((O$3&gt;='Gastos com Pessoal'!$E$7:$E$506)*(O$3&lt;='Gastos com Pessoal'!$F$7:$F$506)*(IF('Gastos com Pessoal'!$Y$7:$Y$506&lt;=O$3,1,0))*OFFSET('Gastos com Pessoal'!$H$6,1,MATCH(4&amp;$B52,'Gastos com Pessoal'!$I$532:$AJ$532&amp;'Gastos com Pessoal'!$I$6:$AJ$6,0),500,1)),0)
+_xlfn.IFNA(SUM((O$3&gt;='Gastos com Pessoal'!$E$7:$E$506)*(O$3&lt;='Gastos com Pessoal'!$F$7:$F$506)*(IF('Gastos com Pessoal'!$AE$7:$AE$506&lt;=O$3,1,0))*OFFSET('Gastos com Pessoal'!$H$6,1,MATCH(5&amp;$B52,'Gastos com Pessoal'!$I$532:$AJ$532&amp;'Gastos com Pessoal'!$I$6:$AJ$6,0),500,1)),0)
+_xlfn.IFNA(SUM((O$3&gt;='Gastos com Pessoal'!$E$513:$E$522)*(O$3&lt;='Gastos com Pessoal'!$F$513:$F$522)*(IF('Gastos com Pessoal'!$G$513:$G$522&lt;=O$3,1,0))*OFFSET('Gastos com Pessoal'!$H$512,1,MATCH(1&amp;$B52,'Gastos com Pessoal'!$I$532:$AJ$532&amp;'Gastos com Pessoal'!$I$512:$AJ$512,0),10,1)),0)
+_xlfn.IFNA(SUM((O$3&gt;='Gastos com Pessoal'!$E$513:$E$522)*(O$3&lt;='Gastos com Pessoal'!$F$513:$F$522)*(IF('Gastos com Pessoal'!$M$513:$M$522&lt;=O$3,1,0))*OFFSET('Gastos com Pessoal'!$H$512,1,MATCH(2&amp;$B52,'Gastos com Pessoal'!$I$532:$AJ$532&amp;'Gastos com Pessoal'!$I$512:$AJ$512,0),10,1)),0)
+_xlfn.IFNA(SUM((O$3&gt;='Gastos com Pessoal'!$E$513:$E$522)*(O$3&lt;='Gastos com Pessoal'!$F$513:$F$522)*(IF('Gastos com Pessoal'!$S$513:$S$522&lt;=O$3,1,0))*OFFSET('Gastos com Pessoal'!$H$512,1,MATCH(3&amp;$B52,'Gastos com Pessoal'!$I$532:$AJ$532&amp;'Gastos com Pessoal'!$I$512:$AJ$512,0),10,1)),0)
+_xlfn.IFNA(SUM((O$3&gt;='Gastos com Pessoal'!$E$513:$E$522)*(O$3&lt;='Gastos com Pessoal'!$F$513:$F$522)*(IF('Gastos com Pessoal'!$Y$513:$Y$522&lt;=O$3,1,0))*OFFSET('Gastos com Pessoal'!$H$512,1,MATCH(4&amp;$B52,'Gastos com Pessoal'!$I$532:$AJ$532&amp;'Gastos com Pessoal'!$I$512:$AJ$512,0),10,1)),0)
+_xlfn.IFNA(SUM((O$3&gt;='Gastos com Pessoal'!$E$513:$E$522)*(O$3&lt;='Gastos com Pessoal'!$F$513:$F$522)*(IF('Gastos com Pessoal'!$AE$513:$AE$522&lt;=O$3,1,0))*OFFSET('Gastos com Pessoal'!$H$512,1,MATCH(5&amp;$B52,'Gastos com Pessoal'!$I$532:$AJ$532&amp;'Gastos com Pessoal'!$I$512:$AJ$512,0),10,1)),0)</f>
        <v>24318</v>
      </c>
      <c r="P52" s="32">
        <f t="array" aca="1" ref="P52" ca="1">_xlfn.IFNA(SUM((P$3&gt;='Gastos com Pessoal'!$E$7:$E$506)*(P$3&lt;='Gastos com Pessoal'!$F$7:$F$506)*OFFSET('Encargos e Benefícios'!$D$5,1,MATCH($B52,'Encargos e Benefícios'!$E$5:$AB$5,0),500,1)),0)
+_xlfn.IFNA(SUM((P$3&gt;='Gastos com Pessoal'!$E$513:$E$522)*(P$3&lt;='Gastos com Pessoal'!$F$513:$F$522)*OFFSET('Encargos e Benefícios'!$D$511,1,MATCH($B52,'Encargos e Benefícios'!$E$511:$AB$511,0),10,1)),0)
+_xlfn.IFNA(SUM((P$3&gt;='Gastos com Pessoal'!$E$7:$E$506)*(P$3&lt;='Gastos com Pessoal'!$F$7:$F$506)*(IF('Gastos com Pessoal'!$G$7:$G$506&lt;=P$3,1,0))*OFFSET('Gastos com Pessoal'!$H$6,1,MATCH(1&amp;$B52,'Gastos com Pessoal'!$I$532:$AJ$532&amp;'Gastos com Pessoal'!$I$6:$AJ$6,0),500,1)),0)
+_xlfn.IFNA(SUM((P$3&gt;='Gastos com Pessoal'!$E$7:$E$506)*(P$3&lt;='Gastos com Pessoal'!$F$7:$F$506)*(IF('Gastos com Pessoal'!$M$7:$M$506&lt;=P$3,1,0))*OFFSET('Gastos com Pessoal'!$H$6,1,MATCH(2&amp;$B52,'Gastos com Pessoal'!$I$532:$AJ$532&amp;'Gastos com Pessoal'!$I$6:$AJ$6,0),500,1)),0)
+_xlfn.IFNA(SUM((P$3&gt;='Gastos com Pessoal'!$E$7:$E$506)*(P$3&lt;='Gastos com Pessoal'!$F$7:$F$506)*(IF('Gastos com Pessoal'!$S$7:$S$506&lt;=P$3,1,0))*OFFSET('Gastos com Pessoal'!$H$6,1,MATCH(3&amp;$B52,'Gastos com Pessoal'!$I$532:$AJ$532&amp;'Gastos com Pessoal'!$I$6:$AJ$6,0),500,1)),0)
+_xlfn.IFNA(SUM((P$3&gt;='Gastos com Pessoal'!$E$7:$E$506)*(P$3&lt;='Gastos com Pessoal'!$F$7:$F$506)*(IF('Gastos com Pessoal'!$Y$7:$Y$506&lt;=P$3,1,0))*OFFSET('Gastos com Pessoal'!$H$6,1,MATCH(4&amp;$B52,'Gastos com Pessoal'!$I$532:$AJ$532&amp;'Gastos com Pessoal'!$I$6:$AJ$6,0),500,1)),0)
+_xlfn.IFNA(SUM((P$3&gt;='Gastos com Pessoal'!$E$7:$E$506)*(P$3&lt;='Gastos com Pessoal'!$F$7:$F$506)*(IF('Gastos com Pessoal'!$AE$7:$AE$506&lt;=P$3,1,0))*OFFSET('Gastos com Pessoal'!$H$6,1,MATCH(5&amp;$B52,'Gastos com Pessoal'!$I$532:$AJ$532&amp;'Gastos com Pessoal'!$I$6:$AJ$6,0),500,1)),0)
+_xlfn.IFNA(SUM((P$3&gt;='Gastos com Pessoal'!$E$513:$E$522)*(P$3&lt;='Gastos com Pessoal'!$F$513:$F$522)*(IF('Gastos com Pessoal'!$G$513:$G$522&lt;=P$3,1,0))*OFFSET('Gastos com Pessoal'!$H$512,1,MATCH(1&amp;$B52,'Gastos com Pessoal'!$I$532:$AJ$532&amp;'Gastos com Pessoal'!$I$512:$AJ$512,0),10,1)),0)
+_xlfn.IFNA(SUM((P$3&gt;='Gastos com Pessoal'!$E$513:$E$522)*(P$3&lt;='Gastos com Pessoal'!$F$513:$F$522)*(IF('Gastos com Pessoal'!$M$513:$M$522&lt;=P$3,1,0))*OFFSET('Gastos com Pessoal'!$H$512,1,MATCH(2&amp;$B52,'Gastos com Pessoal'!$I$532:$AJ$532&amp;'Gastos com Pessoal'!$I$512:$AJ$512,0),10,1)),0)
+_xlfn.IFNA(SUM((P$3&gt;='Gastos com Pessoal'!$E$513:$E$522)*(P$3&lt;='Gastos com Pessoal'!$F$513:$F$522)*(IF('Gastos com Pessoal'!$S$513:$S$522&lt;=P$3,1,0))*OFFSET('Gastos com Pessoal'!$H$512,1,MATCH(3&amp;$B52,'Gastos com Pessoal'!$I$532:$AJ$532&amp;'Gastos com Pessoal'!$I$512:$AJ$512,0),10,1)),0)
+_xlfn.IFNA(SUM((P$3&gt;='Gastos com Pessoal'!$E$513:$E$522)*(P$3&lt;='Gastos com Pessoal'!$F$513:$F$522)*(IF('Gastos com Pessoal'!$Y$513:$Y$522&lt;=P$3,1,0))*OFFSET('Gastos com Pessoal'!$H$512,1,MATCH(4&amp;$B52,'Gastos com Pessoal'!$I$532:$AJ$532&amp;'Gastos com Pessoal'!$I$512:$AJ$512,0),10,1)),0)
+_xlfn.IFNA(SUM((P$3&gt;='Gastos com Pessoal'!$E$513:$E$522)*(P$3&lt;='Gastos com Pessoal'!$F$513:$F$522)*(IF('Gastos com Pessoal'!$AE$513:$AE$522&lt;=P$3,1,0))*OFFSET('Gastos com Pessoal'!$H$512,1,MATCH(5&amp;$B52,'Gastos com Pessoal'!$I$532:$AJ$532&amp;'Gastos com Pessoal'!$I$512:$AJ$512,0),10,1)),0)</f>
        <v>24318</v>
      </c>
      <c r="Q52" s="32">
        <f t="array" aca="1" ref="Q52" ca="1">_xlfn.IFNA(SUM((Q$3&gt;='Gastos com Pessoal'!$E$7:$E$506)*(Q$3&lt;='Gastos com Pessoal'!$F$7:$F$506)*OFFSET('Encargos e Benefícios'!$D$5,1,MATCH($B52,'Encargos e Benefícios'!$E$5:$AB$5,0),500,1)),0)
+_xlfn.IFNA(SUM((Q$3&gt;='Gastos com Pessoal'!$E$513:$E$522)*(Q$3&lt;='Gastos com Pessoal'!$F$513:$F$522)*OFFSET('Encargos e Benefícios'!$D$511,1,MATCH($B52,'Encargos e Benefícios'!$E$511:$AB$511,0),10,1)),0)
+_xlfn.IFNA(SUM((Q$3&gt;='Gastos com Pessoal'!$E$7:$E$506)*(Q$3&lt;='Gastos com Pessoal'!$F$7:$F$506)*(IF('Gastos com Pessoal'!$G$7:$G$506&lt;=Q$3,1,0))*OFFSET('Gastos com Pessoal'!$H$6,1,MATCH(1&amp;$B52,'Gastos com Pessoal'!$I$532:$AJ$532&amp;'Gastos com Pessoal'!$I$6:$AJ$6,0),500,1)),0)
+_xlfn.IFNA(SUM((Q$3&gt;='Gastos com Pessoal'!$E$7:$E$506)*(Q$3&lt;='Gastos com Pessoal'!$F$7:$F$506)*(IF('Gastos com Pessoal'!$M$7:$M$506&lt;=Q$3,1,0))*OFFSET('Gastos com Pessoal'!$H$6,1,MATCH(2&amp;$B52,'Gastos com Pessoal'!$I$532:$AJ$532&amp;'Gastos com Pessoal'!$I$6:$AJ$6,0),500,1)),0)
+_xlfn.IFNA(SUM((Q$3&gt;='Gastos com Pessoal'!$E$7:$E$506)*(Q$3&lt;='Gastos com Pessoal'!$F$7:$F$506)*(IF('Gastos com Pessoal'!$S$7:$S$506&lt;=Q$3,1,0))*OFFSET('Gastos com Pessoal'!$H$6,1,MATCH(3&amp;$B52,'Gastos com Pessoal'!$I$532:$AJ$532&amp;'Gastos com Pessoal'!$I$6:$AJ$6,0),500,1)),0)
+_xlfn.IFNA(SUM((Q$3&gt;='Gastos com Pessoal'!$E$7:$E$506)*(Q$3&lt;='Gastos com Pessoal'!$F$7:$F$506)*(IF('Gastos com Pessoal'!$Y$7:$Y$506&lt;=Q$3,1,0))*OFFSET('Gastos com Pessoal'!$H$6,1,MATCH(4&amp;$B52,'Gastos com Pessoal'!$I$532:$AJ$532&amp;'Gastos com Pessoal'!$I$6:$AJ$6,0),500,1)),0)
+_xlfn.IFNA(SUM((Q$3&gt;='Gastos com Pessoal'!$E$7:$E$506)*(Q$3&lt;='Gastos com Pessoal'!$F$7:$F$506)*(IF('Gastos com Pessoal'!$AE$7:$AE$506&lt;=Q$3,1,0))*OFFSET('Gastos com Pessoal'!$H$6,1,MATCH(5&amp;$B52,'Gastos com Pessoal'!$I$532:$AJ$532&amp;'Gastos com Pessoal'!$I$6:$AJ$6,0),500,1)),0)
+_xlfn.IFNA(SUM((Q$3&gt;='Gastos com Pessoal'!$E$513:$E$522)*(Q$3&lt;='Gastos com Pessoal'!$F$513:$F$522)*(IF('Gastos com Pessoal'!$G$513:$G$522&lt;=Q$3,1,0))*OFFSET('Gastos com Pessoal'!$H$512,1,MATCH(1&amp;$B52,'Gastos com Pessoal'!$I$532:$AJ$532&amp;'Gastos com Pessoal'!$I$512:$AJ$512,0),10,1)),0)
+_xlfn.IFNA(SUM((Q$3&gt;='Gastos com Pessoal'!$E$513:$E$522)*(Q$3&lt;='Gastos com Pessoal'!$F$513:$F$522)*(IF('Gastos com Pessoal'!$M$513:$M$522&lt;=Q$3,1,0))*OFFSET('Gastos com Pessoal'!$H$512,1,MATCH(2&amp;$B52,'Gastos com Pessoal'!$I$532:$AJ$532&amp;'Gastos com Pessoal'!$I$512:$AJ$512,0),10,1)),0)
+_xlfn.IFNA(SUM((Q$3&gt;='Gastos com Pessoal'!$E$513:$E$522)*(Q$3&lt;='Gastos com Pessoal'!$F$513:$F$522)*(IF('Gastos com Pessoal'!$S$513:$S$522&lt;=Q$3,1,0))*OFFSET('Gastos com Pessoal'!$H$512,1,MATCH(3&amp;$B52,'Gastos com Pessoal'!$I$532:$AJ$532&amp;'Gastos com Pessoal'!$I$512:$AJ$512,0),10,1)),0)
+_xlfn.IFNA(SUM((Q$3&gt;='Gastos com Pessoal'!$E$513:$E$522)*(Q$3&lt;='Gastos com Pessoal'!$F$513:$F$522)*(IF('Gastos com Pessoal'!$Y$513:$Y$522&lt;=Q$3,1,0))*OFFSET('Gastos com Pessoal'!$H$512,1,MATCH(4&amp;$B52,'Gastos com Pessoal'!$I$532:$AJ$532&amp;'Gastos com Pessoal'!$I$512:$AJ$512,0),10,1)),0)
+_xlfn.IFNA(SUM((Q$3&gt;='Gastos com Pessoal'!$E$513:$E$522)*(Q$3&lt;='Gastos com Pessoal'!$F$513:$F$522)*(IF('Gastos com Pessoal'!$AE$513:$AE$522&lt;=Q$3,1,0))*OFFSET('Gastos com Pessoal'!$H$512,1,MATCH(5&amp;$B52,'Gastos com Pessoal'!$I$532:$AJ$532&amp;'Gastos com Pessoal'!$I$512:$AJ$512,0),10,1)),0)</f>
        <v>24318</v>
      </c>
      <c r="R52" s="32">
        <f t="array" aca="1" ref="R52" ca="1">_xlfn.IFNA(SUM((R$3&gt;='Gastos com Pessoal'!$E$7:$E$506)*(R$3&lt;='Gastos com Pessoal'!$F$7:$F$506)*OFFSET('Encargos e Benefícios'!$D$5,1,MATCH($B52,'Encargos e Benefícios'!$E$5:$AB$5,0),500,1)),0)
+_xlfn.IFNA(SUM((R$3&gt;='Gastos com Pessoal'!$E$513:$E$522)*(R$3&lt;='Gastos com Pessoal'!$F$513:$F$522)*OFFSET('Encargos e Benefícios'!$D$511,1,MATCH($B52,'Encargos e Benefícios'!$E$511:$AB$511,0),10,1)),0)
+_xlfn.IFNA(SUM((R$3&gt;='Gastos com Pessoal'!$E$7:$E$506)*(R$3&lt;='Gastos com Pessoal'!$F$7:$F$506)*(IF('Gastos com Pessoal'!$G$7:$G$506&lt;=R$3,1,0))*OFFSET('Gastos com Pessoal'!$H$6,1,MATCH(1&amp;$B52,'Gastos com Pessoal'!$I$532:$AJ$532&amp;'Gastos com Pessoal'!$I$6:$AJ$6,0),500,1)),0)
+_xlfn.IFNA(SUM((R$3&gt;='Gastos com Pessoal'!$E$7:$E$506)*(R$3&lt;='Gastos com Pessoal'!$F$7:$F$506)*(IF('Gastos com Pessoal'!$M$7:$M$506&lt;=R$3,1,0))*OFFSET('Gastos com Pessoal'!$H$6,1,MATCH(2&amp;$B52,'Gastos com Pessoal'!$I$532:$AJ$532&amp;'Gastos com Pessoal'!$I$6:$AJ$6,0),500,1)),0)
+_xlfn.IFNA(SUM((R$3&gt;='Gastos com Pessoal'!$E$7:$E$506)*(R$3&lt;='Gastos com Pessoal'!$F$7:$F$506)*(IF('Gastos com Pessoal'!$S$7:$S$506&lt;=R$3,1,0))*OFFSET('Gastos com Pessoal'!$H$6,1,MATCH(3&amp;$B52,'Gastos com Pessoal'!$I$532:$AJ$532&amp;'Gastos com Pessoal'!$I$6:$AJ$6,0),500,1)),0)
+_xlfn.IFNA(SUM((R$3&gt;='Gastos com Pessoal'!$E$7:$E$506)*(R$3&lt;='Gastos com Pessoal'!$F$7:$F$506)*(IF('Gastos com Pessoal'!$Y$7:$Y$506&lt;=R$3,1,0))*OFFSET('Gastos com Pessoal'!$H$6,1,MATCH(4&amp;$B52,'Gastos com Pessoal'!$I$532:$AJ$532&amp;'Gastos com Pessoal'!$I$6:$AJ$6,0),500,1)),0)
+_xlfn.IFNA(SUM((R$3&gt;='Gastos com Pessoal'!$E$7:$E$506)*(R$3&lt;='Gastos com Pessoal'!$F$7:$F$506)*(IF('Gastos com Pessoal'!$AE$7:$AE$506&lt;=R$3,1,0))*OFFSET('Gastos com Pessoal'!$H$6,1,MATCH(5&amp;$B52,'Gastos com Pessoal'!$I$532:$AJ$532&amp;'Gastos com Pessoal'!$I$6:$AJ$6,0),500,1)),0)
+_xlfn.IFNA(SUM((R$3&gt;='Gastos com Pessoal'!$E$513:$E$522)*(R$3&lt;='Gastos com Pessoal'!$F$513:$F$522)*(IF('Gastos com Pessoal'!$G$513:$G$522&lt;=R$3,1,0))*OFFSET('Gastos com Pessoal'!$H$512,1,MATCH(1&amp;$B52,'Gastos com Pessoal'!$I$532:$AJ$532&amp;'Gastos com Pessoal'!$I$512:$AJ$512,0),10,1)),0)
+_xlfn.IFNA(SUM((R$3&gt;='Gastos com Pessoal'!$E$513:$E$522)*(R$3&lt;='Gastos com Pessoal'!$F$513:$F$522)*(IF('Gastos com Pessoal'!$M$513:$M$522&lt;=R$3,1,0))*OFFSET('Gastos com Pessoal'!$H$512,1,MATCH(2&amp;$B52,'Gastos com Pessoal'!$I$532:$AJ$532&amp;'Gastos com Pessoal'!$I$512:$AJ$512,0),10,1)),0)
+_xlfn.IFNA(SUM((R$3&gt;='Gastos com Pessoal'!$E$513:$E$522)*(R$3&lt;='Gastos com Pessoal'!$F$513:$F$522)*(IF('Gastos com Pessoal'!$S$513:$S$522&lt;=R$3,1,0))*OFFSET('Gastos com Pessoal'!$H$512,1,MATCH(3&amp;$B52,'Gastos com Pessoal'!$I$532:$AJ$532&amp;'Gastos com Pessoal'!$I$512:$AJ$512,0),10,1)),0)
+_xlfn.IFNA(SUM((R$3&gt;='Gastos com Pessoal'!$E$513:$E$522)*(R$3&lt;='Gastos com Pessoal'!$F$513:$F$522)*(IF('Gastos com Pessoal'!$Y$513:$Y$522&lt;=R$3,1,0))*OFFSET('Gastos com Pessoal'!$H$512,1,MATCH(4&amp;$B52,'Gastos com Pessoal'!$I$532:$AJ$532&amp;'Gastos com Pessoal'!$I$512:$AJ$512,0),10,1)),0)
+_xlfn.IFNA(SUM((R$3&gt;='Gastos com Pessoal'!$E$513:$E$522)*(R$3&lt;='Gastos com Pessoal'!$F$513:$F$522)*(IF('Gastos com Pessoal'!$AE$513:$AE$522&lt;=R$3,1,0))*OFFSET('Gastos com Pessoal'!$H$512,1,MATCH(5&amp;$B52,'Gastos com Pessoal'!$I$532:$AJ$532&amp;'Gastos com Pessoal'!$I$512:$AJ$512,0),10,1)),0)</f>
        <v>24318</v>
      </c>
      <c r="S52" s="32">
        <f t="array" aca="1" ref="S52" ca="1">_xlfn.IFNA(SUM((S$3&gt;='Gastos com Pessoal'!$E$7:$E$506)*(S$3&lt;='Gastos com Pessoal'!$F$7:$F$506)*OFFSET('Encargos e Benefícios'!$D$5,1,MATCH($B52,'Encargos e Benefícios'!$E$5:$AB$5,0),500,1)),0)
+_xlfn.IFNA(SUM((S$3&gt;='Gastos com Pessoal'!$E$513:$E$522)*(S$3&lt;='Gastos com Pessoal'!$F$513:$F$522)*OFFSET('Encargos e Benefícios'!$D$511,1,MATCH($B52,'Encargos e Benefícios'!$E$511:$AB$511,0),10,1)),0)
+_xlfn.IFNA(SUM((S$3&gt;='Gastos com Pessoal'!$E$7:$E$506)*(S$3&lt;='Gastos com Pessoal'!$F$7:$F$506)*(IF('Gastos com Pessoal'!$G$7:$G$506&lt;=S$3,1,0))*OFFSET('Gastos com Pessoal'!$H$6,1,MATCH(1&amp;$B52,'Gastos com Pessoal'!$I$532:$AJ$532&amp;'Gastos com Pessoal'!$I$6:$AJ$6,0),500,1)),0)
+_xlfn.IFNA(SUM((S$3&gt;='Gastos com Pessoal'!$E$7:$E$506)*(S$3&lt;='Gastos com Pessoal'!$F$7:$F$506)*(IF('Gastos com Pessoal'!$M$7:$M$506&lt;=S$3,1,0))*OFFSET('Gastos com Pessoal'!$H$6,1,MATCH(2&amp;$B52,'Gastos com Pessoal'!$I$532:$AJ$532&amp;'Gastos com Pessoal'!$I$6:$AJ$6,0),500,1)),0)
+_xlfn.IFNA(SUM((S$3&gt;='Gastos com Pessoal'!$E$7:$E$506)*(S$3&lt;='Gastos com Pessoal'!$F$7:$F$506)*(IF('Gastos com Pessoal'!$S$7:$S$506&lt;=S$3,1,0))*OFFSET('Gastos com Pessoal'!$H$6,1,MATCH(3&amp;$B52,'Gastos com Pessoal'!$I$532:$AJ$532&amp;'Gastos com Pessoal'!$I$6:$AJ$6,0),500,1)),0)
+_xlfn.IFNA(SUM((S$3&gt;='Gastos com Pessoal'!$E$7:$E$506)*(S$3&lt;='Gastos com Pessoal'!$F$7:$F$506)*(IF('Gastos com Pessoal'!$Y$7:$Y$506&lt;=S$3,1,0))*OFFSET('Gastos com Pessoal'!$H$6,1,MATCH(4&amp;$B52,'Gastos com Pessoal'!$I$532:$AJ$532&amp;'Gastos com Pessoal'!$I$6:$AJ$6,0),500,1)),0)
+_xlfn.IFNA(SUM((S$3&gt;='Gastos com Pessoal'!$E$7:$E$506)*(S$3&lt;='Gastos com Pessoal'!$F$7:$F$506)*(IF('Gastos com Pessoal'!$AE$7:$AE$506&lt;=S$3,1,0))*OFFSET('Gastos com Pessoal'!$H$6,1,MATCH(5&amp;$B52,'Gastos com Pessoal'!$I$532:$AJ$532&amp;'Gastos com Pessoal'!$I$6:$AJ$6,0),500,1)),0)
+_xlfn.IFNA(SUM((S$3&gt;='Gastos com Pessoal'!$E$513:$E$522)*(S$3&lt;='Gastos com Pessoal'!$F$513:$F$522)*(IF('Gastos com Pessoal'!$G$513:$G$522&lt;=S$3,1,0))*OFFSET('Gastos com Pessoal'!$H$512,1,MATCH(1&amp;$B52,'Gastos com Pessoal'!$I$532:$AJ$532&amp;'Gastos com Pessoal'!$I$512:$AJ$512,0),10,1)),0)
+_xlfn.IFNA(SUM((S$3&gt;='Gastos com Pessoal'!$E$513:$E$522)*(S$3&lt;='Gastos com Pessoal'!$F$513:$F$522)*(IF('Gastos com Pessoal'!$M$513:$M$522&lt;=S$3,1,0))*OFFSET('Gastos com Pessoal'!$H$512,1,MATCH(2&amp;$B52,'Gastos com Pessoal'!$I$532:$AJ$532&amp;'Gastos com Pessoal'!$I$512:$AJ$512,0),10,1)),0)
+_xlfn.IFNA(SUM((S$3&gt;='Gastos com Pessoal'!$E$513:$E$522)*(S$3&lt;='Gastos com Pessoal'!$F$513:$F$522)*(IF('Gastos com Pessoal'!$S$513:$S$522&lt;=S$3,1,0))*OFFSET('Gastos com Pessoal'!$H$512,1,MATCH(3&amp;$B52,'Gastos com Pessoal'!$I$532:$AJ$532&amp;'Gastos com Pessoal'!$I$512:$AJ$512,0),10,1)),0)
+_xlfn.IFNA(SUM((S$3&gt;='Gastos com Pessoal'!$E$513:$E$522)*(S$3&lt;='Gastos com Pessoal'!$F$513:$F$522)*(IF('Gastos com Pessoal'!$Y$513:$Y$522&lt;=S$3,1,0))*OFFSET('Gastos com Pessoal'!$H$512,1,MATCH(4&amp;$B52,'Gastos com Pessoal'!$I$532:$AJ$532&amp;'Gastos com Pessoal'!$I$512:$AJ$512,0),10,1)),0)
+_xlfn.IFNA(SUM((S$3&gt;='Gastos com Pessoal'!$E$513:$E$522)*(S$3&lt;='Gastos com Pessoal'!$F$513:$F$522)*(IF('Gastos com Pessoal'!$AE$513:$AE$522&lt;=S$3,1,0))*OFFSET('Gastos com Pessoal'!$H$512,1,MATCH(5&amp;$B52,'Gastos com Pessoal'!$I$532:$AJ$532&amp;'Gastos com Pessoal'!$I$512:$AJ$512,0),10,1)),0)</f>
        <v>24318</v>
      </c>
      <c r="T52" s="32">
        <f t="array" aca="1" ref="T52" ca="1">_xlfn.IFNA(SUM((T$3&gt;='Gastos com Pessoal'!$E$7:$E$506)*(T$3&lt;='Gastos com Pessoal'!$F$7:$F$506)*OFFSET('Encargos e Benefícios'!$D$5,1,MATCH($B52,'Encargos e Benefícios'!$E$5:$AB$5,0),500,1)),0)
+_xlfn.IFNA(SUM((T$3&gt;='Gastos com Pessoal'!$E$513:$E$522)*(T$3&lt;='Gastos com Pessoal'!$F$513:$F$522)*OFFSET('Encargos e Benefícios'!$D$511,1,MATCH($B52,'Encargos e Benefícios'!$E$511:$AB$511,0),10,1)),0)
+_xlfn.IFNA(SUM((T$3&gt;='Gastos com Pessoal'!$E$7:$E$506)*(T$3&lt;='Gastos com Pessoal'!$F$7:$F$506)*(IF('Gastos com Pessoal'!$G$7:$G$506&lt;=T$3,1,0))*OFFSET('Gastos com Pessoal'!$H$6,1,MATCH(1&amp;$B52,'Gastos com Pessoal'!$I$532:$AJ$532&amp;'Gastos com Pessoal'!$I$6:$AJ$6,0),500,1)),0)
+_xlfn.IFNA(SUM((T$3&gt;='Gastos com Pessoal'!$E$7:$E$506)*(T$3&lt;='Gastos com Pessoal'!$F$7:$F$506)*(IF('Gastos com Pessoal'!$M$7:$M$506&lt;=T$3,1,0))*OFFSET('Gastos com Pessoal'!$H$6,1,MATCH(2&amp;$B52,'Gastos com Pessoal'!$I$532:$AJ$532&amp;'Gastos com Pessoal'!$I$6:$AJ$6,0),500,1)),0)
+_xlfn.IFNA(SUM((T$3&gt;='Gastos com Pessoal'!$E$7:$E$506)*(T$3&lt;='Gastos com Pessoal'!$F$7:$F$506)*(IF('Gastos com Pessoal'!$S$7:$S$506&lt;=T$3,1,0))*OFFSET('Gastos com Pessoal'!$H$6,1,MATCH(3&amp;$B52,'Gastos com Pessoal'!$I$532:$AJ$532&amp;'Gastos com Pessoal'!$I$6:$AJ$6,0),500,1)),0)
+_xlfn.IFNA(SUM((T$3&gt;='Gastos com Pessoal'!$E$7:$E$506)*(T$3&lt;='Gastos com Pessoal'!$F$7:$F$506)*(IF('Gastos com Pessoal'!$Y$7:$Y$506&lt;=T$3,1,0))*OFFSET('Gastos com Pessoal'!$H$6,1,MATCH(4&amp;$B52,'Gastos com Pessoal'!$I$532:$AJ$532&amp;'Gastos com Pessoal'!$I$6:$AJ$6,0),500,1)),0)
+_xlfn.IFNA(SUM((T$3&gt;='Gastos com Pessoal'!$E$7:$E$506)*(T$3&lt;='Gastos com Pessoal'!$F$7:$F$506)*(IF('Gastos com Pessoal'!$AE$7:$AE$506&lt;=T$3,1,0))*OFFSET('Gastos com Pessoal'!$H$6,1,MATCH(5&amp;$B52,'Gastos com Pessoal'!$I$532:$AJ$532&amp;'Gastos com Pessoal'!$I$6:$AJ$6,0),500,1)),0)
+_xlfn.IFNA(SUM((T$3&gt;='Gastos com Pessoal'!$E$513:$E$522)*(T$3&lt;='Gastos com Pessoal'!$F$513:$F$522)*(IF('Gastos com Pessoal'!$G$513:$G$522&lt;=T$3,1,0))*OFFSET('Gastos com Pessoal'!$H$512,1,MATCH(1&amp;$B52,'Gastos com Pessoal'!$I$532:$AJ$532&amp;'Gastos com Pessoal'!$I$512:$AJ$512,0),10,1)),0)
+_xlfn.IFNA(SUM((T$3&gt;='Gastos com Pessoal'!$E$513:$E$522)*(T$3&lt;='Gastos com Pessoal'!$F$513:$F$522)*(IF('Gastos com Pessoal'!$M$513:$M$522&lt;=T$3,1,0))*OFFSET('Gastos com Pessoal'!$H$512,1,MATCH(2&amp;$B52,'Gastos com Pessoal'!$I$532:$AJ$532&amp;'Gastos com Pessoal'!$I$512:$AJ$512,0),10,1)),0)
+_xlfn.IFNA(SUM((T$3&gt;='Gastos com Pessoal'!$E$513:$E$522)*(T$3&lt;='Gastos com Pessoal'!$F$513:$F$522)*(IF('Gastos com Pessoal'!$S$513:$S$522&lt;=T$3,1,0))*OFFSET('Gastos com Pessoal'!$H$512,1,MATCH(3&amp;$B52,'Gastos com Pessoal'!$I$532:$AJ$532&amp;'Gastos com Pessoal'!$I$512:$AJ$512,0),10,1)),0)
+_xlfn.IFNA(SUM((T$3&gt;='Gastos com Pessoal'!$E$513:$E$522)*(T$3&lt;='Gastos com Pessoal'!$F$513:$F$522)*(IF('Gastos com Pessoal'!$Y$513:$Y$522&lt;=T$3,1,0))*OFFSET('Gastos com Pessoal'!$H$512,1,MATCH(4&amp;$B52,'Gastos com Pessoal'!$I$532:$AJ$532&amp;'Gastos com Pessoal'!$I$512:$AJ$512,0),10,1)),0)
+_xlfn.IFNA(SUM((T$3&gt;='Gastos com Pessoal'!$E$513:$E$522)*(T$3&lt;='Gastos com Pessoal'!$F$513:$F$522)*(IF('Gastos com Pessoal'!$AE$513:$AE$522&lt;=T$3,1,0))*OFFSET('Gastos com Pessoal'!$H$512,1,MATCH(5&amp;$B52,'Gastos com Pessoal'!$I$532:$AJ$532&amp;'Gastos com Pessoal'!$I$512:$AJ$512,0),10,1)),0)</f>
        <v>24318</v>
      </c>
      <c r="U52" s="32">
        <f t="array" aca="1" ref="U52" ca="1">_xlfn.IFNA(SUM((U$3&gt;='Gastos com Pessoal'!$E$7:$E$506)*(U$3&lt;='Gastos com Pessoal'!$F$7:$F$506)*OFFSET('Encargos e Benefícios'!$D$5,1,MATCH($B52,'Encargos e Benefícios'!$E$5:$AB$5,0),500,1)),0)
+_xlfn.IFNA(SUM((U$3&gt;='Gastos com Pessoal'!$E$513:$E$522)*(U$3&lt;='Gastos com Pessoal'!$F$513:$F$522)*OFFSET('Encargos e Benefícios'!$D$511,1,MATCH($B52,'Encargos e Benefícios'!$E$511:$AB$511,0),10,1)),0)
+_xlfn.IFNA(SUM((U$3&gt;='Gastos com Pessoal'!$E$7:$E$506)*(U$3&lt;='Gastos com Pessoal'!$F$7:$F$506)*(IF('Gastos com Pessoal'!$G$7:$G$506&lt;=U$3,1,0))*OFFSET('Gastos com Pessoal'!$H$6,1,MATCH(1&amp;$B52,'Gastos com Pessoal'!$I$532:$AJ$532&amp;'Gastos com Pessoal'!$I$6:$AJ$6,0),500,1)),0)
+_xlfn.IFNA(SUM((U$3&gt;='Gastos com Pessoal'!$E$7:$E$506)*(U$3&lt;='Gastos com Pessoal'!$F$7:$F$506)*(IF('Gastos com Pessoal'!$M$7:$M$506&lt;=U$3,1,0))*OFFSET('Gastos com Pessoal'!$H$6,1,MATCH(2&amp;$B52,'Gastos com Pessoal'!$I$532:$AJ$532&amp;'Gastos com Pessoal'!$I$6:$AJ$6,0),500,1)),0)
+_xlfn.IFNA(SUM((U$3&gt;='Gastos com Pessoal'!$E$7:$E$506)*(U$3&lt;='Gastos com Pessoal'!$F$7:$F$506)*(IF('Gastos com Pessoal'!$S$7:$S$506&lt;=U$3,1,0))*OFFSET('Gastos com Pessoal'!$H$6,1,MATCH(3&amp;$B52,'Gastos com Pessoal'!$I$532:$AJ$532&amp;'Gastos com Pessoal'!$I$6:$AJ$6,0),500,1)),0)
+_xlfn.IFNA(SUM((U$3&gt;='Gastos com Pessoal'!$E$7:$E$506)*(U$3&lt;='Gastos com Pessoal'!$F$7:$F$506)*(IF('Gastos com Pessoal'!$Y$7:$Y$506&lt;=U$3,1,0))*OFFSET('Gastos com Pessoal'!$H$6,1,MATCH(4&amp;$B52,'Gastos com Pessoal'!$I$532:$AJ$532&amp;'Gastos com Pessoal'!$I$6:$AJ$6,0),500,1)),0)
+_xlfn.IFNA(SUM((U$3&gt;='Gastos com Pessoal'!$E$7:$E$506)*(U$3&lt;='Gastos com Pessoal'!$F$7:$F$506)*(IF('Gastos com Pessoal'!$AE$7:$AE$506&lt;=U$3,1,0))*OFFSET('Gastos com Pessoal'!$H$6,1,MATCH(5&amp;$B52,'Gastos com Pessoal'!$I$532:$AJ$532&amp;'Gastos com Pessoal'!$I$6:$AJ$6,0),500,1)),0)
+_xlfn.IFNA(SUM((U$3&gt;='Gastos com Pessoal'!$E$513:$E$522)*(U$3&lt;='Gastos com Pessoal'!$F$513:$F$522)*(IF('Gastos com Pessoal'!$G$513:$G$522&lt;=U$3,1,0))*OFFSET('Gastos com Pessoal'!$H$512,1,MATCH(1&amp;$B52,'Gastos com Pessoal'!$I$532:$AJ$532&amp;'Gastos com Pessoal'!$I$512:$AJ$512,0),10,1)),0)
+_xlfn.IFNA(SUM((U$3&gt;='Gastos com Pessoal'!$E$513:$E$522)*(U$3&lt;='Gastos com Pessoal'!$F$513:$F$522)*(IF('Gastos com Pessoal'!$M$513:$M$522&lt;=U$3,1,0))*OFFSET('Gastos com Pessoal'!$H$512,1,MATCH(2&amp;$B52,'Gastos com Pessoal'!$I$532:$AJ$532&amp;'Gastos com Pessoal'!$I$512:$AJ$512,0),10,1)),0)
+_xlfn.IFNA(SUM((U$3&gt;='Gastos com Pessoal'!$E$513:$E$522)*(U$3&lt;='Gastos com Pessoal'!$F$513:$F$522)*(IF('Gastos com Pessoal'!$S$513:$S$522&lt;=U$3,1,0))*OFFSET('Gastos com Pessoal'!$H$512,1,MATCH(3&amp;$B52,'Gastos com Pessoal'!$I$532:$AJ$532&amp;'Gastos com Pessoal'!$I$512:$AJ$512,0),10,1)),0)
+_xlfn.IFNA(SUM((U$3&gt;='Gastos com Pessoal'!$E$513:$E$522)*(U$3&lt;='Gastos com Pessoal'!$F$513:$F$522)*(IF('Gastos com Pessoal'!$Y$513:$Y$522&lt;=U$3,1,0))*OFFSET('Gastos com Pessoal'!$H$512,1,MATCH(4&amp;$B52,'Gastos com Pessoal'!$I$532:$AJ$532&amp;'Gastos com Pessoal'!$I$512:$AJ$512,0),10,1)),0)
+_xlfn.IFNA(SUM((U$3&gt;='Gastos com Pessoal'!$E$513:$E$522)*(U$3&lt;='Gastos com Pessoal'!$F$513:$F$522)*(IF('Gastos com Pessoal'!$AE$513:$AE$522&lt;=U$3,1,0))*OFFSET('Gastos com Pessoal'!$H$512,1,MATCH(5&amp;$B52,'Gastos com Pessoal'!$I$532:$AJ$532&amp;'Gastos com Pessoal'!$I$512:$AJ$512,0),10,1)),0)</f>
        <v>24318</v>
      </c>
      <c r="V52" s="32">
        <f t="array" aca="1" ref="V52" ca="1">_xlfn.IFNA(SUM((V$3&gt;='Gastos com Pessoal'!$E$7:$E$506)*(V$3&lt;='Gastos com Pessoal'!$F$7:$F$506)*OFFSET('Encargos e Benefícios'!$D$5,1,MATCH($B52,'Encargos e Benefícios'!$E$5:$AB$5,0),500,1)),0)
+_xlfn.IFNA(SUM((V$3&gt;='Gastos com Pessoal'!$E$513:$E$522)*(V$3&lt;='Gastos com Pessoal'!$F$513:$F$522)*OFFSET('Encargos e Benefícios'!$D$511,1,MATCH($B52,'Encargos e Benefícios'!$E$511:$AB$511,0),10,1)),0)
+_xlfn.IFNA(SUM((V$3&gt;='Gastos com Pessoal'!$E$7:$E$506)*(V$3&lt;='Gastos com Pessoal'!$F$7:$F$506)*(IF('Gastos com Pessoal'!$G$7:$G$506&lt;=V$3,1,0))*OFFSET('Gastos com Pessoal'!$H$6,1,MATCH(1&amp;$B52,'Gastos com Pessoal'!$I$532:$AJ$532&amp;'Gastos com Pessoal'!$I$6:$AJ$6,0),500,1)),0)
+_xlfn.IFNA(SUM((V$3&gt;='Gastos com Pessoal'!$E$7:$E$506)*(V$3&lt;='Gastos com Pessoal'!$F$7:$F$506)*(IF('Gastos com Pessoal'!$M$7:$M$506&lt;=V$3,1,0))*OFFSET('Gastos com Pessoal'!$H$6,1,MATCH(2&amp;$B52,'Gastos com Pessoal'!$I$532:$AJ$532&amp;'Gastos com Pessoal'!$I$6:$AJ$6,0),500,1)),0)
+_xlfn.IFNA(SUM((V$3&gt;='Gastos com Pessoal'!$E$7:$E$506)*(V$3&lt;='Gastos com Pessoal'!$F$7:$F$506)*(IF('Gastos com Pessoal'!$S$7:$S$506&lt;=V$3,1,0))*OFFSET('Gastos com Pessoal'!$H$6,1,MATCH(3&amp;$B52,'Gastos com Pessoal'!$I$532:$AJ$532&amp;'Gastos com Pessoal'!$I$6:$AJ$6,0),500,1)),0)
+_xlfn.IFNA(SUM((V$3&gt;='Gastos com Pessoal'!$E$7:$E$506)*(V$3&lt;='Gastos com Pessoal'!$F$7:$F$506)*(IF('Gastos com Pessoal'!$Y$7:$Y$506&lt;=V$3,1,0))*OFFSET('Gastos com Pessoal'!$H$6,1,MATCH(4&amp;$B52,'Gastos com Pessoal'!$I$532:$AJ$532&amp;'Gastos com Pessoal'!$I$6:$AJ$6,0),500,1)),0)
+_xlfn.IFNA(SUM((V$3&gt;='Gastos com Pessoal'!$E$7:$E$506)*(V$3&lt;='Gastos com Pessoal'!$F$7:$F$506)*(IF('Gastos com Pessoal'!$AE$7:$AE$506&lt;=V$3,1,0))*OFFSET('Gastos com Pessoal'!$H$6,1,MATCH(5&amp;$B52,'Gastos com Pessoal'!$I$532:$AJ$532&amp;'Gastos com Pessoal'!$I$6:$AJ$6,0),500,1)),0)
+_xlfn.IFNA(SUM((V$3&gt;='Gastos com Pessoal'!$E$513:$E$522)*(V$3&lt;='Gastos com Pessoal'!$F$513:$F$522)*(IF('Gastos com Pessoal'!$G$513:$G$522&lt;=V$3,1,0))*OFFSET('Gastos com Pessoal'!$H$512,1,MATCH(1&amp;$B52,'Gastos com Pessoal'!$I$532:$AJ$532&amp;'Gastos com Pessoal'!$I$512:$AJ$512,0),10,1)),0)
+_xlfn.IFNA(SUM((V$3&gt;='Gastos com Pessoal'!$E$513:$E$522)*(V$3&lt;='Gastos com Pessoal'!$F$513:$F$522)*(IF('Gastos com Pessoal'!$M$513:$M$522&lt;=V$3,1,0))*OFFSET('Gastos com Pessoal'!$H$512,1,MATCH(2&amp;$B52,'Gastos com Pessoal'!$I$532:$AJ$532&amp;'Gastos com Pessoal'!$I$512:$AJ$512,0),10,1)),0)
+_xlfn.IFNA(SUM((V$3&gt;='Gastos com Pessoal'!$E$513:$E$522)*(V$3&lt;='Gastos com Pessoal'!$F$513:$F$522)*(IF('Gastos com Pessoal'!$S$513:$S$522&lt;=V$3,1,0))*OFFSET('Gastos com Pessoal'!$H$512,1,MATCH(3&amp;$B52,'Gastos com Pessoal'!$I$532:$AJ$532&amp;'Gastos com Pessoal'!$I$512:$AJ$512,0),10,1)),0)
+_xlfn.IFNA(SUM((V$3&gt;='Gastos com Pessoal'!$E$513:$E$522)*(V$3&lt;='Gastos com Pessoal'!$F$513:$F$522)*(IF('Gastos com Pessoal'!$Y$513:$Y$522&lt;=V$3,1,0))*OFFSET('Gastos com Pessoal'!$H$512,1,MATCH(4&amp;$B52,'Gastos com Pessoal'!$I$532:$AJ$532&amp;'Gastos com Pessoal'!$I$512:$AJ$512,0),10,1)),0)
+_xlfn.IFNA(SUM((V$3&gt;='Gastos com Pessoal'!$E$513:$E$522)*(V$3&lt;='Gastos com Pessoal'!$F$513:$F$522)*(IF('Gastos com Pessoal'!$AE$513:$AE$522&lt;=V$3,1,0))*OFFSET('Gastos com Pessoal'!$H$512,1,MATCH(5&amp;$B52,'Gastos com Pessoal'!$I$532:$AJ$532&amp;'Gastos com Pessoal'!$I$512:$AJ$512,0),10,1)),0)</f>
        <v>24318</v>
      </c>
      <c r="W52" s="32">
        <f t="array" aca="1" ref="W52" ca="1">_xlfn.IFNA(SUM((W$3&gt;='Gastos com Pessoal'!$E$7:$E$506)*(W$3&lt;='Gastos com Pessoal'!$F$7:$F$506)*OFFSET('Encargos e Benefícios'!$D$5,1,MATCH($B52,'Encargos e Benefícios'!$E$5:$AB$5,0),500,1)),0)
+_xlfn.IFNA(SUM((W$3&gt;='Gastos com Pessoal'!$E$513:$E$522)*(W$3&lt;='Gastos com Pessoal'!$F$513:$F$522)*OFFSET('Encargos e Benefícios'!$D$511,1,MATCH($B52,'Encargos e Benefícios'!$E$511:$AB$511,0),10,1)),0)
+_xlfn.IFNA(SUM((W$3&gt;='Gastos com Pessoal'!$E$7:$E$506)*(W$3&lt;='Gastos com Pessoal'!$F$7:$F$506)*(IF('Gastos com Pessoal'!$G$7:$G$506&lt;=W$3,1,0))*OFFSET('Gastos com Pessoal'!$H$6,1,MATCH(1&amp;$B52,'Gastos com Pessoal'!$I$532:$AJ$532&amp;'Gastos com Pessoal'!$I$6:$AJ$6,0),500,1)),0)
+_xlfn.IFNA(SUM((W$3&gt;='Gastos com Pessoal'!$E$7:$E$506)*(W$3&lt;='Gastos com Pessoal'!$F$7:$F$506)*(IF('Gastos com Pessoal'!$M$7:$M$506&lt;=W$3,1,0))*OFFSET('Gastos com Pessoal'!$H$6,1,MATCH(2&amp;$B52,'Gastos com Pessoal'!$I$532:$AJ$532&amp;'Gastos com Pessoal'!$I$6:$AJ$6,0),500,1)),0)
+_xlfn.IFNA(SUM((W$3&gt;='Gastos com Pessoal'!$E$7:$E$506)*(W$3&lt;='Gastos com Pessoal'!$F$7:$F$506)*(IF('Gastos com Pessoal'!$S$7:$S$506&lt;=W$3,1,0))*OFFSET('Gastos com Pessoal'!$H$6,1,MATCH(3&amp;$B52,'Gastos com Pessoal'!$I$532:$AJ$532&amp;'Gastos com Pessoal'!$I$6:$AJ$6,0),500,1)),0)
+_xlfn.IFNA(SUM((W$3&gt;='Gastos com Pessoal'!$E$7:$E$506)*(W$3&lt;='Gastos com Pessoal'!$F$7:$F$506)*(IF('Gastos com Pessoal'!$Y$7:$Y$506&lt;=W$3,1,0))*OFFSET('Gastos com Pessoal'!$H$6,1,MATCH(4&amp;$B52,'Gastos com Pessoal'!$I$532:$AJ$532&amp;'Gastos com Pessoal'!$I$6:$AJ$6,0),500,1)),0)
+_xlfn.IFNA(SUM((W$3&gt;='Gastos com Pessoal'!$E$7:$E$506)*(W$3&lt;='Gastos com Pessoal'!$F$7:$F$506)*(IF('Gastos com Pessoal'!$AE$7:$AE$506&lt;=W$3,1,0))*OFFSET('Gastos com Pessoal'!$H$6,1,MATCH(5&amp;$B52,'Gastos com Pessoal'!$I$532:$AJ$532&amp;'Gastos com Pessoal'!$I$6:$AJ$6,0),500,1)),0)
+_xlfn.IFNA(SUM((W$3&gt;='Gastos com Pessoal'!$E$513:$E$522)*(W$3&lt;='Gastos com Pessoal'!$F$513:$F$522)*(IF('Gastos com Pessoal'!$G$513:$G$522&lt;=W$3,1,0))*OFFSET('Gastos com Pessoal'!$H$512,1,MATCH(1&amp;$B52,'Gastos com Pessoal'!$I$532:$AJ$532&amp;'Gastos com Pessoal'!$I$512:$AJ$512,0),10,1)),0)
+_xlfn.IFNA(SUM((W$3&gt;='Gastos com Pessoal'!$E$513:$E$522)*(W$3&lt;='Gastos com Pessoal'!$F$513:$F$522)*(IF('Gastos com Pessoal'!$M$513:$M$522&lt;=W$3,1,0))*OFFSET('Gastos com Pessoal'!$H$512,1,MATCH(2&amp;$B52,'Gastos com Pessoal'!$I$532:$AJ$532&amp;'Gastos com Pessoal'!$I$512:$AJ$512,0),10,1)),0)
+_xlfn.IFNA(SUM((W$3&gt;='Gastos com Pessoal'!$E$513:$E$522)*(W$3&lt;='Gastos com Pessoal'!$F$513:$F$522)*(IF('Gastos com Pessoal'!$S$513:$S$522&lt;=W$3,1,0))*OFFSET('Gastos com Pessoal'!$H$512,1,MATCH(3&amp;$B52,'Gastos com Pessoal'!$I$532:$AJ$532&amp;'Gastos com Pessoal'!$I$512:$AJ$512,0),10,1)),0)
+_xlfn.IFNA(SUM((W$3&gt;='Gastos com Pessoal'!$E$513:$E$522)*(W$3&lt;='Gastos com Pessoal'!$F$513:$F$522)*(IF('Gastos com Pessoal'!$Y$513:$Y$522&lt;=W$3,1,0))*OFFSET('Gastos com Pessoal'!$H$512,1,MATCH(4&amp;$B52,'Gastos com Pessoal'!$I$532:$AJ$532&amp;'Gastos com Pessoal'!$I$512:$AJ$512,0),10,1)),0)
+_xlfn.IFNA(SUM((W$3&gt;='Gastos com Pessoal'!$E$513:$E$522)*(W$3&lt;='Gastos com Pessoal'!$F$513:$F$522)*(IF('Gastos com Pessoal'!$AE$513:$AE$522&lt;=W$3,1,0))*OFFSET('Gastos com Pessoal'!$H$512,1,MATCH(5&amp;$B52,'Gastos com Pessoal'!$I$532:$AJ$532&amp;'Gastos com Pessoal'!$I$512:$AJ$512,0),10,1)),0)</f>
        <v>24318</v>
      </c>
      <c r="X52" s="32">
        <f t="array" aca="1" ref="X52" ca="1">_xlfn.IFNA(SUM((X$3&gt;='Gastos com Pessoal'!$E$7:$E$506)*(X$3&lt;='Gastos com Pessoal'!$F$7:$F$506)*OFFSET('Encargos e Benefícios'!$D$5,1,MATCH($B52,'Encargos e Benefícios'!$E$5:$AB$5,0),500,1)),0)
+_xlfn.IFNA(SUM((X$3&gt;='Gastos com Pessoal'!$E$513:$E$522)*(X$3&lt;='Gastos com Pessoal'!$F$513:$F$522)*OFFSET('Encargos e Benefícios'!$D$511,1,MATCH($B52,'Encargos e Benefícios'!$E$511:$AB$511,0),10,1)),0)
+_xlfn.IFNA(SUM((X$3&gt;='Gastos com Pessoal'!$E$7:$E$506)*(X$3&lt;='Gastos com Pessoal'!$F$7:$F$506)*(IF('Gastos com Pessoal'!$G$7:$G$506&lt;=X$3,1,0))*OFFSET('Gastos com Pessoal'!$H$6,1,MATCH(1&amp;$B52,'Gastos com Pessoal'!$I$532:$AJ$532&amp;'Gastos com Pessoal'!$I$6:$AJ$6,0),500,1)),0)
+_xlfn.IFNA(SUM((X$3&gt;='Gastos com Pessoal'!$E$7:$E$506)*(X$3&lt;='Gastos com Pessoal'!$F$7:$F$506)*(IF('Gastos com Pessoal'!$M$7:$M$506&lt;=X$3,1,0))*OFFSET('Gastos com Pessoal'!$H$6,1,MATCH(2&amp;$B52,'Gastos com Pessoal'!$I$532:$AJ$532&amp;'Gastos com Pessoal'!$I$6:$AJ$6,0),500,1)),0)
+_xlfn.IFNA(SUM((X$3&gt;='Gastos com Pessoal'!$E$7:$E$506)*(X$3&lt;='Gastos com Pessoal'!$F$7:$F$506)*(IF('Gastos com Pessoal'!$S$7:$S$506&lt;=X$3,1,0))*OFFSET('Gastos com Pessoal'!$H$6,1,MATCH(3&amp;$B52,'Gastos com Pessoal'!$I$532:$AJ$532&amp;'Gastos com Pessoal'!$I$6:$AJ$6,0),500,1)),0)
+_xlfn.IFNA(SUM((X$3&gt;='Gastos com Pessoal'!$E$7:$E$506)*(X$3&lt;='Gastos com Pessoal'!$F$7:$F$506)*(IF('Gastos com Pessoal'!$Y$7:$Y$506&lt;=X$3,1,0))*OFFSET('Gastos com Pessoal'!$H$6,1,MATCH(4&amp;$B52,'Gastos com Pessoal'!$I$532:$AJ$532&amp;'Gastos com Pessoal'!$I$6:$AJ$6,0),500,1)),0)
+_xlfn.IFNA(SUM((X$3&gt;='Gastos com Pessoal'!$E$7:$E$506)*(X$3&lt;='Gastos com Pessoal'!$F$7:$F$506)*(IF('Gastos com Pessoal'!$AE$7:$AE$506&lt;=X$3,1,0))*OFFSET('Gastos com Pessoal'!$H$6,1,MATCH(5&amp;$B52,'Gastos com Pessoal'!$I$532:$AJ$532&amp;'Gastos com Pessoal'!$I$6:$AJ$6,0),500,1)),0)
+_xlfn.IFNA(SUM((X$3&gt;='Gastos com Pessoal'!$E$513:$E$522)*(X$3&lt;='Gastos com Pessoal'!$F$513:$F$522)*(IF('Gastos com Pessoal'!$G$513:$G$522&lt;=X$3,1,0))*OFFSET('Gastos com Pessoal'!$H$512,1,MATCH(1&amp;$B52,'Gastos com Pessoal'!$I$532:$AJ$532&amp;'Gastos com Pessoal'!$I$512:$AJ$512,0),10,1)),0)
+_xlfn.IFNA(SUM((X$3&gt;='Gastos com Pessoal'!$E$513:$E$522)*(X$3&lt;='Gastos com Pessoal'!$F$513:$F$522)*(IF('Gastos com Pessoal'!$M$513:$M$522&lt;=X$3,1,0))*OFFSET('Gastos com Pessoal'!$H$512,1,MATCH(2&amp;$B52,'Gastos com Pessoal'!$I$532:$AJ$532&amp;'Gastos com Pessoal'!$I$512:$AJ$512,0),10,1)),0)
+_xlfn.IFNA(SUM((X$3&gt;='Gastos com Pessoal'!$E$513:$E$522)*(X$3&lt;='Gastos com Pessoal'!$F$513:$F$522)*(IF('Gastos com Pessoal'!$S$513:$S$522&lt;=X$3,1,0))*OFFSET('Gastos com Pessoal'!$H$512,1,MATCH(3&amp;$B52,'Gastos com Pessoal'!$I$532:$AJ$532&amp;'Gastos com Pessoal'!$I$512:$AJ$512,0),10,1)),0)
+_xlfn.IFNA(SUM((X$3&gt;='Gastos com Pessoal'!$E$513:$E$522)*(X$3&lt;='Gastos com Pessoal'!$F$513:$F$522)*(IF('Gastos com Pessoal'!$Y$513:$Y$522&lt;=X$3,1,0))*OFFSET('Gastos com Pessoal'!$H$512,1,MATCH(4&amp;$B52,'Gastos com Pessoal'!$I$532:$AJ$532&amp;'Gastos com Pessoal'!$I$512:$AJ$512,0),10,1)),0)
+_xlfn.IFNA(SUM((X$3&gt;='Gastos com Pessoal'!$E$513:$E$522)*(X$3&lt;='Gastos com Pessoal'!$F$513:$F$522)*(IF('Gastos com Pessoal'!$AE$513:$AE$522&lt;=X$3,1,0))*OFFSET('Gastos com Pessoal'!$H$512,1,MATCH(5&amp;$B52,'Gastos com Pessoal'!$I$532:$AJ$532&amp;'Gastos com Pessoal'!$I$512:$AJ$512,0),10,1)),0)</f>
        <v>24318</v>
      </c>
      <c r="Y52" s="32">
        <f t="array" aca="1" ref="Y52" ca="1">_xlfn.IFNA(SUM((Y$3&gt;='Gastos com Pessoal'!$E$7:$E$506)*(Y$3&lt;='Gastos com Pessoal'!$F$7:$F$506)*OFFSET('Encargos e Benefícios'!$D$5,1,MATCH($B52,'Encargos e Benefícios'!$E$5:$AB$5,0),500,1)),0)
+_xlfn.IFNA(SUM((Y$3&gt;='Gastos com Pessoal'!$E$513:$E$522)*(Y$3&lt;='Gastos com Pessoal'!$F$513:$F$522)*OFFSET('Encargos e Benefícios'!$D$511,1,MATCH($B52,'Encargos e Benefícios'!$E$511:$AB$511,0),10,1)),0)
+_xlfn.IFNA(SUM((Y$3&gt;='Gastos com Pessoal'!$E$7:$E$506)*(Y$3&lt;='Gastos com Pessoal'!$F$7:$F$506)*(IF('Gastos com Pessoal'!$G$7:$G$506&lt;=Y$3,1,0))*OFFSET('Gastos com Pessoal'!$H$6,1,MATCH(1&amp;$B52,'Gastos com Pessoal'!$I$532:$AJ$532&amp;'Gastos com Pessoal'!$I$6:$AJ$6,0),500,1)),0)
+_xlfn.IFNA(SUM((Y$3&gt;='Gastos com Pessoal'!$E$7:$E$506)*(Y$3&lt;='Gastos com Pessoal'!$F$7:$F$506)*(IF('Gastos com Pessoal'!$M$7:$M$506&lt;=Y$3,1,0))*OFFSET('Gastos com Pessoal'!$H$6,1,MATCH(2&amp;$B52,'Gastos com Pessoal'!$I$532:$AJ$532&amp;'Gastos com Pessoal'!$I$6:$AJ$6,0),500,1)),0)
+_xlfn.IFNA(SUM((Y$3&gt;='Gastos com Pessoal'!$E$7:$E$506)*(Y$3&lt;='Gastos com Pessoal'!$F$7:$F$506)*(IF('Gastos com Pessoal'!$S$7:$S$506&lt;=Y$3,1,0))*OFFSET('Gastos com Pessoal'!$H$6,1,MATCH(3&amp;$B52,'Gastos com Pessoal'!$I$532:$AJ$532&amp;'Gastos com Pessoal'!$I$6:$AJ$6,0),500,1)),0)
+_xlfn.IFNA(SUM((Y$3&gt;='Gastos com Pessoal'!$E$7:$E$506)*(Y$3&lt;='Gastos com Pessoal'!$F$7:$F$506)*(IF('Gastos com Pessoal'!$Y$7:$Y$506&lt;=Y$3,1,0))*OFFSET('Gastos com Pessoal'!$H$6,1,MATCH(4&amp;$B52,'Gastos com Pessoal'!$I$532:$AJ$532&amp;'Gastos com Pessoal'!$I$6:$AJ$6,0),500,1)),0)
+_xlfn.IFNA(SUM((Y$3&gt;='Gastos com Pessoal'!$E$7:$E$506)*(Y$3&lt;='Gastos com Pessoal'!$F$7:$F$506)*(IF('Gastos com Pessoal'!$AE$7:$AE$506&lt;=Y$3,1,0))*OFFSET('Gastos com Pessoal'!$H$6,1,MATCH(5&amp;$B52,'Gastos com Pessoal'!$I$532:$AJ$532&amp;'Gastos com Pessoal'!$I$6:$AJ$6,0),500,1)),0)
+_xlfn.IFNA(SUM((Y$3&gt;='Gastos com Pessoal'!$E$513:$E$522)*(Y$3&lt;='Gastos com Pessoal'!$F$513:$F$522)*(IF('Gastos com Pessoal'!$G$513:$G$522&lt;=Y$3,1,0))*OFFSET('Gastos com Pessoal'!$H$512,1,MATCH(1&amp;$B52,'Gastos com Pessoal'!$I$532:$AJ$532&amp;'Gastos com Pessoal'!$I$512:$AJ$512,0),10,1)),0)
+_xlfn.IFNA(SUM((Y$3&gt;='Gastos com Pessoal'!$E$513:$E$522)*(Y$3&lt;='Gastos com Pessoal'!$F$513:$F$522)*(IF('Gastos com Pessoal'!$M$513:$M$522&lt;=Y$3,1,0))*OFFSET('Gastos com Pessoal'!$H$512,1,MATCH(2&amp;$B52,'Gastos com Pessoal'!$I$532:$AJ$532&amp;'Gastos com Pessoal'!$I$512:$AJ$512,0),10,1)),0)
+_xlfn.IFNA(SUM((Y$3&gt;='Gastos com Pessoal'!$E$513:$E$522)*(Y$3&lt;='Gastos com Pessoal'!$F$513:$F$522)*(IF('Gastos com Pessoal'!$S$513:$S$522&lt;=Y$3,1,0))*OFFSET('Gastos com Pessoal'!$H$512,1,MATCH(3&amp;$B52,'Gastos com Pessoal'!$I$532:$AJ$532&amp;'Gastos com Pessoal'!$I$512:$AJ$512,0),10,1)),0)
+_xlfn.IFNA(SUM((Y$3&gt;='Gastos com Pessoal'!$E$513:$E$522)*(Y$3&lt;='Gastos com Pessoal'!$F$513:$F$522)*(IF('Gastos com Pessoal'!$Y$513:$Y$522&lt;=Y$3,1,0))*OFFSET('Gastos com Pessoal'!$H$512,1,MATCH(4&amp;$B52,'Gastos com Pessoal'!$I$532:$AJ$532&amp;'Gastos com Pessoal'!$I$512:$AJ$512,0),10,1)),0)
+_xlfn.IFNA(SUM((Y$3&gt;='Gastos com Pessoal'!$E$513:$E$522)*(Y$3&lt;='Gastos com Pessoal'!$F$513:$F$522)*(IF('Gastos com Pessoal'!$AE$513:$AE$522&lt;=Y$3,1,0))*OFFSET('Gastos com Pessoal'!$H$512,1,MATCH(5&amp;$B52,'Gastos com Pessoal'!$I$532:$AJ$532&amp;'Gastos com Pessoal'!$I$512:$AJ$512,0),10,1)),0)</f>
        <v>24318</v>
      </c>
      <c r="Z52" s="32">
        <f t="array" aca="1" ref="Z52" ca="1">_xlfn.IFNA(SUM((Z$3&gt;='Gastos com Pessoal'!$E$7:$E$506)*(Z$3&lt;='Gastos com Pessoal'!$F$7:$F$506)*OFFSET('Encargos e Benefícios'!$D$5,1,MATCH($B52,'Encargos e Benefícios'!$E$5:$AB$5,0),500,1)),0)
+_xlfn.IFNA(SUM((Z$3&gt;='Gastos com Pessoal'!$E$513:$E$522)*(Z$3&lt;='Gastos com Pessoal'!$F$513:$F$522)*OFFSET('Encargos e Benefícios'!$D$511,1,MATCH($B52,'Encargos e Benefícios'!$E$511:$AB$511,0),10,1)),0)
+_xlfn.IFNA(SUM((Z$3&gt;='Gastos com Pessoal'!$E$7:$E$506)*(Z$3&lt;='Gastos com Pessoal'!$F$7:$F$506)*(IF('Gastos com Pessoal'!$G$7:$G$506&lt;=Z$3,1,0))*OFFSET('Gastos com Pessoal'!$H$6,1,MATCH(1&amp;$B52,'Gastos com Pessoal'!$I$532:$AJ$532&amp;'Gastos com Pessoal'!$I$6:$AJ$6,0),500,1)),0)
+_xlfn.IFNA(SUM((Z$3&gt;='Gastos com Pessoal'!$E$7:$E$506)*(Z$3&lt;='Gastos com Pessoal'!$F$7:$F$506)*(IF('Gastos com Pessoal'!$M$7:$M$506&lt;=Z$3,1,0))*OFFSET('Gastos com Pessoal'!$H$6,1,MATCH(2&amp;$B52,'Gastos com Pessoal'!$I$532:$AJ$532&amp;'Gastos com Pessoal'!$I$6:$AJ$6,0),500,1)),0)
+_xlfn.IFNA(SUM((Z$3&gt;='Gastos com Pessoal'!$E$7:$E$506)*(Z$3&lt;='Gastos com Pessoal'!$F$7:$F$506)*(IF('Gastos com Pessoal'!$S$7:$S$506&lt;=Z$3,1,0))*OFFSET('Gastos com Pessoal'!$H$6,1,MATCH(3&amp;$B52,'Gastos com Pessoal'!$I$532:$AJ$532&amp;'Gastos com Pessoal'!$I$6:$AJ$6,0),500,1)),0)
+_xlfn.IFNA(SUM((Z$3&gt;='Gastos com Pessoal'!$E$7:$E$506)*(Z$3&lt;='Gastos com Pessoal'!$F$7:$F$506)*(IF('Gastos com Pessoal'!$Y$7:$Y$506&lt;=Z$3,1,0))*OFFSET('Gastos com Pessoal'!$H$6,1,MATCH(4&amp;$B52,'Gastos com Pessoal'!$I$532:$AJ$532&amp;'Gastos com Pessoal'!$I$6:$AJ$6,0),500,1)),0)
+_xlfn.IFNA(SUM((Z$3&gt;='Gastos com Pessoal'!$E$7:$E$506)*(Z$3&lt;='Gastos com Pessoal'!$F$7:$F$506)*(IF('Gastos com Pessoal'!$AE$7:$AE$506&lt;=Z$3,1,0))*OFFSET('Gastos com Pessoal'!$H$6,1,MATCH(5&amp;$B52,'Gastos com Pessoal'!$I$532:$AJ$532&amp;'Gastos com Pessoal'!$I$6:$AJ$6,0),500,1)),0)
+_xlfn.IFNA(SUM((Z$3&gt;='Gastos com Pessoal'!$E$513:$E$522)*(Z$3&lt;='Gastos com Pessoal'!$F$513:$F$522)*(IF('Gastos com Pessoal'!$G$513:$G$522&lt;=Z$3,1,0))*OFFSET('Gastos com Pessoal'!$H$512,1,MATCH(1&amp;$B52,'Gastos com Pessoal'!$I$532:$AJ$532&amp;'Gastos com Pessoal'!$I$512:$AJ$512,0),10,1)),0)
+_xlfn.IFNA(SUM((Z$3&gt;='Gastos com Pessoal'!$E$513:$E$522)*(Z$3&lt;='Gastos com Pessoal'!$F$513:$F$522)*(IF('Gastos com Pessoal'!$M$513:$M$522&lt;=Z$3,1,0))*OFFSET('Gastos com Pessoal'!$H$512,1,MATCH(2&amp;$B52,'Gastos com Pessoal'!$I$532:$AJ$532&amp;'Gastos com Pessoal'!$I$512:$AJ$512,0),10,1)),0)
+_xlfn.IFNA(SUM((Z$3&gt;='Gastos com Pessoal'!$E$513:$E$522)*(Z$3&lt;='Gastos com Pessoal'!$F$513:$F$522)*(IF('Gastos com Pessoal'!$S$513:$S$522&lt;=Z$3,1,0))*OFFSET('Gastos com Pessoal'!$H$512,1,MATCH(3&amp;$B52,'Gastos com Pessoal'!$I$532:$AJ$532&amp;'Gastos com Pessoal'!$I$512:$AJ$512,0),10,1)),0)
+_xlfn.IFNA(SUM((Z$3&gt;='Gastos com Pessoal'!$E$513:$E$522)*(Z$3&lt;='Gastos com Pessoal'!$F$513:$F$522)*(IF('Gastos com Pessoal'!$Y$513:$Y$522&lt;=Z$3,1,0))*OFFSET('Gastos com Pessoal'!$H$512,1,MATCH(4&amp;$B52,'Gastos com Pessoal'!$I$532:$AJ$532&amp;'Gastos com Pessoal'!$I$512:$AJ$512,0),10,1)),0)
+_xlfn.IFNA(SUM((Z$3&gt;='Gastos com Pessoal'!$E$513:$E$522)*(Z$3&lt;='Gastos com Pessoal'!$F$513:$F$522)*(IF('Gastos com Pessoal'!$AE$513:$AE$522&lt;=Z$3,1,0))*OFFSET('Gastos com Pessoal'!$H$512,1,MATCH(5&amp;$B52,'Gastos com Pessoal'!$I$532:$AJ$532&amp;'Gastos com Pessoal'!$I$512:$AJ$512,0),10,1)),0)</f>
        <v>24318</v>
      </c>
      <c r="AA52" s="32">
        <f t="array" aca="1" ref="AA52" ca="1">_xlfn.IFNA(SUM((AA$3&gt;='Gastos com Pessoal'!$E$7:$E$506)*(AA$3&lt;='Gastos com Pessoal'!$F$7:$F$506)*OFFSET('Encargos e Benefícios'!$D$5,1,MATCH($B52,'Encargos e Benefícios'!$E$5:$AB$5,0),500,1)),0)
+_xlfn.IFNA(SUM((AA$3&gt;='Gastos com Pessoal'!$E$513:$E$522)*(AA$3&lt;='Gastos com Pessoal'!$F$513:$F$522)*OFFSET('Encargos e Benefícios'!$D$511,1,MATCH($B52,'Encargos e Benefícios'!$E$511:$AB$511,0),10,1)),0)
+_xlfn.IFNA(SUM((AA$3&gt;='Gastos com Pessoal'!$E$7:$E$506)*(AA$3&lt;='Gastos com Pessoal'!$F$7:$F$506)*(IF('Gastos com Pessoal'!$G$7:$G$506&lt;=AA$3,1,0))*OFFSET('Gastos com Pessoal'!$H$6,1,MATCH(1&amp;$B52,'Gastos com Pessoal'!$I$532:$AJ$532&amp;'Gastos com Pessoal'!$I$6:$AJ$6,0),500,1)),0)
+_xlfn.IFNA(SUM((AA$3&gt;='Gastos com Pessoal'!$E$7:$E$506)*(AA$3&lt;='Gastos com Pessoal'!$F$7:$F$506)*(IF('Gastos com Pessoal'!$M$7:$M$506&lt;=AA$3,1,0))*OFFSET('Gastos com Pessoal'!$H$6,1,MATCH(2&amp;$B52,'Gastos com Pessoal'!$I$532:$AJ$532&amp;'Gastos com Pessoal'!$I$6:$AJ$6,0),500,1)),0)
+_xlfn.IFNA(SUM((AA$3&gt;='Gastos com Pessoal'!$E$7:$E$506)*(AA$3&lt;='Gastos com Pessoal'!$F$7:$F$506)*(IF('Gastos com Pessoal'!$S$7:$S$506&lt;=AA$3,1,0))*OFFSET('Gastos com Pessoal'!$H$6,1,MATCH(3&amp;$B52,'Gastos com Pessoal'!$I$532:$AJ$532&amp;'Gastos com Pessoal'!$I$6:$AJ$6,0),500,1)),0)
+_xlfn.IFNA(SUM((AA$3&gt;='Gastos com Pessoal'!$E$7:$E$506)*(AA$3&lt;='Gastos com Pessoal'!$F$7:$F$506)*(IF('Gastos com Pessoal'!$Y$7:$Y$506&lt;=AA$3,1,0))*OFFSET('Gastos com Pessoal'!$H$6,1,MATCH(4&amp;$B52,'Gastos com Pessoal'!$I$532:$AJ$532&amp;'Gastos com Pessoal'!$I$6:$AJ$6,0),500,1)),0)
+_xlfn.IFNA(SUM((AA$3&gt;='Gastos com Pessoal'!$E$7:$E$506)*(AA$3&lt;='Gastos com Pessoal'!$F$7:$F$506)*(IF('Gastos com Pessoal'!$AE$7:$AE$506&lt;=AA$3,1,0))*OFFSET('Gastos com Pessoal'!$H$6,1,MATCH(5&amp;$B52,'Gastos com Pessoal'!$I$532:$AJ$532&amp;'Gastos com Pessoal'!$I$6:$AJ$6,0),500,1)),0)
+_xlfn.IFNA(SUM((AA$3&gt;='Gastos com Pessoal'!$E$513:$E$522)*(AA$3&lt;='Gastos com Pessoal'!$F$513:$F$522)*(IF('Gastos com Pessoal'!$G$513:$G$522&lt;=AA$3,1,0))*OFFSET('Gastos com Pessoal'!$H$512,1,MATCH(1&amp;$B52,'Gastos com Pessoal'!$I$532:$AJ$532&amp;'Gastos com Pessoal'!$I$512:$AJ$512,0),10,1)),0)
+_xlfn.IFNA(SUM((AA$3&gt;='Gastos com Pessoal'!$E$513:$E$522)*(AA$3&lt;='Gastos com Pessoal'!$F$513:$F$522)*(IF('Gastos com Pessoal'!$M$513:$M$522&lt;=AA$3,1,0))*OFFSET('Gastos com Pessoal'!$H$512,1,MATCH(2&amp;$B52,'Gastos com Pessoal'!$I$532:$AJ$532&amp;'Gastos com Pessoal'!$I$512:$AJ$512,0),10,1)),0)
+_xlfn.IFNA(SUM((AA$3&gt;='Gastos com Pessoal'!$E$513:$E$522)*(AA$3&lt;='Gastos com Pessoal'!$F$513:$F$522)*(IF('Gastos com Pessoal'!$S$513:$S$522&lt;=AA$3,1,0))*OFFSET('Gastos com Pessoal'!$H$512,1,MATCH(3&amp;$B52,'Gastos com Pessoal'!$I$532:$AJ$532&amp;'Gastos com Pessoal'!$I$512:$AJ$512,0),10,1)),0)
+_xlfn.IFNA(SUM((AA$3&gt;='Gastos com Pessoal'!$E$513:$E$522)*(AA$3&lt;='Gastos com Pessoal'!$F$513:$F$522)*(IF('Gastos com Pessoal'!$Y$513:$Y$522&lt;=AA$3,1,0))*OFFSET('Gastos com Pessoal'!$H$512,1,MATCH(4&amp;$B52,'Gastos com Pessoal'!$I$532:$AJ$532&amp;'Gastos com Pessoal'!$I$512:$AJ$512,0),10,1)),0)
+_xlfn.IFNA(SUM((AA$3&gt;='Gastos com Pessoal'!$E$513:$E$522)*(AA$3&lt;='Gastos com Pessoal'!$F$513:$F$522)*(IF('Gastos com Pessoal'!$AE$513:$AE$522&lt;=AA$3,1,0))*OFFSET('Gastos com Pessoal'!$H$512,1,MATCH(5&amp;$B52,'Gastos com Pessoal'!$I$532:$AJ$532&amp;'Gastos com Pessoal'!$I$512:$AJ$512,0),10,1)),0)</f>
        <v>24318</v>
      </c>
      <c r="AB52" s="32">
        <f t="array" aca="1" ref="AB52" ca="1">_xlfn.IFNA(SUM((AB$3&gt;='Gastos com Pessoal'!$E$7:$E$506)*(AB$3&lt;='Gastos com Pessoal'!$F$7:$F$506)*OFFSET('Encargos e Benefícios'!$D$5,1,MATCH($B52,'Encargos e Benefícios'!$E$5:$AB$5,0),500,1)),0)
+_xlfn.IFNA(SUM((AB$3&gt;='Gastos com Pessoal'!$E$513:$E$522)*(AB$3&lt;='Gastos com Pessoal'!$F$513:$F$522)*OFFSET('Encargos e Benefícios'!$D$511,1,MATCH($B52,'Encargos e Benefícios'!$E$511:$AB$511,0),10,1)),0)
+_xlfn.IFNA(SUM((AB$3&gt;='Gastos com Pessoal'!$E$7:$E$506)*(AB$3&lt;='Gastos com Pessoal'!$F$7:$F$506)*(IF('Gastos com Pessoal'!$G$7:$G$506&lt;=AB$3,1,0))*OFFSET('Gastos com Pessoal'!$H$6,1,MATCH(1&amp;$B52,'Gastos com Pessoal'!$I$532:$AJ$532&amp;'Gastos com Pessoal'!$I$6:$AJ$6,0),500,1)),0)
+_xlfn.IFNA(SUM((AB$3&gt;='Gastos com Pessoal'!$E$7:$E$506)*(AB$3&lt;='Gastos com Pessoal'!$F$7:$F$506)*(IF('Gastos com Pessoal'!$M$7:$M$506&lt;=AB$3,1,0))*OFFSET('Gastos com Pessoal'!$H$6,1,MATCH(2&amp;$B52,'Gastos com Pessoal'!$I$532:$AJ$532&amp;'Gastos com Pessoal'!$I$6:$AJ$6,0),500,1)),0)
+_xlfn.IFNA(SUM((AB$3&gt;='Gastos com Pessoal'!$E$7:$E$506)*(AB$3&lt;='Gastos com Pessoal'!$F$7:$F$506)*(IF('Gastos com Pessoal'!$S$7:$S$506&lt;=AB$3,1,0))*OFFSET('Gastos com Pessoal'!$H$6,1,MATCH(3&amp;$B52,'Gastos com Pessoal'!$I$532:$AJ$532&amp;'Gastos com Pessoal'!$I$6:$AJ$6,0),500,1)),0)
+_xlfn.IFNA(SUM((AB$3&gt;='Gastos com Pessoal'!$E$7:$E$506)*(AB$3&lt;='Gastos com Pessoal'!$F$7:$F$506)*(IF('Gastos com Pessoal'!$Y$7:$Y$506&lt;=AB$3,1,0))*OFFSET('Gastos com Pessoal'!$H$6,1,MATCH(4&amp;$B52,'Gastos com Pessoal'!$I$532:$AJ$532&amp;'Gastos com Pessoal'!$I$6:$AJ$6,0),500,1)),0)
+_xlfn.IFNA(SUM((AB$3&gt;='Gastos com Pessoal'!$E$7:$E$506)*(AB$3&lt;='Gastos com Pessoal'!$F$7:$F$506)*(IF('Gastos com Pessoal'!$AE$7:$AE$506&lt;=AB$3,1,0))*OFFSET('Gastos com Pessoal'!$H$6,1,MATCH(5&amp;$B52,'Gastos com Pessoal'!$I$532:$AJ$532&amp;'Gastos com Pessoal'!$I$6:$AJ$6,0),500,1)),0)
+_xlfn.IFNA(SUM((AB$3&gt;='Gastos com Pessoal'!$E$513:$E$522)*(AB$3&lt;='Gastos com Pessoal'!$F$513:$F$522)*(IF('Gastos com Pessoal'!$G$513:$G$522&lt;=AB$3,1,0))*OFFSET('Gastos com Pessoal'!$H$512,1,MATCH(1&amp;$B52,'Gastos com Pessoal'!$I$532:$AJ$532&amp;'Gastos com Pessoal'!$I$512:$AJ$512,0),10,1)),0)
+_xlfn.IFNA(SUM((AB$3&gt;='Gastos com Pessoal'!$E$513:$E$522)*(AB$3&lt;='Gastos com Pessoal'!$F$513:$F$522)*(IF('Gastos com Pessoal'!$M$513:$M$522&lt;=AB$3,1,0))*OFFSET('Gastos com Pessoal'!$H$512,1,MATCH(2&amp;$B52,'Gastos com Pessoal'!$I$532:$AJ$532&amp;'Gastos com Pessoal'!$I$512:$AJ$512,0),10,1)),0)
+_xlfn.IFNA(SUM((AB$3&gt;='Gastos com Pessoal'!$E$513:$E$522)*(AB$3&lt;='Gastos com Pessoal'!$F$513:$F$522)*(IF('Gastos com Pessoal'!$S$513:$S$522&lt;=AB$3,1,0))*OFFSET('Gastos com Pessoal'!$H$512,1,MATCH(3&amp;$B52,'Gastos com Pessoal'!$I$532:$AJ$532&amp;'Gastos com Pessoal'!$I$512:$AJ$512,0),10,1)),0)
+_xlfn.IFNA(SUM((AB$3&gt;='Gastos com Pessoal'!$E$513:$E$522)*(AB$3&lt;='Gastos com Pessoal'!$F$513:$F$522)*(IF('Gastos com Pessoal'!$Y$513:$Y$522&lt;=AB$3,1,0))*OFFSET('Gastos com Pessoal'!$H$512,1,MATCH(4&amp;$B52,'Gastos com Pessoal'!$I$532:$AJ$532&amp;'Gastos com Pessoal'!$I$512:$AJ$512,0),10,1)),0)
+_xlfn.IFNA(SUM((AB$3&gt;='Gastos com Pessoal'!$E$513:$E$522)*(AB$3&lt;='Gastos com Pessoal'!$F$513:$F$522)*(IF('Gastos com Pessoal'!$AE$513:$AE$522&lt;=AB$3,1,0))*OFFSET('Gastos com Pessoal'!$H$512,1,MATCH(5&amp;$B52,'Gastos com Pessoal'!$I$532:$AJ$532&amp;'Gastos com Pessoal'!$I$512:$AJ$512,0),10,1)),0)</f>
        <v>24318</v>
      </c>
      <c r="AC52" s="32">
        <f t="array" aca="1" ref="AC52" ca="1">_xlfn.IFNA(SUM((AC$3&gt;='Gastos com Pessoal'!$E$7:$E$506)*(AC$3&lt;='Gastos com Pessoal'!$F$7:$F$506)*OFFSET('Encargos e Benefícios'!$D$5,1,MATCH($B52,'Encargos e Benefícios'!$E$5:$AB$5,0),500,1)),0)
+_xlfn.IFNA(SUM((AC$3&gt;='Gastos com Pessoal'!$E$513:$E$522)*(AC$3&lt;='Gastos com Pessoal'!$F$513:$F$522)*OFFSET('Encargos e Benefícios'!$D$511,1,MATCH($B52,'Encargos e Benefícios'!$E$511:$AB$511,0),10,1)),0)
+_xlfn.IFNA(SUM((AC$3&gt;='Gastos com Pessoal'!$E$7:$E$506)*(AC$3&lt;='Gastos com Pessoal'!$F$7:$F$506)*(IF('Gastos com Pessoal'!$G$7:$G$506&lt;=AC$3,1,0))*OFFSET('Gastos com Pessoal'!$H$6,1,MATCH(1&amp;$B52,'Gastos com Pessoal'!$I$532:$AJ$532&amp;'Gastos com Pessoal'!$I$6:$AJ$6,0),500,1)),0)
+_xlfn.IFNA(SUM((AC$3&gt;='Gastos com Pessoal'!$E$7:$E$506)*(AC$3&lt;='Gastos com Pessoal'!$F$7:$F$506)*(IF('Gastos com Pessoal'!$M$7:$M$506&lt;=AC$3,1,0))*OFFSET('Gastos com Pessoal'!$H$6,1,MATCH(2&amp;$B52,'Gastos com Pessoal'!$I$532:$AJ$532&amp;'Gastos com Pessoal'!$I$6:$AJ$6,0),500,1)),0)
+_xlfn.IFNA(SUM((AC$3&gt;='Gastos com Pessoal'!$E$7:$E$506)*(AC$3&lt;='Gastos com Pessoal'!$F$7:$F$506)*(IF('Gastos com Pessoal'!$S$7:$S$506&lt;=AC$3,1,0))*OFFSET('Gastos com Pessoal'!$H$6,1,MATCH(3&amp;$B52,'Gastos com Pessoal'!$I$532:$AJ$532&amp;'Gastos com Pessoal'!$I$6:$AJ$6,0),500,1)),0)
+_xlfn.IFNA(SUM((AC$3&gt;='Gastos com Pessoal'!$E$7:$E$506)*(AC$3&lt;='Gastos com Pessoal'!$F$7:$F$506)*(IF('Gastos com Pessoal'!$Y$7:$Y$506&lt;=AC$3,1,0))*OFFSET('Gastos com Pessoal'!$H$6,1,MATCH(4&amp;$B52,'Gastos com Pessoal'!$I$532:$AJ$532&amp;'Gastos com Pessoal'!$I$6:$AJ$6,0),500,1)),0)
+_xlfn.IFNA(SUM((AC$3&gt;='Gastos com Pessoal'!$E$7:$E$506)*(AC$3&lt;='Gastos com Pessoal'!$F$7:$F$506)*(IF('Gastos com Pessoal'!$AE$7:$AE$506&lt;=AC$3,1,0))*OFFSET('Gastos com Pessoal'!$H$6,1,MATCH(5&amp;$B52,'Gastos com Pessoal'!$I$532:$AJ$532&amp;'Gastos com Pessoal'!$I$6:$AJ$6,0),500,1)),0)
+_xlfn.IFNA(SUM((AC$3&gt;='Gastos com Pessoal'!$E$513:$E$522)*(AC$3&lt;='Gastos com Pessoal'!$F$513:$F$522)*(IF('Gastos com Pessoal'!$G$513:$G$522&lt;=AC$3,1,0))*OFFSET('Gastos com Pessoal'!$H$512,1,MATCH(1&amp;$B52,'Gastos com Pessoal'!$I$532:$AJ$532&amp;'Gastos com Pessoal'!$I$512:$AJ$512,0),10,1)),0)
+_xlfn.IFNA(SUM((AC$3&gt;='Gastos com Pessoal'!$E$513:$E$522)*(AC$3&lt;='Gastos com Pessoal'!$F$513:$F$522)*(IF('Gastos com Pessoal'!$M$513:$M$522&lt;=AC$3,1,0))*OFFSET('Gastos com Pessoal'!$H$512,1,MATCH(2&amp;$B52,'Gastos com Pessoal'!$I$532:$AJ$532&amp;'Gastos com Pessoal'!$I$512:$AJ$512,0),10,1)),0)
+_xlfn.IFNA(SUM((AC$3&gt;='Gastos com Pessoal'!$E$513:$E$522)*(AC$3&lt;='Gastos com Pessoal'!$F$513:$F$522)*(IF('Gastos com Pessoal'!$S$513:$S$522&lt;=AC$3,1,0))*OFFSET('Gastos com Pessoal'!$H$512,1,MATCH(3&amp;$B52,'Gastos com Pessoal'!$I$532:$AJ$532&amp;'Gastos com Pessoal'!$I$512:$AJ$512,0),10,1)),0)
+_xlfn.IFNA(SUM((AC$3&gt;='Gastos com Pessoal'!$E$513:$E$522)*(AC$3&lt;='Gastos com Pessoal'!$F$513:$F$522)*(IF('Gastos com Pessoal'!$Y$513:$Y$522&lt;=AC$3,1,0))*OFFSET('Gastos com Pessoal'!$H$512,1,MATCH(4&amp;$B52,'Gastos com Pessoal'!$I$532:$AJ$532&amp;'Gastos com Pessoal'!$I$512:$AJ$512,0),10,1)),0)
+_xlfn.IFNA(SUM((AC$3&gt;='Gastos com Pessoal'!$E$513:$E$522)*(AC$3&lt;='Gastos com Pessoal'!$F$513:$F$522)*(IF('Gastos com Pessoal'!$AE$513:$AE$522&lt;=AC$3,1,0))*OFFSET('Gastos com Pessoal'!$H$512,1,MATCH(5&amp;$B52,'Gastos com Pessoal'!$I$532:$AJ$532&amp;'Gastos com Pessoal'!$I$512:$AJ$512,0),10,1)),0)</f>
        <v>24318</v>
      </c>
      <c r="AD52" s="32">
        <f t="array" aca="1" ref="AD52" ca="1">_xlfn.IFNA(SUM((AD$3&gt;='Gastos com Pessoal'!$E$7:$E$506)*(AD$3&lt;='Gastos com Pessoal'!$F$7:$F$506)*OFFSET('Encargos e Benefícios'!$D$5,1,MATCH($B52,'Encargos e Benefícios'!$E$5:$AB$5,0),500,1)),0)
+_xlfn.IFNA(SUM((AD$3&gt;='Gastos com Pessoal'!$E$513:$E$522)*(AD$3&lt;='Gastos com Pessoal'!$F$513:$F$522)*OFFSET('Encargos e Benefícios'!$D$511,1,MATCH($B52,'Encargos e Benefícios'!$E$511:$AB$511,0),10,1)),0)
+_xlfn.IFNA(SUM((AD$3&gt;='Gastos com Pessoal'!$E$7:$E$506)*(AD$3&lt;='Gastos com Pessoal'!$F$7:$F$506)*(IF('Gastos com Pessoal'!$G$7:$G$506&lt;=AD$3,1,0))*OFFSET('Gastos com Pessoal'!$H$6,1,MATCH(1&amp;$B52,'Gastos com Pessoal'!$I$532:$AJ$532&amp;'Gastos com Pessoal'!$I$6:$AJ$6,0),500,1)),0)
+_xlfn.IFNA(SUM((AD$3&gt;='Gastos com Pessoal'!$E$7:$E$506)*(AD$3&lt;='Gastos com Pessoal'!$F$7:$F$506)*(IF('Gastos com Pessoal'!$M$7:$M$506&lt;=AD$3,1,0))*OFFSET('Gastos com Pessoal'!$H$6,1,MATCH(2&amp;$B52,'Gastos com Pessoal'!$I$532:$AJ$532&amp;'Gastos com Pessoal'!$I$6:$AJ$6,0),500,1)),0)
+_xlfn.IFNA(SUM((AD$3&gt;='Gastos com Pessoal'!$E$7:$E$506)*(AD$3&lt;='Gastos com Pessoal'!$F$7:$F$506)*(IF('Gastos com Pessoal'!$S$7:$S$506&lt;=AD$3,1,0))*OFFSET('Gastos com Pessoal'!$H$6,1,MATCH(3&amp;$B52,'Gastos com Pessoal'!$I$532:$AJ$532&amp;'Gastos com Pessoal'!$I$6:$AJ$6,0),500,1)),0)
+_xlfn.IFNA(SUM((AD$3&gt;='Gastos com Pessoal'!$E$7:$E$506)*(AD$3&lt;='Gastos com Pessoal'!$F$7:$F$506)*(IF('Gastos com Pessoal'!$Y$7:$Y$506&lt;=AD$3,1,0))*OFFSET('Gastos com Pessoal'!$H$6,1,MATCH(4&amp;$B52,'Gastos com Pessoal'!$I$532:$AJ$532&amp;'Gastos com Pessoal'!$I$6:$AJ$6,0),500,1)),0)
+_xlfn.IFNA(SUM((AD$3&gt;='Gastos com Pessoal'!$E$7:$E$506)*(AD$3&lt;='Gastos com Pessoal'!$F$7:$F$506)*(IF('Gastos com Pessoal'!$AE$7:$AE$506&lt;=AD$3,1,0))*OFFSET('Gastos com Pessoal'!$H$6,1,MATCH(5&amp;$B52,'Gastos com Pessoal'!$I$532:$AJ$532&amp;'Gastos com Pessoal'!$I$6:$AJ$6,0),500,1)),0)
+_xlfn.IFNA(SUM((AD$3&gt;='Gastos com Pessoal'!$E$513:$E$522)*(AD$3&lt;='Gastos com Pessoal'!$F$513:$F$522)*(IF('Gastos com Pessoal'!$G$513:$G$522&lt;=AD$3,1,0))*OFFSET('Gastos com Pessoal'!$H$512,1,MATCH(1&amp;$B52,'Gastos com Pessoal'!$I$532:$AJ$532&amp;'Gastos com Pessoal'!$I$512:$AJ$512,0),10,1)),0)
+_xlfn.IFNA(SUM((AD$3&gt;='Gastos com Pessoal'!$E$513:$E$522)*(AD$3&lt;='Gastos com Pessoal'!$F$513:$F$522)*(IF('Gastos com Pessoal'!$M$513:$M$522&lt;=AD$3,1,0))*OFFSET('Gastos com Pessoal'!$H$512,1,MATCH(2&amp;$B52,'Gastos com Pessoal'!$I$532:$AJ$532&amp;'Gastos com Pessoal'!$I$512:$AJ$512,0),10,1)),0)
+_xlfn.IFNA(SUM((AD$3&gt;='Gastos com Pessoal'!$E$513:$E$522)*(AD$3&lt;='Gastos com Pessoal'!$F$513:$F$522)*(IF('Gastos com Pessoal'!$S$513:$S$522&lt;=AD$3,1,0))*OFFSET('Gastos com Pessoal'!$H$512,1,MATCH(3&amp;$B52,'Gastos com Pessoal'!$I$532:$AJ$532&amp;'Gastos com Pessoal'!$I$512:$AJ$512,0),10,1)),0)
+_xlfn.IFNA(SUM((AD$3&gt;='Gastos com Pessoal'!$E$513:$E$522)*(AD$3&lt;='Gastos com Pessoal'!$F$513:$F$522)*(IF('Gastos com Pessoal'!$Y$513:$Y$522&lt;=AD$3,1,0))*OFFSET('Gastos com Pessoal'!$H$512,1,MATCH(4&amp;$B52,'Gastos com Pessoal'!$I$532:$AJ$532&amp;'Gastos com Pessoal'!$I$512:$AJ$512,0),10,1)),0)
+_xlfn.IFNA(SUM((AD$3&gt;='Gastos com Pessoal'!$E$513:$E$522)*(AD$3&lt;='Gastos com Pessoal'!$F$513:$F$522)*(IF('Gastos com Pessoal'!$AE$513:$AE$522&lt;=AD$3,1,0))*OFFSET('Gastos com Pessoal'!$H$512,1,MATCH(5&amp;$B52,'Gastos com Pessoal'!$I$532:$AJ$532&amp;'Gastos com Pessoal'!$I$512:$AJ$512,0),10,1)),0)</f>
        <v>24318</v>
      </c>
      <c r="AE52" s="32">
        <f t="array" aca="1" ref="AE52" ca="1">_xlfn.IFNA(SUM((AE$3&gt;='Gastos com Pessoal'!$E$7:$E$506)*(AE$3&lt;='Gastos com Pessoal'!$F$7:$F$506)*OFFSET('Encargos e Benefícios'!$D$5,1,MATCH($B52,'Encargos e Benefícios'!$E$5:$AB$5,0),500,1)),0)
+_xlfn.IFNA(SUM((AE$3&gt;='Gastos com Pessoal'!$E$513:$E$522)*(AE$3&lt;='Gastos com Pessoal'!$F$513:$F$522)*OFFSET('Encargos e Benefícios'!$D$511,1,MATCH($B52,'Encargos e Benefícios'!$E$511:$AB$511,0),10,1)),0)
+_xlfn.IFNA(SUM((AE$3&gt;='Gastos com Pessoal'!$E$7:$E$506)*(AE$3&lt;='Gastos com Pessoal'!$F$7:$F$506)*(IF('Gastos com Pessoal'!$G$7:$G$506&lt;=AE$3,1,0))*OFFSET('Gastos com Pessoal'!$H$6,1,MATCH(1&amp;$B52,'Gastos com Pessoal'!$I$532:$AJ$532&amp;'Gastos com Pessoal'!$I$6:$AJ$6,0),500,1)),0)
+_xlfn.IFNA(SUM((AE$3&gt;='Gastos com Pessoal'!$E$7:$E$506)*(AE$3&lt;='Gastos com Pessoal'!$F$7:$F$506)*(IF('Gastos com Pessoal'!$M$7:$M$506&lt;=AE$3,1,0))*OFFSET('Gastos com Pessoal'!$H$6,1,MATCH(2&amp;$B52,'Gastos com Pessoal'!$I$532:$AJ$532&amp;'Gastos com Pessoal'!$I$6:$AJ$6,0),500,1)),0)
+_xlfn.IFNA(SUM((AE$3&gt;='Gastos com Pessoal'!$E$7:$E$506)*(AE$3&lt;='Gastos com Pessoal'!$F$7:$F$506)*(IF('Gastos com Pessoal'!$S$7:$S$506&lt;=AE$3,1,0))*OFFSET('Gastos com Pessoal'!$H$6,1,MATCH(3&amp;$B52,'Gastos com Pessoal'!$I$532:$AJ$532&amp;'Gastos com Pessoal'!$I$6:$AJ$6,0),500,1)),0)
+_xlfn.IFNA(SUM((AE$3&gt;='Gastos com Pessoal'!$E$7:$E$506)*(AE$3&lt;='Gastos com Pessoal'!$F$7:$F$506)*(IF('Gastos com Pessoal'!$Y$7:$Y$506&lt;=AE$3,1,0))*OFFSET('Gastos com Pessoal'!$H$6,1,MATCH(4&amp;$B52,'Gastos com Pessoal'!$I$532:$AJ$532&amp;'Gastos com Pessoal'!$I$6:$AJ$6,0),500,1)),0)
+_xlfn.IFNA(SUM((AE$3&gt;='Gastos com Pessoal'!$E$7:$E$506)*(AE$3&lt;='Gastos com Pessoal'!$F$7:$F$506)*(IF('Gastos com Pessoal'!$AE$7:$AE$506&lt;=AE$3,1,0))*OFFSET('Gastos com Pessoal'!$H$6,1,MATCH(5&amp;$B52,'Gastos com Pessoal'!$I$532:$AJ$532&amp;'Gastos com Pessoal'!$I$6:$AJ$6,0),500,1)),0)
+_xlfn.IFNA(SUM((AE$3&gt;='Gastos com Pessoal'!$E$513:$E$522)*(AE$3&lt;='Gastos com Pessoal'!$F$513:$F$522)*(IF('Gastos com Pessoal'!$G$513:$G$522&lt;=AE$3,1,0))*OFFSET('Gastos com Pessoal'!$H$512,1,MATCH(1&amp;$B52,'Gastos com Pessoal'!$I$532:$AJ$532&amp;'Gastos com Pessoal'!$I$512:$AJ$512,0),10,1)),0)
+_xlfn.IFNA(SUM((AE$3&gt;='Gastos com Pessoal'!$E$513:$E$522)*(AE$3&lt;='Gastos com Pessoal'!$F$513:$F$522)*(IF('Gastos com Pessoal'!$M$513:$M$522&lt;=AE$3,1,0))*OFFSET('Gastos com Pessoal'!$H$512,1,MATCH(2&amp;$B52,'Gastos com Pessoal'!$I$532:$AJ$532&amp;'Gastos com Pessoal'!$I$512:$AJ$512,0),10,1)),0)
+_xlfn.IFNA(SUM((AE$3&gt;='Gastos com Pessoal'!$E$513:$E$522)*(AE$3&lt;='Gastos com Pessoal'!$F$513:$F$522)*(IF('Gastos com Pessoal'!$S$513:$S$522&lt;=AE$3,1,0))*OFFSET('Gastos com Pessoal'!$H$512,1,MATCH(3&amp;$B52,'Gastos com Pessoal'!$I$532:$AJ$532&amp;'Gastos com Pessoal'!$I$512:$AJ$512,0),10,1)),0)
+_xlfn.IFNA(SUM((AE$3&gt;='Gastos com Pessoal'!$E$513:$E$522)*(AE$3&lt;='Gastos com Pessoal'!$F$513:$F$522)*(IF('Gastos com Pessoal'!$Y$513:$Y$522&lt;=AE$3,1,0))*OFFSET('Gastos com Pessoal'!$H$512,1,MATCH(4&amp;$B52,'Gastos com Pessoal'!$I$532:$AJ$532&amp;'Gastos com Pessoal'!$I$512:$AJ$512,0),10,1)),0)
+_xlfn.IFNA(SUM((AE$3&gt;='Gastos com Pessoal'!$E$513:$E$522)*(AE$3&lt;='Gastos com Pessoal'!$F$513:$F$522)*(IF('Gastos com Pessoal'!$AE$513:$AE$522&lt;=AE$3,1,0))*OFFSET('Gastos com Pessoal'!$H$512,1,MATCH(5&amp;$B52,'Gastos com Pessoal'!$I$532:$AJ$532&amp;'Gastos com Pessoal'!$I$512:$AJ$512,0),10,1)),0)</f>
        <v>24318</v>
      </c>
      <c r="AF52" s="32">
        <f t="array" aca="1" ref="AF52" ca="1">_xlfn.IFNA(SUM((AF$3&gt;='Gastos com Pessoal'!$E$7:$E$506)*(AF$3&lt;='Gastos com Pessoal'!$F$7:$F$506)*OFFSET('Encargos e Benefícios'!$D$5,1,MATCH($B52,'Encargos e Benefícios'!$E$5:$AB$5,0),500,1)),0)
+_xlfn.IFNA(SUM((AF$3&gt;='Gastos com Pessoal'!$E$513:$E$522)*(AF$3&lt;='Gastos com Pessoal'!$F$513:$F$522)*OFFSET('Encargos e Benefícios'!$D$511,1,MATCH($B52,'Encargos e Benefícios'!$E$511:$AB$511,0),10,1)),0)
+_xlfn.IFNA(SUM((AF$3&gt;='Gastos com Pessoal'!$E$7:$E$506)*(AF$3&lt;='Gastos com Pessoal'!$F$7:$F$506)*(IF('Gastos com Pessoal'!$G$7:$G$506&lt;=AF$3,1,0))*OFFSET('Gastos com Pessoal'!$H$6,1,MATCH(1&amp;$B52,'Gastos com Pessoal'!$I$532:$AJ$532&amp;'Gastos com Pessoal'!$I$6:$AJ$6,0),500,1)),0)
+_xlfn.IFNA(SUM((AF$3&gt;='Gastos com Pessoal'!$E$7:$E$506)*(AF$3&lt;='Gastos com Pessoal'!$F$7:$F$506)*(IF('Gastos com Pessoal'!$M$7:$M$506&lt;=AF$3,1,0))*OFFSET('Gastos com Pessoal'!$H$6,1,MATCH(2&amp;$B52,'Gastos com Pessoal'!$I$532:$AJ$532&amp;'Gastos com Pessoal'!$I$6:$AJ$6,0),500,1)),0)
+_xlfn.IFNA(SUM((AF$3&gt;='Gastos com Pessoal'!$E$7:$E$506)*(AF$3&lt;='Gastos com Pessoal'!$F$7:$F$506)*(IF('Gastos com Pessoal'!$S$7:$S$506&lt;=AF$3,1,0))*OFFSET('Gastos com Pessoal'!$H$6,1,MATCH(3&amp;$B52,'Gastos com Pessoal'!$I$532:$AJ$532&amp;'Gastos com Pessoal'!$I$6:$AJ$6,0),500,1)),0)
+_xlfn.IFNA(SUM((AF$3&gt;='Gastos com Pessoal'!$E$7:$E$506)*(AF$3&lt;='Gastos com Pessoal'!$F$7:$F$506)*(IF('Gastos com Pessoal'!$Y$7:$Y$506&lt;=AF$3,1,0))*OFFSET('Gastos com Pessoal'!$H$6,1,MATCH(4&amp;$B52,'Gastos com Pessoal'!$I$532:$AJ$532&amp;'Gastos com Pessoal'!$I$6:$AJ$6,0),500,1)),0)
+_xlfn.IFNA(SUM((AF$3&gt;='Gastos com Pessoal'!$E$7:$E$506)*(AF$3&lt;='Gastos com Pessoal'!$F$7:$F$506)*(IF('Gastos com Pessoal'!$AE$7:$AE$506&lt;=AF$3,1,0))*OFFSET('Gastos com Pessoal'!$H$6,1,MATCH(5&amp;$B52,'Gastos com Pessoal'!$I$532:$AJ$532&amp;'Gastos com Pessoal'!$I$6:$AJ$6,0),500,1)),0)
+_xlfn.IFNA(SUM((AF$3&gt;='Gastos com Pessoal'!$E$513:$E$522)*(AF$3&lt;='Gastos com Pessoal'!$F$513:$F$522)*(IF('Gastos com Pessoal'!$G$513:$G$522&lt;=AF$3,1,0))*OFFSET('Gastos com Pessoal'!$H$512,1,MATCH(1&amp;$B52,'Gastos com Pessoal'!$I$532:$AJ$532&amp;'Gastos com Pessoal'!$I$512:$AJ$512,0),10,1)),0)
+_xlfn.IFNA(SUM((AF$3&gt;='Gastos com Pessoal'!$E$513:$E$522)*(AF$3&lt;='Gastos com Pessoal'!$F$513:$F$522)*(IF('Gastos com Pessoal'!$M$513:$M$522&lt;=AF$3,1,0))*OFFSET('Gastos com Pessoal'!$H$512,1,MATCH(2&amp;$B52,'Gastos com Pessoal'!$I$532:$AJ$532&amp;'Gastos com Pessoal'!$I$512:$AJ$512,0),10,1)),0)
+_xlfn.IFNA(SUM((AF$3&gt;='Gastos com Pessoal'!$E$513:$E$522)*(AF$3&lt;='Gastos com Pessoal'!$F$513:$F$522)*(IF('Gastos com Pessoal'!$S$513:$S$522&lt;=AF$3,1,0))*OFFSET('Gastos com Pessoal'!$H$512,1,MATCH(3&amp;$B52,'Gastos com Pessoal'!$I$532:$AJ$532&amp;'Gastos com Pessoal'!$I$512:$AJ$512,0),10,1)),0)
+_xlfn.IFNA(SUM((AF$3&gt;='Gastos com Pessoal'!$E$513:$E$522)*(AF$3&lt;='Gastos com Pessoal'!$F$513:$F$522)*(IF('Gastos com Pessoal'!$Y$513:$Y$522&lt;=AF$3,1,0))*OFFSET('Gastos com Pessoal'!$H$512,1,MATCH(4&amp;$B52,'Gastos com Pessoal'!$I$532:$AJ$532&amp;'Gastos com Pessoal'!$I$512:$AJ$512,0),10,1)),0)
+_xlfn.IFNA(SUM((AF$3&gt;='Gastos com Pessoal'!$E$513:$E$522)*(AF$3&lt;='Gastos com Pessoal'!$F$513:$F$522)*(IF('Gastos com Pessoal'!$AE$513:$AE$522&lt;=AF$3,1,0))*OFFSET('Gastos com Pessoal'!$H$512,1,MATCH(5&amp;$B52,'Gastos com Pessoal'!$I$532:$AJ$532&amp;'Gastos com Pessoal'!$I$512:$AJ$512,0),10,1)),0)</f>
        <v>24318</v>
      </c>
      <c r="AG52" s="32">
        <f t="array" aca="1" ref="AG52" ca="1">_xlfn.IFNA(SUM((AG$3&gt;='Gastos com Pessoal'!$E$7:$E$506)*(AG$3&lt;='Gastos com Pessoal'!$F$7:$F$506)*OFFSET('Encargos e Benefícios'!$D$5,1,MATCH($B52,'Encargos e Benefícios'!$E$5:$AB$5,0),500,1)),0)
+_xlfn.IFNA(SUM((AG$3&gt;='Gastos com Pessoal'!$E$513:$E$522)*(AG$3&lt;='Gastos com Pessoal'!$F$513:$F$522)*OFFSET('Encargos e Benefícios'!$D$511,1,MATCH($B52,'Encargos e Benefícios'!$E$511:$AB$511,0),10,1)),0)
+_xlfn.IFNA(SUM((AG$3&gt;='Gastos com Pessoal'!$E$7:$E$506)*(AG$3&lt;='Gastos com Pessoal'!$F$7:$F$506)*(IF('Gastos com Pessoal'!$G$7:$G$506&lt;=AG$3,1,0))*OFFSET('Gastos com Pessoal'!$H$6,1,MATCH(1&amp;$B52,'Gastos com Pessoal'!$I$532:$AJ$532&amp;'Gastos com Pessoal'!$I$6:$AJ$6,0),500,1)),0)
+_xlfn.IFNA(SUM((AG$3&gt;='Gastos com Pessoal'!$E$7:$E$506)*(AG$3&lt;='Gastos com Pessoal'!$F$7:$F$506)*(IF('Gastos com Pessoal'!$M$7:$M$506&lt;=AG$3,1,0))*OFFSET('Gastos com Pessoal'!$H$6,1,MATCH(2&amp;$B52,'Gastos com Pessoal'!$I$532:$AJ$532&amp;'Gastos com Pessoal'!$I$6:$AJ$6,0),500,1)),0)
+_xlfn.IFNA(SUM((AG$3&gt;='Gastos com Pessoal'!$E$7:$E$506)*(AG$3&lt;='Gastos com Pessoal'!$F$7:$F$506)*(IF('Gastos com Pessoal'!$S$7:$S$506&lt;=AG$3,1,0))*OFFSET('Gastos com Pessoal'!$H$6,1,MATCH(3&amp;$B52,'Gastos com Pessoal'!$I$532:$AJ$532&amp;'Gastos com Pessoal'!$I$6:$AJ$6,0),500,1)),0)
+_xlfn.IFNA(SUM((AG$3&gt;='Gastos com Pessoal'!$E$7:$E$506)*(AG$3&lt;='Gastos com Pessoal'!$F$7:$F$506)*(IF('Gastos com Pessoal'!$Y$7:$Y$506&lt;=AG$3,1,0))*OFFSET('Gastos com Pessoal'!$H$6,1,MATCH(4&amp;$B52,'Gastos com Pessoal'!$I$532:$AJ$532&amp;'Gastos com Pessoal'!$I$6:$AJ$6,0),500,1)),0)
+_xlfn.IFNA(SUM((AG$3&gt;='Gastos com Pessoal'!$E$7:$E$506)*(AG$3&lt;='Gastos com Pessoal'!$F$7:$F$506)*(IF('Gastos com Pessoal'!$AE$7:$AE$506&lt;=AG$3,1,0))*OFFSET('Gastos com Pessoal'!$H$6,1,MATCH(5&amp;$B52,'Gastos com Pessoal'!$I$532:$AJ$532&amp;'Gastos com Pessoal'!$I$6:$AJ$6,0),500,1)),0)
+_xlfn.IFNA(SUM((AG$3&gt;='Gastos com Pessoal'!$E$513:$E$522)*(AG$3&lt;='Gastos com Pessoal'!$F$513:$F$522)*(IF('Gastos com Pessoal'!$G$513:$G$522&lt;=AG$3,1,0))*OFFSET('Gastos com Pessoal'!$H$512,1,MATCH(1&amp;$B52,'Gastos com Pessoal'!$I$532:$AJ$532&amp;'Gastos com Pessoal'!$I$512:$AJ$512,0),10,1)),0)
+_xlfn.IFNA(SUM((AG$3&gt;='Gastos com Pessoal'!$E$513:$E$522)*(AG$3&lt;='Gastos com Pessoal'!$F$513:$F$522)*(IF('Gastos com Pessoal'!$M$513:$M$522&lt;=AG$3,1,0))*OFFSET('Gastos com Pessoal'!$H$512,1,MATCH(2&amp;$B52,'Gastos com Pessoal'!$I$532:$AJ$532&amp;'Gastos com Pessoal'!$I$512:$AJ$512,0),10,1)),0)
+_xlfn.IFNA(SUM((AG$3&gt;='Gastos com Pessoal'!$E$513:$E$522)*(AG$3&lt;='Gastos com Pessoal'!$F$513:$F$522)*(IF('Gastos com Pessoal'!$S$513:$S$522&lt;=AG$3,1,0))*OFFSET('Gastos com Pessoal'!$H$512,1,MATCH(3&amp;$B52,'Gastos com Pessoal'!$I$532:$AJ$532&amp;'Gastos com Pessoal'!$I$512:$AJ$512,0),10,1)),0)
+_xlfn.IFNA(SUM((AG$3&gt;='Gastos com Pessoal'!$E$513:$E$522)*(AG$3&lt;='Gastos com Pessoal'!$F$513:$F$522)*(IF('Gastos com Pessoal'!$Y$513:$Y$522&lt;=AG$3,1,0))*OFFSET('Gastos com Pessoal'!$H$512,1,MATCH(4&amp;$B52,'Gastos com Pessoal'!$I$532:$AJ$532&amp;'Gastos com Pessoal'!$I$512:$AJ$512,0),10,1)),0)
+_xlfn.IFNA(SUM((AG$3&gt;='Gastos com Pessoal'!$E$513:$E$522)*(AG$3&lt;='Gastos com Pessoal'!$F$513:$F$522)*(IF('Gastos com Pessoal'!$AE$513:$AE$522&lt;=AG$3,1,0))*OFFSET('Gastos com Pessoal'!$H$512,1,MATCH(5&amp;$B52,'Gastos com Pessoal'!$I$532:$AJ$532&amp;'Gastos com Pessoal'!$I$512:$AJ$512,0),10,1)),0)</f>
        <v>24318</v>
      </c>
      <c r="AH52" s="32">
        <f t="array" aca="1" ref="AH52" ca="1">_xlfn.IFNA(SUM((AH$3&gt;='Gastos com Pessoal'!$E$7:$E$506)*(AH$3&lt;='Gastos com Pessoal'!$F$7:$F$506)*OFFSET('Encargos e Benefícios'!$D$5,1,MATCH($B52,'Encargos e Benefícios'!$E$5:$AB$5,0),500,1)),0)
+_xlfn.IFNA(SUM((AH$3&gt;='Gastos com Pessoal'!$E$513:$E$522)*(AH$3&lt;='Gastos com Pessoal'!$F$513:$F$522)*OFFSET('Encargos e Benefícios'!$D$511,1,MATCH($B52,'Encargos e Benefícios'!$E$511:$AB$511,0),10,1)),0)
+_xlfn.IFNA(SUM((AH$3&gt;='Gastos com Pessoal'!$E$7:$E$506)*(AH$3&lt;='Gastos com Pessoal'!$F$7:$F$506)*(IF('Gastos com Pessoal'!$G$7:$G$506&lt;=AH$3,1,0))*OFFSET('Gastos com Pessoal'!$H$6,1,MATCH(1&amp;$B52,'Gastos com Pessoal'!$I$532:$AJ$532&amp;'Gastos com Pessoal'!$I$6:$AJ$6,0),500,1)),0)
+_xlfn.IFNA(SUM((AH$3&gt;='Gastos com Pessoal'!$E$7:$E$506)*(AH$3&lt;='Gastos com Pessoal'!$F$7:$F$506)*(IF('Gastos com Pessoal'!$M$7:$M$506&lt;=AH$3,1,0))*OFFSET('Gastos com Pessoal'!$H$6,1,MATCH(2&amp;$B52,'Gastos com Pessoal'!$I$532:$AJ$532&amp;'Gastos com Pessoal'!$I$6:$AJ$6,0),500,1)),0)
+_xlfn.IFNA(SUM((AH$3&gt;='Gastos com Pessoal'!$E$7:$E$506)*(AH$3&lt;='Gastos com Pessoal'!$F$7:$F$506)*(IF('Gastos com Pessoal'!$S$7:$S$506&lt;=AH$3,1,0))*OFFSET('Gastos com Pessoal'!$H$6,1,MATCH(3&amp;$B52,'Gastos com Pessoal'!$I$532:$AJ$532&amp;'Gastos com Pessoal'!$I$6:$AJ$6,0),500,1)),0)
+_xlfn.IFNA(SUM((AH$3&gt;='Gastos com Pessoal'!$E$7:$E$506)*(AH$3&lt;='Gastos com Pessoal'!$F$7:$F$506)*(IF('Gastos com Pessoal'!$Y$7:$Y$506&lt;=AH$3,1,0))*OFFSET('Gastos com Pessoal'!$H$6,1,MATCH(4&amp;$B52,'Gastos com Pessoal'!$I$532:$AJ$532&amp;'Gastos com Pessoal'!$I$6:$AJ$6,0),500,1)),0)
+_xlfn.IFNA(SUM((AH$3&gt;='Gastos com Pessoal'!$E$7:$E$506)*(AH$3&lt;='Gastos com Pessoal'!$F$7:$F$506)*(IF('Gastos com Pessoal'!$AE$7:$AE$506&lt;=AH$3,1,0))*OFFSET('Gastos com Pessoal'!$H$6,1,MATCH(5&amp;$B52,'Gastos com Pessoal'!$I$532:$AJ$532&amp;'Gastos com Pessoal'!$I$6:$AJ$6,0),500,1)),0)
+_xlfn.IFNA(SUM((AH$3&gt;='Gastos com Pessoal'!$E$513:$E$522)*(AH$3&lt;='Gastos com Pessoal'!$F$513:$F$522)*(IF('Gastos com Pessoal'!$G$513:$G$522&lt;=AH$3,1,0))*OFFSET('Gastos com Pessoal'!$H$512,1,MATCH(1&amp;$B52,'Gastos com Pessoal'!$I$532:$AJ$532&amp;'Gastos com Pessoal'!$I$512:$AJ$512,0),10,1)),0)
+_xlfn.IFNA(SUM((AH$3&gt;='Gastos com Pessoal'!$E$513:$E$522)*(AH$3&lt;='Gastos com Pessoal'!$F$513:$F$522)*(IF('Gastos com Pessoal'!$M$513:$M$522&lt;=AH$3,1,0))*OFFSET('Gastos com Pessoal'!$H$512,1,MATCH(2&amp;$B52,'Gastos com Pessoal'!$I$532:$AJ$532&amp;'Gastos com Pessoal'!$I$512:$AJ$512,0),10,1)),0)
+_xlfn.IFNA(SUM((AH$3&gt;='Gastos com Pessoal'!$E$513:$E$522)*(AH$3&lt;='Gastos com Pessoal'!$F$513:$F$522)*(IF('Gastos com Pessoal'!$S$513:$S$522&lt;=AH$3,1,0))*OFFSET('Gastos com Pessoal'!$H$512,1,MATCH(3&amp;$B52,'Gastos com Pessoal'!$I$532:$AJ$532&amp;'Gastos com Pessoal'!$I$512:$AJ$512,0),10,1)),0)
+_xlfn.IFNA(SUM((AH$3&gt;='Gastos com Pessoal'!$E$513:$E$522)*(AH$3&lt;='Gastos com Pessoal'!$F$513:$F$522)*(IF('Gastos com Pessoal'!$Y$513:$Y$522&lt;=AH$3,1,0))*OFFSET('Gastos com Pessoal'!$H$512,1,MATCH(4&amp;$B52,'Gastos com Pessoal'!$I$532:$AJ$532&amp;'Gastos com Pessoal'!$I$512:$AJ$512,0),10,1)),0)
+_xlfn.IFNA(SUM((AH$3&gt;='Gastos com Pessoal'!$E$513:$E$522)*(AH$3&lt;='Gastos com Pessoal'!$F$513:$F$522)*(IF('Gastos com Pessoal'!$AE$513:$AE$522&lt;=AH$3,1,0))*OFFSET('Gastos com Pessoal'!$H$512,1,MATCH(5&amp;$B52,'Gastos com Pessoal'!$I$532:$AJ$532&amp;'Gastos com Pessoal'!$I$512:$AJ$512,0),10,1)),0)</f>
        <v>24318</v>
      </c>
      <c r="AI52" s="32">
        <f t="array" aca="1" ref="AI52" ca="1">_xlfn.IFNA(SUM((AI$3&gt;='Gastos com Pessoal'!$E$7:$E$506)*(AI$3&lt;='Gastos com Pessoal'!$F$7:$F$506)*OFFSET('Encargos e Benefícios'!$D$5,1,MATCH($B52,'Encargos e Benefícios'!$E$5:$AB$5,0),500,1)),0)
+_xlfn.IFNA(SUM((AI$3&gt;='Gastos com Pessoal'!$E$513:$E$522)*(AI$3&lt;='Gastos com Pessoal'!$F$513:$F$522)*OFFSET('Encargos e Benefícios'!$D$511,1,MATCH($B52,'Encargos e Benefícios'!$E$511:$AB$511,0),10,1)),0)
+_xlfn.IFNA(SUM((AI$3&gt;='Gastos com Pessoal'!$E$7:$E$506)*(AI$3&lt;='Gastos com Pessoal'!$F$7:$F$506)*(IF('Gastos com Pessoal'!$G$7:$G$506&lt;=AI$3,1,0))*OFFSET('Gastos com Pessoal'!$H$6,1,MATCH(1&amp;$B52,'Gastos com Pessoal'!$I$532:$AJ$532&amp;'Gastos com Pessoal'!$I$6:$AJ$6,0),500,1)),0)
+_xlfn.IFNA(SUM((AI$3&gt;='Gastos com Pessoal'!$E$7:$E$506)*(AI$3&lt;='Gastos com Pessoal'!$F$7:$F$506)*(IF('Gastos com Pessoal'!$M$7:$M$506&lt;=AI$3,1,0))*OFFSET('Gastos com Pessoal'!$H$6,1,MATCH(2&amp;$B52,'Gastos com Pessoal'!$I$532:$AJ$532&amp;'Gastos com Pessoal'!$I$6:$AJ$6,0),500,1)),0)
+_xlfn.IFNA(SUM((AI$3&gt;='Gastos com Pessoal'!$E$7:$E$506)*(AI$3&lt;='Gastos com Pessoal'!$F$7:$F$506)*(IF('Gastos com Pessoal'!$S$7:$S$506&lt;=AI$3,1,0))*OFFSET('Gastos com Pessoal'!$H$6,1,MATCH(3&amp;$B52,'Gastos com Pessoal'!$I$532:$AJ$532&amp;'Gastos com Pessoal'!$I$6:$AJ$6,0),500,1)),0)
+_xlfn.IFNA(SUM((AI$3&gt;='Gastos com Pessoal'!$E$7:$E$506)*(AI$3&lt;='Gastos com Pessoal'!$F$7:$F$506)*(IF('Gastos com Pessoal'!$Y$7:$Y$506&lt;=AI$3,1,0))*OFFSET('Gastos com Pessoal'!$H$6,1,MATCH(4&amp;$B52,'Gastos com Pessoal'!$I$532:$AJ$532&amp;'Gastos com Pessoal'!$I$6:$AJ$6,0),500,1)),0)
+_xlfn.IFNA(SUM((AI$3&gt;='Gastos com Pessoal'!$E$7:$E$506)*(AI$3&lt;='Gastos com Pessoal'!$F$7:$F$506)*(IF('Gastos com Pessoal'!$AE$7:$AE$506&lt;=AI$3,1,0))*OFFSET('Gastos com Pessoal'!$H$6,1,MATCH(5&amp;$B52,'Gastos com Pessoal'!$I$532:$AJ$532&amp;'Gastos com Pessoal'!$I$6:$AJ$6,0),500,1)),0)
+_xlfn.IFNA(SUM((AI$3&gt;='Gastos com Pessoal'!$E$513:$E$522)*(AI$3&lt;='Gastos com Pessoal'!$F$513:$F$522)*(IF('Gastos com Pessoal'!$G$513:$G$522&lt;=AI$3,1,0))*OFFSET('Gastos com Pessoal'!$H$512,1,MATCH(1&amp;$B52,'Gastos com Pessoal'!$I$532:$AJ$532&amp;'Gastos com Pessoal'!$I$512:$AJ$512,0),10,1)),0)
+_xlfn.IFNA(SUM((AI$3&gt;='Gastos com Pessoal'!$E$513:$E$522)*(AI$3&lt;='Gastos com Pessoal'!$F$513:$F$522)*(IF('Gastos com Pessoal'!$M$513:$M$522&lt;=AI$3,1,0))*OFFSET('Gastos com Pessoal'!$H$512,1,MATCH(2&amp;$B52,'Gastos com Pessoal'!$I$532:$AJ$532&amp;'Gastos com Pessoal'!$I$512:$AJ$512,0),10,1)),0)
+_xlfn.IFNA(SUM((AI$3&gt;='Gastos com Pessoal'!$E$513:$E$522)*(AI$3&lt;='Gastos com Pessoal'!$F$513:$F$522)*(IF('Gastos com Pessoal'!$S$513:$S$522&lt;=AI$3,1,0))*OFFSET('Gastos com Pessoal'!$H$512,1,MATCH(3&amp;$B52,'Gastos com Pessoal'!$I$532:$AJ$532&amp;'Gastos com Pessoal'!$I$512:$AJ$512,0),10,1)),0)
+_xlfn.IFNA(SUM((AI$3&gt;='Gastos com Pessoal'!$E$513:$E$522)*(AI$3&lt;='Gastos com Pessoal'!$F$513:$F$522)*(IF('Gastos com Pessoal'!$Y$513:$Y$522&lt;=AI$3,1,0))*OFFSET('Gastos com Pessoal'!$H$512,1,MATCH(4&amp;$B52,'Gastos com Pessoal'!$I$532:$AJ$532&amp;'Gastos com Pessoal'!$I$512:$AJ$512,0),10,1)),0)
+_xlfn.IFNA(SUM((AI$3&gt;='Gastos com Pessoal'!$E$513:$E$522)*(AI$3&lt;='Gastos com Pessoal'!$F$513:$F$522)*(IF('Gastos com Pessoal'!$AE$513:$AE$522&lt;=AI$3,1,0))*OFFSET('Gastos com Pessoal'!$H$512,1,MATCH(5&amp;$B52,'Gastos com Pessoal'!$I$532:$AJ$532&amp;'Gastos com Pessoal'!$I$512:$AJ$512,0),10,1)),0)</f>
        <v>24318</v>
      </c>
      <c r="AJ52" s="32">
        <f t="array" aca="1" ref="AJ52" ca="1">_xlfn.IFNA(SUM((AJ$3&gt;='Gastos com Pessoal'!$E$7:$E$506)*(AJ$3&lt;='Gastos com Pessoal'!$F$7:$F$506)*OFFSET('Encargos e Benefícios'!$D$5,1,MATCH($B52,'Encargos e Benefícios'!$E$5:$AB$5,0),500,1)),0)
+_xlfn.IFNA(SUM((AJ$3&gt;='Gastos com Pessoal'!$E$513:$E$522)*(AJ$3&lt;='Gastos com Pessoal'!$F$513:$F$522)*OFFSET('Encargos e Benefícios'!$D$511,1,MATCH($B52,'Encargos e Benefícios'!$E$511:$AB$511,0),10,1)),0)
+_xlfn.IFNA(SUM((AJ$3&gt;='Gastos com Pessoal'!$E$7:$E$506)*(AJ$3&lt;='Gastos com Pessoal'!$F$7:$F$506)*(IF('Gastos com Pessoal'!$G$7:$G$506&lt;=AJ$3,1,0))*OFFSET('Gastos com Pessoal'!$H$6,1,MATCH(1&amp;$B52,'Gastos com Pessoal'!$I$532:$AJ$532&amp;'Gastos com Pessoal'!$I$6:$AJ$6,0),500,1)),0)
+_xlfn.IFNA(SUM((AJ$3&gt;='Gastos com Pessoal'!$E$7:$E$506)*(AJ$3&lt;='Gastos com Pessoal'!$F$7:$F$506)*(IF('Gastos com Pessoal'!$M$7:$M$506&lt;=AJ$3,1,0))*OFFSET('Gastos com Pessoal'!$H$6,1,MATCH(2&amp;$B52,'Gastos com Pessoal'!$I$532:$AJ$532&amp;'Gastos com Pessoal'!$I$6:$AJ$6,0),500,1)),0)
+_xlfn.IFNA(SUM((AJ$3&gt;='Gastos com Pessoal'!$E$7:$E$506)*(AJ$3&lt;='Gastos com Pessoal'!$F$7:$F$506)*(IF('Gastos com Pessoal'!$S$7:$S$506&lt;=AJ$3,1,0))*OFFSET('Gastos com Pessoal'!$H$6,1,MATCH(3&amp;$B52,'Gastos com Pessoal'!$I$532:$AJ$532&amp;'Gastos com Pessoal'!$I$6:$AJ$6,0),500,1)),0)
+_xlfn.IFNA(SUM((AJ$3&gt;='Gastos com Pessoal'!$E$7:$E$506)*(AJ$3&lt;='Gastos com Pessoal'!$F$7:$F$506)*(IF('Gastos com Pessoal'!$Y$7:$Y$506&lt;=AJ$3,1,0))*OFFSET('Gastos com Pessoal'!$H$6,1,MATCH(4&amp;$B52,'Gastos com Pessoal'!$I$532:$AJ$532&amp;'Gastos com Pessoal'!$I$6:$AJ$6,0),500,1)),0)
+_xlfn.IFNA(SUM((AJ$3&gt;='Gastos com Pessoal'!$E$7:$E$506)*(AJ$3&lt;='Gastos com Pessoal'!$F$7:$F$506)*(IF('Gastos com Pessoal'!$AE$7:$AE$506&lt;=AJ$3,1,0))*OFFSET('Gastos com Pessoal'!$H$6,1,MATCH(5&amp;$B52,'Gastos com Pessoal'!$I$532:$AJ$532&amp;'Gastos com Pessoal'!$I$6:$AJ$6,0),500,1)),0)
+_xlfn.IFNA(SUM((AJ$3&gt;='Gastos com Pessoal'!$E$513:$E$522)*(AJ$3&lt;='Gastos com Pessoal'!$F$513:$F$522)*(IF('Gastos com Pessoal'!$G$513:$G$522&lt;=AJ$3,1,0))*OFFSET('Gastos com Pessoal'!$H$512,1,MATCH(1&amp;$B52,'Gastos com Pessoal'!$I$532:$AJ$532&amp;'Gastos com Pessoal'!$I$512:$AJ$512,0),10,1)),0)
+_xlfn.IFNA(SUM((AJ$3&gt;='Gastos com Pessoal'!$E$513:$E$522)*(AJ$3&lt;='Gastos com Pessoal'!$F$513:$F$522)*(IF('Gastos com Pessoal'!$M$513:$M$522&lt;=AJ$3,1,0))*OFFSET('Gastos com Pessoal'!$H$512,1,MATCH(2&amp;$B52,'Gastos com Pessoal'!$I$532:$AJ$532&amp;'Gastos com Pessoal'!$I$512:$AJ$512,0),10,1)),0)
+_xlfn.IFNA(SUM((AJ$3&gt;='Gastos com Pessoal'!$E$513:$E$522)*(AJ$3&lt;='Gastos com Pessoal'!$F$513:$F$522)*(IF('Gastos com Pessoal'!$S$513:$S$522&lt;=AJ$3,1,0))*OFFSET('Gastos com Pessoal'!$H$512,1,MATCH(3&amp;$B52,'Gastos com Pessoal'!$I$532:$AJ$532&amp;'Gastos com Pessoal'!$I$512:$AJ$512,0),10,1)),0)
+_xlfn.IFNA(SUM((AJ$3&gt;='Gastos com Pessoal'!$E$513:$E$522)*(AJ$3&lt;='Gastos com Pessoal'!$F$513:$F$522)*(IF('Gastos com Pessoal'!$Y$513:$Y$522&lt;=AJ$3,1,0))*OFFSET('Gastos com Pessoal'!$H$512,1,MATCH(4&amp;$B52,'Gastos com Pessoal'!$I$532:$AJ$532&amp;'Gastos com Pessoal'!$I$512:$AJ$512,0),10,1)),0)
+_xlfn.IFNA(SUM((AJ$3&gt;='Gastos com Pessoal'!$E$513:$E$522)*(AJ$3&lt;='Gastos com Pessoal'!$F$513:$F$522)*(IF('Gastos com Pessoal'!$AE$513:$AE$522&lt;=AJ$3,1,0))*OFFSET('Gastos com Pessoal'!$H$512,1,MATCH(5&amp;$B52,'Gastos com Pessoal'!$I$532:$AJ$532&amp;'Gastos com Pessoal'!$I$512:$AJ$512,0),10,1)),0)</f>
        <v>24318</v>
      </c>
      <c r="AK52" s="32">
        <f t="array" aca="1" ref="AK52" ca="1">_xlfn.IFNA(SUM((AK$3&gt;='Gastos com Pessoal'!$E$7:$E$506)*(AK$3&lt;='Gastos com Pessoal'!$F$7:$F$506)*OFFSET('Encargos e Benefícios'!$D$5,1,MATCH($B52,'Encargos e Benefícios'!$E$5:$AB$5,0),500,1)),0)
+_xlfn.IFNA(SUM((AK$3&gt;='Gastos com Pessoal'!$E$513:$E$522)*(AK$3&lt;='Gastos com Pessoal'!$F$513:$F$522)*OFFSET('Encargos e Benefícios'!$D$511,1,MATCH($B52,'Encargos e Benefícios'!$E$511:$AB$511,0),10,1)),0)
+_xlfn.IFNA(SUM((AK$3&gt;='Gastos com Pessoal'!$E$7:$E$506)*(AK$3&lt;='Gastos com Pessoal'!$F$7:$F$506)*(IF('Gastos com Pessoal'!$G$7:$G$506&lt;=AK$3,1,0))*OFFSET('Gastos com Pessoal'!$H$6,1,MATCH(1&amp;$B52,'Gastos com Pessoal'!$I$532:$AJ$532&amp;'Gastos com Pessoal'!$I$6:$AJ$6,0),500,1)),0)
+_xlfn.IFNA(SUM((AK$3&gt;='Gastos com Pessoal'!$E$7:$E$506)*(AK$3&lt;='Gastos com Pessoal'!$F$7:$F$506)*(IF('Gastos com Pessoal'!$M$7:$M$506&lt;=AK$3,1,0))*OFFSET('Gastos com Pessoal'!$H$6,1,MATCH(2&amp;$B52,'Gastos com Pessoal'!$I$532:$AJ$532&amp;'Gastos com Pessoal'!$I$6:$AJ$6,0),500,1)),0)
+_xlfn.IFNA(SUM((AK$3&gt;='Gastos com Pessoal'!$E$7:$E$506)*(AK$3&lt;='Gastos com Pessoal'!$F$7:$F$506)*(IF('Gastos com Pessoal'!$S$7:$S$506&lt;=AK$3,1,0))*OFFSET('Gastos com Pessoal'!$H$6,1,MATCH(3&amp;$B52,'Gastos com Pessoal'!$I$532:$AJ$532&amp;'Gastos com Pessoal'!$I$6:$AJ$6,0),500,1)),0)
+_xlfn.IFNA(SUM((AK$3&gt;='Gastos com Pessoal'!$E$7:$E$506)*(AK$3&lt;='Gastos com Pessoal'!$F$7:$F$506)*(IF('Gastos com Pessoal'!$Y$7:$Y$506&lt;=AK$3,1,0))*OFFSET('Gastos com Pessoal'!$H$6,1,MATCH(4&amp;$B52,'Gastos com Pessoal'!$I$532:$AJ$532&amp;'Gastos com Pessoal'!$I$6:$AJ$6,0),500,1)),0)
+_xlfn.IFNA(SUM((AK$3&gt;='Gastos com Pessoal'!$E$7:$E$506)*(AK$3&lt;='Gastos com Pessoal'!$F$7:$F$506)*(IF('Gastos com Pessoal'!$AE$7:$AE$506&lt;=AK$3,1,0))*OFFSET('Gastos com Pessoal'!$H$6,1,MATCH(5&amp;$B52,'Gastos com Pessoal'!$I$532:$AJ$532&amp;'Gastos com Pessoal'!$I$6:$AJ$6,0),500,1)),0)
+_xlfn.IFNA(SUM((AK$3&gt;='Gastos com Pessoal'!$E$513:$E$522)*(AK$3&lt;='Gastos com Pessoal'!$F$513:$F$522)*(IF('Gastos com Pessoal'!$G$513:$G$522&lt;=AK$3,1,0))*OFFSET('Gastos com Pessoal'!$H$512,1,MATCH(1&amp;$B52,'Gastos com Pessoal'!$I$532:$AJ$532&amp;'Gastos com Pessoal'!$I$512:$AJ$512,0),10,1)),0)
+_xlfn.IFNA(SUM((AK$3&gt;='Gastos com Pessoal'!$E$513:$E$522)*(AK$3&lt;='Gastos com Pessoal'!$F$513:$F$522)*(IF('Gastos com Pessoal'!$M$513:$M$522&lt;=AK$3,1,0))*OFFSET('Gastos com Pessoal'!$H$512,1,MATCH(2&amp;$B52,'Gastos com Pessoal'!$I$532:$AJ$532&amp;'Gastos com Pessoal'!$I$512:$AJ$512,0),10,1)),0)
+_xlfn.IFNA(SUM((AK$3&gt;='Gastos com Pessoal'!$E$513:$E$522)*(AK$3&lt;='Gastos com Pessoal'!$F$513:$F$522)*(IF('Gastos com Pessoal'!$S$513:$S$522&lt;=AK$3,1,0))*OFFSET('Gastos com Pessoal'!$H$512,1,MATCH(3&amp;$B52,'Gastos com Pessoal'!$I$532:$AJ$532&amp;'Gastos com Pessoal'!$I$512:$AJ$512,0),10,1)),0)
+_xlfn.IFNA(SUM((AK$3&gt;='Gastos com Pessoal'!$E$513:$E$522)*(AK$3&lt;='Gastos com Pessoal'!$F$513:$F$522)*(IF('Gastos com Pessoal'!$Y$513:$Y$522&lt;=AK$3,1,0))*OFFSET('Gastos com Pessoal'!$H$512,1,MATCH(4&amp;$B52,'Gastos com Pessoal'!$I$532:$AJ$532&amp;'Gastos com Pessoal'!$I$512:$AJ$512,0),10,1)),0)
+_xlfn.IFNA(SUM((AK$3&gt;='Gastos com Pessoal'!$E$513:$E$522)*(AK$3&lt;='Gastos com Pessoal'!$F$513:$F$522)*(IF('Gastos com Pessoal'!$AE$513:$AE$522&lt;=AK$3,1,0))*OFFSET('Gastos com Pessoal'!$H$512,1,MATCH(5&amp;$B52,'Gastos com Pessoal'!$I$532:$AJ$532&amp;'Gastos com Pessoal'!$I$512:$AJ$512,0),10,1)),0)</f>
        <v>24318</v>
      </c>
      <c r="AL52" s="32">
        <f t="array" aca="1" ref="AL52" ca="1">_xlfn.IFNA(SUM((AL$3&gt;='Gastos com Pessoal'!$E$7:$E$506)*(AL$3&lt;='Gastos com Pessoal'!$F$7:$F$506)*OFFSET('Encargos e Benefícios'!$D$5,1,MATCH($B52,'Encargos e Benefícios'!$E$5:$AB$5,0),500,1)),0)
+_xlfn.IFNA(SUM((AL$3&gt;='Gastos com Pessoal'!$E$513:$E$522)*(AL$3&lt;='Gastos com Pessoal'!$F$513:$F$522)*OFFSET('Encargos e Benefícios'!$D$511,1,MATCH($B52,'Encargos e Benefícios'!$E$511:$AB$511,0),10,1)),0)
+_xlfn.IFNA(SUM((AL$3&gt;='Gastos com Pessoal'!$E$7:$E$506)*(AL$3&lt;='Gastos com Pessoal'!$F$7:$F$506)*(IF('Gastos com Pessoal'!$G$7:$G$506&lt;=AL$3,1,0))*OFFSET('Gastos com Pessoal'!$H$6,1,MATCH(1&amp;$B52,'Gastos com Pessoal'!$I$532:$AJ$532&amp;'Gastos com Pessoal'!$I$6:$AJ$6,0),500,1)),0)
+_xlfn.IFNA(SUM((AL$3&gt;='Gastos com Pessoal'!$E$7:$E$506)*(AL$3&lt;='Gastos com Pessoal'!$F$7:$F$506)*(IF('Gastos com Pessoal'!$M$7:$M$506&lt;=AL$3,1,0))*OFFSET('Gastos com Pessoal'!$H$6,1,MATCH(2&amp;$B52,'Gastos com Pessoal'!$I$532:$AJ$532&amp;'Gastos com Pessoal'!$I$6:$AJ$6,0),500,1)),0)
+_xlfn.IFNA(SUM((AL$3&gt;='Gastos com Pessoal'!$E$7:$E$506)*(AL$3&lt;='Gastos com Pessoal'!$F$7:$F$506)*(IF('Gastos com Pessoal'!$S$7:$S$506&lt;=AL$3,1,0))*OFFSET('Gastos com Pessoal'!$H$6,1,MATCH(3&amp;$B52,'Gastos com Pessoal'!$I$532:$AJ$532&amp;'Gastos com Pessoal'!$I$6:$AJ$6,0),500,1)),0)
+_xlfn.IFNA(SUM((AL$3&gt;='Gastos com Pessoal'!$E$7:$E$506)*(AL$3&lt;='Gastos com Pessoal'!$F$7:$F$506)*(IF('Gastos com Pessoal'!$Y$7:$Y$506&lt;=AL$3,1,0))*OFFSET('Gastos com Pessoal'!$H$6,1,MATCH(4&amp;$B52,'Gastos com Pessoal'!$I$532:$AJ$532&amp;'Gastos com Pessoal'!$I$6:$AJ$6,0),500,1)),0)
+_xlfn.IFNA(SUM((AL$3&gt;='Gastos com Pessoal'!$E$7:$E$506)*(AL$3&lt;='Gastos com Pessoal'!$F$7:$F$506)*(IF('Gastos com Pessoal'!$AE$7:$AE$506&lt;=AL$3,1,0))*OFFSET('Gastos com Pessoal'!$H$6,1,MATCH(5&amp;$B52,'Gastos com Pessoal'!$I$532:$AJ$532&amp;'Gastos com Pessoal'!$I$6:$AJ$6,0),500,1)),0)
+_xlfn.IFNA(SUM((AL$3&gt;='Gastos com Pessoal'!$E$513:$E$522)*(AL$3&lt;='Gastos com Pessoal'!$F$513:$F$522)*(IF('Gastos com Pessoal'!$G$513:$G$522&lt;=AL$3,1,0))*OFFSET('Gastos com Pessoal'!$H$512,1,MATCH(1&amp;$B52,'Gastos com Pessoal'!$I$532:$AJ$532&amp;'Gastos com Pessoal'!$I$512:$AJ$512,0),10,1)),0)
+_xlfn.IFNA(SUM((AL$3&gt;='Gastos com Pessoal'!$E$513:$E$522)*(AL$3&lt;='Gastos com Pessoal'!$F$513:$F$522)*(IF('Gastos com Pessoal'!$M$513:$M$522&lt;=AL$3,1,0))*OFFSET('Gastos com Pessoal'!$H$512,1,MATCH(2&amp;$B52,'Gastos com Pessoal'!$I$532:$AJ$532&amp;'Gastos com Pessoal'!$I$512:$AJ$512,0),10,1)),0)
+_xlfn.IFNA(SUM((AL$3&gt;='Gastos com Pessoal'!$E$513:$E$522)*(AL$3&lt;='Gastos com Pessoal'!$F$513:$F$522)*(IF('Gastos com Pessoal'!$S$513:$S$522&lt;=AL$3,1,0))*OFFSET('Gastos com Pessoal'!$H$512,1,MATCH(3&amp;$B52,'Gastos com Pessoal'!$I$532:$AJ$532&amp;'Gastos com Pessoal'!$I$512:$AJ$512,0),10,1)),0)
+_xlfn.IFNA(SUM((AL$3&gt;='Gastos com Pessoal'!$E$513:$E$522)*(AL$3&lt;='Gastos com Pessoal'!$F$513:$F$522)*(IF('Gastos com Pessoal'!$Y$513:$Y$522&lt;=AL$3,1,0))*OFFSET('Gastos com Pessoal'!$H$512,1,MATCH(4&amp;$B52,'Gastos com Pessoal'!$I$532:$AJ$532&amp;'Gastos com Pessoal'!$I$512:$AJ$512,0),10,1)),0)
+_xlfn.IFNA(SUM((AL$3&gt;='Gastos com Pessoal'!$E$513:$E$522)*(AL$3&lt;='Gastos com Pessoal'!$F$513:$F$522)*(IF('Gastos com Pessoal'!$AE$513:$AE$522&lt;=AL$3,1,0))*OFFSET('Gastos com Pessoal'!$H$512,1,MATCH(5&amp;$B52,'Gastos com Pessoal'!$I$532:$AJ$532&amp;'Gastos com Pessoal'!$I$512:$AJ$512,0),10,1)),0)</f>
        <v>24318</v>
      </c>
      <c r="AM52" s="32">
        <f t="array" aca="1" ref="AM52" ca="1">_xlfn.IFNA(SUM((AM$3&gt;='Gastos com Pessoal'!$E$7:$E$506)*(AM$3&lt;='Gastos com Pessoal'!$F$7:$F$506)*OFFSET('Encargos e Benefícios'!$D$5,1,MATCH($B52,'Encargos e Benefícios'!$E$5:$AB$5,0),500,1)),0)
+_xlfn.IFNA(SUM((AM$3&gt;='Gastos com Pessoal'!$E$513:$E$522)*(AM$3&lt;='Gastos com Pessoal'!$F$513:$F$522)*OFFSET('Encargos e Benefícios'!$D$511,1,MATCH($B52,'Encargos e Benefícios'!$E$511:$AB$511,0),10,1)),0)
+_xlfn.IFNA(SUM((AM$3&gt;='Gastos com Pessoal'!$E$7:$E$506)*(AM$3&lt;='Gastos com Pessoal'!$F$7:$F$506)*(IF('Gastos com Pessoal'!$G$7:$G$506&lt;=AM$3,1,0))*OFFSET('Gastos com Pessoal'!$H$6,1,MATCH(1&amp;$B52,'Gastos com Pessoal'!$I$532:$AJ$532&amp;'Gastos com Pessoal'!$I$6:$AJ$6,0),500,1)),0)
+_xlfn.IFNA(SUM((AM$3&gt;='Gastos com Pessoal'!$E$7:$E$506)*(AM$3&lt;='Gastos com Pessoal'!$F$7:$F$506)*(IF('Gastos com Pessoal'!$M$7:$M$506&lt;=AM$3,1,0))*OFFSET('Gastos com Pessoal'!$H$6,1,MATCH(2&amp;$B52,'Gastos com Pessoal'!$I$532:$AJ$532&amp;'Gastos com Pessoal'!$I$6:$AJ$6,0),500,1)),0)
+_xlfn.IFNA(SUM((AM$3&gt;='Gastos com Pessoal'!$E$7:$E$506)*(AM$3&lt;='Gastos com Pessoal'!$F$7:$F$506)*(IF('Gastos com Pessoal'!$S$7:$S$506&lt;=AM$3,1,0))*OFFSET('Gastos com Pessoal'!$H$6,1,MATCH(3&amp;$B52,'Gastos com Pessoal'!$I$532:$AJ$532&amp;'Gastos com Pessoal'!$I$6:$AJ$6,0),500,1)),0)
+_xlfn.IFNA(SUM((AM$3&gt;='Gastos com Pessoal'!$E$7:$E$506)*(AM$3&lt;='Gastos com Pessoal'!$F$7:$F$506)*(IF('Gastos com Pessoal'!$Y$7:$Y$506&lt;=AM$3,1,0))*OFFSET('Gastos com Pessoal'!$H$6,1,MATCH(4&amp;$B52,'Gastos com Pessoal'!$I$532:$AJ$532&amp;'Gastos com Pessoal'!$I$6:$AJ$6,0),500,1)),0)
+_xlfn.IFNA(SUM((AM$3&gt;='Gastos com Pessoal'!$E$7:$E$506)*(AM$3&lt;='Gastos com Pessoal'!$F$7:$F$506)*(IF('Gastos com Pessoal'!$AE$7:$AE$506&lt;=AM$3,1,0))*OFFSET('Gastos com Pessoal'!$H$6,1,MATCH(5&amp;$B52,'Gastos com Pessoal'!$I$532:$AJ$532&amp;'Gastos com Pessoal'!$I$6:$AJ$6,0),500,1)),0)
+_xlfn.IFNA(SUM((AM$3&gt;='Gastos com Pessoal'!$E$513:$E$522)*(AM$3&lt;='Gastos com Pessoal'!$F$513:$F$522)*(IF('Gastos com Pessoal'!$G$513:$G$522&lt;=AM$3,1,0))*OFFSET('Gastos com Pessoal'!$H$512,1,MATCH(1&amp;$B52,'Gastos com Pessoal'!$I$532:$AJ$532&amp;'Gastos com Pessoal'!$I$512:$AJ$512,0),10,1)),0)
+_xlfn.IFNA(SUM((AM$3&gt;='Gastos com Pessoal'!$E$513:$E$522)*(AM$3&lt;='Gastos com Pessoal'!$F$513:$F$522)*(IF('Gastos com Pessoal'!$M$513:$M$522&lt;=AM$3,1,0))*OFFSET('Gastos com Pessoal'!$H$512,1,MATCH(2&amp;$B52,'Gastos com Pessoal'!$I$532:$AJ$532&amp;'Gastos com Pessoal'!$I$512:$AJ$512,0),10,1)),0)
+_xlfn.IFNA(SUM((AM$3&gt;='Gastos com Pessoal'!$E$513:$E$522)*(AM$3&lt;='Gastos com Pessoal'!$F$513:$F$522)*(IF('Gastos com Pessoal'!$S$513:$S$522&lt;=AM$3,1,0))*OFFSET('Gastos com Pessoal'!$H$512,1,MATCH(3&amp;$B52,'Gastos com Pessoal'!$I$532:$AJ$532&amp;'Gastos com Pessoal'!$I$512:$AJ$512,0),10,1)),0)
+_xlfn.IFNA(SUM((AM$3&gt;='Gastos com Pessoal'!$E$513:$E$522)*(AM$3&lt;='Gastos com Pessoal'!$F$513:$F$522)*(IF('Gastos com Pessoal'!$Y$513:$Y$522&lt;=AM$3,1,0))*OFFSET('Gastos com Pessoal'!$H$512,1,MATCH(4&amp;$B52,'Gastos com Pessoal'!$I$532:$AJ$532&amp;'Gastos com Pessoal'!$I$512:$AJ$512,0),10,1)),0)
+_xlfn.IFNA(SUM((AM$3&gt;='Gastos com Pessoal'!$E$513:$E$522)*(AM$3&lt;='Gastos com Pessoal'!$F$513:$F$522)*(IF('Gastos com Pessoal'!$AE$513:$AE$522&lt;=AM$3,1,0))*OFFSET('Gastos com Pessoal'!$H$512,1,MATCH(5&amp;$B52,'Gastos com Pessoal'!$I$532:$AJ$532&amp;'Gastos com Pessoal'!$I$512:$AJ$512,0),10,1)),0)</f>
        <v>0</v>
      </c>
      <c r="AN52" s="32">
        <f t="array" aca="1" ref="AN52" ca="1">_xlfn.IFNA(SUM((AN$3&gt;='Gastos com Pessoal'!$E$7:$E$506)*(AN$3&lt;='Gastos com Pessoal'!$F$7:$F$506)*OFFSET('Encargos e Benefícios'!$D$5,1,MATCH($B52,'Encargos e Benefícios'!$E$5:$AB$5,0),500,1)),0)
+_xlfn.IFNA(SUM((AN$3&gt;='Gastos com Pessoal'!$E$513:$E$522)*(AN$3&lt;='Gastos com Pessoal'!$F$513:$F$522)*OFFSET('Encargos e Benefícios'!$D$511,1,MATCH($B52,'Encargos e Benefícios'!$E$511:$AB$511,0),10,1)),0)
+_xlfn.IFNA(SUM((AN$3&gt;='Gastos com Pessoal'!$E$7:$E$506)*(AN$3&lt;='Gastos com Pessoal'!$F$7:$F$506)*(IF('Gastos com Pessoal'!$G$7:$G$506&lt;=AN$3,1,0))*OFFSET('Gastos com Pessoal'!$H$6,1,MATCH(1&amp;$B52,'Gastos com Pessoal'!$I$532:$AJ$532&amp;'Gastos com Pessoal'!$I$6:$AJ$6,0),500,1)),0)
+_xlfn.IFNA(SUM((AN$3&gt;='Gastos com Pessoal'!$E$7:$E$506)*(AN$3&lt;='Gastos com Pessoal'!$F$7:$F$506)*(IF('Gastos com Pessoal'!$M$7:$M$506&lt;=AN$3,1,0))*OFFSET('Gastos com Pessoal'!$H$6,1,MATCH(2&amp;$B52,'Gastos com Pessoal'!$I$532:$AJ$532&amp;'Gastos com Pessoal'!$I$6:$AJ$6,0),500,1)),0)
+_xlfn.IFNA(SUM((AN$3&gt;='Gastos com Pessoal'!$E$7:$E$506)*(AN$3&lt;='Gastos com Pessoal'!$F$7:$F$506)*(IF('Gastos com Pessoal'!$S$7:$S$506&lt;=AN$3,1,0))*OFFSET('Gastos com Pessoal'!$H$6,1,MATCH(3&amp;$B52,'Gastos com Pessoal'!$I$532:$AJ$532&amp;'Gastos com Pessoal'!$I$6:$AJ$6,0),500,1)),0)
+_xlfn.IFNA(SUM((AN$3&gt;='Gastos com Pessoal'!$E$7:$E$506)*(AN$3&lt;='Gastos com Pessoal'!$F$7:$F$506)*(IF('Gastos com Pessoal'!$Y$7:$Y$506&lt;=AN$3,1,0))*OFFSET('Gastos com Pessoal'!$H$6,1,MATCH(4&amp;$B52,'Gastos com Pessoal'!$I$532:$AJ$532&amp;'Gastos com Pessoal'!$I$6:$AJ$6,0),500,1)),0)
+_xlfn.IFNA(SUM((AN$3&gt;='Gastos com Pessoal'!$E$7:$E$506)*(AN$3&lt;='Gastos com Pessoal'!$F$7:$F$506)*(IF('Gastos com Pessoal'!$AE$7:$AE$506&lt;=AN$3,1,0))*OFFSET('Gastos com Pessoal'!$H$6,1,MATCH(5&amp;$B52,'Gastos com Pessoal'!$I$532:$AJ$532&amp;'Gastos com Pessoal'!$I$6:$AJ$6,0),500,1)),0)
+_xlfn.IFNA(SUM((AN$3&gt;='Gastos com Pessoal'!$E$513:$E$522)*(AN$3&lt;='Gastos com Pessoal'!$F$513:$F$522)*(IF('Gastos com Pessoal'!$G$513:$G$522&lt;=AN$3,1,0))*OFFSET('Gastos com Pessoal'!$H$512,1,MATCH(1&amp;$B52,'Gastos com Pessoal'!$I$532:$AJ$532&amp;'Gastos com Pessoal'!$I$512:$AJ$512,0),10,1)),0)
+_xlfn.IFNA(SUM((AN$3&gt;='Gastos com Pessoal'!$E$513:$E$522)*(AN$3&lt;='Gastos com Pessoal'!$F$513:$F$522)*(IF('Gastos com Pessoal'!$M$513:$M$522&lt;=AN$3,1,0))*OFFSET('Gastos com Pessoal'!$H$512,1,MATCH(2&amp;$B52,'Gastos com Pessoal'!$I$532:$AJ$532&amp;'Gastos com Pessoal'!$I$512:$AJ$512,0),10,1)),0)
+_xlfn.IFNA(SUM((AN$3&gt;='Gastos com Pessoal'!$E$513:$E$522)*(AN$3&lt;='Gastos com Pessoal'!$F$513:$F$522)*(IF('Gastos com Pessoal'!$S$513:$S$522&lt;=AN$3,1,0))*OFFSET('Gastos com Pessoal'!$H$512,1,MATCH(3&amp;$B52,'Gastos com Pessoal'!$I$532:$AJ$532&amp;'Gastos com Pessoal'!$I$512:$AJ$512,0),10,1)),0)
+_xlfn.IFNA(SUM((AN$3&gt;='Gastos com Pessoal'!$E$513:$E$522)*(AN$3&lt;='Gastos com Pessoal'!$F$513:$F$522)*(IF('Gastos com Pessoal'!$Y$513:$Y$522&lt;=AN$3,1,0))*OFFSET('Gastos com Pessoal'!$H$512,1,MATCH(4&amp;$B52,'Gastos com Pessoal'!$I$532:$AJ$532&amp;'Gastos com Pessoal'!$I$512:$AJ$512,0),10,1)),0)
+_xlfn.IFNA(SUM((AN$3&gt;='Gastos com Pessoal'!$E$513:$E$522)*(AN$3&lt;='Gastos com Pessoal'!$F$513:$F$522)*(IF('Gastos com Pessoal'!$AE$513:$AE$522&lt;=AN$3,1,0))*OFFSET('Gastos com Pessoal'!$H$512,1,MATCH(5&amp;$B52,'Gastos com Pessoal'!$I$532:$AJ$532&amp;'Gastos com Pessoal'!$I$512:$AJ$512,0),10,1)),0)</f>
        <v>0</v>
      </c>
      <c r="AO52" s="32">
        <f t="array" aca="1" ref="AO52" ca="1">_xlfn.IFNA(SUM((AO$3&gt;='Gastos com Pessoal'!$E$7:$E$506)*(AO$3&lt;='Gastos com Pessoal'!$F$7:$F$506)*OFFSET('Encargos e Benefícios'!$D$5,1,MATCH($B52,'Encargos e Benefícios'!$E$5:$AB$5,0),500,1)),0)
+_xlfn.IFNA(SUM((AO$3&gt;='Gastos com Pessoal'!$E$513:$E$522)*(AO$3&lt;='Gastos com Pessoal'!$F$513:$F$522)*OFFSET('Encargos e Benefícios'!$D$511,1,MATCH($B52,'Encargos e Benefícios'!$E$511:$AB$511,0),10,1)),0)
+_xlfn.IFNA(SUM((AO$3&gt;='Gastos com Pessoal'!$E$7:$E$506)*(AO$3&lt;='Gastos com Pessoal'!$F$7:$F$506)*(IF('Gastos com Pessoal'!$G$7:$G$506&lt;=AO$3,1,0))*OFFSET('Gastos com Pessoal'!$H$6,1,MATCH(1&amp;$B52,'Gastos com Pessoal'!$I$532:$AJ$532&amp;'Gastos com Pessoal'!$I$6:$AJ$6,0),500,1)),0)
+_xlfn.IFNA(SUM((AO$3&gt;='Gastos com Pessoal'!$E$7:$E$506)*(AO$3&lt;='Gastos com Pessoal'!$F$7:$F$506)*(IF('Gastos com Pessoal'!$M$7:$M$506&lt;=AO$3,1,0))*OFFSET('Gastos com Pessoal'!$H$6,1,MATCH(2&amp;$B52,'Gastos com Pessoal'!$I$532:$AJ$532&amp;'Gastos com Pessoal'!$I$6:$AJ$6,0),500,1)),0)
+_xlfn.IFNA(SUM((AO$3&gt;='Gastos com Pessoal'!$E$7:$E$506)*(AO$3&lt;='Gastos com Pessoal'!$F$7:$F$506)*(IF('Gastos com Pessoal'!$S$7:$S$506&lt;=AO$3,1,0))*OFFSET('Gastos com Pessoal'!$H$6,1,MATCH(3&amp;$B52,'Gastos com Pessoal'!$I$532:$AJ$532&amp;'Gastos com Pessoal'!$I$6:$AJ$6,0),500,1)),0)
+_xlfn.IFNA(SUM((AO$3&gt;='Gastos com Pessoal'!$E$7:$E$506)*(AO$3&lt;='Gastos com Pessoal'!$F$7:$F$506)*(IF('Gastos com Pessoal'!$Y$7:$Y$506&lt;=AO$3,1,0))*OFFSET('Gastos com Pessoal'!$H$6,1,MATCH(4&amp;$B52,'Gastos com Pessoal'!$I$532:$AJ$532&amp;'Gastos com Pessoal'!$I$6:$AJ$6,0),500,1)),0)
+_xlfn.IFNA(SUM((AO$3&gt;='Gastos com Pessoal'!$E$7:$E$506)*(AO$3&lt;='Gastos com Pessoal'!$F$7:$F$506)*(IF('Gastos com Pessoal'!$AE$7:$AE$506&lt;=AO$3,1,0))*OFFSET('Gastos com Pessoal'!$H$6,1,MATCH(5&amp;$B52,'Gastos com Pessoal'!$I$532:$AJ$532&amp;'Gastos com Pessoal'!$I$6:$AJ$6,0),500,1)),0)
+_xlfn.IFNA(SUM((AO$3&gt;='Gastos com Pessoal'!$E$513:$E$522)*(AO$3&lt;='Gastos com Pessoal'!$F$513:$F$522)*(IF('Gastos com Pessoal'!$G$513:$G$522&lt;=AO$3,1,0))*OFFSET('Gastos com Pessoal'!$H$512,1,MATCH(1&amp;$B52,'Gastos com Pessoal'!$I$532:$AJ$532&amp;'Gastos com Pessoal'!$I$512:$AJ$512,0),10,1)),0)
+_xlfn.IFNA(SUM((AO$3&gt;='Gastos com Pessoal'!$E$513:$E$522)*(AO$3&lt;='Gastos com Pessoal'!$F$513:$F$522)*(IF('Gastos com Pessoal'!$M$513:$M$522&lt;=AO$3,1,0))*OFFSET('Gastos com Pessoal'!$H$512,1,MATCH(2&amp;$B52,'Gastos com Pessoal'!$I$532:$AJ$532&amp;'Gastos com Pessoal'!$I$512:$AJ$512,0),10,1)),0)
+_xlfn.IFNA(SUM((AO$3&gt;='Gastos com Pessoal'!$E$513:$E$522)*(AO$3&lt;='Gastos com Pessoal'!$F$513:$F$522)*(IF('Gastos com Pessoal'!$S$513:$S$522&lt;=AO$3,1,0))*OFFSET('Gastos com Pessoal'!$H$512,1,MATCH(3&amp;$B52,'Gastos com Pessoal'!$I$532:$AJ$532&amp;'Gastos com Pessoal'!$I$512:$AJ$512,0),10,1)),0)
+_xlfn.IFNA(SUM((AO$3&gt;='Gastos com Pessoal'!$E$513:$E$522)*(AO$3&lt;='Gastos com Pessoal'!$F$513:$F$522)*(IF('Gastos com Pessoal'!$Y$513:$Y$522&lt;=AO$3,1,0))*OFFSET('Gastos com Pessoal'!$H$512,1,MATCH(4&amp;$B52,'Gastos com Pessoal'!$I$532:$AJ$532&amp;'Gastos com Pessoal'!$I$512:$AJ$512,0),10,1)),0)
+_xlfn.IFNA(SUM((AO$3&gt;='Gastos com Pessoal'!$E$513:$E$522)*(AO$3&lt;='Gastos com Pessoal'!$F$513:$F$522)*(IF('Gastos com Pessoal'!$AE$513:$AE$522&lt;=AO$3,1,0))*OFFSET('Gastos com Pessoal'!$H$512,1,MATCH(5&amp;$B52,'Gastos com Pessoal'!$I$532:$AJ$532&amp;'Gastos com Pessoal'!$I$512:$AJ$512,0),10,1)),0)</f>
        <v>0</v>
      </c>
      <c r="AP52" s="32">
        <f t="array" aca="1" ref="AP52" ca="1">_xlfn.IFNA(SUM((AP$3&gt;='Gastos com Pessoal'!$E$7:$E$506)*(AP$3&lt;='Gastos com Pessoal'!$F$7:$F$506)*OFFSET('Encargos e Benefícios'!$D$5,1,MATCH($B52,'Encargos e Benefícios'!$E$5:$AB$5,0),500,1)),0)
+_xlfn.IFNA(SUM((AP$3&gt;='Gastos com Pessoal'!$E$513:$E$522)*(AP$3&lt;='Gastos com Pessoal'!$F$513:$F$522)*OFFSET('Encargos e Benefícios'!$D$511,1,MATCH($B52,'Encargos e Benefícios'!$E$511:$AB$511,0),10,1)),0)
+_xlfn.IFNA(SUM((AP$3&gt;='Gastos com Pessoal'!$E$7:$E$506)*(AP$3&lt;='Gastos com Pessoal'!$F$7:$F$506)*(IF('Gastos com Pessoal'!$G$7:$G$506&lt;=AP$3,1,0))*OFFSET('Gastos com Pessoal'!$H$6,1,MATCH(1&amp;$B52,'Gastos com Pessoal'!$I$532:$AJ$532&amp;'Gastos com Pessoal'!$I$6:$AJ$6,0),500,1)),0)
+_xlfn.IFNA(SUM((AP$3&gt;='Gastos com Pessoal'!$E$7:$E$506)*(AP$3&lt;='Gastos com Pessoal'!$F$7:$F$506)*(IF('Gastos com Pessoal'!$M$7:$M$506&lt;=AP$3,1,0))*OFFSET('Gastos com Pessoal'!$H$6,1,MATCH(2&amp;$B52,'Gastos com Pessoal'!$I$532:$AJ$532&amp;'Gastos com Pessoal'!$I$6:$AJ$6,0),500,1)),0)
+_xlfn.IFNA(SUM((AP$3&gt;='Gastos com Pessoal'!$E$7:$E$506)*(AP$3&lt;='Gastos com Pessoal'!$F$7:$F$506)*(IF('Gastos com Pessoal'!$S$7:$S$506&lt;=AP$3,1,0))*OFFSET('Gastos com Pessoal'!$H$6,1,MATCH(3&amp;$B52,'Gastos com Pessoal'!$I$532:$AJ$532&amp;'Gastos com Pessoal'!$I$6:$AJ$6,0),500,1)),0)
+_xlfn.IFNA(SUM((AP$3&gt;='Gastos com Pessoal'!$E$7:$E$506)*(AP$3&lt;='Gastos com Pessoal'!$F$7:$F$506)*(IF('Gastos com Pessoal'!$Y$7:$Y$506&lt;=AP$3,1,0))*OFFSET('Gastos com Pessoal'!$H$6,1,MATCH(4&amp;$B52,'Gastos com Pessoal'!$I$532:$AJ$532&amp;'Gastos com Pessoal'!$I$6:$AJ$6,0),500,1)),0)
+_xlfn.IFNA(SUM((AP$3&gt;='Gastos com Pessoal'!$E$7:$E$506)*(AP$3&lt;='Gastos com Pessoal'!$F$7:$F$506)*(IF('Gastos com Pessoal'!$AE$7:$AE$506&lt;=AP$3,1,0))*OFFSET('Gastos com Pessoal'!$H$6,1,MATCH(5&amp;$B52,'Gastos com Pessoal'!$I$532:$AJ$532&amp;'Gastos com Pessoal'!$I$6:$AJ$6,0),500,1)),0)
+_xlfn.IFNA(SUM((AP$3&gt;='Gastos com Pessoal'!$E$513:$E$522)*(AP$3&lt;='Gastos com Pessoal'!$F$513:$F$522)*(IF('Gastos com Pessoal'!$G$513:$G$522&lt;=AP$3,1,0))*OFFSET('Gastos com Pessoal'!$H$512,1,MATCH(1&amp;$B52,'Gastos com Pessoal'!$I$532:$AJ$532&amp;'Gastos com Pessoal'!$I$512:$AJ$512,0),10,1)),0)
+_xlfn.IFNA(SUM((AP$3&gt;='Gastos com Pessoal'!$E$513:$E$522)*(AP$3&lt;='Gastos com Pessoal'!$F$513:$F$522)*(IF('Gastos com Pessoal'!$M$513:$M$522&lt;=AP$3,1,0))*OFFSET('Gastos com Pessoal'!$H$512,1,MATCH(2&amp;$B52,'Gastos com Pessoal'!$I$532:$AJ$532&amp;'Gastos com Pessoal'!$I$512:$AJ$512,0),10,1)),0)
+_xlfn.IFNA(SUM((AP$3&gt;='Gastos com Pessoal'!$E$513:$E$522)*(AP$3&lt;='Gastos com Pessoal'!$F$513:$F$522)*(IF('Gastos com Pessoal'!$S$513:$S$522&lt;=AP$3,1,0))*OFFSET('Gastos com Pessoal'!$H$512,1,MATCH(3&amp;$B52,'Gastos com Pessoal'!$I$532:$AJ$532&amp;'Gastos com Pessoal'!$I$512:$AJ$512,0),10,1)),0)
+_xlfn.IFNA(SUM((AP$3&gt;='Gastos com Pessoal'!$E$513:$E$522)*(AP$3&lt;='Gastos com Pessoal'!$F$513:$F$522)*(IF('Gastos com Pessoal'!$Y$513:$Y$522&lt;=AP$3,1,0))*OFFSET('Gastos com Pessoal'!$H$512,1,MATCH(4&amp;$B52,'Gastos com Pessoal'!$I$532:$AJ$532&amp;'Gastos com Pessoal'!$I$512:$AJ$512,0),10,1)),0)
+_xlfn.IFNA(SUM((AP$3&gt;='Gastos com Pessoal'!$E$513:$E$522)*(AP$3&lt;='Gastos com Pessoal'!$F$513:$F$522)*(IF('Gastos com Pessoal'!$AE$513:$AE$522&lt;=AP$3,1,0))*OFFSET('Gastos com Pessoal'!$H$512,1,MATCH(5&amp;$B52,'Gastos com Pessoal'!$I$532:$AJ$532&amp;'Gastos com Pessoal'!$I$512:$AJ$512,0),10,1)),0)</f>
        <v>0</v>
      </c>
      <c r="AQ52" s="32">
        <f t="array" aca="1" ref="AQ52" ca="1">_xlfn.IFNA(SUM((AQ$3&gt;='Gastos com Pessoal'!$E$7:$E$506)*(AQ$3&lt;='Gastos com Pessoal'!$F$7:$F$506)*OFFSET('Encargos e Benefícios'!$D$5,1,MATCH($B52,'Encargos e Benefícios'!$E$5:$AB$5,0),500,1)),0)
+_xlfn.IFNA(SUM((AQ$3&gt;='Gastos com Pessoal'!$E$513:$E$522)*(AQ$3&lt;='Gastos com Pessoal'!$F$513:$F$522)*OFFSET('Encargos e Benefícios'!$D$511,1,MATCH($B52,'Encargos e Benefícios'!$E$511:$AB$511,0),10,1)),0)
+_xlfn.IFNA(SUM((AQ$3&gt;='Gastos com Pessoal'!$E$7:$E$506)*(AQ$3&lt;='Gastos com Pessoal'!$F$7:$F$506)*(IF('Gastos com Pessoal'!$G$7:$G$506&lt;=AQ$3,1,0))*OFFSET('Gastos com Pessoal'!$H$6,1,MATCH(1&amp;$B52,'Gastos com Pessoal'!$I$532:$AJ$532&amp;'Gastos com Pessoal'!$I$6:$AJ$6,0),500,1)),0)
+_xlfn.IFNA(SUM((AQ$3&gt;='Gastos com Pessoal'!$E$7:$E$506)*(AQ$3&lt;='Gastos com Pessoal'!$F$7:$F$506)*(IF('Gastos com Pessoal'!$M$7:$M$506&lt;=AQ$3,1,0))*OFFSET('Gastos com Pessoal'!$H$6,1,MATCH(2&amp;$B52,'Gastos com Pessoal'!$I$532:$AJ$532&amp;'Gastos com Pessoal'!$I$6:$AJ$6,0),500,1)),0)
+_xlfn.IFNA(SUM((AQ$3&gt;='Gastos com Pessoal'!$E$7:$E$506)*(AQ$3&lt;='Gastos com Pessoal'!$F$7:$F$506)*(IF('Gastos com Pessoal'!$S$7:$S$506&lt;=AQ$3,1,0))*OFFSET('Gastos com Pessoal'!$H$6,1,MATCH(3&amp;$B52,'Gastos com Pessoal'!$I$532:$AJ$532&amp;'Gastos com Pessoal'!$I$6:$AJ$6,0),500,1)),0)
+_xlfn.IFNA(SUM((AQ$3&gt;='Gastos com Pessoal'!$E$7:$E$506)*(AQ$3&lt;='Gastos com Pessoal'!$F$7:$F$506)*(IF('Gastos com Pessoal'!$Y$7:$Y$506&lt;=AQ$3,1,0))*OFFSET('Gastos com Pessoal'!$H$6,1,MATCH(4&amp;$B52,'Gastos com Pessoal'!$I$532:$AJ$532&amp;'Gastos com Pessoal'!$I$6:$AJ$6,0),500,1)),0)
+_xlfn.IFNA(SUM((AQ$3&gt;='Gastos com Pessoal'!$E$7:$E$506)*(AQ$3&lt;='Gastos com Pessoal'!$F$7:$F$506)*(IF('Gastos com Pessoal'!$AE$7:$AE$506&lt;=AQ$3,1,0))*OFFSET('Gastos com Pessoal'!$H$6,1,MATCH(5&amp;$B52,'Gastos com Pessoal'!$I$532:$AJ$532&amp;'Gastos com Pessoal'!$I$6:$AJ$6,0),500,1)),0)
+_xlfn.IFNA(SUM((AQ$3&gt;='Gastos com Pessoal'!$E$513:$E$522)*(AQ$3&lt;='Gastos com Pessoal'!$F$513:$F$522)*(IF('Gastos com Pessoal'!$G$513:$G$522&lt;=AQ$3,1,0))*OFFSET('Gastos com Pessoal'!$H$512,1,MATCH(1&amp;$B52,'Gastos com Pessoal'!$I$532:$AJ$532&amp;'Gastos com Pessoal'!$I$512:$AJ$512,0),10,1)),0)
+_xlfn.IFNA(SUM((AQ$3&gt;='Gastos com Pessoal'!$E$513:$E$522)*(AQ$3&lt;='Gastos com Pessoal'!$F$513:$F$522)*(IF('Gastos com Pessoal'!$M$513:$M$522&lt;=AQ$3,1,0))*OFFSET('Gastos com Pessoal'!$H$512,1,MATCH(2&amp;$B52,'Gastos com Pessoal'!$I$532:$AJ$532&amp;'Gastos com Pessoal'!$I$512:$AJ$512,0),10,1)),0)
+_xlfn.IFNA(SUM((AQ$3&gt;='Gastos com Pessoal'!$E$513:$E$522)*(AQ$3&lt;='Gastos com Pessoal'!$F$513:$F$522)*(IF('Gastos com Pessoal'!$S$513:$S$522&lt;=AQ$3,1,0))*OFFSET('Gastos com Pessoal'!$H$512,1,MATCH(3&amp;$B52,'Gastos com Pessoal'!$I$532:$AJ$532&amp;'Gastos com Pessoal'!$I$512:$AJ$512,0),10,1)),0)
+_xlfn.IFNA(SUM((AQ$3&gt;='Gastos com Pessoal'!$E$513:$E$522)*(AQ$3&lt;='Gastos com Pessoal'!$F$513:$F$522)*(IF('Gastos com Pessoal'!$Y$513:$Y$522&lt;=AQ$3,1,0))*OFFSET('Gastos com Pessoal'!$H$512,1,MATCH(4&amp;$B52,'Gastos com Pessoal'!$I$532:$AJ$532&amp;'Gastos com Pessoal'!$I$512:$AJ$512,0),10,1)),0)
+_xlfn.IFNA(SUM((AQ$3&gt;='Gastos com Pessoal'!$E$513:$E$522)*(AQ$3&lt;='Gastos com Pessoal'!$F$513:$F$522)*(IF('Gastos com Pessoal'!$AE$513:$AE$522&lt;=AQ$3,1,0))*OFFSET('Gastos com Pessoal'!$H$512,1,MATCH(5&amp;$B52,'Gastos com Pessoal'!$I$532:$AJ$532&amp;'Gastos com Pessoal'!$I$512:$AJ$512,0),10,1)),0)</f>
        <v>0</v>
      </c>
      <c r="AR52" s="32">
        <f t="array" aca="1" ref="AR52" ca="1">_xlfn.IFNA(SUM((AR$3&gt;='Gastos com Pessoal'!$E$7:$E$506)*(AR$3&lt;='Gastos com Pessoal'!$F$7:$F$506)*OFFSET('Encargos e Benefícios'!$D$5,1,MATCH($B52,'Encargos e Benefícios'!$E$5:$AB$5,0),500,1)),0)
+_xlfn.IFNA(SUM((AR$3&gt;='Gastos com Pessoal'!$E$513:$E$522)*(AR$3&lt;='Gastos com Pessoal'!$F$513:$F$522)*OFFSET('Encargos e Benefícios'!$D$511,1,MATCH($B52,'Encargos e Benefícios'!$E$511:$AB$511,0),10,1)),0)
+_xlfn.IFNA(SUM((AR$3&gt;='Gastos com Pessoal'!$E$7:$E$506)*(AR$3&lt;='Gastos com Pessoal'!$F$7:$F$506)*(IF('Gastos com Pessoal'!$G$7:$G$506&lt;=AR$3,1,0))*OFFSET('Gastos com Pessoal'!$H$6,1,MATCH(1&amp;$B52,'Gastos com Pessoal'!$I$532:$AJ$532&amp;'Gastos com Pessoal'!$I$6:$AJ$6,0),500,1)),0)
+_xlfn.IFNA(SUM((AR$3&gt;='Gastos com Pessoal'!$E$7:$E$506)*(AR$3&lt;='Gastos com Pessoal'!$F$7:$F$506)*(IF('Gastos com Pessoal'!$M$7:$M$506&lt;=AR$3,1,0))*OFFSET('Gastos com Pessoal'!$H$6,1,MATCH(2&amp;$B52,'Gastos com Pessoal'!$I$532:$AJ$532&amp;'Gastos com Pessoal'!$I$6:$AJ$6,0),500,1)),0)
+_xlfn.IFNA(SUM((AR$3&gt;='Gastos com Pessoal'!$E$7:$E$506)*(AR$3&lt;='Gastos com Pessoal'!$F$7:$F$506)*(IF('Gastos com Pessoal'!$S$7:$S$506&lt;=AR$3,1,0))*OFFSET('Gastos com Pessoal'!$H$6,1,MATCH(3&amp;$B52,'Gastos com Pessoal'!$I$532:$AJ$532&amp;'Gastos com Pessoal'!$I$6:$AJ$6,0),500,1)),0)
+_xlfn.IFNA(SUM((AR$3&gt;='Gastos com Pessoal'!$E$7:$E$506)*(AR$3&lt;='Gastos com Pessoal'!$F$7:$F$506)*(IF('Gastos com Pessoal'!$Y$7:$Y$506&lt;=AR$3,1,0))*OFFSET('Gastos com Pessoal'!$H$6,1,MATCH(4&amp;$B52,'Gastos com Pessoal'!$I$532:$AJ$532&amp;'Gastos com Pessoal'!$I$6:$AJ$6,0),500,1)),0)
+_xlfn.IFNA(SUM((AR$3&gt;='Gastos com Pessoal'!$E$7:$E$506)*(AR$3&lt;='Gastos com Pessoal'!$F$7:$F$506)*(IF('Gastos com Pessoal'!$AE$7:$AE$506&lt;=AR$3,1,0))*OFFSET('Gastos com Pessoal'!$H$6,1,MATCH(5&amp;$B52,'Gastos com Pessoal'!$I$532:$AJ$532&amp;'Gastos com Pessoal'!$I$6:$AJ$6,0),500,1)),0)
+_xlfn.IFNA(SUM((AR$3&gt;='Gastos com Pessoal'!$E$513:$E$522)*(AR$3&lt;='Gastos com Pessoal'!$F$513:$F$522)*(IF('Gastos com Pessoal'!$G$513:$G$522&lt;=AR$3,1,0))*OFFSET('Gastos com Pessoal'!$H$512,1,MATCH(1&amp;$B52,'Gastos com Pessoal'!$I$532:$AJ$532&amp;'Gastos com Pessoal'!$I$512:$AJ$512,0),10,1)),0)
+_xlfn.IFNA(SUM((AR$3&gt;='Gastos com Pessoal'!$E$513:$E$522)*(AR$3&lt;='Gastos com Pessoal'!$F$513:$F$522)*(IF('Gastos com Pessoal'!$M$513:$M$522&lt;=AR$3,1,0))*OFFSET('Gastos com Pessoal'!$H$512,1,MATCH(2&amp;$B52,'Gastos com Pessoal'!$I$532:$AJ$532&amp;'Gastos com Pessoal'!$I$512:$AJ$512,0),10,1)),0)
+_xlfn.IFNA(SUM((AR$3&gt;='Gastos com Pessoal'!$E$513:$E$522)*(AR$3&lt;='Gastos com Pessoal'!$F$513:$F$522)*(IF('Gastos com Pessoal'!$S$513:$S$522&lt;=AR$3,1,0))*OFFSET('Gastos com Pessoal'!$H$512,1,MATCH(3&amp;$B52,'Gastos com Pessoal'!$I$532:$AJ$532&amp;'Gastos com Pessoal'!$I$512:$AJ$512,0),10,1)),0)
+_xlfn.IFNA(SUM((AR$3&gt;='Gastos com Pessoal'!$E$513:$E$522)*(AR$3&lt;='Gastos com Pessoal'!$F$513:$F$522)*(IF('Gastos com Pessoal'!$Y$513:$Y$522&lt;=AR$3,1,0))*OFFSET('Gastos com Pessoal'!$H$512,1,MATCH(4&amp;$B52,'Gastos com Pessoal'!$I$532:$AJ$532&amp;'Gastos com Pessoal'!$I$512:$AJ$512,0),10,1)),0)
+_xlfn.IFNA(SUM((AR$3&gt;='Gastos com Pessoal'!$E$513:$E$522)*(AR$3&lt;='Gastos com Pessoal'!$F$513:$F$522)*(IF('Gastos com Pessoal'!$AE$513:$AE$522&lt;=AR$3,1,0))*OFFSET('Gastos com Pessoal'!$H$512,1,MATCH(5&amp;$B52,'Gastos com Pessoal'!$I$532:$AJ$532&amp;'Gastos com Pessoal'!$I$512:$AJ$512,0),10,1)),0)</f>
        <v>0</v>
      </c>
      <c r="AS52" s="32">
        <f t="array" aca="1" ref="AS52" ca="1">_xlfn.IFNA(SUM((AS$3&gt;='Gastos com Pessoal'!$E$7:$E$506)*(AS$3&lt;='Gastos com Pessoal'!$F$7:$F$506)*OFFSET('Encargos e Benefícios'!$D$5,1,MATCH($B52,'Encargos e Benefícios'!$E$5:$AB$5,0),500,1)),0)
+_xlfn.IFNA(SUM((AS$3&gt;='Gastos com Pessoal'!$E$513:$E$522)*(AS$3&lt;='Gastos com Pessoal'!$F$513:$F$522)*OFFSET('Encargos e Benefícios'!$D$511,1,MATCH($B52,'Encargos e Benefícios'!$E$511:$AB$511,0),10,1)),0)
+_xlfn.IFNA(SUM((AS$3&gt;='Gastos com Pessoal'!$E$7:$E$506)*(AS$3&lt;='Gastos com Pessoal'!$F$7:$F$506)*(IF('Gastos com Pessoal'!$G$7:$G$506&lt;=AS$3,1,0))*OFFSET('Gastos com Pessoal'!$H$6,1,MATCH(1&amp;$B52,'Gastos com Pessoal'!$I$532:$AJ$532&amp;'Gastos com Pessoal'!$I$6:$AJ$6,0),500,1)),0)
+_xlfn.IFNA(SUM((AS$3&gt;='Gastos com Pessoal'!$E$7:$E$506)*(AS$3&lt;='Gastos com Pessoal'!$F$7:$F$506)*(IF('Gastos com Pessoal'!$M$7:$M$506&lt;=AS$3,1,0))*OFFSET('Gastos com Pessoal'!$H$6,1,MATCH(2&amp;$B52,'Gastos com Pessoal'!$I$532:$AJ$532&amp;'Gastos com Pessoal'!$I$6:$AJ$6,0),500,1)),0)
+_xlfn.IFNA(SUM((AS$3&gt;='Gastos com Pessoal'!$E$7:$E$506)*(AS$3&lt;='Gastos com Pessoal'!$F$7:$F$506)*(IF('Gastos com Pessoal'!$S$7:$S$506&lt;=AS$3,1,0))*OFFSET('Gastos com Pessoal'!$H$6,1,MATCH(3&amp;$B52,'Gastos com Pessoal'!$I$532:$AJ$532&amp;'Gastos com Pessoal'!$I$6:$AJ$6,0),500,1)),0)
+_xlfn.IFNA(SUM((AS$3&gt;='Gastos com Pessoal'!$E$7:$E$506)*(AS$3&lt;='Gastos com Pessoal'!$F$7:$F$506)*(IF('Gastos com Pessoal'!$Y$7:$Y$506&lt;=AS$3,1,0))*OFFSET('Gastos com Pessoal'!$H$6,1,MATCH(4&amp;$B52,'Gastos com Pessoal'!$I$532:$AJ$532&amp;'Gastos com Pessoal'!$I$6:$AJ$6,0),500,1)),0)
+_xlfn.IFNA(SUM((AS$3&gt;='Gastos com Pessoal'!$E$7:$E$506)*(AS$3&lt;='Gastos com Pessoal'!$F$7:$F$506)*(IF('Gastos com Pessoal'!$AE$7:$AE$506&lt;=AS$3,1,0))*OFFSET('Gastos com Pessoal'!$H$6,1,MATCH(5&amp;$B52,'Gastos com Pessoal'!$I$532:$AJ$532&amp;'Gastos com Pessoal'!$I$6:$AJ$6,0),500,1)),0)
+_xlfn.IFNA(SUM((AS$3&gt;='Gastos com Pessoal'!$E$513:$E$522)*(AS$3&lt;='Gastos com Pessoal'!$F$513:$F$522)*(IF('Gastos com Pessoal'!$G$513:$G$522&lt;=AS$3,1,0))*OFFSET('Gastos com Pessoal'!$H$512,1,MATCH(1&amp;$B52,'Gastos com Pessoal'!$I$532:$AJ$532&amp;'Gastos com Pessoal'!$I$512:$AJ$512,0),10,1)),0)
+_xlfn.IFNA(SUM((AS$3&gt;='Gastos com Pessoal'!$E$513:$E$522)*(AS$3&lt;='Gastos com Pessoal'!$F$513:$F$522)*(IF('Gastos com Pessoal'!$M$513:$M$522&lt;=AS$3,1,0))*OFFSET('Gastos com Pessoal'!$H$512,1,MATCH(2&amp;$B52,'Gastos com Pessoal'!$I$532:$AJ$532&amp;'Gastos com Pessoal'!$I$512:$AJ$512,0),10,1)),0)
+_xlfn.IFNA(SUM((AS$3&gt;='Gastos com Pessoal'!$E$513:$E$522)*(AS$3&lt;='Gastos com Pessoal'!$F$513:$F$522)*(IF('Gastos com Pessoal'!$S$513:$S$522&lt;=AS$3,1,0))*OFFSET('Gastos com Pessoal'!$H$512,1,MATCH(3&amp;$B52,'Gastos com Pessoal'!$I$532:$AJ$532&amp;'Gastos com Pessoal'!$I$512:$AJ$512,0),10,1)),0)
+_xlfn.IFNA(SUM((AS$3&gt;='Gastos com Pessoal'!$E$513:$E$522)*(AS$3&lt;='Gastos com Pessoal'!$F$513:$F$522)*(IF('Gastos com Pessoal'!$Y$513:$Y$522&lt;=AS$3,1,0))*OFFSET('Gastos com Pessoal'!$H$512,1,MATCH(4&amp;$B52,'Gastos com Pessoal'!$I$532:$AJ$532&amp;'Gastos com Pessoal'!$I$512:$AJ$512,0),10,1)),0)
+_xlfn.IFNA(SUM((AS$3&gt;='Gastos com Pessoal'!$E$513:$E$522)*(AS$3&lt;='Gastos com Pessoal'!$F$513:$F$522)*(IF('Gastos com Pessoal'!$AE$513:$AE$522&lt;=AS$3,1,0))*OFFSET('Gastos com Pessoal'!$H$512,1,MATCH(5&amp;$B52,'Gastos com Pessoal'!$I$532:$AJ$532&amp;'Gastos com Pessoal'!$I$512:$AJ$512,0),10,1)),0)</f>
        <v>0</v>
      </c>
      <c r="AT52" s="32">
        <f t="array" aca="1" ref="AT52" ca="1">_xlfn.IFNA(SUM((AT$3&gt;='Gastos com Pessoal'!$E$7:$E$506)*(AT$3&lt;='Gastos com Pessoal'!$F$7:$F$506)*OFFSET('Encargos e Benefícios'!$D$5,1,MATCH($B52,'Encargos e Benefícios'!$E$5:$AB$5,0),500,1)),0)
+_xlfn.IFNA(SUM((AT$3&gt;='Gastos com Pessoal'!$E$513:$E$522)*(AT$3&lt;='Gastos com Pessoal'!$F$513:$F$522)*OFFSET('Encargos e Benefícios'!$D$511,1,MATCH($B52,'Encargos e Benefícios'!$E$511:$AB$511,0),10,1)),0)
+_xlfn.IFNA(SUM((AT$3&gt;='Gastos com Pessoal'!$E$7:$E$506)*(AT$3&lt;='Gastos com Pessoal'!$F$7:$F$506)*(IF('Gastos com Pessoal'!$G$7:$G$506&lt;=AT$3,1,0))*OFFSET('Gastos com Pessoal'!$H$6,1,MATCH(1&amp;$B52,'Gastos com Pessoal'!$I$532:$AJ$532&amp;'Gastos com Pessoal'!$I$6:$AJ$6,0),500,1)),0)
+_xlfn.IFNA(SUM((AT$3&gt;='Gastos com Pessoal'!$E$7:$E$506)*(AT$3&lt;='Gastos com Pessoal'!$F$7:$F$506)*(IF('Gastos com Pessoal'!$M$7:$M$506&lt;=AT$3,1,0))*OFFSET('Gastos com Pessoal'!$H$6,1,MATCH(2&amp;$B52,'Gastos com Pessoal'!$I$532:$AJ$532&amp;'Gastos com Pessoal'!$I$6:$AJ$6,0),500,1)),0)
+_xlfn.IFNA(SUM((AT$3&gt;='Gastos com Pessoal'!$E$7:$E$506)*(AT$3&lt;='Gastos com Pessoal'!$F$7:$F$506)*(IF('Gastos com Pessoal'!$S$7:$S$506&lt;=AT$3,1,0))*OFFSET('Gastos com Pessoal'!$H$6,1,MATCH(3&amp;$B52,'Gastos com Pessoal'!$I$532:$AJ$532&amp;'Gastos com Pessoal'!$I$6:$AJ$6,0),500,1)),0)
+_xlfn.IFNA(SUM((AT$3&gt;='Gastos com Pessoal'!$E$7:$E$506)*(AT$3&lt;='Gastos com Pessoal'!$F$7:$F$506)*(IF('Gastos com Pessoal'!$Y$7:$Y$506&lt;=AT$3,1,0))*OFFSET('Gastos com Pessoal'!$H$6,1,MATCH(4&amp;$B52,'Gastos com Pessoal'!$I$532:$AJ$532&amp;'Gastos com Pessoal'!$I$6:$AJ$6,0),500,1)),0)
+_xlfn.IFNA(SUM((AT$3&gt;='Gastos com Pessoal'!$E$7:$E$506)*(AT$3&lt;='Gastos com Pessoal'!$F$7:$F$506)*(IF('Gastos com Pessoal'!$AE$7:$AE$506&lt;=AT$3,1,0))*OFFSET('Gastos com Pessoal'!$H$6,1,MATCH(5&amp;$B52,'Gastos com Pessoal'!$I$532:$AJ$532&amp;'Gastos com Pessoal'!$I$6:$AJ$6,0),500,1)),0)
+_xlfn.IFNA(SUM((AT$3&gt;='Gastos com Pessoal'!$E$513:$E$522)*(AT$3&lt;='Gastos com Pessoal'!$F$513:$F$522)*(IF('Gastos com Pessoal'!$G$513:$G$522&lt;=AT$3,1,0))*OFFSET('Gastos com Pessoal'!$H$512,1,MATCH(1&amp;$B52,'Gastos com Pessoal'!$I$532:$AJ$532&amp;'Gastos com Pessoal'!$I$512:$AJ$512,0),10,1)),0)
+_xlfn.IFNA(SUM((AT$3&gt;='Gastos com Pessoal'!$E$513:$E$522)*(AT$3&lt;='Gastos com Pessoal'!$F$513:$F$522)*(IF('Gastos com Pessoal'!$M$513:$M$522&lt;=AT$3,1,0))*OFFSET('Gastos com Pessoal'!$H$512,1,MATCH(2&amp;$B52,'Gastos com Pessoal'!$I$532:$AJ$532&amp;'Gastos com Pessoal'!$I$512:$AJ$512,0),10,1)),0)
+_xlfn.IFNA(SUM((AT$3&gt;='Gastos com Pessoal'!$E$513:$E$522)*(AT$3&lt;='Gastos com Pessoal'!$F$513:$F$522)*(IF('Gastos com Pessoal'!$S$513:$S$522&lt;=AT$3,1,0))*OFFSET('Gastos com Pessoal'!$H$512,1,MATCH(3&amp;$B52,'Gastos com Pessoal'!$I$532:$AJ$532&amp;'Gastos com Pessoal'!$I$512:$AJ$512,0),10,1)),0)
+_xlfn.IFNA(SUM((AT$3&gt;='Gastos com Pessoal'!$E$513:$E$522)*(AT$3&lt;='Gastos com Pessoal'!$F$513:$F$522)*(IF('Gastos com Pessoal'!$Y$513:$Y$522&lt;=AT$3,1,0))*OFFSET('Gastos com Pessoal'!$H$512,1,MATCH(4&amp;$B52,'Gastos com Pessoal'!$I$532:$AJ$532&amp;'Gastos com Pessoal'!$I$512:$AJ$512,0),10,1)),0)
+_xlfn.IFNA(SUM((AT$3&gt;='Gastos com Pessoal'!$E$513:$E$522)*(AT$3&lt;='Gastos com Pessoal'!$F$513:$F$522)*(IF('Gastos com Pessoal'!$AE$513:$AE$522&lt;=AT$3,1,0))*OFFSET('Gastos com Pessoal'!$H$512,1,MATCH(5&amp;$B52,'Gastos com Pessoal'!$I$532:$AJ$532&amp;'Gastos com Pessoal'!$I$512:$AJ$512,0),10,1)),0)</f>
        <v>0</v>
      </c>
      <c r="AU52" s="32">
        <f t="array" aca="1" ref="AU52" ca="1">_xlfn.IFNA(SUM((AU$3&gt;='Gastos com Pessoal'!$E$7:$E$506)*(AU$3&lt;='Gastos com Pessoal'!$F$7:$F$506)*OFFSET('Encargos e Benefícios'!$D$5,1,MATCH($B52,'Encargos e Benefícios'!$E$5:$AB$5,0),500,1)),0)
+_xlfn.IFNA(SUM((AU$3&gt;='Gastos com Pessoal'!$E$513:$E$522)*(AU$3&lt;='Gastos com Pessoal'!$F$513:$F$522)*OFFSET('Encargos e Benefícios'!$D$511,1,MATCH($B52,'Encargos e Benefícios'!$E$511:$AB$511,0),10,1)),0)
+_xlfn.IFNA(SUM((AU$3&gt;='Gastos com Pessoal'!$E$7:$E$506)*(AU$3&lt;='Gastos com Pessoal'!$F$7:$F$506)*(IF('Gastos com Pessoal'!$G$7:$G$506&lt;=AU$3,1,0))*OFFSET('Gastos com Pessoal'!$H$6,1,MATCH(1&amp;$B52,'Gastos com Pessoal'!$I$532:$AJ$532&amp;'Gastos com Pessoal'!$I$6:$AJ$6,0),500,1)),0)
+_xlfn.IFNA(SUM((AU$3&gt;='Gastos com Pessoal'!$E$7:$E$506)*(AU$3&lt;='Gastos com Pessoal'!$F$7:$F$506)*(IF('Gastos com Pessoal'!$M$7:$M$506&lt;=AU$3,1,0))*OFFSET('Gastos com Pessoal'!$H$6,1,MATCH(2&amp;$B52,'Gastos com Pessoal'!$I$532:$AJ$532&amp;'Gastos com Pessoal'!$I$6:$AJ$6,0),500,1)),0)
+_xlfn.IFNA(SUM((AU$3&gt;='Gastos com Pessoal'!$E$7:$E$506)*(AU$3&lt;='Gastos com Pessoal'!$F$7:$F$506)*(IF('Gastos com Pessoal'!$S$7:$S$506&lt;=AU$3,1,0))*OFFSET('Gastos com Pessoal'!$H$6,1,MATCH(3&amp;$B52,'Gastos com Pessoal'!$I$532:$AJ$532&amp;'Gastos com Pessoal'!$I$6:$AJ$6,0),500,1)),0)
+_xlfn.IFNA(SUM((AU$3&gt;='Gastos com Pessoal'!$E$7:$E$506)*(AU$3&lt;='Gastos com Pessoal'!$F$7:$F$506)*(IF('Gastos com Pessoal'!$Y$7:$Y$506&lt;=AU$3,1,0))*OFFSET('Gastos com Pessoal'!$H$6,1,MATCH(4&amp;$B52,'Gastos com Pessoal'!$I$532:$AJ$532&amp;'Gastos com Pessoal'!$I$6:$AJ$6,0),500,1)),0)
+_xlfn.IFNA(SUM((AU$3&gt;='Gastos com Pessoal'!$E$7:$E$506)*(AU$3&lt;='Gastos com Pessoal'!$F$7:$F$506)*(IF('Gastos com Pessoal'!$AE$7:$AE$506&lt;=AU$3,1,0))*OFFSET('Gastos com Pessoal'!$H$6,1,MATCH(5&amp;$B52,'Gastos com Pessoal'!$I$532:$AJ$532&amp;'Gastos com Pessoal'!$I$6:$AJ$6,0),500,1)),0)
+_xlfn.IFNA(SUM((AU$3&gt;='Gastos com Pessoal'!$E$513:$E$522)*(AU$3&lt;='Gastos com Pessoal'!$F$513:$F$522)*(IF('Gastos com Pessoal'!$G$513:$G$522&lt;=AU$3,1,0))*OFFSET('Gastos com Pessoal'!$H$512,1,MATCH(1&amp;$B52,'Gastos com Pessoal'!$I$532:$AJ$532&amp;'Gastos com Pessoal'!$I$512:$AJ$512,0),10,1)),0)
+_xlfn.IFNA(SUM((AU$3&gt;='Gastos com Pessoal'!$E$513:$E$522)*(AU$3&lt;='Gastos com Pessoal'!$F$513:$F$522)*(IF('Gastos com Pessoal'!$M$513:$M$522&lt;=AU$3,1,0))*OFFSET('Gastos com Pessoal'!$H$512,1,MATCH(2&amp;$B52,'Gastos com Pessoal'!$I$532:$AJ$532&amp;'Gastos com Pessoal'!$I$512:$AJ$512,0),10,1)),0)
+_xlfn.IFNA(SUM((AU$3&gt;='Gastos com Pessoal'!$E$513:$E$522)*(AU$3&lt;='Gastos com Pessoal'!$F$513:$F$522)*(IF('Gastos com Pessoal'!$S$513:$S$522&lt;=AU$3,1,0))*OFFSET('Gastos com Pessoal'!$H$512,1,MATCH(3&amp;$B52,'Gastos com Pessoal'!$I$532:$AJ$532&amp;'Gastos com Pessoal'!$I$512:$AJ$512,0),10,1)),0)
+_xlfn.IFNA(SUM((AU$3&gt;='Gastos com Pessoal'!$E$513:$E$522)*(AU$3&lt;='Gastos com Pessoal'!$F$513:$F$522)*(IF('Gastos com Pessoal'!$Y$513:$Y$522&lt;=AU$3,1,0))*OFFSET('Gastos com Pessoal'!$H$512,1,MATCH(4&amp;$B52,'Gastos com Pessoal'!$I$532:$AJ$532&amp;'Gastos com Pessoal'!$I$512:$AJ$512,0),10,1)),0)
+_xlfn.IFNA(SUM((AU$3&gt;='Gastos com Pessoal'!$E$513:$E$522)*(AU$3&lt;='Gastos com Pessoal'!$F$513:$F$522)*(IF('Gastos com Pessoal'!$AE$513:$AE$522&lt;=AU$3,1,0))*OFFSET('Gastos com Pessoal'!$H$512,1,MATCH(5&amp;$B52,'Gastos com Pessoal'!$I$532:$AJ$532&amp;'Gastos com Pessoal'!$I$512:$AJ$512,0),10,1)),0)</f>
        <v>0</v>
      </c>
      <c r="AV52" s="32">
        <f t="array" aca="1" ref="AV52" ca="1">_xlfn.IFNA(SUM((AV$3&gt;='Gastos com Pessoal'!$E$7:$E$506)*(AV$3&lt;='Gastos com Pessoal'!$F$7:$F$506)*OFFSET('Encargos e Benefícios'!$D$5,1,MATCH($B52,'Encargos e Benefícios'!$E$5:$AB$5,0),500,1)),0)
+_xlfn.IFNA(SUM((AV$3&gt;='Gastos com Pessoal'!$E$513:$E$522)*(AV$3&lt;='Gastos com Pessoal'!$F$513:$F$522)*OFFSET('Encargos e Benefícios'!$D$511,1,MATCH($B52,'Encargos e Benefícios'!$E$511:$AB$511,0),10,1)),0)
+_xlfn.IFNA(SUM((AV$3&gt;='Gastos com Pessoal'!$E$7:$E$506)*(AV$3&lt;='Gastos com Pessoal'!$F$7:$F$506)*(IF('Gastos com Pessoal'!$G$7:$G$506&lt;=AV$3,1,0))*OFFSET('Gastos com Pessoal'!$H$6,1,MATCH(1&amp;$B52,'Gastos com Pessoal'!$I$532:$AJ$532&amp;'Gastos com Pessoal'!$I$6:$AJ$6,0),500,1)),0)
+_xlfn.IFNA(SUM((AV$3&gt;='Gastos com Pessoal'!$E$7:$E$506)*(AV$3&lt;='Gastos com Pessoal'!$F$7:$F$506)*(IF('Gastos com Pessoal'!$M$7:$M$506&lt;=AV$3,1,0))*OFFSET('Gastos com Pessoal'!$H$6,1,MATCH(2&amp;$B52,'Gastos com Pessoal'!$I$532:$AJ$532&amp;'Gastos com Pessoal'!$I$6:$AJ$6,0),500,1)),0)
+_xlfn.IFNA(SUM((AV$3&gt;='Gastos com Pessoal'!$E$7:$E$506)*(AV$3&lt;='Gastos com Pessoal'!$F$7:$F$506)*(IF('Gastos com Pessoal'!$S$7:$S$506&lt;=AV$3,1,0))*OFFSET('Gastos com Pessoal'!$H$6,1,MATCH(3&amp;$B52,'Gastos com Pessoal'!$I$532:$AJ$532&amp;'Gastos com Pessoal'!$I$6:$AJ$6,0),500,1)),0)
+_xlfn.IFNA(SUM((AV$3&gt;='Gastos com Pessoal'!$E$7:$E$506)*(AV$3&lt;='Gastos com Pessoal'!$F$7:$F$506)*(IF('Gastos com Pessoal'!$Y$7:$Y$506&lt;=AV$3,1,0))*OFFSET('Gastos com Pessoal'!$H$6,1,MATCH(4&amp;$B52,'Gastos com Pessoal'!$I$532:$AJ$532&amp;'Gastos com Pessoal'!$I$6:$AJ$6,0),500,1)),0)
+_xlfn.IFNA(SUM((AV$3&gt;='Gastos com Pessoal'!$E$7:$E$506)*(AV$3&lt;='Gastos com Pessoal'!$F$7:$F$506)*(IF('Gastos com Pessoal'!$AE$7:$AE$506&lt;=AV$3,1,0))*OFFSET('Gastos com Pessoal'!$H$6,1,MATCH(5&amp;$B52,'Gastos com Pessoal'!$I$532:$AJ$532&amp;'Gastos com Pessoal'!$I$6:$AJ$6,0),500,1)),0)
+_xlfn.IFNA(SUM((AV$3&gt;='Gastos com Pessoal'!$E$513:$E$522)*(AV$3&lt;='Gastos com Pessoal'!$F$513:$F$522)*(IF('Gastos com Pessoal'!$G$513:$G$522&lt;=AV$3,1,0))*OFFSET('Gastos com Pessoal'!$H$512,1,MATCH(1&amp;$B52,'Gastos com Pessoal'!$I$532:$AJ$532&amp;'Gastos com Pessoal'!$I$512:$AJ$512,0),10,1)),0)
+_xlfn.IFNA(SUM((AV$3&gt;='Gastos com Pessoal'!$E$513:$E$522)*(AV$3&lt;='Gastos com Pessoal'!$F$513:$F$522)*(IF('Gastos com Pessoal'!$M$513:$M$522&lt;=AV$3,1,0))*OFFSET('Gastos com Pessoal'!$H$512,1,MATCH(2&amp;$B52,'Gastos com Pessoal'!$I$532:$AJ$532&amp;'Gastos com Pessoal'!$I$512:$AJ$512,0),10,1)),0)
+_xlfn.IFNA(SUM((AV$3&gt;='Gastos com Pessoal'!$E$513:$E$522)*(AV$3&lt;='Gastos com Pessoal'!$F$513:$F$522)*(IF('Gastos com Pessoal'!$S$513:$S$522&lt;=AV$3,1,0))*OFFSET('Gastos com Pessoal'!$H$512,1,MATCH(3&amp;$B52,'Gastos com Pessoal'!$I$532:$AJ$532&amp;'Gastos com Pessoal'!$I$512:$AJ$512,0),10,1)),0)
+_xlfn.IFNA(SUM((AV$3&gt;='Gastos com Pessoal'!$E$513:$E$522)*(AV$3&lt;='Gastos com Pessoal'!$F$513:$F$522)*(IF('Gastos com Pessoal'!$Y$513:$Y$522&lt;=AV$3,1,0))*OFFSET('Gastos com Pessoal'!$H$512,1,MATCH(4&amp;$B52,'Gastos com Pessoal'!$I$532:$AJ$532&amp;'Gastos com Pessoal'!$I$512:$AJ$512,0),10,1)),0)
+_xlfn.IFNA(SUM((AV$3&gt;='Gastos com Pessoal'!$E$513:$E$522)*(AV$3&lt;='Gastos com Pessoal'!$F$513:$F$522)*(IF('Gastos com Pessoal'!$AE$513:$AE$522&lt;=AV$3,1,0))*OFFSET('Gastos com Pessoal'!$H$512,1,MATCH(5&amp;$B52,'Gastos com Pessoal'!$I$532:$AJ$532&amp;'Gastos com Pessoal'!$I$512:$AJ$512,0),10,1)),0)</f>
        <v>0</v>
      </c>
      <c r="AW52" s="32">
        <f t="array" aca="1" ref="AW52" ca="1">_xlfn.IFNA(SUM((AW$3&gt;='Gastos com Pessoal'!$E$7:$E$506)*(AW$3&lt;='Gastos com Pessoal'!$F$7:$F$506)*OFFSET('Encargos e Benefícios'!$D$5,1,MATCH($B52,'Encargos e Benefícios'!$E$5:$AB$5,0),500,1)),0)
+_xlfn.IFNA(SUM((AW$3&gt;='Gastos com Pessoal'!$E$513:$E$522)*(AW$3&lt;='Gastos com Pessoal'!$F$513:$F$522)*OFFSET('Encargos e Benefícios'!$D$511,1,MATCH($B52,'Encargos e Benefícios'!$E$511:$AB$511,0),10,1)),0)
+_xlfn.IFNA(SUM((AW$3&gt;='Gastos com Pessoal'!$E$7:$E$506)*(AW$3&lt;='Gastos com Pessoal'!$F$7:$F$506)*(IF('Gastos com Pessoal'!$G$7:$G$506&lt;=AW$3,1,0))*OFFSET('Gastos com Pessoal'!$H$6,1,MATCH(1&amp;$B52,'Gastos com Pessoal'!$I$532:$AJ$532&amp;'Gastos com Pessoal'!$I$6:$AJ$6,0),500,1)),0)
+_xlfn.IFNA(SUM((AW$3&gt;='Gastos com Pessoal'!$E$7:$E$506)*(AW$3&lt;='Gastos com Pessoal'!$F$7:$F$506)*(IF('Gastos com Pessoal'!$M$7:$M$506&lt;=AW$3,1,0))*OFFSET('Gastos com Pessoal'!$H$6,1,MATCH(2&amp;$B52,'Gastos com Pessoal'!$I$532:$AJ$532&amp;'Gastos com Pessoal'!$I$6:$AJ$6,0),500,1)),0)
+_xlfn.IFNA(SUM((AW$3&gt;='Gastos com Pessoal'!$E$7:$E$506)*(AW$3&lt;='Gastos com Pessoal'!$F$7:$F$506)*(IF('Gastos com Pessoal'!$S$7:$S$506&lt;=AW$3,1,0))*OFFSET('Gastos com Pessoal'!$H$6,1,MATCH(3&amp;$B52,'Gastos com Pessoal'!$I$532:$AJ$532&amp;'Gastos com Pessoal'!$I$6:$AJ$6,0),500,1)),0)
+_xlfn.IFNA(SUM((AW$3&gt;='Gastos com Pessoal'!$E$7:$E$506)*(AW$3&lt;='Gastos com Pessoal'!$F$7:$F$506)*(IF('Gastos com Pessoal'!$Y$7:$Y$506&lt;=AW$3,1,0))*OFFSET('Gastos com Pessoal'!$H$6,1,MATCH(4&amp;$B52,'Gastos com Pessoal'!$I$532:$AJ$532&amp;'Gastos com Pessoal'!$I$6:$AJ$6,0),500,1)),0)
+_xlfn.IFNA(SUM((AW$3&gt;='Gastos com Pessoal'!$E$7:$E$506)*(AW$3&lt;='Gastos com Pessoal'!$F$7:$F$506)*(IF('Gastos com Pessoal'!$AE$7:$AE$506&lt;=AW$3,1,0))*OFFSET('Gastos com Pessoal'!$H$6,1,MATCH(5&amp;$B52,'Gastos com Pessoal'!$I$532:$AJ$532&amp;'Gastos com Pessoal'!$I$6:$AJ$6,0),500,1)),0)
+_xlfn.IFNA(SUM((AW$3&gt;='Gastos com Pessoal'!$E$513:$E$522)*(AW$3&lt;='Gastos com Pessoal'!$F$513:$F$522)*(IF('Gastos com Pessoal'!$G$513:$G$522&lt;=AW$3,1,0))*OFFSET('Gastos com Pessoal'!$H$512,1,MATCH(1&amp;$B52,'Gastos com Pessoal'!$I$532:$AJ$532&amp;'Gastos com Pessoal'!$I$512:$AJ$512,0),10,1)),0)
+_xlfn.IFNA(SUM((AW$3&gt;='Gastos com Pessoal'!$E$513:$E$522)*(AW$3&lt;='Gastos com Pessoal'!$F$513:$F$522)*(IF('Gastos com Pessoal'!$M$513:$M$522&lt;=AW$3,1,0))*OFFSET('Gastos com Pessoal'!$H$512,1,MATCH(2&amp;$B52,'Gastos com Pessoal'!$I$532:$AJ$532&amp;'Gastos com Pessoal'!$I$512:$AJ$512,0),10,1)),0)
+_xlfn.IFNA(SUM((AW$3&gt;='Gastos com Pessoal'!$E$513:$E$522)*(AW$3&lt;='Gastos com Pessoal'!$F$513:$F$522)*(IF('Gastos com Pessoal'!$S$513:$S$522&lt;=AW$3,1,0))*OFFSET('Gastos com Pessoal'!$H$512,1,MATCH(3&amp;$B52,'Gastos com Pessoal'!$I$532:$AJ$532&amp;'Gastos com Pessoal'!$I$512:$AJ$512,0),10,1)),0)
+_xlfn.IFNA(SUM((AW$3&gt;='Gastos com Pessoal'!$E$513:$E$522)*(AW$3&lt;='Gastos com Pessoal'!$F$513:$F$522)*(IF('Gastos com Pessoal'!$Y$513:$Y$522&lt;=AW$3,1,0))*OFFSET('Gastos com Pessoal'!$H$512,1,MATCH(4&amp;$B52,'Gastos com Pessoal'!$I$532:$AJ$532&amp;'Gastos com Pessoal'!$I$512:$AJ$512,0),10,1)),0)
+_xlfn.IFNA(SUM((AW$3&gt;='Gastos com Pessoal'!$E$513:$E$522)*(AW$3&lt;='Gastos com Pessoal'!$F$513:$F$522)*(IF('Gastos com Pessoal'!$AE$513:$AE$522&lt;=AW$3,1,0))*OFFSET('Gastos com Pessoal'!$H$512,1,MATCH(5&amp;$B52,'Gastos com Pessoal'!$I$532:$AJ$532&amp;'Gastos com Pessoal'!$I$512:$AJ$512,0),10,1)),0)</f>
        <v>0</v>
      </c>
      <c r="AX52" s="32">
        <f t="array" aca="1" ref="AX52" ca="1">_xlfn.IFNA(SUM((AX$3&gt;='Gastos com Pessoal'!$E$7:$E$506)*(AX$3&lt;='Gastos com Pessoal'!$F$7:$F$506)*OFFSET('Encargos e Benefícios'!$D$5,1,MATCH($B52,'Encargos e Benefícios'!$E$5:$AB$5,0),500,1)),0)
+_xlfn.IFNA(SUM((AX$3&gt;='Gastos com Pessoal'!$E$513:$E$522)*(AX$3&lt;='Gastos com Pessoal'!$F$513:$F$522)*OFFSET('Encargos e Benefícios'!$D$511,1,MATCH($B52,'Encargos e Benefícios'!$E$511:$AB$511,0),10,1)),0)
+_xlfn.IFNA(SUM((AX$3&gt;='Gastos com Pessoal'!$E$7:$E$506)*(AX$3&lt;='Gastos com Pessoal'!$F$7:$F$506)*(IF('Gastos com Pessoal'!$G$7:$G$506&lt;=AX$3,1,0))*OFFSET('Gastos com Pessoal'!$H$6,1,MATCH(1&amp;$B52,'Gastos com Pessoal'!$I$532:$AJ$532&amp;'Gastos com Pessoal'!$I$6:$AJ$6,0),500,1)),0)
+_xlfn.IFNA(SUM((AX$3&gt;='Gastos com Pessoal'!$E$7:$E$506)*(AX$3&lt;='Gastos com Pessoal'!$F$7:$F$506)*(IF('Gastos com Pessoal'!$M$7:$M$506&lt;=AX$3,1,0))*OFFSET('Gastos com Pessoal'!$H$6,1,MATCH(2&amp;$B52,'Gastos com Pessoal'!$I$532:$AJ$532&amp;'Gastos com Pessoal'!$I$6:$AJ$6,0),500,1)),0)
+_xlfn.IFNA(SUM((AX$3&gt;='Gastos com Pessoal'!$E$7:$E$506)*(AX$3&lt;='Gastos com Pessoal'!$F$7:$F$506)*(IF('Gastos com Pessoal'!$S$7:$S$506&lt;=AX$3,1,0))*OFFSET('Gastos com Pessoal'!$H$6,1,MATCH(3&amp;$B52,'Gastos com Pessoal'!$I$532:$AJ$532&amp;'Gastos com Pessoal'!$I$6:$AJ$6,0),500,1)),0)
+_xlfn.IFNA(SUM((AX$3&gt;='Gastos com Pessoal'!$E$7:$E$506)*(AX$3&lt;='Gastos com Pessoal'!$F$7:$F$506)*(IF('Gastos com Pessoal'!$Y$7:$Y$506&lt;=AX$3,1,0))*OFFSET('Gastos com Pessoal'!$H$6,1,MATCH(4&amp;$B52,'Gastos com Pessoal'!$I$532:$AJ$532&amp;'Gastos com Pessoal'!$I$6:$AJ$6,0),500,1)),0)
+_xlfn.IFNA(SUM((AX$3&gt;='Gastos com Pessoal'!$E$7:$E$506)*(AX$3&lt;='Gastos com Pessoal'!$F$7:$F$506)*(IF('Gastos com Pessoal'!$AE$7:$AE$506&lt;=AX$3,1,0))*OFFSET('Gastos com Pessoal'!$H$6,1,MATCH(5&amp;$B52,'Gastos com Pessoal'!$I$532:$AJ$532&amp;'Gastos com Pessoal'!$I$6:$AJ$6,0),500,1)),0)
+_xlfn.IFNA(SUM((AX$3&gt;='Gastos com Pessoal'!$E$513:$E$522)*(AX$3&lt;='Gastos com Pessoal'!$F$513:$F$522)*(IF('Gastos com Pessoal'!$G$513:$G$522&lt;=AX$3,1,0))*OFFSET('Gastos com Pessoal'!$H$512,1,MATCH(1&amp;$B52,'Gastos com Pessoal'!$I$532:$AJ$532&amp;'Gastos com Pessoal'!$I$512:$AJ$512,0),10,1)),0)
+_xlfn.IFNA(SUM((AX$3&gt;='Gastos com Pessoal'!$E$513:$E$522)*(AX$3&lt;='Gastos com Pessoal'!$F$513:$F$522)*(IF('Gastos com Pessoal'!$M$513:$M$522&lt;=AX$3,1,0))*OFFSET('Gastos com Pessoal'!$H$512,1,MATCH(2&amp;$B52,'Gastos com Pessoal'!$I$532:$AJ$532&amp;'Gastos com Pessoal'!$I$512:$AJ$512,0),10,1)),0)
+_xlfn.IFNA(SUM((AX$3&gt;='Gastos com Pessoal'!$E$513:$E$522)*(AX$3&lt;='Gastos com Pessoal'!$F$513:$F$522)*(IF('Gastos com Pessoal'!$S$513:$S$522&lt;=AX$3,1,0))*OFFSET('Gastos com Pessoal'!$H$512,1,MATCH(3&amp;$B52,'Gastos com Pessoal'!$I$532:$AJ$532&amp;'Gastos com Pessoal'!$I$512:$AJ$512,0),10,1)),0)
+_xlfn.IFNA(SUM((AX$3&gt;='Gastos com Pessoal'!$E$513:$E$522)*(AX$3&lt;='Gastos com Pessoal'!$F$513:$F$522)*(IF('Gastos com Pessoal'!$Y$513:$Y$522&lt;=AX$3,1,0))*OFFSET('Gastos com Pessoal'!$H$512,1,MATCH(4&amp;$B52,'Gastos com Pessoal'!$I$532:$AJ$532&amp;'Gastos com Pessoal'!$I$512:$AJ$512,0),10,1)),0)
+_xlfn.IFNA(SUM((AX$3&gt;='Gastos com Pessoal'!$E$513:$E$522)*(AX$3&lt;='Gastos com Pessoal'!$F$513:$F$522)*(IF('Gastos com Pessoal'!$AE$513:$AE$522&lt;=AX$3,1,0))*OFFSET('Gastos com Pessoal'!$H$512,1,MATCH(5&amp;$B52,'Gastos com Pessoal'!$I$532:$AJ$532&amp;'Gastos com Pessoal'!$I$512:$AJ$512,0),10,1)),0)</f>
        <v>0</v>
      </c>
      <c r="AY52" s="32">
        <f t="array" aca="1" ref="AY52" ca="1">_xlfn.IFNA(SUM((AY$3&gt;='Gastos com Pessoal'!$E$7:$E$506)*(AY$3&lt;='Gastos com Pessoal'!$F$7:$F$506)*OFFSET('Encargos e Benefícios'!$D$5,1,MATCH($B52,'Encargos e Benefícios'!$E$5:$AB$5,0),500,1)),0)
+_xlfn.IFNA(SUM((AY$3&gt;='Gastos com Pessoal'!$E$513:$E$522)*(AY$3&lt;='Gastos com Pessoal'!$F$513:$F$522)*OFFSET('Encargos e Benefícios'!$D$511,1,MATCH($B52,'Encargos e Benefícios'!$E$511:$AB$511,0),10,1)),0)
+_xlfn.IFNA(SUM((AY$3&gt;='Gastos com Pessoal'!$E$7:$E$506)*(AY$3&lt;='Gastos com Pessoal'!$F$7:$F$506)*(IF('Gastos com Pessoal'!$G$7:$G$506&lt;=AY$3,1,0))*OFFSET('Gastos com Pessoal'!$H$6,1,MATCH(1&amp;$B52,'Gastos com Pessoal'!$I$532:$AJ$532&amp;'Gastos com Pessoal'!$I$6:$AJ$6,0),500,1)),0)
+_xlfn.IFNA(SUM((AY$3&gt;='Gastos com Pessoal'!$E$7:$E$506)*(AY$3&lt;='Gastos com Pessoal'!$F$7:$F$506)*(IF('Gastos com Pessoal'!$M$7:$M$506&lt;=AY$3,1,0))*OFFSET('Gastos com Pessoal'!$H$6,1,MATCH(2&amp;$B52,'Gastos com Pessoal'!$I$532:$AJ$532&amp;'Gastos com Pessoal'!$I$6:$AJ$6,0),500,1)),0)
+_xlfn.IFNA(SUM((AY$3&gt;='Gastos com Pessoal'!$E$7:$E$506)*(AY$3&lt;='Gastos com Pessoal'!$F$7:$F$506)*(IF('Gastos com Pessoal'!$S$7:$S$506&lt;=AY$3,1,0))*OFFSET('Gastos com Pessoal'!$H$6,1,MATCH(3&amp;$B52,'Gastos com Pessoal'!$I$532:$AJ$532&amp;'Gastos com Pessoal'!$I$6:$AJ$6,0),500,1)),0)
+_xlfn.IFNA(SUM((AY$3&gt;='Gastos com Pessoal'!$E$7:$E$506)*(AY$3&lt;='Gastos com Pessoal'!$F$7:$F$506)*(IF('Gastos com Pessoal'!$Y$7:$Y$506&lt;=AY$3,1,0))*OFFSET('Gastos com Pessoal'!$H$6,1,MATCH(4&amp;$B52,'Gastos com Pessoal'!$I$532:$AJ$532&amp;'Gastos com Pessoal'!$I$6:$AJ$6,0),500,1)),0)
+_xlfn.IFNA(SUM((AY$3&gt;='Gastos com Pessoal'!$E$7:$E$506)*(AY$3&lt;='Gastos com Pessoal'!$F$7:$F$506)*(IF('Gastos com Pessoal'!$AE$7:$AE$506&lt;=AY$3,1,0))*OFFSET('Gastos com Pessoal'!$H$6,1,MATCH(5&amp;$B52,'Gastos com Pessoal'!$I$532:$AJ$532&amp;'Gastos com Pessoal'!$I$6:$AJ$6,0),500,1)),0)
+_xlfn.IFNA(SUM((AY$3&gt;='Gastos com Pessoal'!$E$513:$E$522)*(AY$3&lt;='Gastos com Pessoal'!$F$513:$F$522)*(IF('Gastos com Pessoal'!$G$513:$G$522&lt;=AY$3,1,0))*OFFSET('Gastos com Pessoal'!$H$512,1,MATCH(1&amp;$B52,'Gastos com Pessoal'!$I$532:$AJ$532&amp;'Gastos com Pessoal'!$I$512:$AJ$512,0),10,1)),0)
+_xlfn.IFNA(SUM((AY$3&gt;='Gastos com Pessoal'!$E$513:$E$522)*(AY$3&lt;='Gastos com Pessoal'!$F$513:$F$522)*(IF('Gastos com Pessoal'!$M$513:$M$522&lt;=AY$3,1,0))*OFFSET('Gastos com Pessoal'!$H$512,1,MATCH(2&amp;$B52,'Gastos com Pessoal'!$I$532:$AJ$532&amp;'Gastos com Pessoal'!$I$512:$AJ$512,0),10,1)),0)
+_xlfn.IFNA(SUM((AY$3&gt;='Gastos com Pessoal'!$E$513:$E$522)*(AY$3&lt;='Gastos com Pessoal'!$F$513:$F$522)*(IF('Gastos com Pessoal'!$S$513:$S$522&lt;=AY$3,1,0))*OFFSET('Gastos com Pessoal'!$H$512,1,MATCH(3&amp;$B52,'Gastos com Pessoal'!$I$532:$AJ$532&amp;'Gastos com Pessoal'!$I$512:$AJ$512,0),10,1)),0)
+_xlfn.IFNA(SUM((AY$3&gt;='Gastos com Pessoal'!$E$513:$E$522)*(AY$3&lt;='Gastos com Pessoal'!$F$513:$F$522)*(IF('Gastos com Pessoal'!$Y$513:$Y$522&lt;=AY$3,1,0))*OFFSET('Gastos com Pessoal'!$H$512,1,MATCH(4&amp;$B52,'Gastos com Pessoal'!$I$532:$AJ$532&amp;'Gastos com Pessoal'!$I$512:$AJ$512,0),10,1)),0)
+_xlfn.IFNA(SUM((AY$3&gt;='Gastos com Pessoal'!$E$513:$E$522)*(AY$3&lt;='Gastos com Pessoal'!$F$513:$F$522)*(IF('Gastos com Pessoal'!$AE$513:$AE$522&lt;=AY$3,1,0))*OFFSET('Gastos com Pessoal'!$H$512,1,MATCH(5&amp;$B52,'Gastos com Pessoal'!$I$532:$AJ$532&amp;'Gastos com Pessoal'!$I$512:$AJ$512,0),10,1)),0)</f>
        <v>0</v>
      </c>
      <c r="AZ52" s="32">
        <f t="array" aca="1" ref="AZ52" ca="1">_xlfn.IFNA(SUM((AZ$3&gt;='Gastos com Pessoal'!$E$7:$E$506)*(AZ$3&lt;='Gastos com Pessoal'!$F$7:$F$506)*OFFSET('Encargos e Benefícios'!$D$5,1,MATCH($B52,'Encargos e Benefícios'!$E$5:$AB$5,0),500,1)),0)
+_xlfn.IFNA(SUM((AZ$3&gt;='Gastos com Pessoal'!$E$513:$E$522)*(AZ$3&lt;='Gastos com Pessoal'!$F$513:$F$522)*OFFSET('Encargos e Benefícios'!$D$511,1,MATCH($B52,'Encargos e Benefícios'!$E$511:$AB$511,0),10,1)),0)
+_xlfn.IFNA(SUM((AZ$3&gt;='Gastos com Pessoal'!$E$7:$E$506)*(AZ$3&lt;='Gastos com Pessoal'!$F$7:$F$506)*(IF('Gastos com Pessoal'!$G$7:$G$506&lt;=AZ$3,1,0))*OFFSET('Gastos com Pessoal'!$H$6,1,MATCH(1&amp;$B52,'Gastos com Pessoal'!$I$532:$AJ$532&amp;'Gastos com Pessoal'!$I$6:$AJ$6,0),500,1)),0)
+_xlfn.IFNA(SUM((AZ$3&gt;='Gastos com Pessoal'!$E$7:$E$506)*(AZ$3&lt;='Gastos com Pessoal'!$F$7:$F$506)*(IF('Gastos com Pessoal'!$M$7:$M$506&lt;=AZ$3,1,0))*OFFSET('Gastos com Pessoal'!$H$6,1,MATCH(2&amp;$B52,'Gastos com Pessoal'!$I$532:$AJ$532&amp;'Gastos com Pessoal'!$I$6:$AJ$6,0),500,1)),0)
+_xlfn.IFNA(SUM((AZ$3&gt;='Gastos com Pessoal'!$E$7:$E$506)*(AZ$3&lt;='Gastos com Pessoal'!$F$7:$F$506)*(IF('Gastos com Pessoal'!$S$7:$S$506&lt;=AZ$3,1,0))*OFFSET('Gastos com Pessoal'!$H$6,1,MATCH(3&amp;$B52,'Gastos com Pessoal'!$I$532:$AJ$532&amp;'Gastos com Pessoal'!$I$6:$AJ$6,0),500,1)),0)
+_xlfn.IFNA(SUM((AZ$3&gt;='Gastos com Pessoal'!$E$7:$E$506)*(AZ$3&lt;='Gastos com Pessoal'!$F$7:$F$506)*(IF('Gastos com Pessoal'!$Y$7:$Y$506&lt;=AZ$3,1,0))*OFFSET('Gastos com Pessoal'!$H$6,1,MATCH(4&amp;$B52,'Gastos com Pessoal'!$I$532:$AJ$532&amp;'Gastos com Pessoal'!$I$6:$AJ$6,0),500,1)),0)
+_xlfn.IFNA(SUM((AZ$3&gt;='Gastos com Pessoal'!$E$7:$E$506)*(AZ$3&lt;='Gastos com Pessoal'!$F$7:$F$506)*(IF('Gastos com Pessoal'!$AE$7:$AE$506&lt;=AZ$3,1,0))*OFFSET('Gastos com Pessoal'!$H$6,1,MATCH(5&amp;$B52,'Gastos com Pessoal'!$I$532:$AJ$532&amp;'Gastos com Pessoal'!$I$6:$AJ$6,0),500,1)),0)
+_xlfn.IFNA(SUM((AZ$3&gt;='Gastos com Pessoal'!$E$513:$E$522)*(AZ$3&lt;='Gastos com Pessoal'!$F$513:$F$522)*(IF('Gastos com Pessoal'!$G$513:$G$522&lt;=AZ$3,1,0))*OFFSET('Gastos com Pessoal'!$H$512,1,MATCH(1&amp;$B52,'Gastos com Pessoal'!$I$532:$AJ$532&amp;'Gastos com Pessoal'!$I$512:$AJ$512,0),10,1)),0)
+_xlfn.IFNA(SUM((AZ$3&gt;='Gastos com Pessoal'!$E$513:$E$522)*(AZ$3&lt;='Gastos com Pessoal'!$F$513:$F$522)*(IF('Gastos com Pessoal'!$M$513:$M$522&lt;=AZ$3,1,0))*OFFSET('Gastos com Pessoal'!$H$512,1,MATCH(2&amp;$B52,'Gastos com Pessoal'!$I$532:$AJ$532&amp;'Gastos com Pessoal'!$I$512:$AJ$512,0),10,1)),0)
+_xlfn.IFNA(SUM((AZ$3&gt;='Gastos com Pessoal'!$E$513:$E$522)*(AZ$3&lt;='Gastos com Pessoal'!$F$513:$F$522)*(IF('Gastos com Pessoal'!$S$513:$S$522&lt;=AZ$3,1,0))*OFFSET('Gastos com Pessoal'!$H$512,1,MATCH(3&amp;$B52,'Gastos com Pessoal'!$I$532:$AJ$532&amp;'Gastos com Pessoal'!$I$512:$AJ$512,0),10,1)),0)
+_xlfn.IFNA(SUM((AZ$3&gt;='Gastos com Pessoal'!$E$513:$E$522)*(AZ$3&lt;='Gastos com Pessoal'!$F$513:$F$522)*(IF('Gastos com Pessoal'!$Y$513:$Y$522&lt;=AZ$3,1,0))*OFFSET('Gastos com Pessoal'!$H$512,1,MATCH(4&amp;$B52,'Gastos com Pessoal'!$I$532:$AJ$532&amp;'Gastos com Pessoal'!$I$512:$AJ$512,0),10,1)),0)
+_xlfn.IFNA(SUM((AZ$3&gt;='Gastos com Pessoal'!$E$513:$E$522)*(AZ$3&lt;='Gastos com Pessoal'!$F$513:$F$522)*(IF('Gastos com Pessoal'!$AE$513:$AE$522&lt;=AZ$3,1,0))*OFFSET('Gastos com Pessoal'!$H$512,1,MATCH(5&amp;$B52,'Gastos com Pessoal'!$I$532:$AJ$532&amp;'Gastos com Pessoal'!$I$512:$AJ$512,0),10,1)),0)</f>
        <v>0</v>
      </c>
      <c r="BA52" s="32">
        <f t="array" aca="1" ref="BA52" ca="1">_xlfn.IFNA(SUM((BA$3&gt;='Gastos com Pessoal'!$E$7:$E$506)*(BA$3&lt;='Gastos com Pessoal'!$F$7:$F$506)*OFFSET('Encargos e Benefícios'!$D$5,1,MATCH($B52,'Encargos e Benefícios'!$E$5:$AB$5,0),500,1)),0)
+_xlfn.IFNA(SUM((BA$3&gt;='Gastos com Pessoal'!$E$513:$E$522)*(BA$3&lt;='Gastos com Pessoal'!$F$513:$F$522)*OFFSET('Encargos e Benefícios'!$D$511,1,MATCH($B52,'Encargos e Benefícios'!$E$511:$AB$511,0),10,1)),0)
+_xlfn.IFNA(SUM((BA$3&gt;='Gastos com Pessoal'!$E$7:$E$506)*(BA$3&lt;='Gastos com Pessoal'!$F$7:$F$506)*(IF('Gastos com Pessoal'!$G$7:$G$506&lt;=BA$3,1,0))*OFFSET('Gastos com Pessoal'!$H$6,1,MATCH(1&amp;$B52,'Gastos com Pessoal'!$I$532:$AJ$532&amp;'Gastos com Pessoal'!$I$6:$AJ$6,0),500,1)),0)
+_xlfn.IFNA(SUM((BA$3&gt;='Gastos com Pessoal'!$E$7:$E$506)*(BA$3&lt;='Gastos com Pessoal'!$F$7:$F$506)*(IF('Gastos com Pessoal'!$M$7:$M$506&lt;=BA$3,1,0))*OFFSET('Gastos com Pessoal'!$H$6,1,MATCH(2&amp;$B52,'Gastos com Pessoal'!$I$532:$AJ$532&amp;'Gastos com Pessoal'!$I$6:$AJ$6,0),500,1)),0)
+_xlfn.IFNA(SUM((BA$3&gt;='Gastos com Pessoal'!$E$7:$E$506)*(BA$3&lt;='Gastos com Pessoal'!$F$7:$F$506)*(IF('Gastos com Pessoal'!$S$7:$S$506&lt;=BA$3,1,0))*OFFSET('Gastos com Pessoal'!$H$6,1,MATCH(3&amp;$B52,'Gastos com Pessoal'!$I$532:$AJ$532&amp;'Gastos com Pessoal'!$I$6:$AJ$6,0),500,1)),0)
+_xlfn.IFNA(SUM((BA$3&gt;='Gastos com Pessoal'!$E$7:$E$506)*(BA$3&lt;='Gastos com Pessoal'!$F$7:$F$506)*(IF('Gastos com Pessoal'!$Y$7:$Y$506&lt;=BA$3,1,0))*OFFSET('Gastos com Pessoal'!$H$6,1,MATCH(4&amp;$B52,'Gastos com Pessoal'!$I$532:$AJ$532&amp;'Gastos com Pessoal'!$I$6:$AJ$6,0),500,1)),0)
+_xlfn.IFNA(SUM((BA$3&gt;='Gastos com Pessoal'!$E$7:$E$506)*(BA$3&lt;='Gastos com Pessoal'!$F$7:$F$506)*(IF('Gastos com Pessoal'!$AE$7:$AE$506&lt;=BA$3,1,0))*OFFSET('Gastos com Pessoal'!$H$6,1,MATCH(5&amp;$B52,'Gastos com Pessoal'!$I$532:$AJ$532&amp;'Gastos com Pessoal'!$I$6:$AJ$6,0),500,1)),0)
+_xlfn.IFNA(SUM((BA$3&gt;='Gastos com Pessoal'!$E$513:$E$522)*(BA$3&lt;='Gastos com Pessoal'!$F$513:$F$522)*(IF('Gastos com Pessoal'!$G$513:$G$522&lt;=BA$3,1,0))*OFFSET('Gastos com Pessoal'!$H$512,1,MATCH(1&amp;$B52,'Gastos com Pessoal'!$I$532:$AJ$532&amp;'Gastos com Pessoal'!$I$512:$AJ$512,0),10,1)),0)
+_xlfn.IFNA(SUM((BA$3&gt;='Gastos com Pessoal'!$E$513:$E$522)*(BA$3&lt;='Gastos com Pessoal'!$F$513:$F$522)*(IF('Gastos com Pessoal'!$M$513:$M$522&lt;=BA$3,1,0))*OFFSET('Gastos com Pessoal'!$H$512,1,MATCH(2&amp;$B52,'Gastos com Pessoal'!$I$532:$AJ$532&amp;'Gastos com Pessoal'!$I$512:$AJ$512,0),10,1)),0)
+_xlfn.IFNA(SUM((BA$3&gt;='Gastos com Pessoal'!$E$513:$E$522)*(BA$3&lt;='Gastos com Pessoal'!$F$513:$F$522)*(IF('Gastos com Pessoal'!$S$513:$S$522&lt;=BA$3,1,0))*OFFSET('Gastos com Pessoal'!$H$512,1,MATCH(3&amp;$B52,'Gastos com Pessoal'!$I$532:$AJ$532&amp;'Gastos com Pessoal'!$I$512:$AJ$512,0),10,1)),0)
+_xlfn.IFNA(SUM((BA$3&gt;='Gastos com Pessoal'!$E$513:$E$522)*(BA$3&lt;='Gastos com Pessoal'!$F$513:$F$522)*(IF('Gastos com Pessoal'!$Y$513:$Y$522&lt;=BA$3,1,0))*OFFSET('Gastos com Pessoal'!$H$512,1,MATCH(4&amp;$B52,'Gastos com Pessoal'!$I$532:$AJ$532&amp;'Gastos com Pessoal'!$I$512:$AJ$512,0),10,1)),0)
+_xlfn.IFNA(SUM((BA$3&gt;='Gastos com Pessoal'!$E$513:$E$522)*(BA$3&lt;='Gastos com Pessoal'!$F$513:$F$522)*(IF('Gastos com Pessoal'!$AE$513:$AE$522&lt;=BA$3,1,0))*OFFSET('Gastos com Pessoal'!$H$512,1,MATCH(5&amp;$B52,'Gastos com Pessoal'!$I$532:$AJ$532&amp;'Gastos com Pessoal'!$I$512:$AJ$512,0),10,1)),0)</f>
        <v>0</v>
      </c>
      <c r="BB52" s="32">
        <f t="array" aca="1" ref="BB52" ca="1">_xlfn.IFNA(SUM((BB$3&gt;='Gastos com Pessoal'!$E$7:$E$506)*(BB$3&lt;='Gastos com Pessoal'!$F$7:$F$506)*OFFSET('Encargos e Benefícios'!$D$5,1,MATCH($B52,'Encargos e Benefícios'!$E$5:$AB$5,0),500,1)),0)
+_xlfn.IFNA(SUM((BB$3&gt;='Gastos com Pessoal'!$E$513:$E$522)*(BB$3&lt;='Gastos com Pessoal'!$F$513:$F$522)*OFFSET('Encargos e Benefícios'!$D$511,1,MATCH($B52,'Encargos e Benefícios'!$E$511:$AB$511,0),10,1)),0)
+_xlfn.IFNA(SUM((BB$3&gt;='Gastos com Pessoal'!$E$7:$E$506)*(BB$3&lt;='Gastos com Pessoal'!$F$7:$F$506)*(IF('Gastos com Pessoal'!$G$7:$G$506&lt;=BB$3,1,0))*OFFSET('Gastos com Pessoal'!$H$6,1,MATCH(1&amp;$B52,'Gastos com Pessoal'!$I$532:$AJ$532&amp;'Gastos com Pessoal'!$I$6:$AJ$6,0),500,1)),0)
+_xlfn.IFNA(SUM((BB$3&gt;='Gastos com Pessoal'!$E$7:$E$506)*(BB$3&lt;='Gastos com Pessoal'!$F$7:$F$506)*(IF('Gastos com Pessoal'!$M$7:$M$506&lt;=BB$3,1,0))*OFFSET('Gastos com Pessoal'!$H$6,1,MATCH(2&amp;$B52,'Gastos com Pessoal'!$I$532:$AJ$532&amp;'Gastos com Pessoal'!$I$6:$AJ$6,0),500,1)),0)
+_xlfn.IFNA(SUM((BB$3&gt;='Gastos com Pessoal'!$E$7:$E$506)*(BB$3&lt;='Gastos com Pessoal'!$F$7:$F$506)*(IF('Gastos com Pessoal'!$S$7:$S$506&lt;=BB$3,1,0))*OFFSET('Gastos com Pessoal'!$H$6,1,MATCH(3&amp;$B52,'Gastos com Pessoal'!$I$532:$AJ$532&amp;'Gastos com Pessoal'!$I$6:$AJ$6,0),500,1)),0)
+_xlfn.IFNA(SUM((BB$3&gt;='Gastos com Pessoal'!$E$7:$E$506)*(BB$3&lt;='Gastos com Pessoal'!$F$7:$F$506)*(IF('Gastos com Pessoal'!$Y$7:$Y$506&lt;=BB$3,1,0))*OFFSET('Gastos com Pessoal'!$H$6,1,MATCH(4&amp;$B52,'Gastos com Pessoal'!$I$532:$AJ$532&amp;'Gastos com Pessoal'!$I$6:$AJ$6,0),500,1)),0)
+_xlfn.IFNA(SUM((BB$3&gt;='Gastos com Pessoal'!$E$7:$E$506)*(BB$3&lt;='Gastos com Pessoal'!$F$7:$F$506)*(IF('Gastos com Pessoal'!$AE$7:$AE$506&lt;=BB$3,1,0))*OFFSET('Gastos com Pessoal'!$H$6,1,MATCH(5&amp;$B52,'Gastos com Pessoal'!$I$532:$AJ$532&amp;'Gastos com Pessoal'!$I$6:$AJ$6,0),500,1)),0)
+_xlfn.IFNA(SUM((BB$3&gt;='Gastos com Pessoal'!$E$513:$E$522)*(BB$3&lt;='Gastos com Pessoal'!$F$513:$F$522)*(IF('Gastos com Pessoal'!$G$513:$G$522&lt;=BB$3,1,0))*OFFSET('Gastos com Pessoal'!$H$512,1,MATCH(1&amp;$B52,'Gastos com Pessoal'!$I$532:$AJ$532&amp;'Gastos com Pessoal'!$I$512:$AJ$512,0),10,1)),0)
+_xlfn.IFNA(SUM((BB$3&gt;='Gastos com Pessoal'!$E$513:$E$522)*(BB$3&lt;='Gastos com Pessoal'!$F$513:$F$522)*(IF('Gastos com Pessoal'!$M$513:$M$522&lt;=BB$3,1,0))*OFFSET('Gastos com Pessoal'!$H$512,1,MATCH(2&amp;$B52,'Gastos com Pessoal'!$I$532:$AJ$532&amp;'Gastos com Pessoal'!$I$512:$AJ$512,0),10,1)),0)
+_xlfn.IFNA(SUM((BB$3&gt;='Gastos com Pessoal'!$E$513:$E$522)*(BB$3&lt;='Gastos com Pessoal'!$F$513:$F$522)*(IF('Gastos com Pessoal'!$S$513:$S$522&lt;=BB$3,1,0))*OFFSET('Gastos com Pessoal'!$H$512,1,MATCH(3&amp;$B52,'Gastos com Pessoal'!$I$532:$AJ$532&amp;'Gastos com Pessoal'!$I$512:$AJ$512,0),10,1)),0)
+_xlfn.IFNA(SUM((BB$3&gt;='Gastos com Pessoal'!$E$513:$E$522)*(BB$3&lt;='Gastos com Pessoal'!$F$513:$F$522)*(IF('Gastos com Pessoal'!$Y$513:$Y$522&lt;=BB$3,1,0))*OFFSET('Gastos com Pessoal'!$H$512,1,MATCH(4&amp;$B52,'Gastos com Pessoal'!$I$532:$AJ$532&amp;'Gastos com Pessoal'!$I$512:$AJ$512,0),10,1)),0)
+_xlfn.IFNA(SUM((BB$3&gt;='Gastos com Pessoal'!$E$513:$E$522)*(BB$3&lt;='Gastos com Pessoal'!$F$513:$F$522)*(IF('Gastos com Pessoal'!$AE$513:$AE$522&lt;=BB$3,1,0))*OFFSET('Gastos com Pessoal'!$H$512,1,MATCH(5&amp;$B52,'Gastos com Pessoal'!$I$532:$AJ$532&amp;'Gastos com Pessoal'!$I$512:$AJ$512,0),10,1)),0)</f>
        <v>0</v>
      </c>
      <c r="BC52" s="32">
        <f t="array" aca="1" ref="BC52" ca="1">_xlfn.IFNA(SUM((BC$3&gt;='Gastos com Pessoal'!$E$7:$E$506)*(BC$3&lt;='Gastos com Pessoal'!$F$7:$F$506)*OFFSET('Encargos e Benefícios'!$D$5,1,MATCH($B52,'Encargos e Benefícios'!$E$5:$AB$5,0),500,1)),0)
+_xlfn.IFNA(SUM((BC$3&gt;='Gastos com Pessoal'!$E$513:$E$522)*(BC$3&lt;='Gastos com Pessoal'!$F$513:$F$522)*OFFSET('Encargos e Benefícios'!$D$511,1,MATCH($B52,'Encargos e Benefícios'!$E$511:$AB$511,0),10,1)),0)
+_xlfn.IFNA(SUM((BC$3&gt;='Gastos com Pessoal'!$E$7:$E$506)*(BC$3&lt;='Gastos com Pessoal'!$F$7:$F$506)*(IF('Gastos com Pessoal'!$G$7:$G$506&lt;=BC$3,1,0))*OFFSET('Gastos com Pessoal'!$H$6,1,MATCH(1&amp;$B52,'Gastos com Pessoal'!$I$532:$AJ$532&amp;'Gastos com Pessoal'!$I$6:$AJ$6,0),500,1)),0)
+_xlfn.IFNA(SUM((BC$3&gt;='Gastos com Pessoal'!$E$7:$E$506)*(BC$3&lt;='Gastos com Pessoal'!$F$7:$F$506)*(IF('Gastos com Pessoal'!$M$7:$M$506&lt;=BC$3,1,0))*OFFSET('Gastos com Pessoal'!$H$6,1,MATCH(2&amp;$B52,'Gastos com Pessoal'!$I$532:$AJ$532&amp;'Gastos com Pessoal'!$I$6:$AJ$6,0),500,1)),0)
+_xlfn.IFNA(SUM((BC$3&gt;='Gastos com Pessoal'!$E$7:$E$506)*(BC$3&lt;='Gastos com Pessoal'!$F$7:$F$506)*(IF('Gastos com Pessoal'!$S$7:$S$506&lt;=BC$3,1,0))*OFFSET('Gastos com Pessoal'!$H$6,1,MATCH(3&amp;$B52,'Gastos com Pessoal'!$I$532:$AJ$532&amp;'Gastos com Pessoal'!$I$6:$AJ$6,0),500,1)),0)
+_xlfn.IFNA(SUM((BC$3&gt;='Gastos com Pessoal'!$E$7:$E$506)*(BC$3&lt;='Gastos com Pessoal'!$F$7:$F$506)*(IF('Gastos com Pessoal'!$Y$7:$Y$506&lt;=BC$3,1,0))*OFFSET('Gastos com Pessoal'!$H$6,1,MATCH(4&amp;$B52,'Gastos com Pessoal'!$I$532:$AJ$532&amp;'Gastos com Pessoal'!$I$6:$AJ$6,0),500,1)),0)
+_xlfn.IFNA(SUM((BC$3&gt;='Gastos com Pessoal'!$E$7:$E$506)*(BC$3&lt;='Gastos com Pessoal'!$F$7:$F$506)*(IF('Gastos com Pessoal'!$AE$7:$AE$506&lt;=BC$3,1,0))*OFFSET('Gastos com Pessoal'!$H$6,1,MATCH(5&amp;$B52,'Gastos com Pessoal'!$I$532:$AJ$532&amp;'Gastos com Pessoal'!$I$6:$AJ$6,0),500,1)),0)
+_xlfn.IFNA(SUM((BC$3&gt;='Gastos com Pessoal'!$E$513:$E$522)*(BC$3&lt;='Gastos com Pessoal'!$F$513:$F$522)*(IF('Gastos com Pessoal'!$G$513:$G$522&lt;=BC$3,1,0))*OFFSET('Gastos com Pessoal'!$H$512,1,MATCH(1&amp;$B52,'Gastos com Pessoal'!$I$532:$AJ$532&amp;'Gastos com Pessoal'!$I$512:$AJ$512,0),10,1)),0)
+_xlfn.IFNA(SUM((BC$3&gt;='Gastos com Pessoal'!$E$513:$E$522)*(BC$3&lt;='Gastos com Pessoal'!$F$513:$F$522)*(IF('Gastos com Pessoal'!$M$513:$M$522&lt;=BC$3,1,0))*OFFSET('Gastos com Pessoal'!$H$512,1,MATCH(2&amp;$B52,'Gastos com Pessoal'!$I$532:$AJ$532&amp;'Gastos com Pessoal'!$I$512:$AJ$512,0),10,1)),0)
+_xlfn.IFNA(SUM((BC$3&gt;='Gastos com Pessoal'!$E$513:$E$522)*(BC$3&lt;='Gastos com Pessoal'!$F$513:$F$522)*(IF('Gastos com Pessoal'!$S$513:$S$522&lt;=BC$3,1,0))*OFFSET('Gastos com Pessoal'!$H$512,1,MATCH(3&amp;$B52,'Gastos com Pessoal'!$I$532:$AJ$532&amp;'Gastos com Pessoal'!$I$512:$AJ$512,0),10,1)),0)
+_xlfn.IFNA(SUM((BC$3&gt;='Gastos com Pessoal'!$E$513:$E$522)*(BC$3&lt;='Gastos com Pessoal'!$F$513:$F$522)*(IF('Gastos com Pessoal'!$Y$513:$Y$522&lt;=BC$3,1,0))*OFFSET('Gastos com Pessoal'!$H$512,1,MATCH(4&amp;$B52,'Gastos com Pessoal'!$I$532:$AJ$532&amp;'Gastos com Pessoal'!$I$512:$AJ$512,0),10,1)),0)
+_xlfn.IFNA(SUM((BC$3&gt;='Gastos com Pessoal'!$E$513:$E$522)*(BC$3&lt;='Gastos com Pessoal'!$F$513:$F$522)*(IF('Gastos com Pessoal'!$AE$513:$AE$522&lt;=BC$3,1,0))*OFFSET('Gastos com Pessoal'!$H$512,1,MATCH(5&amp;$B52,'Gastos com Pessoal'!$I$532:$AJ$532&amp;'Gastos com Pessoal'!$I$512:$AJ$512,0),10,1)),0)</f>
        <v>0</v>
      </c>
      <c r="BD52" s="32">
        <f t="array" aca="1" ref="BD52" ca="1">_xlfn.IFNA(SUM((BD$3&gt;='Gastos com Pessoal'!$E$7:$E$506)*(BD$3&lt;='Gastos com Pessoal'!$F$7:$F$506)*OFFSET('Encargos e Benefícios'!$D$5,1,MATCH($B52,'Encargos e Benefícios'!$E$5:$AB$5,0),500,1)),0)
+_xlfn.IFNA(SUM((BD$3&gt;='Gastos com Pessoal'!$E$513:$E$522)*(BD$3&lt;='Gastos com Pessoal'!$F$513:$F$522)*OFFSET('Encargos e Benefícios'!$D$511,1,MATCH($B52,'Encargos e Benefícios'!$E$511:$AB$511,0),10,1)),0)
+_xlfn.IFNA(SUM((BD$3&gt;='Gastos com Pessoal'!$E$7:$E$506)*(BD$3&lt;='Gastos com Pessoal'!$F$7:$F$506)*(IF('Gastos com Pessoal'!$G$7:$G$506&lt;=BD$3,1,0))*OFFSET('Gastos com Pessoal'!$H$6,1,MATCH(1&amp;$B52,'Gastos com Pessoal'!$I$532:$AJ$532&amp;'Gastos com Pessoal'!$I$6:$AJ$6,0),500,1)),0)
+_xlfn.IFNA(SUM((BD$3&gt;='Gastos com Pessoal'!$E$7:$E$506)*(BD$3&lt;='Gastos com Pessoal'!$F$7:$F$506)*(IF('Gastos com Pessoal'!$M$7:$M$506&lt;=BD$3,1,0))*OFFSET('Gastos com Pessoal'!$H$6,1,MATCH(2&amp;$B52,'Gastos com Pessoal'!$I$532:$AJ$532&amp;'Gastos com Pessoal'!$I$6:$AJ$6,0),500,1)),0)
+_xlfn.IFNA(SUM((BD$3&gt;='Gastos com Pessoal'!$E$7:$E$506)*(BD$3&lt;='Gastos com Pessoal'!$F$7:$F$506)*(IF('Gastos com Pessoal'!$S$7:$S$506&lt;=BD$3,1,0))*OFFSET('Gastos com Pessoal'!$H$6,1,MATCH(3&amp;$B52,'Gastos com Pessoal'!$I$532:$AJ$532&amp;'Gastos com Pessoal'!$I$6:$AJ$6,0),500,1)),0)
+_xlfn.IFNA(SUM((BD$3&gt;='Gastos com Pessoal'!$E$7:$E$506)*(BD$3&lt;='Gastos com Pessoal'!$F$7:$F$506)*(IF('Gastos com Pessoal'!$Y$7:$Y$506&lt;=BD$3,1,0))*OFFSET('Gastos com Pessoal'!$H$6,1,MATCH(4&amp;$B52,'Gastos com Pessoal'!$I$532:$AJ$532&amp;'Gastos com Pessoal'!$I$6:$AJ$6,0),500,1)),0)
+_xlfn.IFNA(SUM((BD$3&gt;='Gastos com Pessoal'!$E$7:$E$506)*(BD$3&lt;='Gastos com Pessoal'!$F$7:$F$506)*(IF('Gastos com Pessoal'!$AE$7:$AE$506&lt;=BD$3,1,0))*OFFSET('Gastos com Pessoal'!$H$6,1,MATCH(5&amp;$B52,'Gastos com Pessoal'!$I$532:$AJ$532&amp;'Gastos com Pessoal'!$I$6:$AJ$6,0),500,1)),0)
+_xlfn.IFNA(SUM((BD$3&gt;='Gastos com Pessoal'!$E$513:$E$522)*(BD$3&lt;='Gastos com Pessoal'!$F$513:$F$522)*(IF('Gastos com Pessoal'!$G$513:$G$522&lt;=BD$3,1,0))*OFFSET('Gastos com Pessoal'!$H$512,1,MATCH(1&amp;$B52,'Gastos com Pessoal'!$I$532:$AJ$532&amp;'Gastos com Pessoal'!$I$512:$AJ$512,0),10,1)),0)
+_xlfn.IFNA(SUM((BD$3&gt;='Gastos com Pessoal'!$E$513:$E$522)*(BD$3&lt;='Gastos com Pessoal'!$F$513:$F$522)*(IF('Gastos com Pessoal'!$M$513:$M$522&lt;=BD$3,1,0))*OFFSET('Gastos com Pessoal'!$H$512,1,MATCH(2&amp;$B52,'Gastos com Pessoal'!$I$532:$AJ$532&amp;'Gastos com Pessoal'!$I$512:$AJ$512,0),10,1)),0)
+_xlfn.IFNA(SUM((BD$3&gt;='Gastos com Pessoal'!$E$513:$E$522)*(BD$3&lt;='Gastos com Pessoal'!$F$513:$F$522)*(IF('Gastos com Pessoal'!$S$513:$S$522&lt;=BD$3,1,0))*OFFSET('Gastos com Pessoal'!$H$512,1,MATCH(3&amp;$B52,'Gastos com Pessoal'!$I$532:$AJ$532&amp;'Gastos com Pessoal'!$I$512:$AJ$512,0),10,1)),0)
+_xlfn.IFNA(SUM((BD$3&gt;='Gastos com Pessoal'!$E$513:$E$522)*(BD$3&lt;='Gastos com Pessoal'!$F$513:$F$522)*(IF('Gastos com Pessoal'!$Y$513:$Y$522&lt;=BD$3,1,0))*OFFSET('Gastos com Pessoal'!$H$512,1,MATCH(4&amp;$B52,'Gastos com Pessoal'!$I$532:$AJ$532&amp;'Gastos com Pessoal'!$I$512:$AJ$512,0),10,1)),0)
+_xlfn.IFNA(SUM((BD$3&gt;='Gastos com Pessoal'!$E$513:$E$522)*(BD$3&lt;='Gastos com Pessoal'!$F$513:$F$522)*(IF('Gastos com Pessoal'!$AE$513:$AE$522&lt;=BD$3,1,0))*OFFSET('Gastos com Pessoal'!$H$512,1,MATCH(5&amp;$B52,'Gastos com Pessoal'!$I$532:$AJ$532&amp;'Gastos com Pessoal'!$I$512:$AJ$512,0),10,1)),0)</f>
        <v>0</v>
      </c>
      <c r="BE52" s="32">
        <f t="array" aca="1" ref="BE52" ca="1">_xlfn.IFNA(SUM((BE$3&gt;='Gastos com Pessoal'!$E$7:$E$506)*(BE$3&lt;='Gastos com Pessoal'!$F$7:$F$506)*OFFSET('Encargos e Benefícios'!$D$5,1,MATCH($B52,'Encargos e Benefícios'!$E$5:$AB$5,0),500,1)),0)
+_xlfn.IFNA(SUM((BE$3&gt;='Gastos com Pessoal'!$E$513:$E$522)*(BE$3&lt;='Gastos com Pessoal'!$F$513:$F$522)*OFFSET('Encargos e Benefícios'!$D$511,1,MATCH($B52,'Encargos e Benefícios'!$E$511:$AB$511,0),10,1)),0)
+_xlfn.IFNA(SUM((BE$3&gt;='Gastos com Pessoal'!$E$7:$E$506)*(BE$3&lt;='Gastos com Pessoal'!$F$7:$F$506)*(IF('Gastos com Pessoal'!$G$7:$G$506&lt;=BE$3,1,0))*OFFSET('Gastos com Pessoal'!$H$6,1,MATCH(1&amp;$B52,'Gastos com Pessoal'!$I$532:$AJ$532&amp;'Gastos com Pessoal'!$I$6:$AJ$6,0),500,1)),0)
+_xlfn.IFNA(SUM((BE$3&gt;='Gastos com Pessoal'!$E$7:$E$506)*(BE$3&lt;='Gastos com Pessoal'!$F$7:$F$506)*(IF('Gastos com Pessoal'!$M$7:$M$506&lt;=BE$3,1,0))*OFFSET('Gastos com Pessoal'!$H$6,1,MATCH(2&amp;$B52,'Gastos com Pessoal'!$I$532:$AJ$532&amp;'Gastos com Pessoal'!$I$6:$AJ$6,0),500,1)),0)
+_xlfn.IFNA(SUM((BE$3&gt;='Gastos com Pessoal'!$E$7:$E$506)*(BE$3&lt;='Gastos com Pessoal'!$F$7:$F$506)*(IF('Gastos com Pessoal'!$S$7:$S$506&lt;=BE$3,1,0))*OFFSET('Gastos com Pessoal'!$H$6,1,MATCH(3&amp;$B52,'Gastos com Pessoal'!$I$532:$AJ$532&amp;'Gastos com Pessoal'!$I$6:$AJ$6,0),500,1)),0)
+_xlfn.IFNA(SUM((BE$3&gt;='Gastos com Pessoal'!$E$7:$E$506)*(BE$3&lt;='Gastos com Pessoal'!$F$7:$F$506)*(IF('Gastos com Pessoal'!$Y$7:$Y$506&lt;=BE$3,1,0))*OFFSET('Gastos com Pessoal'!$H$6,1,MATCH(4&amp;$B52,'Gastos com Pessoal'!$I$532:$AJ$532&amp;'Gastos com Pessoal'!$I$6:$AJ$6,0),500,1)),0)
+_xlfn.IFNA(SUM((BE$3&gt;='Gastos com Pessoal'!$E$7:$E$506)*(BE$3&lt;='Gastos com Pessoal'!$F$7:$F$506)*(IF('Gastos com Pessoal'!$AE$7:$AE$506&lt;=BE$3,1,0))*OFFSET('Gastos com Pessoal'!$H$6,1,MATCH(5&amp;$B52,'Gastos com Pessoal'!$I$532:$AJ$532&amp;'Gastos com Pessoal'!$I$6:$AJ$6,0),500,1)),0)
+_xlfn.IFNA(SUM((BE$3&gt;='Gastos com Pessoal'!$E$513:$E$522)*(BE$3&lt;='Gastos com Pessoal'!$F$513:$F$522)*(IF('Gastos com Pessoal'!$G$513:$G$522&lt;=BE$3,1,0))*OFFSET('Gastos com Pessoal'!$H$512,1,MATCH(1&amp;$B52,'Gastos com Pessoal'!$I$532:$AJ$532&amp;'Gastos com Pessoal'!$I$512:$AJ$512,0),10,1)),0)
+_xlfn.IFNA(SUM((BE$3&gt;='Gastos com Pessoal'!$E$513:$E$522)*(BE$3&lt;='Gastos com Pessoal'!$F$513:$F$522)*(IF('Gastos com Pessoal'!$M$513:$M$522&lt;=BE$3,1,0))*OFFSET('Gastos com Pessoal'!$H$512,1,MATCH(2&amp;$B52,'Gastos com Pessoal'!$I$532:$AJ$532&amp;'Gastos com Pessoal'!$I$512:$AJ$512,0),10,1)),0)
+_xlfn.IFNA(SUM((BE$3&gt;='Gastos com Pessoal'!$E$513:$E$522)*(BE$3&lt;='Gastos com Pessoal'!$F$513:$F$522)*(IF('Gastos com Pessoal'!$S$513:$S$522&lt;=BE$3,1,0))*OFFSET('Gastos com Pessoal'!$H$512,1,MATCH(3&amp;$B52,'Gastos com Pessoal'!$I$532:$AJ$532&amp;'Gastos com Pessoal'!$I$512:$AJ$512,0),10,1)),0)
+_xlfn.IFNA(SUM((BE$3&gt;='Gastos com Pessoal'!$E$513:$E$522)*(BE$3&lt;='Gastos com Pessoal'!$F$513:$F$522)*(IF('Gastos com Pessoal'!$Y$513:$Y$522&lt;=BE$3,1,0))*OFFSET('Gastos com Pessoal'!$H$512,1,MATCH(4&amp;$B52,'Gastos com Pessoal'!$I$532:$AJ$532&amp;'Gastos com Pessoal'!$I$512:$AJ$512,0),10,1)),0)
+_xlfn.IFNA(SUM((BE$3&gt;='Gastos com Pessoal'!$E$513:$E$522)*(BE$3&lt;='Gastos com Pessoal'!$F$513:$F$522)*(IF('Gastos com Pessoal'!$AE$513:$AE$522&lt;=BE$3,1,0))*OFFSET('Gastos com Pessoal'!$H$512,1,MATCH(5&amp;$B52,'Gastos com Pessoal'!$I$532:$AJ$532&amp;'Gastos com Pessoal'!$I$512:$AJ$512,0),10,1)),0)</f>
        <v>0</v>
      </c>
      <c r="BF52" s="32">
        <f t="array" aca="1" ref="BF52" ca="1">_xlfn.IFNA(SUM((BF$3&gt;='Gastos com Pessoal'!$E$7:$E$506)*(BF$3&lt;='Gastos com Pessoal'!$F$7:$F$506)*OFFSET('Encargos e Benefícios'!$D$5,1,MATCH($B52,'Encargos e Benefícios'!$E$5:$AB$5,0),500,1)),0)
+_xlfn.IFNA(SUM((BF$3&gt;='Gastos com Pessoal'!$E$513:$E$522)*(BF$3&lt;='Gastos com Pessoal'!$F$513:$F$522)*OFFSET('Encargos e Benefícios'!$D$511,1,MATCH($B52,'Encargos e Benefícios'!$E$511:$AB$511,0),10,1)),0)
+_xlfn.IFNA(SUM((BF$3&gt;='Gastos com Pessoal'!$E$7:$E$506)*(BF$3&lt;='Gastos com Pessoal'!$F$7:$F$506)*(IF('Gastos com Pessoal'!$G$7:$G$506&lt;=BF$3,1,0))*OFFSET('Gastos com Pessoal'!$H$6,1,MATCH(1&amp;$B52,'Gastos com Pessoal'!$I$532:$AJ$532&amp;'Gastos com Pessoal'!$I$6:$AJ$6,0),500,1)),0)
+_xlfn.IFNA(SUM((BF$3&gt;='Gastos com Pessoal'!$E$7:$E$506)*(BF$3&lt;='Gastos com Pessoal'!$F$7:$F$506)*(IF('Gastos com Pessoal'!$M$7:$M$506&lt;=BF$3,1,0))*OFFSET('Gastos com Pessoal'!$H$6,1,MATCH(2&amp;$B52,'Gastos com Pessoal'!$I$532:$AJ$532&amp;'Gastos com Pessoal'!$I$6:$AJ$6,0),500,1)),0)
+_xlfn.IFNA(SUM((BF$3&gt;='Gastos com Pessoal'!$E$7:$E$506)*(BF$3&lt;='Gastos com Pessoal'!$F$7:$F$506)*(IF('Gastos com Pessoal'!$S$7:$S$506&lt;=BF$3,1,0))*OFFSET('Gastos com Pessoal'!$H$6,1,MATCH(3&amp;$B52,'Gastos com Pessoal'!$I$532:$AJ$532&amp;'Gastos com Pessoal'!$I$6:$AJ$6,0),500,1)),0)
+_xlfn.IFNA(SUM((BF$3&gt;='Gastos com Pessoal'!$E$7:$E$506)*(BF$3&lt;='Gastos com Pessoal'!$F$7:$F$506)*(IF('Gastos com Pessoal'!$Y$7:$Y$506&lt;=BF$3,1,0))*OFFSET('Gastos com Pessoal'!$H$6,1,MATCH(4&amp;$B52,'Gastos com Pessoal'!$I$532:$AJ$532&amp;'Gastos com Pessoal'!$I$6:$AJ$6,0),500,1)),0)
+_xlfn.IFNA(SUM((BF$3&gt;='Gastos com Pessoal'!$E$7:$E$506)*(BF$3&lt;='Gastos com Pessoal'!$F$7:$F$506)*(IF('Gastos com Pessoal'!$AE$7:$AE$506&lt;=BF$3,1,0))*OFFSET('Gastos com Pessoal'!$H$6,1,MATCH(5&amp;$B52,'Gastos com Pessoal'!$I$532:$AJ$532&amp;'Gastos com Pessoal'!$I$6:$AJ$6,0),500,1)),0)
+_xlfn.IFNA(SUM((BF$3&gt;='Gastos com Pessoal'!$E$513:$E$522)*(BF$3&lt;='Gastos com Pessoal'!$F$513:$F$522)*(IF('Gastos com Pessoal'!$G$513:$G$522&lt;=BF$3,1,0))*OFFSET('Gastos com Pessoal'!$H$512,1,MATCH(1&amp;$B52,'Gastos com Pessoal'!$I$532:$AJ$532&amp;'Gastos com Pessoal'!$I$512:$AJ$512,0),10,1)),0)
+_xlfn.IFNA(SUM((BF$3&gt;='Gastos com Pessoal'!$E$513:$E$522)*(BF$3&lt;='Gastos com Pessoal'!$F$513:$F$522)*(IF('Gastos com Pessoal'!$M$513:$M$522&lt;=BF$3,1,0))*OFFSET('Gastos com Pessoal'!$H$512,1,MATCH(2&amp;$B52,'Gastos com Pessoal'!$I$532:$AJ$532&amp;'Gastos com Pessoal'!$I$512:$AJ$512,0),10,1)),0)
+_xlfn.IFNA(SUM((BF$3&gt;='Gastos com Pessoal'!$E$513:$E$522)*(BF$3&lt;='Gastos com Pessoal'!$F$513:$F$522)*(IF('Gastos com Pessoal'!$S$513:$S$522&lt;=BF$3,1,0))*OFFSET('Gastos com Pessoal'!$H$512,1,MATCH(3&amp;$B52,'Gastos com Pessoal'!$I$532:$AJ$532&amp;'Gastos com Pessoal'!$I$512:$AJ$512,0),10,1)),0)
+_xlfn.IFNA(SUM((BF$3&gt;='Gastos com Pessoal'!$E$513:$E$522)*(BF$3&lt;='Gastos com Pessoal'!$F$513:$F$522)*(IF('Gastos com Pessoal'!$Y$513:$Y$522&lt;=BF$3,1,0))*OFFSET('Gastos com Pessoal'!$H$512,1,MATCH(4&amp;$B52,'Gastos com Pessoal'!$I$532:$AJ$532&amp;'Gastos com Pessoal'!$I$512:$AJ$512,0),10,1)),0)
+_xlfn.IFNA(SUM((BF$3&gt;='Gastos com Pessoal'!$E$513:$E$522)*(BF$3&lt;='Gastos com Pessoal'!$F$513:$F$522)*(IF('Gastos com Pessoal'!$AE$513:$AE$522&lt;=BF$3,1,0))*OFFSET('Gastos com Pessoal'!$H$512,1,MATCH(5&amp;$B52,'Gastos com Pessoal'!$I$532:$AJ$532&amp;'Gastos com Pessoal'!$I$512:$AJ$512,0),10,1)),0)</f>
        <v>0</v>
      </c>
      <c r="BG52" s="32">
        <f t="array" aca="1" ref="BG52" ca="1">_xlfn.IFNA(SUM((BG$3&gt;='Gastos com Pessoal'!$E$7:$E$506)*(BG$3&lt;='Gastos com Pessoal'!$F$7:$F$506)*OFFSET('Encargos e Benefícios'!$D$5,1,MATCH($B52,'Encargos e Benefícios'!$E$5:$AB$5,0),500,1)),0)
+_xlfn.IFNA(SUM((BG$3&gt;='Gastos com Pessoal'!$E$513:$E$522)*(BG$3&lt;='Gastos com Pessoal'!$F$513:$F$522)*OFFSET('Encargos e Benefícios'!$D$511,1,MATCH($B52,'Encargos e Benefícios'!$E$511:$AB$511,0),10,1)),0)
+_xlfn.IFNA(SUM((BG$3&gt;='Gastos com Pessoal'!$E$7:$E$506)*(BG$3&lt;='Gastos com Pessoal'!$F$7:$F$506)*(IF('Gastos com Pessoal'!$G$7:$G$506&lt;=BG$3,1,0))*OFFSET('Gastos com Pessoal'!$H$6,1,MATCH(1&amp;$B52,'Gastos com Pessoal'!$I$532:$AJ$532&amp;'Gastos com Pessoal'!$I$6:$AJ$6,0),500,1)),0)
+_xlfn.IFNA(SUM((BG$3&gt;='Gastos com Pessoal'!$E$7:$E$506)*(BG$3&lt;='Gastos com Pessoal'!$F$7:$F$506)*(IF('Gastos com Pessoal'!$M$7:$M$506&lt;=BG$3,1,0))*OFFSET('Gastos com Pessoal'!$H$6,1,MATCH(2&amp;$B52,'Gastos com Pessoal'!$I$532:$AJ$532&amp;'Gastos com Pessoal'!$I$6:$AJ$6,0),500,1)),0)
+_xlfn.IFNA(SUM((BG$3&gt;='Gastos com Pessoal'!$E$7:$E$506)*(BG$3&lt;='Gastos com Pessoal'!$F$7:$F$506)*(IF('Gastos com Pessoal'!$S$7:$S$506&lt;=BG$3,1,0))*OFFSET('Gastos com Pessoal'!$H$6,1,MATCH(3&amp;$B52,'Gastos com Pessoal'!$I$532:$AJ$532&amp;'Gastos com Pessoal'!$I$6:$AJ$6,0),500,1)),0)
+_xlfn.IFNA(SUM((BG$3&gt;='Gastos com Pessoal'!$E$7:$E$506)*(BG$3&lt;='Gastos com Pessoal'!$F$7:$F$506)*(IF('Gastos com Pessoal'!$Y$7:$Y$506&lt;=BG$3,1,0))*OFFSET('Gastos com Pessoal'!$H$6,1,MATCH(4&amp;$B52,'Gastos com Pessoal'!$I$532:$AJ$532&amp;'Gastos com Pessoal'!$I$6:$AJ$6,0),500,1)),0)
+_xlfn.IFNA(SUM((BG$3&gt;='Gastos com Pessoal'!$E$7:$E$506)*(BG$3&lt;='Gastos com Pessoal'!$F$7:$F$506)*(IF('Gastos com Pessoal'!$AE$7:$AE$506&lt;=BG$3,1,0))*OFFSET('Gastos com Pessoal'!$H$6,1,MATCH(5&amp;$B52,'Gastos com Pessoal'!$I$532:$AJ$532&amp;'Gastos com Pessoal'!$I$6:$AJ$6,0),500,1)),0)
+_xlfn.IFNA(SUM((BG$3&gt;='Gastos com Pessoal'!$E$513:$E$522)*(BG$3&lt;='Gastos com Pessoal'!$F$513:$F$522)*(IF('Gastos com Pessoal'!$G$513:$G$522&lt;=BG$3,1,0))*OFFSET('Gastos com Pessoal'!$H$512,1,MATCH(1&amp;$B52,'Gastos com Pessoal'!$I$532:$AJ$532&amp;'Gastos com Pessoal'!$I$512:$AJ$512,0),10,1)),0)
+_xlfn.IFNA(SUM((BG$3&gt;='Gastos com Pessoal'!$E$513:$E$522)*(BG$3&lt;='Gastos com Pessoal'!$F$513:$F$522)*(IF('Gastos com Pessoal'!$M$513:$M$522&lt;=BG$3,1,0))*OFFSET('Gastos com Pessoal'!$H$512,1,MATCH(2&amp;$B52,'Gastos com Pessoal'!$I$532:$AJ$532&amp;'Gastos com Pessoal'!$I$512:$AJ$512,0),10,1)),0)
+_xlfn.IFNA(SUM((BG$3&gt;='Gastos com Pessoal'!$E$513:$E$522)*(BG$3&lt;='Gastos com Pessoal'!$F$513:$F$522)*(IF('Gastos com Pessoal'!$S$513:$S$522&lt;=BG$3,1,0))*OFFSET('Gastos com Pessoal'!$H$512,1,MATCH(3&amp;$B52,'Gastos com Pessoal'!$I$532:$AJ$532&amp;'Gastos com Pessoal'!$I$512:$AJ$512,0),10,1)),0)
+_xlfn.IFNA(SUM((BG$3&gt;='Gastos com Pessoal'!$E$513:$E$522)*(BG$3&lt;='Gastos com Pessoal'!$F$513:$F$522)*(IF('Gastos com Pessoal'!$Y$513:$Y$522&lt;=BG$3,1,0))*OFFSET('Gastos com Pessoal'!$H$512,1,MATCH(4&amp;$B52,'Gastos com Pessoal'!$I$532:$AJ$532&amp;'Gastos com Pessoal'!$I$512:$AJ$512,0),10,1)),0)
+_xlfn.IFNA(SUM((BG$3&gt;='Gastos com Pessoal'!$E$513:$E$522)*(BG$3&lt;='Gastos com Pessoal'!$F$513:$F$522)*(IF('Gastos com Pessoal'!$AE$513:$AE$522&lt;=BG$3,1,0))*OFFSET('Gastos com Pessoal'!$H$512,1,MATCH(5&amp;$B52,'Gastos com Pessoal'!$I$532:$AJ$532&amp;'Gastos com Pessoal'!$I$512:$AJ$512,0),10,1)),0)</f>
        <v>0</v>
      </c>
      <c r="BH52" s="32">
        <f t="array" aca="1" ref="BH52" ca="1">_xlfn.IFNA(SUM((BH$3&gt;='Gastos com Pessoal'!$E$7:$E$506)*(BH$3&lt;='Gastos com Pessoal'!$F$7:$F$506)*OFFSET('Encargos e Benefícios'!$D$5,1,MATCH($B52,'Encargos e Benefícios'!$E$5:$AB$5,0),500,1)),0)
+_xlfn.IFNA(SUM((BH$3&gt;='Gastos com Pessoal'!$E$513:$E$522)*(BH$3&lt;='Gastos com Pessoal'!$F$513:$F$522)*OFFSET('Encargos e Benefícios'!$D$511,1,MATCH($B52,'Encargos e Benefícios'!$E$511:$AB$511,0),10,1)),0)
+_xlfn.IFNA(SUM((BH$3&gt;='Gastos com Pessoal'!$E$7:$E$506)*(BH$3&lt;='Gastos com Pessoal'!$F$7:$F$506)*(IF('Gastos com Pessoal'!$G$7:$G$506&lt;=BH$3,1,0))*OFFSET('Gastos com Pessoal'!$H$6,1,MATCH(1&amp;$B52,'Gastos com Pessoal'!$I$532:$AJ$532&amp;'Gastos com Pessoal'!$I$6:$AJ$6,0),500,1)),0)
+_xlfn.IFNA(SUM((BH$3&gt;='Gastos com Pessoal'!$E$7:$E$506)*(BH$3&lt;='Gastos com Pessoal'!$F$7:$F$506)*(IF('Gastos com Pessoal'!$M$7:$M$506&lt;=BH$3,1,0))*OFFSET('Gastos com Pessoal'!$H$6,1,MATCH(2&amp;$B52,'Gastos com Pessoal'!$I$532:$AJ$532&amp;'Gastos com Pessoal'!$I$6:$AJ$6,0),500,1)),0)
+_xlfn.IFNA(SUM((BH$3&gt;='Gastos com Pessoal'!$E$7:$E$506)*(BH$3&lt;='Gastos com Pessoal'!$F$7:$F$506)*(IF('Gastos com Pessoal'!$S$7:$S$506&lt;=BH$3,1,0))*OFFSET('Gastos com Pessoal'!$H$6,1,MATCH(3&amp;$B52,'Gastos com Pessoal'!$I$532:$AJ$532&amp;'Gastos com Pessoal'!$I$6:$AJ$6,0),500,1)),0)
+_xlfn.IFNA(SUM((BH$3&gt;='Gastos com Pessoal'!$E$7:$E$506)*(BH$3&lt;='Gastos com Pessoal'!$F$7:$F$506)*(IF('Gastos com Pessoal'!$Y$7:$Y$506&lt;=BH$3,1,0))*OFFSET('Gastos com Pessoal'!$H$6,1,MATCH(4&amp;$B52,'Gastos com Pessoal'!$I$532:$AJ$532&amp;'Gastos com Pessoal'!$I$6:$AJ$6,0),500,1)),0)
+_xlfn.IFNA(SUM((BH$3&gt;='Gastos com Pessoal'!$E$7:$E$506)*(BH$3&lt;='Gastos com Pessoal'!$F$7:$F$506)*(IF('Gastos com Pessoal'!$AE$7:$AE$506&lt;=BH$3,1,0))*OFFSET('Gastos com Pessoal'!$H$6,1,MATCH(5&amp;$B52,'Gastos com Pessoal'!$I$532:$AJ$532&amp;'Gastos com Pessoal'!$I$6:$AJ$6,0),500,1)),0)
+_xlfn.IFNA(SUM((BH$3&gt;='Gastos com Pessoal'!$E$513:$E$522)*(BH$3&lt;='Gastos com Pessoal'!$F$513:$F$522)*(IF('Gastos com Pessoal'!$G$513:$G$522&lt;=BH$3,1,0))*OFFSET('Gastos com Pessoal'!$H$512,1,MATCH(1&amp;$B52,'Gastos com Pessoal'!$I$532:$AJ$532&amp;'Gastos com Pessoal'!$I$512:$AJ$512,0),10,1)),0)
+_xlfn.IFNA(SUM((BH$3&gt;='Gastos com Pessoal'!$E$513:$E$522)*(BH$3&lt;='Gastos com Pessoal'!$F$513:$F$522)*(IF('Gastos com Pessoal'!$M$513:$M$522&lt;=BH$3,1,0))*OFFSET('Gastos com Pessoal'!$H$512,1,MATCH(2&amp;$B52,'Gastos com Pessoal'!$I$532:$AJ$532&amp;'Gastos com Pessoal'!$I$512:$AJ$512,0),10,1)),0)
+_xlfn.IFNA(SUM((BH$3&gt;='Gastos com Pessoal'!$E$513:$E$522)*(BH$3&lt;='Gastos com Pessoal'!$F$513:$F$522)*(IF('Gastos com Pessoal'!$S$513:$S$522&lt;=BH$3,1,0))*OFFSET('Gastos com Pessoal'!$H$512,1,MATCH(3&amp;$B52,'Gastos com Pessoal'!$I$532:$AJ$532&amp;'Gastos com Pessoal'!$I$512:$AJ$512,0),10,1)),0)
+_xlfn.IFNA(SUM((BH$3&gt;='Gastos com Pessoal'!$E$513:$E$522)*(BH$3&lt;='Gastos com Pessoal'!$F$513:$F$522)*(IF('Gastos com Pessoal'!$Y$513:$Y$522&lt;=BH$3,1,0))*OFFSET('Gastos com Pessoal'!$H$512,1,MATCH(4&amp;$B52,'Gastos com Pessoal'!$I$532:$AJ$532&amp;'Gastos com Pessoal'!$I$512:$AJ$512,0),10,1)),0)
+_xlfn.IFNA(SUM((BH$3&gt;='Gastos com Pessoal'!$E$513:$E$522)*(BH$3&lt;='Gastos com Pessoal'!$F$513:$F$522)*(IF('Gastos com Pessoal'!$AE$513:$AE$522&lt;=BH$3,1,0))*OFFSET('Gastos com Pessoal'!$H$512,1,MATCH(5&amp;$B52,'Gastos com Pessoal'!$I$532:$AJ$532&amp;'Gastos com Pessoal'!$I$512:$AJ$512,0),10,1)),0)</f>
        <v>0</v>
      </c>
      <c r="BI52" s="32">
        <f t="array" aca="1" ref="BI52" ca="1">_xlfn.IFNA(SUM((BI$3&gt;='Gastos com Pessoal'!$E$7:$E$506)*(BI$3&lt;='Gastos com Pessoal'!$F$7:$F$506)*OFFSET('Encargos e Benefícios'!$D$5,1,MATCH($B52,'Encargos e Benefícios'!$E$5:$AB$5,0),500,1)),0)
+_xlfn.IFNA(SUM((BI$3&gt;='Gastos com Pessoal'!$E$513:$E$522)*(BI$3&lt;='Gastos com Pessoal'!$F$513:$F$522)*OFFSET('Encargos e Benefícios'!$D$511,1,MATCH($B52,'Encargos e Benefícios'!$E$511:$AB$511,0),10,1)),0)
+_xlfn.IFNA(SUM((BI$3&gt;='Gastos com Pessoal'!$E$7:$E$506)*(BI$3&lt;='Gastos com Pessoal'!$F$7:$F$506)*(IF('Gastos com Pessoal'!$G$7:$G$506&lt;=BI$3,1,0))*OFFSET('Gastos com Pessoal'!$H$6,1,MATCH(1&amp;$B52,'Gastos com Pessoal'!$I$532:$AJ$532&amp;'Gastos com Pessoal'!$I$6:$AJ$6,0),500,1)),0)
+_xlfn.IFNA(SUM((BI$3&gt;='Gastos com Pessoal'!$E$7:$E$506)*(BI$3&lt;='Gastos com Pessoal'!$F$7:$F$506)*(IF('Gastos com Pessoal'!$M$7:$M$506&lt;=BI$3,1,0))*OFFSET('Gastos com Pessoal'!$H$6,1,MATCH(2&amp;$B52,'Gastos com Pessoal'!$I$532:$AJ$532&amp;'Gastos com Pessoal'!$I$6:$AJ$6,0),500,1)),0)
+_xlfn.IFNA(SUM((BI$3&gt;='Gastos com Pessoal'!$E$7:$E$506)*(BI$3&lt;='Gastos com Pessoal'!$F$7:$F$506)*(IF('Gastos com Pessoal'!$S$7:$S$506&lt;=BI$3,1,0))*OFFSET('Gastos com Pessoal'!$H$6,1,MATCH(3&amp;$B52,'Gastos com Pessoal'!$I$532:$AJ$532&amp;'Gastos com Pessoal'!$I$6:$AJ$6,0),500,1)),0)
+_xlfn.IFNA(SUM((BI$3&gt;='Gastos com Pessoal'!$E$7:$E$506)*(BI$3&lt;='Gastos com Pessoal'!$F$7:$F$506)*(IF('Gastos com Pessoal'!$Y$7:$Y$506&lt;=BI$3,1,0))*OFFSET('Gastos com Pessoal'!$H$6,1,MATCH(4&amp;$B52,'Gastos com Pessoal'!$I$532:$AJ$532&amp;'Gastos com Pessoal'!$I$6:$AJ$6,0),500,1)),0)
+_xlfn.IFNA(SUM((BI$3&gt;='Gastos com Pessoal'!$E$7:$E$506)*(BI$3&lt;='Gastos com Pessoal'!$F$7:$F$506)*(IF('Gastos com Pessoal'!$AE$7:$AE$506&lt;=BI$3,1,0))*OFFSET('Gastos com Pessoal'!$H$6,1,MATCH(5&amp;$B52,'Gastos com Pessoal'!$I$532:$AJ$532&amp;'Gastos com Pessoal'!$I$6:$AJ$6,0),500,1)),0)
+_xlfn.IFNA(SUM((BI$3&gt;='Gastos com Pessoal'!$E$513:$E$522)*(BI$3&lt;='Gastos com Pessoal'!$F$513:$F$522)*(IF('Gastos com Pessoal'!$G$513:$G$522&lt;=BI$3,1,0))*OFFSET('Gastos com Pessoal'!$H$512,1,MATCH(1&amp;$B52,'Gastos com Pessoal'!$I$532:$AJ$532&amp;'Gastos com Pessoal'!$I$512:$AJ$512,0),10,1)),0)
+_xlfn.IFNA(SUM((BI$3&gt;='Gastos com Pessoal'!$E$513:$E$522)*(BI$3&lt;='Gastos com Pessoal'!$F$513:$F$522)*(IF('Gastos com Pessoal'!$M$513:$M$522&lt;=BI$3,1,0))*OFFSET('Gastos com Pessoal'!$H$512,1,MATCH(2&amp;$B52,'Gastos com Pessoal'!$I$532:$AJ$532&amp;'Gastos com Pessoal'!$I$512:$AJ$512,0),10,1)),0)
+_xlfn.IFNA(SUM((BI$3&gt;='Gastos com Pessoal'!$E$513:$E$522)*(BI$3&lt;='Gastos com Pessoal'!$F$513:$F$522)*(IF('Gastos com Pessoal'!$S$513:$S$522&lt;=BI$3,1,0))*OFFSET('Gastos com Pessoal'!$H$512,1,MATCH(3&amp;$B52,'Gastos com Pessoal'!$I$532:$AJ$532&amp;'Gastos com Pessoal'!$I$512:$AJ$512,0),10,1)),0)
+_xlfn.IFNA(SUM((BI$3&gt;='Gastos com Pessoal'!$E$513:$E$522)*(BI$3&lt;='Gastos com Pessoal'!$F$513:$F$522)*(IF('Gastos com Pessoal'!$Y$513:$Y$522&lt;=BI$3,1,0))*OFFSET('Gastos com Pessoal'!$H$512,1,MATCH(4&amp;$B52,'Gastos com Pessoal'!$I$532:$AJ$532&amp;'Gastos com Pessoal'!$I$512:$AJ$512,0),10,1)),0)
+_xlfn.IFNA(SUM((BI$3&gt;='Gastos com Pessoal'!$E$513:$E$522)*(BI$3&lt;='Gastos com Pessoal'!$F$513:$F$522)*(IF('Gastos com Pessoal'!$AE$513:$AE$522&lt;=BI$3,1,0))*OFFSET('Gastos com Pessoal'!$H$512,1,MATCH(5&amp;$B52,'Gastos com Pessoal'!$I$532:$AJ$532&amp;'Gastos com Pessoal'!$I$512:$AJ$512,0),10,1)),0)</f>
        <v>0</v>
      </c>
      <c r="BJ52" s="32">
        <f t="array" aca="1" ref="BJ52" ca="1">_xlfn.IFNA(SUM((BJ$3&gt;='Gastos com Pessoal'!$E$7:$E$506)*(BJ$3&lt;='Gastos com Pessoal'!$F$7:$F$506)*OFFSET('Encargos e Benefícios'!$D$5,1,MATCH($B52,'Encargos e Benefícios'!$E$5:$AB$5,0),500,1)),0)
+_xlfn.IFNA(SUM((BJ$3&gt;='Gastos com Pessoal'!$E$513:$E$522)*(BJ$3&lt;='Gastos com Pessoal'!$F$513:$F$522)*OFFSET('Encargos e Benefícios'!$D$511,1,MATCH($B52,'Encargos e Benefícios'!$E$511:$AB$511,0),10,1)),0)
+_xlfn.IFNA(SUM((BJ$3&gt;='Gastos com Pessoal'!$E$7:$E$506)*(BJ$3&lt;='Gastos com Pessoal'!$F$7:$F$506)*(IF('Gastos com Pessoal'!$G$7:$G$506&lt;=BJ$3,1,0))*OFFSET('Gastos com Pessoal'!$H$6,1,MATCH(1&amp;$B52,'Gastos com Pessoal'!$I$532:$AJ$532&amp;'Gastos com Pessoal'!$I$6:$AJ$6,0),500,1)),0)
+_xlfn.IFNA(SUM((BJ$3&gt;='Gastos com Pessoal'!$E$7:$E$506)*(BJ$3&lt;='Gastos com Pessoal'!$F$7:$F$506)*(IF('Gastos com Pessoal'!$M$7:$M$506&lt;=BJ$3,1,0))*OFFSET('Gastos com Pessoal'!$H$6,1,MATCH(2&amp;$B52,'Gastos com Pessoal'!$I$532:$AJ$532&amp;'Gastos com Pessoal'!$I$6:$AJ$6,0),500,1)),0)
+_xlfn.IFNA(SUM((BJ$3&gt;='Gastos com Pessoal'!$E$7:$E$506)*(BJ$3&lt;='Gastos com Pessoal'!$F$7:$F$506)*(IF('Gastos com Pessoal'!$S$7:$S$506&lt;=BJ$3,1,0))*OFFSET('Gastos com Pessoal'!$H$6,1,MATCH(3&amp;$B52,'Gastos com Pessoal'!$I$532:$AJ$532&amp;'Gastos com Pessoal'!$I$6:$AJ$6,0),500,1)),0)
+_xlfn.IFNA(SUM((BJ$3&gt;='Gastos com Pessoal'!$E$7:$E$506)*(BJ$3&lt;='Gastos com Pessoal'!$F$7:$F$506)*(IF('Gastos com Pessoal'!$Y$7:$Y$506&lt;=BJ$3,1,0))*OFFSET('Gastos com Pessoal'!$H$6,1,MATCH(4&amp;$B52,'Gastos com Pessoal'!$I$532:$AJ$532&amp;'Gastos com Pessoal'!$I$6:$AJ$6,0),500,1)),0)
+_xlfn.IFNA(SUM((BJ$3&gt;='Gastos com Pessoal'!$E$7:$E$506)*(BJ$3&lt;='Gastos com Pessoal'!$F$7:$F$506)*(IF('Gastos com Pessoal'!$AE$7:$AE$506&lt;=BJ$3,1,0))*OFFSET('Gastos com Pessoal'!$H$6,1,MATCH(5&amp;$B52,'Gastos com Pessoal'!$I$532:$AJ$532&amp;'Gastos com Pessoal'!$I$6:$AJ$6,0),500,1)),0)
+_xlfn.IFNA(SUM((BJ$3&gt;='Gastos com Pessoal'!$E$513:$E$522)*(BJ$3&lt;='Gastos com Pessoal'!$F$513:$F$522)*(IF('Gastos com Pessoal'!$G$513:$G$522&lt;=BJ$3,1,0))*OFFSET('Gastos com Pessoal'!$H$512,1,MATCH(1&amp;$B52,'Gastos com Pessoal'!$I$532:$AJ$532&amp;'Gastos com Pessoal'!$I$512:$AJ$512,0),10,1)),0)
+_xlfn.IFNA(SUM((BJ$3&gt;='Gastos com Pessoal'!$E$513:$E$522)*(BJ$3&lt;='Gastos com Pessoal'!$F$513:$F$522)*(IF('Gastos com Pessoal'!$M$513:$M$522&lt;=BJ$3,1,0))*OFFSET('Gastos com Pessoal'!$H$512,1,MATCH(2&amp;$B52,'Gastos com Pessoal'!$I$532:$AJ$532&amp;'Gastos com Pessoal'!$I$512:$AJ$512,0),10,1)),0)
+_xlfn.IFNA(SUM((BJ$3&gt;='Gastos com Pessoal'!$E$513:$E$522)*(BJ$3&lt;='Gastos com Pessoal'!$F$513:$F$522)*(IF('Gastos com Pessoal'!$S$513:$S$522&lt;=BJ$3,1,0))*OFFSET('Gastos com Pessoal'!$H$512,1,MATCH(3&amp;$B52,'Gastos com Pessoal'!$I$532:$AJ$532&amp;'Gastos com Pessoal'!$I$512:$AJ$512,0),10,1)),0)
+_xlfn.IFNA(SUM((BJ$3&gt;='Gastos com Pessoal'!$E$513:$E$522)*(BJ$3&lt;='Gastos com Pessoal'!$F$513:$F$522)*(IF('Gastos com Pessoal'!$Y$513:$Y$522&lt;=BJ$3,1,0))*OFFSET('Gastos com Pessoal'!$H$512,1,MATCH(4&amp;$B52,'Gastos com Pessoal'!$I$532:$AJ$532&amp;'Gastos com Pessoal'!$I$512:$AJ$512,0),10,1)),0)
+_xlfn.IFNA(SUM((BJ$3&gt;='Gastos com Pessoal'!$E$513:$E$522)*(BJ$3&lt;='Gastos com Pessoal'!$F$513:$F$522)*(IF('Gastos com Pessoal'!$AE$513:$AE$522&lt;=BJ$3,1,0))*OFFSET('Gastos com Pessoal'!$H$512,1,MATCH(5&amp;$B52,'Gastos com Pessoal'!$I$532:$AJ$532&amp;'Gastos com Pessoal'!$I$512:$AJ$512,0),10,1)),0)</f>
        <v>0</v>
      </c>
      <c r="BK52" s="71">
        <f t="shared" ca="1" si="20"/>
        <v>887796</v>
      </c>
      <c r="BL52" s="76">
        <f t="shared" ca="1" si="21"/>
        <v>2.4215509716988791E-3</v>
      </c>
    </row>
    <row r="53" spans="1:64" s="49" customFormat="1" ht="23.25" customHeight="1" x14ac:dyDescent="0.2">
      <c r="A53" s="18" t="s">
        <v>179</v>
      </c>
      <c r="B53" s="12" t="s">
        <v>180</v>
      </c>
      <c r="C53" s="32">
        <f t="array" aca="1" ref="C53" ca="1">_xlfn.IFNA(SUM((C$3&gt;='Gastos com Pessoal'!$E$7:$E$506)*(C$3&lt;='Gastos com Pessoal'!$F$7:$F$506)*OFFSET('Encargos e Benefícios'!$D$5,1,MATCH($B53,'Encargos e Benefícios'!$E$5:$AB$5,0),500,1)),0)
+_xlfn.IFNA(SUM((C$3&gt;='Gastos com Pessoal'!$E$513:$E$522)*(C$3&lt;='Gastos com Pessoal'!$F$513:$F$522)*OFFSET('Encargos e Benefícios'!$D$511,1,MATCH($B53,'Encargos e Benefícios'!$E$511:$AB$511,0),10,1)),0)
+_xlfn.IFNA(SUM((C$3&gt;='Gastos com Pessoal'!$E$7:$E$506)*(C$3&lt;='Gastos com Pessoal'!$F$7:$F$506)*(IF('Gastos com Pessoal'!$G$7:$G$506&lt;=C$3,1,0))*OFFSET('Gastos com Pessoal'!$H$6,1,MATCH(1&amp;$B53,'Gastos com Pessoal'!$I$532:$AJ$532&amp;'Gastos com Pessoal'!$I$6:$AJ$6,0),500,1)),0)
+_xlfn.IFNA(SUM((C$3&gt;='Gastos com Pessoal'!$E$7:$E$506)*(C$3&lt;='Gastos com Pessoal'!$F$7:$F$506)*(IF('Gastos com Pessoal'!$M$7:$M$506&lt;=C$3,1,0))*OFFSET('Gastos com Pessoal'!$H$6,1,MATCH(2&amp;$B53,'Gastos com Pessoal'!$I$532:$AJ$532&amp;'Gastos com Pessoal'!$I$6:$AJ$6,0),500,1)),0)
+_xlfn.IFNA(SUM((C$3&gt;='Gastos com Pessoal'!$E$7:$E$506)*(C$3&lt;='Gastos com Pessoal'!$F$7:$F$506)*(IF('Gastos com Pessoal'!$S$7:$S$506&lt;=C$3,1,0))*OFFSET('Gastos com Pessoal'!$H$6,1,MATCH(3&amp;$B53,'Gastos com Pessoal'!$I$532:$AJ$532&amp;'Gastos com Pessoal'!$I$6:$AJ$6,0),500,1)),0)
+_xlfn.IFNA(SUM((C$3&gt;='Gastos com Pessoal'!$E$7:$E$506)*(C$3&lt;='Gastos com Pessoal'!$F$7:$F$506)*(IF('Gastos com Pessoal'!$Y$7:$Y$506&lt;=C$3,1,0))*OFFSET('Gastos com Pessoal'!$H$6,1,MATCH(4&amp;$B53,'Gastos com Pessoal'!$I$532:$AJ$532&amp;'Gastos com Pessoal'!$I$6:$AJ$6,0),500,1)),0)
+_xlfn.IFNA(SUM((C$3&gt;='Gastos com Pessoal'!$E$7:$E$506)*(C$3&lt;='Gastos com Pessoal'!$F$7:$F$506)*(IF('Gastos com Pessoal'!$AE$7:$AE$506&lt;=C$3,1,0))*OFFSET('Gastos com Pessoal'!$H$6,1,MATCH(5&amp;$B53,'Gastos com Pessoal'!$I$532:$AJ$532&amp;'Gastos com Pessoal'!$I$6:$AJ$6,0),500,1)),0)
+_xlfn.IFNA(SUM((C$3&gt;='Gastos com Pessoal'!$E$513:$E$522)*(C$3&lt;='Gastos com Pessoal'!$F$513:$F$522)*(IF('Gastos com Pessoal'!$G$513:$G$522&lt;=C$3,1,0))*OFFSET('Gastos com Pessoal'!$H$512,1,MATCH(1&amp;$B53,'Gastos com Pessoal'!$I$532:$AJ$532&amp;'Gastos com Pessoal'!$I$512:$AJ$512,0),10,1)),0)
+_xlfn.IFNA(SUM((C$3&gt;='Gastos com Pessoal'!$E$513:$E$522)*(C$3&lt;='Gastos com Pessoal'!$F$513:$F$522)*(IF('Gastos com Pessoal'!$M$513:$M$522&lt;=C$3,1,0))*OFFSET('Gastos com Pessoal'!$H$512,1,MATCH(2&amp;$B53,'Gastos com Pessoal'!$I$532:$AJ$532&amp;'Gastos com Pessoal'!$I$512:$AJ$512,0),10,1)),0)
+_xlfn.IFNA(SUM((C$3&gt;='Gastos com Pessoal'!$E$513:$E$522)*(C$3&lt;='Gastos com Pessoal'!$F$513:$F$522)*(IF('Gastos com Pessoal'!$S$513:$S$522&lt;=C$3,1,0))*OFFSET('Gastos com Pessoal'!$H$512,1,MATCH(3&amp;$B53,'Gastos com Pessoal'!$I$532:$AJ$532&amp;'Gastos com Pessoal'!$I$512:$AJ$512,0),10,1)),0)
+_xlfn.IFNA(SUM((C$3&gt;='Gastos com Pessoal'!$E$513:$E$522)*(C$3&lt;='Gastos com Pessoal'!$F$513:$F$522)*(IF('Gastos com Pessoal'!$Y$513:$Y$522&lt;=C$3,1,0))*OFFSET('Gastos com Pessoal'!$H$512,1,MATCH(4&amp;$B53,'Gastos com Pessoal'!$I$532:$AJ$532&amp;'Gastos com Pessoal'!$I$512:$AJ$512,0),10,1)),0)
+_xlfn.IFNA(SUM((C$3&gt;='Gastos com Pessoal'!$E$513:$E$522)*(C$3&lt;='Gastos com Pessoal'!$F$513:$F$522)*(IF('Gastos com Pessoal'!$AE$513:$AE$522&lt;=C$3,1,0))*OFFSET('Gastos com Pessoal'!$H$512,1,MATCH(5&amp;$B53,'Gastos com Pessoal'!$I$532:$AJ$532&amp;'Gastos com Pessoal'!$I$512:$AJ$512,0),10,1)),0)</f>
        <v>0</v>
      </c>
      <c r="D53" s="32">
        <f t="array" aca="1" ref="D53" ca="1">_xlfn.IFNA(SUM((D$3&gt;='Gastos com Pessoal'!$E$7:$E$506)*(D$3&lt;='Gastos com Pessoal'!$F$7:$F$506)*OFFSET('Encargos e Benefícios'!$D$5,1,MATCH($B53,'Encargos e Benefícios'!$E$5:$AB$5,0),500,1)),0)
+_xlfn.IFNA(SUM((D$3&gt;='Gastos com Pessoal'!$E$513:$E$522)*(D$3&lt;='Gastos com Pessoal'!$F$513:$F$522)*OFFSET('Encargos e Benefícios'!$D$511,1,MATCH($B53,'Encargos e Benefícios'!$E$511:$AB$511,0),10,1)),0)
+_xlfn.IFNA(SUM((D$3&gt;='Gastos com Pessoal'!$E$7:$E$506)*(D$3&lt;='Gastos com Pessoal'!$F$7:$F$506)*(IF('Gastos com Pessoal'!$G$7:$G$506&lt;=D$3,1,0))*OFFSET('Gastos com Pessoal'!$H$6,1,MATCH(1&amp;$B53,'Gastos com Pessoal'!$I$532:$AJ$532&amp;'Gastos com Pessoal'!$I$6:$AJ$6,0),500,1)),0)
+_xlfn.IFNA(SUM((D$3&gt;='Gastos com Pessoal'!$E$7:$E$506)*(D$3&lt;='Gastos com Pessoal'!$F$7:$F$506)*(IF('Gastos com Pessoal'!$M$7:$M$506&lt;=D$3,1,0))*OFFSET('Gastos com Pessoal'!$H$6,1,MATCH(2&amp;$B53,'Gastos com Pessoal'!$I$532:$AJ$532&amp;'Gastos com Pessoal'!$I$6:$AJ$6,0),500,1)),0)
+_xlfn.IFNA(SUM((D$3&gt;='Gastos com Pessoal'!$E$7:$E$506)*(D$3&lt;='Gastos com Pessoal'!$F$7:$F$506)*(IF('Gastos com Pessoal'!$S$7:$S$506&lt;=D$3,1,0))*OFFSET('Gastos com Pessoal'!$H$6,1,MATCH(3&amp;$B53,'Gastos com Pessoal'!$I$532:$AJ$532&amp;'Gastos com Pessoal'!$I$6:$AJ$6,0),500,1)),0)
+_xlfn.IFNA(SUM((D$3&gt;='Gastos com Pessoal'!$E$7:$E$506)*(D$3&lt;='Gastos com Pessoal'!$F$7:$F$506)*(IF('Gastos com Pessoal'!$Y$7:$Y$506&lt;=D$3,1,0))*OFFSET('Gastos com Pessoal'!$H$6,1,MATCH(4&amp;$B53,'Gastos com Pessoal'!$I$532:$AJ$532&amp;'Gastos com Pessoal'!$I$6:$AJ$6,0),500,1)),0)
+_xlfn.IFNA(SUM((D$3&gt;='Gastos com Pessoal'!$E$7:$E$506)*(D$3&lt;='Gastos com Pessoal'!$F$7:$F$506)*(IF('Gastos com Pessoal'!$AE$7:$AE$506&lt;=D$3,1,0))*OFFSET('Gastos com Pessoal'!$H$6,1,MATCH(5&amp;$B53,'Gastos com Pessoal'!$I$532:$AJ$532&amp;'Gastos com Pessoal'!$I$6:$AJ$6,0),500,1)),0)
+_xlfn.IFNA(SUM((D$3&gt;='Gastos com Pessoal'!$E$513:$E$522)*(D$3&lt;='Gastos com Pessoal'!$F$513:$F$522)*(IF('Gastos com Pessoal'!$G$513:$G$522&lt;=D$3,1,0))*OFFSET('Gastos com Pessoal'!$H$512,1,MATCH(1&amp;$B53,'Gastos com Pessoal'!$I$532:$AJ$532&amp;'Gastos com Pessoal'!$I$512:$AJ$512,0),10,1)),0)
+_xlfn.IFNA(SUM((D$3&gt;='Gastos com Pessoal'!$E$513:$E$522)*(D$3&lt;='Gastos com Pessoal'!$F$513:$F$522)*(IF('Gastos com Pessoal'!$M$513:$M$522&lt;=D$3,1,0))*OFFSET('Gastos com Pessoal'!$H$512,1,MATCH(2&amp;$B53,'Gastos com Pessoal'!$I$532:$AJ$532&amp;'Gastos com Pessoal'!$I$512:$AJ$512,0),10,1)),0)
+_xlfn.IFNA(SUM((D$3&gt;='Gastos com Pessoal'!$E$513:$E$522)*(D$3&lt;='Gastos com Pessoal'!$F$513:$F$522)*(IF('Gastos com Pessoal'!$S$513:$S$522&lt;=D$3,1,0))*OFFSET('Gastos com Pessoal'!$H$512,1,MATCH(3&amp;$B53,'Gastos com Pessoal'!$I$532:$AJ$532&amp;'Gastos com Pessoal'!$I$512:$AJ$512,0),10,1)),0)
+_xlfn.IFNA(SUM((D$3&gt;='Gastos com Pessoal'!$E$513:$E$522)*(D$3&lt;='Gastos com Pessoal'!$F$513:$F$522)*(IF('Gastos com Pessoal'!$Y$513:$Y$522&lt;=D$3,1,0))*OFFSET('Gastos com Pessoal'!$H$512,1,MATCH(4&amp;$B53,'Gastos com Pessoal'!$I$532:$AJ$532&amp;'Gastos com Pessoal'!$I$512:$AJ$512,0),10,1)),0)
+_xlfn.IFNA(SUM((D$3&gt;='Gastos com Pessoal'!$E$513:$E$522)*(D$3&lt;='Gastos com Pessoal'!$F$513:$F$522)*(IF('Gastos com Pessoal'!$AE$513:$AE$522&lt;=D$3,1,0))*OFFSET('Gastos com Pessoal'!$H$512,1,MATCH(5&amp;$B53,'Gastos com Pessoal'!$I$532:$AJ$532&amp;'Gastos com Pessoal'!$I$512:$AJ$512,0),10,1)),0)</f>
        <v>0</v>
      </c>
      <c r="E53" s="32">
        <f t="array" aca="1" ref="E53" ca="1">_xlfn.IFNA(SUM((E$3&gt;='Gastos com Pessoal'!$E$7:$E$506)*(E$3&lt;='Gastos com Pessoal'!$F$7:$F$506)*OFFSET('Encargos e Benefícios'!$D$5,1,MATCH($B53,'Encargos e Benefícios'!$E$5:$AB$5,0),500,1)),0)
+_xlfn.IFNA(SUM((E$3&gt;='Gastos com Pessoal'!$E$513:$E$522)*(E$3&lt;='Gastos com Pessoal'!$F$513:$F$522)*OFFSET('Encargos e Benefícios'!$D$511,1,MATCH($B53,'Encargos e Benefícios'!$E$511:$AB$511,0),10,1)),0)
+_xlfn.IFNA(SUM((E$3&gt;='Gastos com Pessoal'!$E$7:$E$506)*(E$3&lt;='Gastos com Pessoal'!$F$7:$F$506)*(IF('Gastos com Pessoal'!$G$7:$G$506&lt;=E$3,1,0))*OFFSET('Gastos com Pessoal'!$H$6,1,MATCH(1&amp;$B53,'Gastos com Pessoal'!$I$532:$AJ$532&amp;'Gastos com Pessoal'!$I$6:$AJ$6,0),500,1)),0)
+_xlfn.IFNA(SUM((E$3&gt;='Gastos com Pessoal'!$E$7:$E$506)*(E$3&lt;='Gastos com Pessoal'!$F$7:$F$506)*(IF('Gastos com Pessoal'!$M$7:$M$506&lt;=E$3,1,0))*OFFSET('Gastos com Pessoal'!$H$6,1,MATCH(2&amp;$B53,'Gastos com Pessoal'!$I$532:$AJ$532&amp;'Gastos com Pessoal'!$I$6:$AJ$6,0),500,1)),0)
+_xlfn.IFNA(SUM((E$3&gt;='Gastos com Pessoal'!$E$7:$E$506)*(E$3&lt;='Gastos com Pessoal'!$F$7:$F$506)*(IF('Gastos com Pessoal'!$S$7:$S$506&lt;=E$3,1,0))*OFFSET('Gastos com Pessoal'!$H$6,1,MATCH(3&amp;$B53,'Gastos com Pessoal'!$I$532:$AJ$532&amp;'Gastos com Pessoal'!$I$6:$AJ$6,0),500,1)),0)
+_xlfn.IFNA(SUM((E$3&gt;='Gastos com Pessoal'!$E$7:$E$506)*(E$3&lt;='Gastos com Pessoal'!$F$7:$F$506)*(IF('Gastos com Pessoal'!$Y$7:$Y$506&lt;=E$3,1,0))*OFFSET('Gastos com Pessoal'!$H$6,1,MATCH(4&amp;$B53,'Gastos com Pessoal'!$I$532:$AJ$532&amp;'Gastos com Pessoal'!$I$6:$AJ$6,0),500,1)),0)
+_xlfn.IFNA(SUM((E$3&gt;='Gastos com Pessoal'!$E$7:$E$506)*(E$3&lt;='Gastos com Pessoal'!$F$7:$F$506)*(IF('Gastos com Pessoal'!$AE$7:$AE$506&lt;=E$3,1,0))*OFFSET('Gastos com Pessoal'!$H$6,1,MATCH(5&amp;$B53,'Gastos com Pessoal'!$I$532:$AJ$532&amp;'Gastos com Pessoal'!$I$6:$AJ$6,0),500,1)),0)
+_xlfn.IFNA(SUM((E$3&gt;='Gastos com Pessoal'!$E$513:$E$522)*(E$3&lt;='Gastos com Pessoal'!$F$513:$F$522)*(IF('Gastos com Pessoal'!$G$513:$G$522&lt;=E$3,1,0))*OFFSET('Gastos com Pessoal'!$H$512,1,MATCH(1&amp;$B53,'Gastos com Pessoal'!$I$532:$AJ$532&amp;'Gastos com Pessoal'!$I$512:$AJ$512,0),10,1)),0)
+_xlfn.IFNA(SUM((E$3&gt;='Gastos com Pessoal'!$E$513:$E$522)*(E$3&lt;='Gastos com Pessoal'!$F$513:$F$522)*(IF('Gastos com Pessoal'!$M$513:$M$522&lt;=E$3,1,0))*OFFSET('Gastos com Pessoal'!$H$512,1,MATCH(2&amp;$B53,'Gastos com Pessoal'!$I$532:$AJ$532&amp;'Gastos com Pessoal'!$I$512:$AJ$512,0),10,1)),0)
+_xlfn.IFNA(SUM((E$3&gt;='Gastos com Pessoal'!$E$513:$E$522)*(E$3&lt;='Gastos com Pessoal'!$F$513:$F$522)*(IF('Gastos com Pessoal'!$S$513:$S$522&lt;=E$3,1,0))*OFFSET('Gastos com Pessoal'!$H$512,1,MATCH(3&amp;$B53,'Gastos com Pessoal'!$I$532:$AJ$532&amp;'Gastos com Pessoal'!$I$512:$AJ$512,0),10,1)),0)
+_xlfn.IFNA(SUM((E$3&gt;='Gastos com Pessoal'!$E$513:$E$522)*(E$3&lt;='Gastos com Pessoal'!$F$513:$F$522)*(IF('Gastos com Pessoal'!$Y$513:$Y$522&lt;=E$3,1,0))*OFFSET('Gastos com Pessoal'!$H$512,1,MATCH(4&amp;$B53,'Gastos com Pessoal'!$I$532:$AJ$532&amp;'Gastos com Pessoal'!$I$512:$AJ$512,0),10,1)),0)
+_xlfn.IFNA(SUM((E$3&gt;='Gastos com Pessoal'!$E$513:$E$522)*(E$3&lt;='Gastos com Pessoal'!$F$513:$F$522)*(IF('Gastos com Pessoal'!$AE$513:$AE$522&lt;=E$3,1,0))*OFFSET('Gastos com Pessoal'!$H$512,1,MATCH(5&amp;$B53,'Gastos com Pessoal'!$I$532:$AJ$532&amp;'Gastos com Pessoal'!$I$512:$AJ$512,0),10,1)),0)</f>
        <v>0</v>
      </c>
      <c r="F53" s="32">
        <f t="array" aca="1" ref="F53" ca="1">_xlfn.IFNA(SUM((F$3&gt;='Gastos com Pessoal'!$E$7:$E$506)*(F$3&lt;='Gastos com Pessoal'!$F$7:$F$506)*OFFSET('Encargos e Benefícios'!$D$5,1,MATCH($B53,'Encargos e Benefícios'!$E$5:$AB$5,0),500,1)),0)
+_xlfn.IFNA(SUM((F$3&gt;='Gastos com Pessoal'!$E$513:$E$522)*(F$3&lt;='Gastos com Pessoal'!$F$513:$F$522)*OFFSET('Encargos e Benefícios'!$D$511,1,MATCH($B53,'Encargos e Benefícios'!$E$511:$AB$511,0),10,1)),0)
+_xlfn.IFNA(SUM((F$3&gt;='Gastos com Pessoal'!$E$7:$E$506)*(F$3&lt;='Gastos com Pessoal'!$F$7:$F$506)*(IF('Gastos com Pessoal'!$G$7:$G$506&lt;=F$3,1,0))*OFFSET('Gastos com Pessoal'!$H$6,1,MATCH(1&amp;$B53,'Gastos com Pessoal'!$I$532:$AJ$532&amp;'Gastos com Pessoal'!$I$6:$AJ$6,0),500,1)),0)
+_xlfn.IFNA(SUM((F$3&gt;='Gastos com Pessoal'!$E$7:$E$506)*(F$3&lt;='Gastos com Pessoal'!$F$7:$F$506)*(IF('Gastos com Pessoal'!$M$7:$M$506&lt;=F$3,1,0))*OFFSET('Gastos com Pessoal'!$H$6,1,MATCH(2&amp;$B53,'Gastos com Pessoal'!$I$532:$AJ$532&amp;'Gastos com Pessoal'!$I$6:$AJ$6,0),500,1)),0)
+_xlfn.IFNA(SUM((F$3&gt;='Gastos com Pessoal'!$E$7:$E$506)*(F$3&lt;='Gastos com Pessoal'!$F$7:$F$506)*(IF('Gastos com Pessoal'!$S$7:$S$506&lt;=F$3,1,0))*OFFSET('Gastos com Pessoal'!$H$6,1,MATCH(3&amp;$B53,'Gastos com Pessoal'!$I$532:$AJ$532&amp;'Gastos com Pessoal'!$I$6:$AJ$6,0),500,1)),0)
+_xlfn.IFNA(SUM((F$3&gt;='Gastos com Pessoal'!$E$7:$E$506)*(F$3&lt;='Gastos com Pessoal'!$F$7:$F$506)*(IF('Gastos com Pessoal'!$Y$7:$Y$506&lt;=F$3,1,0))*OFFSET('Gastos com Pessoal'!$H$6,1,MATCH(4&amp;$B53,'Gastos com Pessoal'!$I$532:$AJ$532&amp;'Gastos com Pessoal'!$I$6:$AJ$6,0),500,1)),0)
+_xlfn.IFNA(SUM((F$3&gt;='Gastos com Pessoal'!$E$7:$E$506)*(F$3&lt;='Gastos com Pessoal'!$F$7:$F$506)*(IF('Gastos com Pessoal'!$AE$7:$AE$506&lt;=F$3,1,0))*OFFSET('Gastos com Pessoal'!$H$6,1,MATCH(5&amp;$B53,'Gastos com Pessoal'!$I$532:$AJ$532&amp;'Gastos com Pessoal'!$I$6:$AJ$6,0),500,1)),0)
+_xlfn.IFNA(SUM((F$3&gt;='Gastos com Pessoal'!$E$513:$E$522)*(F$3&lt;='Gastos com Pessoal'!$F$513:$F$522)*(IF('Gastos com Pessoal'!$G$513:$G$522&lt;=F$3,1,0))*OFFSET('Gastos com Pessoal'!$H$512,1,MATCH(1&amp;$B53,'Gastos com Pessoal'!$I$532:$AJ$532&amp;'Gastos com Pessoal'!$I$512:$AJ$512,0),10,1)),0)
+_xlfn.IFNA(SUM((F$3&gt;='Gastos com Pessoal'!$E$513:$E$522)*(F$3&lt;='Gastos com Pessoal'!$F$513:$F$522)*(IF('Gastos com Pessoal'!$M$513:$M$522&lt;=F$3,1,0))*OFFSET('Gastos com Pessoal'!$H$512,1,MATCH(2&amp;$B53,'Gastos com Pessoal'!$I$532:$AJ$532&amp;'Gastos com Pessoal'!$I$512:$AJ$512,0),10,1)),0)
+_xlfn.IFNA(SUM((F$3&gt;='Gastos com Pessoal'!$E$513:$E$522)*(F$3&lt;='Gastos com Pessoal'!$F$513:$F$522)*(IF('Gastos com Pessoal'!$S$513:$S$522&lt;=F$3,1,0))*OFFSET('Gastos com Pessoal'!$H$512,1,MATCH(3&amp;$B53,'Gastos com Pessoal'!$I$532:$AJ$532&amp;'Gastos com Pessoal'!$I$512:$AJ$512,0),10,1)),0)
+_xlfn.IFNA(SUM((F$3&gt;='Gastos com Pessoal'!$E$513:$E$522)*(F$3&lt;='Gastos com Pessoal'!$F$513:$F$522)*(IF('Gastos com Pessoal'!$Y$513:$Y$522&lt;=F$3,1,0))*OFFSET('Gastos com Pessoal'!$H$512,1,MATCH(4&amp;$B53,'Gastos com Pessoal'!$I$532:$AJ$532&amp;'Gastos com Pessoal'!$I$512:$AJ$512,0),10,1)),0)
+_xlfn.IFNA(SUM((F$3&gt;='Gastos com Pessoal'!$E$513:$E$522)*(F$3&lt;='Gastos com Pessoal'!$F$513:$F$522)*(IF('Gastos com Pessoal'!$AE$513:$AE$522&lt;=F$3,1,0))*OFFSET('Gastos com Pessoal'!$H$512,1,MATCH(5&amp;$B53,'Gastos com Pessoal'!$I$532:$AJ$532&amp;'Gastos com Pessoal'!$I$512:$AJ$512,0),10,1)),0)</f>
        <v>0</v>
      </c>
      <c r="G53" s="32">
        <f t="array" aca="1" ref="G53" ca="1">_xlfn.IFNA(SUM((G$3&gt;='Gastos com Pessoal'!$E$7:$E$506)*(G$3&lt;='Gastos com Pessoal'!$F$7:$F$506)*OFFSET('Encargos e Benefícios'!$D$5,1,MATCH($B53,'Encargos e Benefícios'!$E$5:$AB$5,0),500,1)),0)
+_xlfn.IFNA(SUM((G$3&gt;='Gastos com Pessoal'!$E$513:$E$522)*(G$3&lt;='Gastos com Pessoal'!$F$513:$F$522)*OFFSET('Encargos e Benefícios'!$D$511,1,MATCH($B53,'Encargos e Benefícios'!$E$511:$AB$511,0),10,1)),0)
+_xlfn.IFNA(SUM((G$3&gt;='Gastos com Pessoal'!$E$7:$E$506)*(G$3&lt;='Gastos com Pessoal'!$F$7:$F$506)*(IF('Gastos com Pessoal'!$G$7:$G$506&lt;=G$3,1,0))*OFFSET('Gastos com Pessoal'!$H$6,1,MATCH(1&amp;$B53,'Gastos com Pessoal'!$I$532:$AJ$532&amp;'Gastos com Pessoal'!$I$6:$AJ$6,0),500,1)),0)
+_xlfn.IFNA(SUM((G$3&gt;='Gastos com Pessoal'!$E$7:$E$506)*(G$3&lt;='Gastos com Pessoal'!$F$7:$F$506)*(IF('Gastos com Pessoal'!$M$7:$M$506&lt;=G$3,1,0))*OFFSET('Gastos com Pessoal'!$H$6,1,MATCH(2&amp;$B53,'Gastos com Pessoal'!$I$532:$AJ$532&amp;'Gastos com Pessoal'!$I$6:$AJ$6,0),500,1)),0)
+_xlfn.IFNA(SUM((G$3&gt;='Gastos com Pessoal'!$E$7:$E$506)*(G$3&lt;='Gastos com Pessoal'!$F$7:$F$506)*(IF('Gastos com Pessoal'!$S$7:$S$506&lt;=G$3,1,0))*OFFSET('Gastos com Pessoal'!$H$6,1,MATCH(3&amp;$B53,'Gastos com Pessoal'!$I$532:$AJ$532&amp;'Gastos com Pessoal'!$I$6:$AJ$6,0),500,1)),0)
+_xlfn.IFNA(SUM((G$3&gt;='Gastos com Pessoal'!$E$7:$E$506)*(G$3&lt;='Gastos com Pessoal'!$F$7:$F$506)*(IF('Gastos com Pessoal'!$Y$7:$Y$506&lt;=G$3,1,0))*OFFSET('Gastos com Pessoal'!$H$6,1,MATCH(4&amp;$B53,'Gastos com Pessoal'!$I$532:$AJ$532&amp;'Gastos com Pessoal'!$I$6:$AJ$6,0),500,1)),0)
+_xlfn.IFNA(SUM((G$3&gt;='Gastos com Pessoal'!$E$7:$E$506)*(G$3&lt;='Gastos com Pessoal'!$F$7:$F$506)*(IF('Gastos com Pessoal'!$AE$7:$AE$506&lt;=G$3,1,0))*OFFSET('Gastos com Pessoal'!$H$6,1,MATCH(5&amp;$B53,'Gastos com Pessoal'!$I$532:$AJ$532&amp;'Gastos com Pessoal'!$I$6:$AJ$6,0),500,1)),0)
+_xlfn.IFNA(SUM((G$3&gt;='Gastos com Pessoal'!$E$513:$E$522)*(G$3&lt;='Gastos com Pessoal'!$F$513:$F$522)*(IF('Gastos com Pessoal'!$G$513:$G$522&lt;=G$3,1,0))*OFFSET('Gastos com Pessoal'!$H$512,1,MATCH(1&amp;$B53,'Gastos com Pessoal'!$I$532:$AJ$532&amp;'Gastos com Pessoal'!$I$512:$AJ$512,0),10,1)),0)
+_xlfn.IFNA(SUM((G$3&gt;='Gastos com Pessoal'!$E$513:$E$522)*(G$3&lt;='Gastos com Pessoal'!$F$513:$F$522)*(IF('Gastos com Pessoal'!$M$513:$M$522&lt;=G$3,1,0))*OFFSET('Gastos com Pessoal'!$H$512,1,MATCH(2&amp;$B53,'Gastos com Pessoal'!$I$532:$AJ$532&amp;'Gastos com Pessoal'!$I$512:$AJ$512,0),10,1)),0)
+_xlfn.IFNA(SUM((G$3&gt;='Gastos com Pessoal'!$E$513:$E$522)*(G$3&lt;='Gastos com Pessoal'!$F$513:$F$522)*(IF('Gastos com Pessoal'!$S$513:$S$522&lt;=G$3,1,0))*OFFSET('Gastos com Pessoal'!$H$512,1,MATCH(3&amp;$B53,'Gastos com Pessoal'!$I$532:$AJ$532&amp;'Gastos com Pessoal'!$I$512:$AJ$512,0),10,1)),0)
+_xlfn.IFNA(SUM((G$3&gt;='Gastos com Pessoal'!$E$513:$E$522)*(G$3&lt;='Gastos com Pessoal'!$F$513:$F$522)*(IF('Gastos com Pessoal'!$Y$513:$Y$522&lt;=G$3,1,0))*OFFSET('Gastos com Pessoal'!$H$512,1,MATCH(4&amp;$B53,'Gastos com Pessoal'!$I$532:$AJ$532&amp;'Gastos com Pessoal'!$I$512:$AJ$512,0),10,1)),0)
+_xlfn.IFNA(SUM((G$3&gt;='Gastos com Pessoal'!$E$513:$E$522)*(G$3&lt;='Gastos com Pessoal'!$F$513:$F$522)*(IF('Gastos com Pessoal'!$AE$513:$AE$522&lt;=G$3,1,0))*OFFSET('Gastos com Pessoal'!$H$512,1,MATCH(5&amp;$B53,'Gastos com Pessoal'!$I$532:$AJ$532&amp;'Gastos com Pessoal'!$I$512:$AJ$512,0),10,1)),0)</f>
        <v>0</v>
      </c>
      <c r="H53" s="32">
        <f t="array" aca="1" ref="H53" ca="1">_xlfn.IFNA(SUM((H$3&gt;='Gastos com Pessoal'!$E$7:$E$506)*(H$3&lt;='Gastos com Pessoal'!$F$7:$F$506)*OFFSET('Encargos e Benefícios'!$D$5,1,MATCH($B53,'Encargos e Benefícios'!$E$5:$AB$5,0),500,1)),0)
+_xlfn.IFNA(SUM((H$3&gt;='Gastos com Pessoal'!$E$513:$E$522)*(H$3&lt;='Gastos com Pessoal'!$F$513:$F$522)*OFFSET('Encargos e Benefícios'!$D$511,1,MATCH($B53,'Encargos e Benefícios'!$E$511:$AB$511,0),10,1)),0)
+_xlfn.IFNA(SUM((H$3&gt;='Gastos com Pessoal'!$E$7:$E$506)*(H$3&lt;='Gastos com Pessoal'!$F$7:$F$506)*(IF('Gastos com Pessoal'!$G$7:$G$506&lt;=H$3,1,0))*OFFSET('Gastos com Pessoal'!$H$6,1,MATCH(1&amp;$B53,'Gastos com Pessoal'!$I$532:$AJ$532&amp;'Gastos com Pessoal'!$I$6:$AJ$6,0),500,1)),0)
+_xlfn.IFNA(SUM((H$3&gt;='Gastos com Pessoal'!$E$7:$E$506)*(H$3&lt;='Gastos com Pessoal'!$F$7:$F$506)*(IF('Gastos com Pessoal'!$M$7:$M$506&lt;=H$3,1,0))*OFFSET('Gastos com Pessoal'!$H$6,1,MATCH(2&amp;$B53,'Gastos com Pessoal'!$I$532:$AJ$532&amp;'Gastos com Pessoal'!$I$6:$AJ$6,0),500,1)),0)
+_xlfn.IFNA(SUM((H$3&gt;='Gastos com Pessoal'!$E$7:$E$506)*(H$3&lt;='Gastos com Pessoal'!$F$7:$F$506)*(IF('Gastos com Pessoal'!$S$7:$S$506&lt;=H$3,1,0))*OFFSET('Gastos com Pessoal'!$H$6,1,MATCH(3&amp;$B53,'Gastos com Pessoal'!$I$532:$AJ$532&amp;'Gastos com Pessoal'!$I$6:$AJ$6,0),500,1)),0)
+_xlfn.IFNA(SUM((H$3&gt;='Gastos com Pessoal'!$E$7:$E$506)*(H$3&lt;='Gastos com Pessoal'!$F$7:$F$506)*(IF('Gastos com Pessoal'!$Y$7:$Y$506&lt;=H$3,1,0))*OFFSET('Gastos com Pessoal'!$H$6,1,MATCH(4&amp;$B53,'Gastos com Pessoal'!$I$532:$AJ$532&amp;'Gastos com Pessoal'!$I$6:$AJ$6,0),500,1)),0)
+_xlfn.IFNA(SUM((H$3&gt;='Gastos com Pessoal'!$E$7:$E$506)*(H$3&lt;='Gastos com Pessoal'!$F$7:$F$506)*(IF('Gastos com Pessoal'!$AE$7:$AE$506&lt;=H$3,1,0))*OFFSET('Gastos com Pessoal'!$H$6,1,MATCH(5&amp;$B53,'Gastos com Pessoal'!$I$532:$AJ$532&amp;'Gastos com Pessoal'!$I$6:$AJ$6,0),500,1)),0)
+_xlfn.IFNA(SUM((H$3&gt;='Gastos com Pessoal'!$E$513:$E$522)*(H$3&lt;='Gastos com Pessoal'!$F$513:$F$522)*(IF('Gastos com Pessoal'!$G$513:$G$522&lt;=H$3,1,0))*OFFSET('Gastos com Pessoal'!$H$512,1,MATCH(1&amp;$B53,'Gastos com Pessoal'!$I$532:$AJ$532&amp;'Gastos com Pessoal'!$I$512:$AJ$512,0),10,1)),0)
+_xlfn.IFNA(SUM((H$3&gt;='Gastos com Pessoal'!$E$513:$E$522)*(H$3&lt;='Gastos com Pessoal'!$F$513:$F$522)*(IF('Gastos com Pessoal'!$M$513:$M$522&lt;=H$3,1,0))*OFFSET('Gastos com Pessoal'!$H$512,1,MATCH(2&amp;$B53,'Gastos com Pessoal'!$I$532:$AJ$532&amp;'Gastos com Pessoal'!$I$512:$AJ$512,0),10,1)),0)
+_xlfn.IFNA(SUM((H$3&gt;='Gastos com Pessoal'!$E$513:$E$522)*(H$3&lt;='Gastos com Pessoal'!$F$513:$F$522)*(IF('Gastos com Pessoal'!$S$513:$S$522&lt;=H$3,1,0))*OFFSET('Gastos com Pessoal'!$H$512,1,MATCH(3&amp;$B53,'Gastos com Pessoal'!$I$532:$AJ$532&amp;'Gastos com Pessoal'!$I$512:$AJ$512,0),10,1)),0)
+_xlfn.IFNA(SUM((H$3&gt;='Gastos com Pessoal'!$E$513:$E$522)*(H$3&lt;='Gastos com Pessoal'!$F$513:$F$522)*(IF('Gastos com Pessoal'!$Y$513:$Y$522&lt;=H$3,1,0))*OFFSET('Gastos com Pessoal'!$H$512,1,MATCH(4&amp;$B53,'Gastos com Pessoal'!$I$532:$AJ$532&amp;'Gastos com Pessoal'!$I$512:$AJ$512,0),10,1)),0)
+_xlfn.IFNA(SUM((H$3&gt;='Gastos com Pessoal'!$E$513:$E$522)*(H$3&lt;='Gastos com Pessoal'!$F$513:$F$522)*(IF('Gastos com Pessoal'!$AE$513:$AE$522&lt;=H$3,1,0))*OFFSET('Gastos com Pessoal'!$H$512,1,MATCH(5&amp;$B53,'Gastos com Pessoal'!$I$532:$AJ$532&amp;'Gastos com Pessoal'!$I$512:$AJ$512,0),10,1)),0)</f>
        <v>0</v>
      </c>
      <c r="I53" s="32">
        <f t="array" aca="1" ref="I53" ca="1">_xlfn.IFNA(SUM((I$3&gt;='Gastos com Pessoal'!$E$7:$E$506)*(I$3&lt;='Gastos com Pessoal'!$F$7:$F$506)*OFFSET('Encargos e Benefícios'!$D$5,1,MATCH($B53,'Encargos e Benefícios'!$E$5:$AB$5,0),500,1)),0)
+_xlfn.IFNA(SUM((I$3&gt;='Gastos com Pessoal'!$E$513:$E$522)*(I$3&lt;='Gastos com Pessoal'!$F$513:$F$522)*OFFSET('Encargos e Benefícios'!$D$511,1,MATCH($B53,'Encargos e Benefícios'!$E$511:$AB$511,0),10,1)),0)
+_xlfn.IFNA(SUM((I$3&gt;='Gastos com Pessoal'!$E$7:$E$506)*(I$3&lt;='Gastos com Pessoal'!$F$7:$F$506)*(IF('Gastos com Pessoal'!$G$7:$G$506&lt;=I$3,1,0))*OFFSET('Gastos com Pessoal'!$H$6,1,MATCH(1&amp;$B53,'Gastos com Pessoal'!$I$532:$AJ$532&amp;'Gastos com Pessoal'!$I$6:$AJ$6,0),500,1)),0)
+_xlfn.IFNA(SUM((I$3&gt;='Gastos com Pessoal'!$E$7:$E$506)*(I$3&lt;='Gastos com Pessoal'!$F$7:$F$506)*(IF('Gastos com Pessoal'!$M$7:$M$506&lt;=I$3,1,0))*OFFSET('Gastos com Pessoal'!$H$6,1,MATCH(2&amp;$B53,'Gastos com Pessoal'!$I$532:$AJ$532&amp;'Gastos com Pessoal'!$I$6:$AJ$6,0),500,1)),0)
+_xlfn.IFNA(SUM((I$3&gt;='Gastos com Pessoal'!$E$7:$E$506)*(I$3&lt;='Gastos com Pessoal'!$F$7:$F$506)*(IF('Gastos com Pessoal'!$S$7:$S$506&lt;=I$3,1,0))*OFFSET('Gastos com Pessoal'!$H$6,1,MATCH(3&amp;$B53,'Gastos com Pessoal'!$I$532:$AJ$532&amp;'Gastos com Pessoal'!$I$6:$AJ$6,0),500,1)),0)
+_xlfn.IFNA(SUM((I$3&gt;='Gastos com Pessoal'!$E$7:$E$506)*(I$3&lt;='Gastos com Pessoal'!$F$7:$F$506)*(IF('Gastos com Pessoal'!$Y$7:$Y$506&lt;=I$3,1,0))*OFFSET('Gastos com Pessoal'!$H$6,1,MATCH(4&amp;$B53,'Gastos com Pessoal'!$I$532:$AJ$532&amp;'Gastos com Pessoal'!$I$6:$AJ$6,0),500,1)),0)
+_xlfn.IFNA(SUM((I$3&gt;='Gastos com Pessoal'!$E$7:$E$506)*(I$3&lt;='Gastos com Pessoal'!$F$7:$F$506)*(IF('Gastos com Pessoal'!$AE$7:$AE$506&lt;=I$3,1,0))*OFFSET('Gastos com Pessoal'!$H$6,1,MATCH(5&amp;$B53,'Gastos com Pessoal'!$I$532:$AJ$532&amp;'Gastos com Pessoal'!$I$6:$AJ$6,0),500,1)),0)
+_xlfn.IFNA(SUM((I$3&gt;='Gastos com Pessoal'!$E$513:$E$522)*(I$3&lt;='Gastos com Pessoal'!$F$513:$F$522)*(IF('Gastos com Pessoal'!$G$513:$G$522&lt;=I$3,1,0))*OFFSET('Gastos com Pessoal'!$H$512,1,MATCH(1&amp;$B53,'Gastos com Pessoal'!$I$532:$AJ$532&amp;'Gastos com Pessoal'!$I$512:$AJ$512,0),10,1)),0)
+_xlfn.IFNA(SUM((I$3&gt;='Gastos com Pessoal'!$E$513:$E$522)*(I$3&lt;='Gastos com Pessoal'!$F$513:$F$522)*(IF('Gastos com Pessoal'!$M$513:$M$522&lt;=I$3,1,0))*OFFSET('Gastos com Pessoal'!$H$512,1,MATCH(2&amp;$B53,'Gastos com Pessoal'!$I$532:$AJ$532&amp;'Gastos com Pessoal'!$I$512:$AJ$512,0),10,1)),0)
+_xlfn.IFNA(SUM((I$3&gt;='Gastos com Pessoal'!$E$513:$E$522)*(I$3&lt;='Gastos com Pessoal'!$F$513:$F$522)*(IF('Gastos com Pessoal'!$S$513:$S$522&lt;=I$3,1,0))*OFFSET('Gastos com Pessoal'!$H$512,1,MATCH(3&amp;$B53,'Gastos com Pessoal'!$I$532:$AJ$532&amp;'Gastos com Pessoal'!$I$512:$AJ$512,0),10,1)),0)
+_xlfn.IFNA(SUM((I$3&gt;='Gastos com Pessoal'!$E$513:$E$522)*(I$3&lt;='Gastos com Pessoal'!$F$513:$F$522)*(IF('Gastos com Pessoal'!$Y$513:$Y$522&lt;=I$3,1,0))*OFFSET('Gastos com Pessoal'!$H$512,1,MATCH(4&amp;$B53,'Gastos com Pessoal'!$I$532:$AJ$532&amp;'Gastos com Pessoal'!$I$512:$AJ$512,0),10,1)),0)
+_xlfn.IFNA(SUM((I$3&gt;='Gastos com Pessoal'!$E$513:$E$522)*(I$3&lt;='Gastos com Pessoal'!$F$513:$F$522)*(IF('Gastos com Pessoal'!$AE$513:$AE$522&lt;=I$3,1,0))*OFFSET('Gastos com Pessoal'!$H$512,1,MATCH(5&amp;$B53,'Gastos com Pessoal'!$I$532:$AJ$532&amp;'Gastos com Pessoal'!$I$512:$AJ$512,0),10,1)),0)</f>
        <v>0</v>
      </c>
      <c r="J53" s="32">
        <f t="array" aca="1" ref="J53" ca="1">_xlfn.IFNA(SUM((J$3&gt;='Gastos com Pessoal'!$E$7:$E$506)*(J$3&lt;='Gastos com Pessoal'!$F$7:$F$506)*OFFSET('Encargos e Benefícios'!$D$5,1,MATCH($B53,'Encargos e Benefícios'!$E$5:$AB$5,0),500,1)),0)
+_xlfn.IFNA(SUM((J$3&gt;='Gastos com Pessoal'!$E$513:$E$522)*(J$3&lt;='Gastos com Pessoal'!$F$513:$F$522)*OFFSET('Encargos e Benefícios'!$D$511,1,MATCH($B53,'Encargos e Benefícios'!$E$511:$AB$511,0),10,1)),0)
+_xlfn.IFNA(SUM((J$3&gt;='Gastos com Pessoal'!$E$7:$E$506)*(J$3&lt;='Gastos com Pessoal'!$F$7:$F$506)*(IF('Gastos com Pessoal'!$G$7:$G$506&lt;=J$3,1,0))*OFFSET('Gastos com Pessoal'!$H$6,1,MATCH(1&amp;$B53,'Gastos com Pessoal'!$I$532:$AJ$532&amp;'Gastos com Pessoal'!$I$6:$AJ$6,0),500,1)),0)
+_xlfn.IFNA(SUM((J$3&gt;='Gastos com Pessoal'!$E$7:$E$506)*(J$3&lt;='Gastos com Pessoal'!$F$7:$F$506)*(IF('Gastos com Pessoal'!$M$7:$M$506&lt;=J$3,1,0))*OFFSET('Gastos com Pessoal'!$H$6,1,MATCH(2&amp;$B53,'Gastos com Pessoal'!$I$532:$AJ$532&amp;'Gastos com Pessoal'!$I$6:$AJ$6,0),500,1)),0)
+_xlfn.IFNA(SUM((J$3&gt;='Gastos com Pessoal'!$E$7:$E$506)*(J$3&lt;='Gastos com Pessoal'!$F$7:$F$506)*(IF('Gastos com Pessoal'!$S$7:$S$506&lt;=J$3,1,0))*OFFSET('Gastos com Pessoal'!$H$6,1,MATCH(3&amp;$B53,'Gastos com Pessoal'!$I$532:$AJ$532&amp;'Gastos com Pessoal'!$I$6:$AJ$6,0),500,1)),0)
+_xlfn.IFNA(SUM((J$3&gt;='Gastos com Pessoal'!$E$7:$E$506)*(J$3&lt;='Gastos com Pessoal'!$F$7:$F$506)*(IF('Gastos com Pessoal'!$Y$7:$Y$506&lt;=J$3,1,0))*OFFSET('Gastos com Pessoal'!$H$6,1,MATCH(4&amp;$B53,'Gastos com Pessoal'!$I$532:$AJ$532&amp;'Gastos com Pessoal'!$I$6:$AJ$6,0),500,1)),0)
+_xlfn.IFNA(SUM((J$3&gt;='Gastos com Pessoal'!$E$7:$E$506)*(J$3&lt;='Gastos com Pessoal'!$F$7:$F$506)*(IF('Gastos com Pessoal'!$AE$7:$AE$506&lt;=J$3,1,0))*OFFSET('Gastos com Pessoal'!$H$6,1,MATCH(5&amp;$B53,'Gastos com Pessoal'!$I$532:$AJ$532&amp;'Gastos com Pessoal'!$I$6:$AJ$6,0),500,1)),0)
+_xlfn.IFNA(SUM((J$3&gt;='Gastos com Pessoal'!$E$513:$E$522)*(J$3&lt;='Gastos com Pessoal'!$F$513:$F$522)*(IF('Gastos com Pessoal'!$G$513:$G$522&lt;=J$3,1,0))*OFFSET('Gastos com Pessoal'!$H$512,1,MATCH(1&amp;$B53,'Gastos com Pessoal'!$I$532:$AJ$532&amp;'Gastos com Pessoal'!$I$512:$AJ$512,0),10,1)),0)
+_xlfn.IFNA(SUM((J$3&gt;='Gastos com Pessoal'!$E$513:$E$522)*(J$3&lt;='Gastos com Pessoal'!$F$513:$F$522)*(IF('Gastos com Pessoal'!$M$513:$M$522&lt;=J$3,1,0))*OFFSET('Gastos com Pessoal'!$H$512,1,MATCH(2&amp;$B53,'Gastos com Pessoal'!$I$532:$AJ$532&amp;'Gastos com Pessoal'!$I$512:$AJ$512,0),10,1)),0)
+_xlfn.IFNA(SUM((J$3&gt;='Gastos com Pessoal'!$E$513:$E$522)*(J$3&lt;='Gastos com Pessoal'!$F$513:$F$522)*(IF('Gastos com Pessoal'!$S$513:$S$522&lt;=J$3,1,0))*OFFSET('Gastos com Pessoal'!$H$512,1,MATCH(3&amp;$B53,'Gastos com Pessoal'!$I$532:$AJ$532&amp;'Gastos com Pessoal'!$I$512:$AJ$512,0),10,1)),0)
+_xlfn.IFNA(SUM((J$3&gt;='Gastos com Pessoal'!$E$513:$E$522)*(J$3&lt;='Gastos com Pessoal'!$F$513:$F$522)*(IF('Gastos com Pessoal'!$Y$513:$Y$522&lt;=J$3,1,0))*OFFSET('Gastos com Pessoal'!$H$512,1,MATCH(4&amp;$B53,'Gastos com Pessoal'!$I$532:$AJ$532&amp;'Gastos com Pessoal'!$I$512:$AJ$512,0),10,1)),0)
+_xlfn.IFNA(SUM((J$3&gt;='Gastos com Pessoal'!$E$513:$E$522)*(J$3&lt;='Gastos com Pessoal'!$F$513:$F$522)*(IF('Gastos com Pessoal'!$AE$513:$AE$522&lt;=J$3,1,0))*OFFSET('Gastos com Pessoal'!$H$512,1,MATCH(5&amp;$B53,'Gastos com Pessoal'!$I$532:$AJ$532&amp;'Gastos com Pessoal'!$I$512:$AJ$512,0),10,1)),0)</f>
        <v>0</v>
      </c>
      <c r="K53" s="32">
        <f t="array" aca="1" ref="K53" ca="1">_xlfn.IFNA(SUM((K$3&gt;='Gastos com Pessoal'!$E$7:$E$506)*(K$3&lt;='Gastos com Pessoal'!$F$7:$F$506)*OFFSET('Encargos e Benefícios'!$D$5,1,MATCH($B53,'Encargos e Benefícios'!$E$5:$AB$5,0),500,1)),0)
+_xlfn.IFNA(SUM((K$3&gt;='Gastos com Pessoal'!$E$513:$E$522)*(K$3&lt;='Gastos com Pessoal'!$F$513:$F$522)*OFFSET('Encargos e Benefícios'!$D$511,1,MATCH($B53,'Encargos e Benefícios'!$E$511:$AB$511,0),10,1)),0)
+_xlfn.IFNA(SUM((K$3&gt;='Gastos com Pessoal'!$E$7:$E$506)*(K$3&lt;='Gastos com Pessoal'!$F$7:$F$506)*(IF('Gastos com Pessoal'!$G$7:$G$506&lt;=K$3,1,0))*OFFSET('Gastos com Pessoal'!$H$6,1,MATCH(1&amp;$B53,'Gastos com Pessoal'!$I$532:$AJ$532&amp;'Gastos com Pessoal'!$I$6:$AJ$6,0),500,1)),0)
+_xlfn.IFNA(SUM((K$3&gt;='Gastos com Pessoal'!$E$7:$E$506)*(K$3&lt;='Gastos com Pessoal'!$F$7:$F$506)*(IF('Gastos com Pessoal'!$M$7:$M$506&lt;=K$3,1,0))*OFFSET('Gastos com Pessoal'!$H$6,1,MATCH(2&amp;$B53,'Gastos com Pessoal'!$I$532:$AJ$532&amp;'Gastos com Pessoal'!$I$6:$AJ$6,0),500,1)),0)
+_xlfn.IFNA(SUM((K$3&gt;='Gastos com Pessoal'!$E$7:$E$506)*(K$3&lt;='Gastos com Pessoal'!$F$7:$F$506)*(IF('Gastos com Pessoal'!$S$7:$S$506&lt;=K$3,1,0))*OFFSET('Gastos com Pessoal'!$H$6,1,MATCH(3&amp;$B53,'Gastos com Pessoal'!$I$532:$AJ$532&amp;'Gastos com Pessoal'!$I$6:$AJ$6,0),500,1)),0)
+_xlfn.IFNA(SUM((K$3&gt;='Gastos com Pessoal'!$E$7:$E$506)*(K$3&lt;='Gastos com Pessoal'!$F$7:$F$506)*(IF('Gastos com Pessoal'!$Y$7:$Y$506&lt;=K$3,1,0))*OFFSET('Gastos com Pessoal'!$H$6,1,MATCH(4&amp;$B53,'Gastos com Pessoal'!$I$532:$AJ$532&amp;'Gastos com Pessoal'!$I$6:$AJ$6,0),500,1)),0)
+_xlfn.IFNA(SUM((K$3&gt;='Gastos com Pessoal'!$E$7:$E$506)*(K$3&lt;='Gastos com Pessoal'!$F$7:$F$506)*(IF('Gastos com Pessoal'!$AE$7:$AE$506&lt;=K$3,1,0))*OFFSET('Gastos com Pessoal'!$H$6,1,MATCH(5&amp;$B53,'Gastos com Pessoal'!$I$532:$AJ$532&amp;'Gastos com Pessoal'!$I$6:$AJ$6,0),500,1)),0)
+_xlfn.IFNA(SUM((K$3&gt;='Gastos com Pessoal'!$E$513:$E$522)*(K$3&lt;='Gastos com Pessoal'!$F$513:$F$522)*(IF('Gastos com Pessoal'!$G$513:$G$522&lt;=K$3,1,0))*OFFSET('Gastos com Pessoal'!$H$512,1,MATCH(1&amp;$B53,'Gastos com Pessoal'!$I$532:$AJ$532&amp;'Gastos com Pessoal'!$I$512:$AJ$512,0),10,1)),0)
+_xlfn.IFNA(SUM((K$3&gt;='Gastos com Pessoal'!$E$513:$E$522)*(K$3&lt;='Gastos com Pessoal'!$F$513:$F$522)*(IF('Gastos com Pessoal'!$M$513:$M$522&lt;=K$3,1,0))*OFFSET('Gastos com Pessoal'!$H$512,1,MATCH(2&amp;$B53,'Gastos com Pessoal'!$I$532:$AJ$532&amp;'Gastos com Pessoal'!$I$512:$AJ$512,0),10,1)),0)
+_xlfn.IFNA(SUM((K$3&gt;='Gastos com Pessoal'!$E$513:$E$522)*(K$3&lt;='Gastos com Pessoal'!$F$513:$F$522)*(IF('Gastos com Pessoal'!$S$513:$S$522&lt;=K$3,1,0))*OFFSET('Gastos com Pessoal'!$H$512,1,MATCH(3&amp;$B53,'Gastos com Pessoal'!$I$532:$AJ$532&amp;'Gastos com Pessoal'!$I$512:$AJ$512,0),10,1)),0)
+_xlfn.IFNA(SUM((K$3&gt;='Gastos com Pessoal'!$E$513:$E$522)*(K$3&lt;='Gastos com Pessoal'!$F$513:$F$522)*(IF('Gastos com Pessoal'!$Y$513:$Y$522&lt;=K$3,1,0))*OFFSET('Gastos com Pessoal'!$H$512,1,MATCH(4&amp;$B53,'Gastos com Pessoal'!$I$532:$AJ$532&amp;'Gastos com Pessoal'!$I$512:$AJ$512,0),10,1)),0)
+_xlfn.IFNA(SUM((K$3&gt;='Gastos com Pessoal'!$E$513:$E$522)*(K$3&lt;='Gastos com Pessoal'!$F$513:$F$522)*(IF('Gastos com Pessoal'!$AE$513:$AE$522&lt;=K$3,1,0))*OFFSET('Gastos com Pessoal'!$H$512,1,MATCH(5&amp;$B53,'Gastos com Pessoal'!$I$532:$AJ$532&amp;'Gastos com Pessoal'!$I$512:$AJ$512,0),10,1)),0)</f>
        <v>0</v>
      </c>
      <c r="L53" s="32">
        <f t="array" aca="1" ref="L53" ca="1">_xlfn.IFNA(SUM((L$3&gt;='Gastos com Pessoal'!$E$7:$E$506)*(L$3&lt;='Gastos com Pessoal'!$F$7:$F$506)*OFFSET('Encargos e Benefícios'!$D$5,1,MATCH($B53,'Encargos e Benefícios'!$E$5:$AB$5,0),500,1)),0)
+_xlfn.IFNA(SUM((L$3&gt;='Gastos com Pessoal'!$E$513:$E$522)*(L$3&lt;='Gastos com Pessoal'!$F$513:$F$522)*OFFSET('Encargos e Benefícios'!$D$511,1,MATCH($B53,'Encargos e Benefícios'!$E$511:$AB$511,0),10,1)),0)
+_xlfn.IFNA(SUM((L$3&gt;='Gastos com Pessoal'!$E$7:$E$506)*(L$3&lt;='Gastos com Pessoal'!$F$7:$F$506)*(IF('Gastos com Pessoal'!$G$7:$G$506&lt;=L$3,1,0))*OFFSET('Gastos com Pessoal'!$H$6,1,MATCH(1&amp;$B53,'Gastos com Pessoal'!$I$532:$AJ$532&amp;'Gastos com Pessoal'!$I$6:$AJ$6,0),500,1)),0)
+_xlfn.IFNA(SUM((L$3&gt;='Gastos com Pessoal'!$E$7:$E$506)*(L$3&lt;='Gastos com Pessoal'!$F$7:$F$506)*(IF('Gastos com Pessoal'!$M$7:$M$506&lt;=L$3,1,0))*OFFSET('Gastos com Pessoal'!$H$6,1,MATCH(2&amp;$B53,'Gastos com Pessoal'!$I$532:$AJ$532&amp;'Gastos com Pessoal'!$I$6:$AJ$6,0),500,1)),0)
+_xlfn.IFNA(SUM((L$3&gt;='Gastos com Pessoal'!$E$7:$E$506)*(L$3&lt;='Gastos com Pessoal'!$F$7:$F$506)*(IF('Gastos com Pessoal'!$S$7:$S$506&lt;=L$3,1,0))*OFFSET('Gastos com Pessoal'!$H$6,1,MATCH(3&amp;$B53,'Gastos com Pessoal'!$I$532:$AJ$532&amp;'Gastos com Pessoal'!$I$6:$AJ$6,0),500,1)),0)
+_xlfn.IFNA(SUM((L$3&gt;='Gastos com Pessoal'!$E$7:$E$506)*(L$3&lt;='Gastos com Pessoal'!$F$7:$F$506)*(IF('Gastos com Pessoal'!$Y$7:$Y$506&lt;=L$3,1,0))*OFFSET('Gastos com Pessoal'!$H$6,1,MATCH(4&amp;$B53,'Gastos com Pessoal'!$I$532:$AJ$532&amp;'Gastos com Pessoal'!$I$6:$AJ$6,0),500,1)),0)
+_xlfn.IFNA(SUM((L$3&gt;='Gastos com Pessoal'!$E$7:$E$506)*(L$3&lt;='Gastos com Pessoal'!$F$7:$F$506)*(IF('Gastos com Pessoal'!$AE$7:$AE$506&lt;=L$3,1,0))*OFFSET('Gastos com Pessoal'!$H$6,1,MATCH(5&amp;$B53,'Gastos com Pessoal'!$I$532:$AJ$532&amp;'Gastos com Pessoal'!$I$6:$AJ$6,0),500,1)),0)
+_xlfn.IFNA(SUM((L$3&gt;='Gastos com Pessoal'!$E$513:$E$522)*(L$3&lt;='Gastos com Pessoal'!$F$513:$F$522)*(IF('Gastos com Pessoal'!$G$513:$G$522&lt;=L$3,1,0))*OFFSET('Gastos com Pessoal'!$H$512,1,MATCH(1&amp;$B53,'Gastos com Pessoal'!$I$532:$AJ$532&amp;'Gastos com Pessoal'!$I$512:$AJ$512,0),10,1)),0)
+_xlfn.IFNA(SUM((L$3&gt;='Gastos com Pessoal'!$E$513:$E$522)*(L$3&lt;='Gastos com Pessoal'!$F$513:$F$522)*(IF('Gastos com Pessoal'!$M$513:$M$522&lt;=L$3,1,0))*OFFSET('Gastos com Pessoal'!$H$512,1,MATCH(2&amp;$B53,'Gastos com Pessoal'!$I$532:$AJ$532&amp;'Gastos com Pessoal'!$I$512:$AJ$512,0),10,1)),0)
+_xlfn.IFNA(SUM((L$3&gt;='Gastos com Pessoal'!$E$513:$E$522)*(L$3&lt;='Gastos com Pessoal'!$F$513:$F$522)*(IF('Gastos com Pessoal'!$S$513:$S$522&lt;=L$3,1,0))*OFFSET('Gastos com Pessoal'!$H$512,1,MATCH(3&amp;$B53,'Gastos com Pessoal'!$I$532:$AJ$532&amp;'Gastos com Pessoal'!$I$512:$AJ$512,0),10,1)),0)
+_xlfn.IFNA(SUM((L$3&gt;='Gastos com Pessoal'!$E$513:$E$522)*(L$3&lt;='Gastos com Pessoal'!$F$513:$F$522)*(IF('Gastos com Pessoal'!$Y$513:$Y$522&lt;=L$3,1,0))*OFFSET('Gastos com Pessoal'!$H$512,1,MATCH(4&amp;$B53,'Gastos com Pessoal'!$I$532:$AJ$532&amp;'Gastos com Pessoal'!$I$512:$AJ$512,0),10,1)),0)
+_xlfn.IFNA(SUM((L$3&gt;='Gastos com Pessoal'!$E$513:$E$522)*(L$3&lt;='Gastos com Pessoal'!$F$513:$F$522)*(IF('Gastos com Pessoal'!$AE$513:$AE$522&lt;=L$3,1,0))*OFFSET('Gastos com Pessoal'!$H$512,1,MATCH(5&amp;$B53,'Gastos com Pessoal'!$I$532:$AJ$532&amp;'Gastos com Pessoal'!$I$512:$AJ$512,0),10,1)),0)</f>
        <v>0</v>
      </c>
      <c r="M53" s="32">
        <f t="array" aca="1" ref="M53" ca="1">_xlfn.IFNA(SUM((M$3&gt;='Gastos com Pessoal'!$E$7:$E$506)*(M$3&lt;='Gastos com Pessoal'!$F$7:$F$506)*OFFSET('Encargos e Benefícios'!$D$5,1,MATCH($B53,'Encargos e Benefícios'!$E$5:$AB$5,0),500,1)),0)
+_xlfn.IFNA(SUM((M$3&gt;='Gastos com Pessoal'!$E$513:$E$522)*(M$3&lt;='Gastos com Pessoal'!$F$513:$F$522)*OFFSET('Encargos e Benefícios'!$D$511,1,MATCH($B53,'Encargos e Benefícios'!$E$511:$AB$511,0),10,1)),0)
+_xlfn.IFNA(SUM((M$3&gt;='Gastos com Pessoal'!$E$7:$E$506)*(M$3&lt;='Gastos com Pessoal'!$F$7:$F$506)*(IF('Gastos com Pessoal'!$G$7:$G$506&lt;=M$3,1,0))*OFFSET('Gastos com Pessoal'!$H$6,1,MATCH(1&amp;$B53,'Gastos com Pessoal'!$I$532:$AJ$532&amp;'Gastos com Pessoal'!$I$6:$AJ$6,0),500,1)),0)
+_xlfn.IFNA(SUM((M$3&gt;='Gastos com Pessoal'!$E$7:$E$506)*(M$3&lt;='Gastos com Pessoal'!$F$7:$F$506)*(IF('Gastos com Pessoal'!$M$7:$M$506&lt;=M$3,1,0))*OFFSET('Gastos com Pessoal'!$H$6,1,MATCH(2&amp;$B53,'Gastos com Pessoal'!$I$532:$AJ$532&amp;'Gastos com Pessoal'!$I$6:$AJ$6,0),500,1)),0)
+_xlfn.IFNA(SUM((M$3&gt;='Gastos com Pessoal'!$E$7:$E$506)*(M$3&lt;='Gastos com Pessoal'!$F$7:$F$506)*(IF('Gastos com Pessoal'!$S$7:$S$506&lt;=M$3,1,0))*OFFSET('Gastos com Pessoal'!$H$6,1,MATCH(3&amp;$B53,'Gastos com Pessoal'!$I$532:$AJ$532&amp;'Gastos com Pessoal'!$I$6:$AJ$6,0),500,1)),0)
+_xlfn.IFNA(SUM((M$3&gt;='Gastos com Pessoal'!$E$7:$E$506)*(M$3&lt;='Gastos com Pessoal'!$F$7:$F$506)*(IF('Gastos com Pessoal'!$Y$7:$Y$506&lt;=M$3,1,0))*OFFSET('Gastos com Pessoal'!$H$6,1,MATCH(4&amp;$B53,'Gastos com Pessoal'!$I$532:$AJ$532&amp;'Gastos com Pessoal'!$I$6:$AJ$6,0),500,1)),0)
+_xlfn.IFNA(SUM((M$3&gt;='Gastos com Pessoal'!$E$7:$E$506)*(M$3&lt;='Gastos com Pessoal'!$F$7:$F$506)*(IF('Gastos com Pessoal'!$AE$7:$AE$506&lt;=M$3,1,0))*OFFSET('Gastos com Pessoal'!$H$6,1,MATCH(5&amp;$B53,'Gastos com Pessoal'!$I$532:$AJ$532&amp;'Gastos com Pessoal'!$I$6:$AJ$6,0),500,1)),0)
+_xlfn.IFNA(SUM((M$3&gt;='Gastos com Pessoal'!$E$513:$E$522)*(M$3&lt;='Gastos com Pessoal'!$F$513:$F$522)*(IF('Gastos com Pessoal'!$G$513:$G$522&lt;=M$3,1,0))*OFFSET('Gastos com Pessoal'!$H$512,1,MATCH(1&amp;$B53,'Gastos com Pessoal'!$I$532:$AJ$532&amp;'Gastos com Pessoal'!$I$512:$AJ$512,0),10,1)),0)
+_xlfn.IFNA(SUM((M$3&gt;='Gastos com Pessoal'!$E$513:$E$522)*(M$3&lt;='Gastos com Pessoal'!$F$513:$F$522)*(IF('Gastos com Pessoal'!$M$513:$M$522&lt;=M$3,1,0))*OFFSET('Gastos com Pessoal'!$H$512,1,MATCH(2&amp;$B53,'Gastos com Pessoal'!$I$532:$AJ$532&amp;'Gastos com Pessoal'!$I$512:$AJ$512,0),10,1)),0)
+_xlfn.IFNA(SUM((M$3&gt;='Gastos com Pessoal'!$E$513:$E$522)*(M$3&lt;='Gastos com Pessoal'!$F$513:$F$522)*(IF('Gastos com Pessoal'!$S$513:$S$522&lt;=M$3,1,0))*OFFSET('Gastos com Pessoal'!$H$512,1,MATCH(3&amp;$B53,'Gastos com Pessoal'!$I$532:$AJ$532&amp;'Gastos com Pessoal'!$I$512:$AJ$512,0),10,1)),0)
+_xlfn.IFNA(SUM((M$3&gt;='Gastos com Pessoal'!$E$513:$E$522)*(M$3&lt;='Gastos com Pessoal'!$F$513:$F$522)*(IF('Gastos com Pessoal'!$Y$513:$Y$522&lt;=M$3,1,0))*OFFSET('Gastos com Pessoal'!$H$512,1,MATCH(4&amp;$B53,'Gastos com Pessoal'!$I$532:$AJ$532&amp;'Gastos com Pessoal'!$I$512:$AJ$512,0),10,1)),0)
+_xlfn.IFNA(SUM((M$3&gt;='Gastos com Pessoal'!$E$513:$E$522)*(M$3&lt;='Gastos com Pessoal'!$F$513:$F$522)*(IF('Gastos com Pessoal'!$AE$513:$AE$522&lt;=M$3,1,0))*OFFSET('Gastos com Pessoal'!$H$512,1,MATCH(5&amp;$B53,'Gastos com Pessoal'!$I$532:$AJ$532&amp;'Gastos com Pessoal'!$I$512:$AJ$512,0),10,1)),0)</f>
        <v>0</v>
      </c>
      <c r="N53" s="32">
        <f t="array" aca="1" ref="N53" ca="1">_xlfn.IFNA(SUM((N$3&gt;='Gastos com Pessoal'!$E$7:$E$506)*(N$3&lt;='Gastos com Pessoal'!$F$7:$F$506)*OFFSET('Encargos e Benefícios'!$D$5,1,MATCH($B53,'Encargos e Benefícios'!$E$5:$AB$5,0),500,1)),0)
+_xlfn.IFNA(SUM((N$3&gt;='Gastos com Pessoal'!$E$513:$E$522)*(N$3&lt;='Gastos com Pessoal'!$F$513:$F$522)*OFFSET('Encargos e Benefícios'!$D$511,1,MATCH($B53,'Encargos e Benefícios'!$E$511:$AB$511,0),10,1)),0)
+_xlfn.IFNA(SUM((N$3&gt;='Gastos com Pessoal'!$E$7:$E$506)*(N$3&lt;='Gastos com Pessoal'!$F$7:$F$506)*(IF('Gastos com Pessoal'!$G$7:$G$506&lt;=N$3,1,0))*OFFSET('Gastos com Pessoal'!$H$6,1,MATCH(1&amp;$B53,'Gastos com Pessoal'!$I$532:$AJ$532&amp;'Gastos com Pessoal'!$I$6:$AJ$6,0),500,1)),0)
+_xlfn.IFNA(SUM((N$3&gt;='Gastos com Pessoal'!$E$7:$E$506)*(N$3&lt;='Gastos com Pessoal'!$F$7:$F$506)*(IF('Gastos com Pessoal'!$M$7:$M$506&lt;=N$3,1,0))*OFFSET('Gastos com Pessoal'!$H$6,1,MATCH(2&amp;$B53,'Gastos com Pessoal'!$I$532:$AJ$532&amp;'Gastos com Pessoal'!$I$6:$AJ$6,0),500,1)),0)
+_xlfn.IFNA(SUM((N$3&gt;='Gastos com Pessoal'!$E$7:$E$506)*(N$3&lt;='Gastos com Pessoal'!$F$7:$F$506)*(IF('Gastos com Pessoal'!$S$7:$S$506&lt;=N$3,1,0))*OFFSET('Gastos com Pessoal'!$H$6,1,MATCH(3&amp;$B53,'Gastos com Pessoal'!$I$532:$AJ$532&amp;'Gastos com Pessoal'!$I$6:$AJ$6,0),500,1)),0)
+_xlfn.IFNA(SUM((N$3&gt;='Gastos com Pessoal'!$E$7:$E$506)*(N$3&lt;='Gastos com Pessoal'!$F$7:$F$506)*(IF('Gastos com Pessoal'!$Y$7:$Y$506&lt;=N$3,1,0))*OFFSET('Gastos com Pessoal'!$H$6,1,MATCH(4&amp;$B53,'Gastos com Pessoal'!$I$532:$AJ$532&amp;'Gastos com Pessoal'!$I$6:$AJ$6,0),500,1)),0)
+_xlfn.IFNA(SUM((N$3&gt;='Gastos com Pessoal'!$E$7:$E$506)*(N$3&lt;='Gastos com Pessoal'!$F$7:$F$506)*(IF('Gastos com Pessoal'!$AE$7:$AE$506&lt;=N$3,1,0))*OFFSET('Gastos com Pessoal'!$H$6,1,MATCH(5&amp;$B53,'Gastos com Pessoal'!$I$532:$AJ$532&amp;'Gastos com Pessoal'!$I$6:$AJ$6,0),500,1)),0)
+_xlfn.IFNA(SUM((N$3&gt;='Gastos com Pessoal'!$E$513:$E$522)*(N$3&lt;='Gastos com Pessoal'!$F$513:$F$522)*(IF('Gastos com Pessoal'!$G$513:$G$522&lt;=N$3,1,0))*OFFSET('Gastos com Pessoal'!$H$512,1,MATCH(1&amp;$B53,'Gastos com Pessoal'!$I$532:$AJ$532&amp;'Gastos com Pessoal'!$I$512:$AJ$512,0),10,1)),0)
+_xlfn.IFNA(SUM((N$3&gt;='Gastos com Pessoal'!$E$513:$E$522)*(N$3&lt;='Gastos com Pessoal'!$F$513:$F$522)*(IF('Gastos com Pessoal'!$M$513:$M$522&lt;=N$3,1,0))*OFFSET('Gastos com Pessoal'!$H$512,1,MATCH(2&amp;$B53,'Gastos com Pessoal'!$I$532:$AJ$532&amp;'Gastos com Pessoal'!$I$512:$AJ$512,0),10,1)),0)
+_xlfn.IFNA(SUM((N$3&gt;='Gastos com Pessoal'!$E$513:$E$522)*(N$3&lt;='Gastos com Pessoal'!$F$513:$F$522)*(IF('Gastos com Pessoal'!$S$513:$S$522&lt;=N$3,1,0))*OFFSET('Gastos com Pessoal'!$H$512,1,MATCH(3&amp;$B53,'Gastos com Pessoal'!$I$532:$AJ$532&amp;'Gastos com Pessoal'!$I$512:$AJ$512,0),10,1)),0)
+_xlfn.IFNA(SUM((N$3&gt;='Gastos com Pessoal'!$E$513:$E$522)*(N$3&lt;='Gastos com Pessoal'!$F$513:$F$522)*(IF('Gastos com Pessoal'!$Y$513:$Y$522&lt;=N$3,1,0))*OFFSET('Gastos com Pessoal'!$H$512,1,MATCH(4&amp;$B53,'Gastos com Pessoal'!$I$532:$AJ$532&amp;'Gastos com Pessoal'!$I$512:$AJ$512,0),10,1)),0)
+_xlfn.IFNA(SUM((N$3&gt;='Gastos com Pessoal'!$E$513:$E$522)*(N$3&lt;='Gastos com Pessoal'!$F$513:$F$522)*(IF('Gastos com Pessoal'!$AE$513:$AE$522&lt;=N$3,1,0))*OFFSET('Gastos com Pessoal'!$H$512,1,MATCH(5&amp;$B53,'Gastos com Pessoal'!$I$532:$AJ$532&amp;'Gastos com Pessoal'!$I$512:$AJ$512,0),10,1)),0)</f>
        <v>0</v>
      </c>
      <c r="O53" s="32">
        <f t="array" aca="1" ref="O53" ca="1">_xlfn.IFNA(SUM((O$3&gt;='Gastos com Pessoal'!$E$7:$E$506)*(O$3&lt;='Gastos com Pessoal'!$F$7:$F$506)*OFFSET('Encargos e Benefícios'!$D$5,1,MATCH($B53,'Encargos e Benefícios'!$E$5:$AB$5,0),500,1)),0)
+_xlfn.IFNA(SUM((O$3&gt;='Gastos com Pessoal'!$E$513:$E$522)*(O$3&lt;='Gastos com Pessoal'!$F$513:$F$522)*OFFSET('Encargos e Benefícios'!$D$511,1,MATCH($B53,'Encargos e Benefícios'!$E$511:$AB$511,0),10,1)),0)
+_xlfn.IFNA(SUM((O$3&gt;='Gastos com Pessoal'!$E$7:$E$506)*(O$3&lt;='Gastos com Pessoal'!$F$7:$F$506)*(IF('Gastos com Pessoal'!$G$7:$G$506&lt;=O$3,1,0))*OFFSET('Gastos com Pessoal'!$H$6,1,MATCH(1&amp;$B53,'Gastos com Pessoal'!$I$532:$AJ$532&amp;'Gastos com Pessoal'!$I$6:$AJ$6,0),500,1)),0)
+_xlfn.IFNA(SUM((O$3&gt;='Gastos com Pessoal'!$E$7:$E$506)*(O$3&lt;='Gastos com Pessoal'!$F$7:$F$506)*(IF('Gastos com Pessoal'!$M$7:$M$506&lt;=O$3,1,0))*OFFSET('Gastos com Pessoal'!$H$6,1,MATCH(2&amp;$B53,'Gastos com Pessoal'!$I$532:$AJ$532&amp;'Gastos com Pessoal'!$I$6:$AJ$6,0),500,1)),0)
+_xlfn.IFNA(SUM((O$3&gt;='Gastos com Pessoal'!$E$7:$E$506)*(O$3&lt;='Gastos com Pessoal'!$F$7:$F$506)*(IF('Gastos com Pessoal'!$S$7:$S$506&lt;=O$3,1,0))*OFFSET('Gastos com Pessoal'!$H$6,1,MATCH(3&amp;$B53,'Gastos com Pessoal'!$I$532:$AJ$532&amp;'Gastos com Pessoal'!$I$6:$AJ$6,0),500,1)),0)
+_xlfn.IFNA(SUM((O$3&gt;='Gastos com Pessoal'!$E$7:$E$506)*(O$3&lt;='Gastos com Pessoal'!$F$7:$F$506)*(IF('Gastos com Pessoal'!$Y$7:$Y$506&lt;=O$3,1,0))*OFFSET('Gastos com Pessoal'!$H$6,1,MATCH(4&amp;$B53,'Gastos com Pessoal'!$I$532:$AJ$532&amp;'Gastos com Pessoal'!$I$6:$AJ$6,0),500,1)),0)
+_xlfn.IFNA(SUM((O$3&gt;='Gastos com Pessoal'!$E$7:$E$506)*(O$3&lt;='Gastos com Pessoal'!$F$7:$F$506)*(IF('Gastos com Pessoal'!$AE$7:$AE$506&lt;=O$3,1,0))*OFFSET('Gastos com Pessoal'!$H$6,1,MATCH(5&amp;$B53,'Gastos com Pessoal'!$I$532:$AJ$532&amp;'Gastos com Pessoal'!$I$6:$AJ$6,0),500,1)),0)
+_xlfn.IFNA(SUM((O$3&gt;='Gastos com Pessoal'!$E$513:$E$522)*(O$3&lt;='Gastos com Pessoal'!$F$513:$F$522)*(IF('Gastos com Pessoal'!$G$513:$G$522&lt;=O$3,1,0))*OFFSET('Gastos com Pessoal'!$H$512,1,MATCH(1&amp;$B53,'Gastos com Pessoal'!$I$532:$AJ$532&amp;'Gastos com Pessoal'!$I$512:$AJ$512,0),10,1)),0)
+_xlfn.IFNA(SUM((O$3&gt;='Gastos com Pessoal'!$E$513:$E$522)*(O$3&lt;='Gastos com Pessoal'!$F$513:$F$522)*(IF('Gastos com Pessoal'!$M$513:$M$522&lt;=O$3,1,0))*OFFSET('Gastos com Pessoal'!$H$512,1,MATCH(2&amp;$B53,'Gastos com Pessoal'!$I$532:$AJ$532&amp;'Gastos com Pessoal'!$I$512:$AJ$512,0),10,1)),0)
+_xlfn.IFNA(SUM((O$3&gt;='Gastos com Pessoal'!$E$513:$E$522)*(O$3&lt;='Gastos com Pessoal'!$F$513:$F$522)*(IF('Gastos com Pessoal'!$S$513:$S$522&lt;=O$3,1,0))*OFFSET('Gastos com Pessoal'!$H$512,1,MATCH(3&amp;$B53,'Gastos com Pessoal'!$I$532:$AJ$532&amp;'Gastos com Pessoal'!$I$512:$AJ$512,0),10,1)),0)
+_xlfn.IFNA(SUM((O$3&gt;='Gastos com Pessoal'!$E$513:$E$522)*(O$3&lt;='Gastos com Pessoal'!$F$513:$F$522)*(IF('Gastos com Pessoal'!$Y$513:$Y$522&lt;=O$3,1,0))*OFFSET('Gastos com Pessoal'!$H$512,1,MATCH(4&amp;$B53,'Gastos com Pessoal'!$I$532:$AJ$532&amp;'Gastos com Pessoal'!$I$512:$AJ$512,0),10,1)),0)
+_xlfn.IFNA(SUM((O$3&gt;='Gastos com Pessoal'!$E$513:$E$522)*(O$3&lt;='Gastos com Pessoal'!$F$513:$F$522)*(IF('Gastos com Pessoal'!$AE$513:$AE$522&lt;=O$3,1,0))*OFFSET('Gastos com Pessoal'!$H$512,1,MATCH(5&amp;$B53,'Gastos com Pessoal'!$I$532:$AJ$532&amp;'Gastos com Pessoal'!$I$512:$AJ$512,0),10,1)),0)</f>
        <v>0</v>
      </c>
      <c r="P53" s="32">
        <f t="array" aca="1" ref="P53" ca="1">_xlfn.IFNA(SUM((P$3&gt;='Gastos com Pessoal'!$E$7:$E$506)*(P$3&lt;='Gastos com Pessoal'!$F$7:$F$506)*OFFSET('Encargos e Benefícios'!$D$5,1,MATCH($B53,'Encargos e Benefícios'!$E$5:$AB$5,0),500,1)),0)
+_xlfn.IFNA(SUM((P$3&gt;='Gastos com Pessoal'!$E$513:$E$522)*(P$3&lt;='Gastos com Pessoal'!$F$513:$F$522)*OFFSET('Encargos e Benefícios'!$D$511,1,MATCH($B53,'Encargos e Benefícios'!$E$511:$AB$511,0),10,1)),0)
+_xlfn.IFNA(SUM((P$3&gt;='Gastos com Pessoal'!$E$7:$E$506)*(P$3&lt;='Gastos com Pessoal'!$F$7:$F$506)*(IF('Gastos com Pessoal'!$G$7:$G$506&lt;=P$3,1,0))*OFFSET('Gastos com Pessoal'!$H$6,1,MATCH(1&amp;$B53,'Gastos com Pessoal'!$I$532:$AJ$532&amp;'Gastos com Pessoal'!$I$6:$AJ$6,0),500,1)),0)
+_xlfn.IFNA(SUM((P$3&gt;='Gastos com Pessoal'!$E$7:$E$506)*(P$3&lt;='Gastos com Pessoal'!$F$7:$F$506)*(IF('Gastos com Pessoal'!$M$7:$M$506&lt;=P$3,1,0))*OFFSET('Gastos com Pessoal'!$H$6,1,MATCH(2&amp;$B53,'Gastos com Pessoal'!$I$532:$AJ$532&amp;'Gastos com Pessoal'!$I$6:$AJ$6,0),500,1)),0)
+_xlfn.IFNA(SUM((P$3&gt;='Gastos com Pessoal'!$E$7:$E$506)*(P$3&lt;='Gastos com Pessoal'!$F$7:$F$506)*(IF('Gastos com Pessoal'!$S$7:$S$506&lt;=P$3,1,0))*OFFSET('Gastos com Pessoal'!$H$6,1,MATCH(3&amp;$B53,'Gastos com Pessoal'!$I$532:$AJ$532&amp;'Gastos com Pessoal'!$I$6:$AJ$6,0),500,1)),0)
+_xlfn.IFNA(SUM((P$3&gt;='Gastos com Pessoal'!$E$7:$E$506)*(P$3&lt;='Gastos com Pessoal'!$F$7:$F$506)*(IF('Gastos com Pessoal'!$Y$7:$Y$506&lt;=P$3,1,0))*OFFSET('Gastos com Pessoal'!$H$6,1,MATCH(4&amp;$B53,'Gastos com Pessoal'!$I$532:$AJ$532&amp;'Gastos com Pessoal'!$I$6:$AJ$6,0),500,1)),0)
+_xlfn.IFNA(SUM((P$3&gt;='Gastos com Pessoal'!$E$7:$E$506)*(P$3&lt;='Gastos com Pessoal'!$F$7:$F$506)*(IF('Gastos com Pessoal'!$AE$7:$AE$506&lt;=P$3,1,0))*OFFSET('Gastos com Pessoal'!$H$6,1,MATCH(5&amp;$B53,'Gastos com Pessoal'!$I$532:$AJ$532&amp;'Gastos com Pessoal'!$I$6:$AJ$6,0),500,1)),0)
+_xlfn.IFNA(SUM((P$3&gt;='Gastos com Pessoal'!$E$513:$E$522)*(P$3&lt;='Gastos com Pessoal'!$F$513:$F$522)*(IF('Gastos com Pessoal'!$G$513:$G$522&lt;=P$3,1,0))*OFFSET('Gastos com Pessoal'!$H$512,1,MATCH(1&amp;$B53,'Gastos com Pessoal'!$I$532:$AJ$532&amp;'Gastos com Pessoal'!$I$512:$AJ$512,0),10,1)),0)
+_xlfn.IFNA(SUM((P$3&gt;='Gastos com Pessoal'!$E$513:$E$522)*(P$3&lt;='Gastos com Pessoal'!$F$513:$F$522)*(IF('Gastos com Pessoal'!$M$513:$M$522&lt;=P$3,1,0))*OFFSET('Gastos com Pessoal'!$H$512,1,MATCH(2&amp;$B53,'Gastos com Pessoal'!$I$532:$AJ$532&amp;'Gastos com Pessoal'!$I$512:$AJ$512,0),10,1)),0)
+_xlfn.IFNA(SUM((P$3&gt;='Gastos com Pessoal'!$E$513:$E$522)*(P$3&lt;='Gastos com Pessoal'!$F$513:$F$522)*(IF('Gastos com Pessoal'!$S$513:$S$522&lt;=P$3,1,0))*OFFSET('Gastos com Pessoal'!$H$512,1,MATCH(3&amp;$B53,'Gastos com Pessoal'!$I$532:$AJ$532&amp;'Gastos com Pessoal'!$I$512:$AJ$512,0),10,1)),0)
+_xlfn.IFNA(SUM((P$3&gt;='Gastos com Pessoal'!$E$513:$E$522)*(P$3&lt;='Gastos com Pessoal'!$F$513:$F$522)*(IF('Gastos com Pessoal'!$Y$513:$Y$522&lt;=P$3,1,0))*OFFSET('Gastos com Pessoal'!$H$512,1,MATCH(4&amp;$B53,'Gastos com Pessoal'!$I$532:$AJ$532&amp;'Gastos com Pessoal'!$I$512:$AJ$512,0),10,1)),0)
+_xlfn.IFNA(SUM((P$3&gt;='Gastos com Pessoal'!$E$513:$E$522)*(P$3&lt;='Gastos com Pessoal'!$F$513:$F$522)*(IF('Gastos com Pessoal'!$AE$513:$AE$522&lt;=P$3,1,0))*OFFSET('Gastos com Pessoal'!$H$512,1,MATCH(5&amp;$B53,'Gastos com Pessoal'!$I$532:$AJ$532&amp;'Gastos com Pessoal'!$I$512:$AJ$512,0),10,1)),0)</f>
        <v>0</v>
      </c>
      <c r="Q53" s="32">
        <f t="array" aca="1" ref="Q53" ca="1">_xlfn.IFNA(SUM((Q$3&gt;='Gastos com Pessoal'!$E$7:$E$506)*(Q$3&lt;='Gastos com Pessoal'!$F$7:$F$506)*OFFSET('Encargos e Benefícios'!$D$5,1,MATCH($B53,'Encargos e Benefícios'!$E$5:$AB$5,0),500,1)),0)
+_xlfn.IFNA(SUM((Q$3&gt;='Gastos com Pessoal'!$E$513:$E$522)*(Q$3&lt;='Gastos com Pessoal'!$F$513:$F$522)*OFFSET('Encargos e Benefícios'!$D$511,1,MATCH($B53,'Encargos e Benefícios'!$E$511:$AB$511,0),10,1)),0)
+_xlfn.IFNA(SUM((Q$3&gt;='Gastos com Pessoal'!$E$7:$E$506)*(Q$3&lt;='Gastos com Pessoal'!$F$7:$F$506)*(IF('Gastos com Pessoal'!$G$7:$G$506&lt;=Q$3,1,0))*OFFSET('Gastos com Pessoal'!$H$6,1,MATCH(1&amp;$B53,'Gastos com Pessoal'!$I$532:$AJ$532&amp;'Gastos com Pessoal'!$I$6:$AJ$6,0),500,1)),0)
+_xlfn.IFNA(SUM((Q$3&gt;='Gastos com Pessoal'!$E$7:$E$506)*(Q$3&lt;='Gastos com Pessoal'!$F$7:$F$506)*(IF('Gastos com Pessoal'!$M$7:$M$506&lt;=Q$3,1,0))*OFFSET('Gastos com Pessoal'!$H$6,1,MATCH(2&amp;$B53,'Gastos com Pessoal'!$I$532:$AJ$532&amp;'Gastos com Pessoal'!$I$6:$AJ$6,0),500,1)),0)
+_xlfn.IFNA(SUM((Q$3&gt;='Gastos com Pessoal'!$E$7:$E$506)*(Q$3&lt;='Gastos com Pessoal'!$F$7:$F$506)*(IF('Gastos com Pessoal'!$S$7:$S$506&lt;=Q$3,1,0))*OFFSET('Gastos com Pessoal'!$H$6,1,MATCH(3&amp;$B53,'Gastos com Pessoal'!$I$532:$AJ$532&amp;'Gastos com Pessoal'!$I$6:$AJ$6,0),500,1)),0)
+_xlfn.IFNA(SUM((Q$3&gt;='Gastos com Pessoal'!$E$7:$E$506)*(Q$3&lt;='Gastos com Pessoal'!$F$7:$F$506)*(IF('Gastos com Pessoal'!$Y$7:$Y$506&lt;=Q$3,1,0))*OFFSET('Gastos com Pessoal'!$H$6,1,MATCH(4&amp;$B53,'Gastos com Pessoal'!$I$532:$AJ$532&amp;'Gastos com Pessoal'!$I$6:$AJ$6,0),500,1)),0)
+_xlfn.IFNA(SUM((Q$3&gt;='Gastos com Pessoal'!$E$7:$E$506)*(Q$3&lt;='Gastos com Pessoal'!$F$7:$F$506)*(IF('Gastos com Pessoal'!$AE$7:$AE$506&lt;=Q$3,1,0))*OFFSET('Gastos com Pessoal'!$H$6,1,MATCH(5&amp;$B53,'Gastos com Pessoal'!$I$532:$AJ$532&amp;'Gastos com Pessoal'!$I$6:$AJ$6,0),500,1)),0)
+_xlfn.IFNA(SUM((Q$3&gt;='Gastos com Pessoal'!$E$513:$E$522)*(Q$3&lt;='Gastos com Pessoal'!$F$513:$F$522)*(IF('Gastos com Pessoal'!$G$513:$G$522&lt;=Q$3,1,0))*OFFSET('Gastos com Pessoal'!$H$512,1,MATCH(1&amp;$B53,'Gastos com Pessoal'!$I$532:$AJ$532&amp;'Gastos com Pessoal'!$I$512:$AJ$512,0),10,1)),0)
+_xlfn.IFNA(SUM((Q$3&gt;='Gastos com Pessoal'!$E$513:$E$522)*(Q$3&lt;='Gastos com Pessoal'!$F$513:$F$522)*(IF('Gastos com Pessoal'!$M$513:$M$522&lt;=Q$3,1,0))*OFFSET('Gastos com Pessoal'!$H$512,1,MATCH(2&amp;$B53,'Gastos com Pessoal'!$I$532:$AJ$532&amp;'Gastos com Pessoal'!$I$512:$AJ$512,0),10,1)),0)
+_xlfn.IFNA(SUM((Q$3&gt;='Gastos com Pessoal'!$E$513:$E$522)*(Q$3&lt;='Gastos com Pessoal'!$F$513:$F$522)*(IF('Gastos com Pessoal'!$S$513:$S$522&lt;=Q$3,1,0))*OFFSET('Gastos com Pessoal'!$H$512,1,MATCH(3&amp;$B53,'Gastos com Pessoal'!$I$532:$AJ$532&amp;'Gastos com Pessoal'!$I$512:$AJ$512,0),10,1)),0)
+_xlfn.IFNA(SUM((Q$3&gt;='Gastos com Pessoal'!$E$513:$E$522)*(Q$3&lt;='Gastos com Pessoal'!$F$513:$F$522)*(IF('Gastos com Pessoal'!$Y$513:$Y$522&lt;=Q$3,1,0))*OFFSET('Gastos com Pessoal'!$H$512,1,MATCH(4&amp;$B53,'Gastos com Pessoal'!$I$532:$AJ$532&amp;'Gastos com Pessoal'!$I$512:$AJ$512,0),10,1)),0)
+_xlfn.IFNA(SUM((Q$3&gt;='Gastos com Pessoal'!$E$513:$E$522)*(Q$3&lt;='Gastos com Pessoal'!$F$513:$F$522)*(IF('Gastos com Pessoal'!$AE$513:$AE$522&lt;=Q$3,1,0))*OFFSET('Gastos com Pessoal'!$H$512,1,MATCH(5&amp;$B53,'Gastos com Pessoal'!$I$532:$AJ$532&amp;'Gastos com Pessoal'!$I$512:$AJ$512,0),10,1)),0)</f>
        <v>0</v>
      </c>
      <c r="R53" s="32">
        <f t="array" aca="1" ref="R53" ca="1">_xlfn.IFNA(SUM((R$3&gt;='Gastos com Pessoal'!$E$7:$E$506)*(R$3&lt;='Gastos com Pessoal'!$F$7:$F$506)*OFFSET('Encargos e Benefícios'!$D$5,1,MATCH($B53,'Encargos e Benefícios'!$E$5:$AB$5,0),500,1)),0)
+_xlfn.IFNA(SUM((R$3&gt;='Gastos com Pessoal'!$E$513:$E$522)*(R$3&lt;='Gastos com Pessoal'!$F$513:$F$522)*OFFSET('Encargos e Benefícios'!$D$511,1,MATCH($B53,'Encargos e Benefícios'!$E$511:$AB$511,0),10,1)),0)
+_xlfn.IFNA(SUM((R$3&gt;='Gastos com Pessoal'!$E$7:$E$506)*(R$3&lt;='Gastos com Pessoal'!$F$7:$F$506)*(IF('Gastos com Pessoal'!$G$7:$G$506&lt;=R$3,1,0))*OFFSET('Gastos com Pessoal'!$H$6,1,MATCH(1&amp;$B53,'Gastos com Pessoal'!$I$532:$AJ$532&amp;'Gastos com Pessoal'!$I$6:$AJ$6,0),500,1)),0)
+_xlfn.IFNA(SUM((R$3&gt;='Gastos com Pessoal'!$E$7:$E$506)*(R$3&lt;='Gastos com Pessoal'!$F$7:$F$506)*(IF('Gastos com Pessoal'!$M$7:$M$506&lt;=R$3,1,0))*OFFSET('Gastos com Pessoal'!$H$6,1,MATCH(2&amp;$B53,'Gastos com Pessoal'!$I$532:$AJ$532&amp;'Gastos com Pessoal'!$I$6:$AJ$6,0),500,1)),0)
+_xlfn.IFNA(SUM((R$3&gt;='Gastos com Pessoal'!$E$7:$E$506)*(R$3&lt;='Gastos com Pessoal'!$F$7:$F$506)*(IF('Gastos com Pessoal'!$S$7:$S$506&lt;=R$3,1,0))*OFFSET('Gastos com Pessoal'!$H$6,1,MATCH(3&amp;$B53,'Gastos com Pessoal'!$I$532:$AJ$532&amp;'Gastos com Pessoal'!$I$6:$AJ$6,0),500,1)),0)
+_xlfn.IFNA(SUM((R$3&gt;='Gastos com Pessoal'!$E$7:$E$506)*(R$3&lt;='Gastos com Pessoal'!$F$7:$F$506)*(IF('Gastos com Pessoal'!$Y$7:$Y$506&lt;=R$3,1,0))*OFFSET('Gastos com Pessoal'!$H$6,1,MATCH(4&amp;$B53,'Gastos com Pessoal'!$I$532:$AJ$532&amp;'Gastos com Pessoal'!$I$6:$AJ$6,0),500,1)),0)
+_xlfn.IFNA(SUM((R$3&gt;='Gastos com Pessoal'!$E$7:$E$506)*(R$3&lt;='Gastos com Pessoal'!$F$7:$F$506)*(IF('Gastos com Pessoal'!$AE$7:$AE$506&lt;=R$3,1,0))*OFFSET('Gastos com Pessoal'!$H$6,1,MATCH(5&amp;$B53,'Gastos com Pessoal'!$I$532:$AJ$532&amp;'Gastos com Pessoal'!$I$6:$AJ$6,0),500,1)),0)
+_xlfn.IFNA(SUM((R$3&gt;='Gastos com Pessoal'!$E$513:$E$522)*(R$3&lt;='Gastos com Pessoal'!$F$513:$F$522)*(IF('Gastos com Pessoal'!$G$513:$G$522&lt;=R$3,1,0))*OFFSET('Gastos com Pessoal'!$H$512,1,MATCH(1&amp;$B53,'Gastos com Pessoal'!$I$532:$AJ$532&amp;'Gastos com Pessoal'!$I$512:$AJ$512,0),10,1)),0)
+_xlfn.IFNA(SUM((R$3&gt;='Gastos com Pessoal'!$E$513:$E$522)*(R$3&lt;='Gastos com Pessoal'!$F$513:$F$522)*(IF('Gastos com Pessoal'!$M$513:$M$522&lt;=R$3,1,0))*OFFSET('Gastos com Pessoal'!$H$512,1,MATCH(2&amp;$B53,'Gastos com Pessoal'!$I$532:$AJ$532&amp;'Gastos com Pessoal'!$I$512:$AJ$512,0),10,1)),0)
+_xlfn.IFNA(SUM((R$3&gt;='Gastos com Pessoal'!$E$513:$E$522)*(R$3&lt;='Gastos com Pessoal'!$F$513:$F$522)*(IF('Gastos com Pessoal'!$S$513:$S$522&lt;=R$3,1,0))*OFFSET('Gastos com Pessoal'!$H$512,1,MATCH(3&amp;$B53,'Gastos com Pessoal'!$I$532:$AJ$532&amp;'Gastos com Pessoal'!$I$512:$AJ$512,0),10,1)),0)
+_xlfn.IFNA(SUM((R$3&gt;='Gastos com Pessoal'!$E$513:$E$522)*(R$3&lt;='Gastos com Pessoal'!$F$513:$F$522)*(IF('Gastos com Pessoal'!$Y$513:$Y$522&lt;=R$3,1,0))*OFFSET('Gastos com Pessoal'!$H$512,1,MATCH(4&amp;$B53,'Gastos com Pessoal'!$I$532:$AJ$532&amp;'Gastos com Pessoal'!$I$512:$AJ$512,0),10,1)),0)
+_xlfn.IFNA(SUM((R$3&gt;='Gastos com Pessoal'!$E$513:$E$522)*(R$3&lt;='Gastos com Pessoal'!$F$513:$F$522)*(IF('Gastos com Pessoal'!$AE$513:$AE$522&lt;=R$3,1,0))*OFFSET('Gastos com Pessoal'!$H$512,1,MATCH(5&amp;$B53,'Gastos com Pessoal'!$I$532:$AJ$532&amp;'Gastos com Pessoal'!$I$512:$AJ$512,0),10,1)),0)</f>
        <v>0</v>
      </c>
      <c r="S53" s="32">
        <f t="array" aca="1" ref="S53" ca="1">_xlfn.IFNA(SUM((S$3&gt;='Gastos com Pessoal'!$E$7:$E$506)*(S$3&lt;='Gastos com Pessoal'!$F$7:$F$506)*OFFSET('Encargos e Benefícios'!$D$5,1,MATCH($B53,'Encargos e Benefícios'!$E$5:$AB$5,0),500,1)),0)
+_xlfn.IFNA(SUM((S$3&gt;='Gastos com Pessoal'!$E$513:$E$522)*(S$3&lt;='Gastos com Pessoal'!$F$513:$F$522)*OFFSET('Encargos e Benefícios'!$D$511,1,MATCH($B53,'Encargos e Benefícios'!$E$511:$AB$511,0),10,1)),0)
+_xlfn.IFNA(SUM((S$3&gt;='Gastos com Pessoal'!$E$7:$E$506)*(S$3&lt;='Gastos com Pessoal'!$F$7:$F$506)*(IF('Gastos com Pessoal'!$G$7:$G$506&lt;=S$3,1,0))*OFFSET('Gastos com Pessoal'!$H$6,1,MATCH(1&amp;$B53,'Gastos com Pessoal'!$I$532:$AJ$532&amp;'Gastos com Pessoal'!$I$6:$AJ$6,0),500,1)),0)
+_xlfn.IFNA(SUM((S$3&gt;='Gastos com Pessoal'!$E$7:$E$506)*(S$3&lt;='Gastos com Pessoal'!$F$7:$F$506)*(IF('Gastos com Pessoal'!$M$7:$M$506&lt;=S$3,1,0))*OFFSET('Gastos com Pessoal'!$H$6,1,MATCH(2&amp;$B53,'Gastos com Pessoal'!$I$532:$AJ$532&amp;'Gastos com Pessoal'!$I$6:$AJ$6,0),500,1)),0)
+_xlfn.IFNA(SUM((S$3&gt;='Gastos com Pessoal'!$E$7:$E$506)*(S$3&lt;='Gastos com Pessoal'!$F$7:$F$506)*(IF('Gastos com Pessoal'!$S$7:$S$506&lt;=S$3,1,0))*OFFSET('Gastos com Pessoal'!$H$6,1,MATCH(3&amp;$B53,'Gastos com Pessoal'!$I$532:$AJ$532&amp;'Gastos com Pessoal'!$I$6:$AJ$6,0),500,1)),0)
+_xlfn.IFNA(SUM((S$3&gt;='Gastos com Pessoal'!$E$7:$E$506)*(S$3&lt;='Gastos com Pessoal'!$F$7:$F$506)*(IF('Gastos com Pessoal'!$Y$7:$Y$506&lt;=S$3,1,0))*OFFSET('Gastos com Pessoal'!$H$6,1,MATCH(4&amp;$B53,'Gastos com Pessoal'!$I$532:$AJ$532&amp;'Gastos com Pessoal'!$I$6:$AJ$6,0),500,1)),0)
+_xlfn.IFNA(SUM((S$3&gt;='Gastos com Pessoal'!$E$7:$E$506)*(S$3&lt;='Gastos com Pessoal'!$F$7:$F$506)*(IF('Gastos com Pessoal'!$AE$7:$AE$506&lt;=S$3,1,0))*OFFSET('Gastos com Pessoal'!$H$6,1,MATCH(5&amp;$B53,'Gastos com Pessoal'!$I$532:$AJ$532&amp;'Gastos com Pessoal'!$I$6:$AJ$6,0),500,1)),0)
+_xlfn.IFNA(SUM((S$3&gt;='Gastos com Pessoal'!$E$513:$E$522)*(S$3&lt;='Gastos com Pessoal'!$F$513:$F$522)*(IF('Gastos com Pessoal'!$G$513:$G$522&lt;=S$3,1,0))*OFFSET('Gastos com Pessoal'!$H$512,1,MATCH(1&amp;$B53,'Gastos com Pessoal'!$I$532:$AJ$532&amp;'Gastos com Pessoal'!$I$512:$AJ$512,0),10,1)),0)
+_xlfn.IFNA(SUM((S$3&gt;='Gastos com Pessoal'!$E$513:$E$522)*(S$3&lt;='Gastos com Pessoal'!$F$513:$F$522)*(IF('Gastos com Pessoal'!$M$513:$M$522&lt;=S$3,1,0))*OFFSET('Gastos com Pessoal'!$H$512,1,MATCH(2&amp;$B53,'Gastos com Pessoal'!$I$532:$AJ$532&amp;'Gastos com Pessoal'!$I$512:$AJ$512,0),10,1)),0)
+_xlfn.IFNA(SUM((S$3&gt;='Gastos com Pessoal'!$E$513:$E$522)*(S$3&lt;='Gastos com Pessoal'!$F$513:$F$522)*(IF('Gastos com Pessoal'!$S$513:$S$522&lt;=S$3,1,0))*OFFSET('Gastos com Pessoal'!$H$512,1,MATCH(3&amp;$B53,'Gastos com Pessoal'!$I$532:$AJ$532&amp;'Gastos com Pessoal'!$I$512:$AJ$512,0),10,1)),0)
+_xlfn.IFNA(SUM((S$3&gt;='Gastos com Pessoal'!$E$513:$E$522)*(S$3&lt;='Gastos com Pessoal'!$F$513:$F$522)*(IF('Gastos com Pessoal'!$Y$513:$Y$522&lt;=S$3,1,0))*OFFSET('Gastos com Pessoal'!$H$512,1,MATCH(4&amp;$B53,'Gastos com Pessoal'!$I$532:$AJ$532&amp;'Gastos com Pessoal'!$I$512:$AJ$512,0),10,1)),0)
+_xlfn.IFNA(SUM((S$3&gt;='Gastos com Pessoal'!$E$513:$E$522)*(S$3&lt;='Gastos com Pessoal'!$F$513:$F$522)*(IF('Gastos com Pessoal'!$AE$513:$AE$522&lt;=S$3,1,0))*OFFSET('Gastos com Pessoal'!$H$512,1,MATCH(5&amp;$B53,'Gastos com Pessoal'!$I$532:$AJ$532&amp;'Gastos com Pessoal'!$I$512:$AJ$512,0),10,1)),0)</f>
        <v>0</v>
      </c>
      <c r="T53" s="32">
        <f t="array" aca="1" ref="T53" ca="1">_xlfn.IFNA(SUM((T$3&gt;='Gastos com Pessoal'!$E$7:$E$506)*(T$3&lt;='Gastos com Pessoal'!$F$7:$F$506)*OFFSET('Encargos e Benefícios'!$D$5,1,MATCH($B53,'Encargos e Benefícios'!$E$5:$AB$5,0),500,1)),0)
+_xlfn.IFNA(SUM((T$3&gt;='Gastos com Pessoal'!$E$513:$E$522)*(T$3&lt;='Gastos com Pessoal'!$F$513:$F$522)*OFFSET('Encargos e Benefícios'!$D$511,1,MATCH($B53,'Encargos e Benefícios'!$E$511:$AB$511,0),10,1)),0)
+_xlfn.IFNA(SUM((T$3&gt;='Gastos com Pessoal'!$E$7:$E$506)*(T$3&lt;='Gastos com Pessoal'!$F$7:$F$506)*(IF('Gastos com Pessoal'!$G$7:$G$506&lt;=T$3,1,0))*OFFSET('Gastos com Pessoal'!$H$6,1,MATCH(1&amp;$B53,'Gastos com Pessoal'!$I$532:$AJ$532&amp;'Gastos com Pessoal'!$I$6:$AJ$6,0),500,1)),0)
+_xlfn.IFNA(SUM((T$3&gt;='Gastos com Pessoal'!$E$7:$E$506)*(T$3&lt;='Gastos com Pessoal'!$F$7:$F$506)*(IF('Gastos com Pessoal'!$M$7:$M$506&lt;=T$3,1,0))*OFFSET('Gastos com Pessoal'!$H$6,1,MATCH(2&amp;$B53,'Gastos com Pessoal'!$I$532:$AJ$532&amp;'Gastos com Pessoal'!$I$6:$AJ$6,0),500,1)),0)
+_xlfn.IFNA(SUM((T$3&gt;='Gastos com Pessoal'!$E$7:$E$506)*(T$3&lt;='Gastos com Pessoal'!$F$7:$F$506)*(IF('Gastos com Pessoal'!$S$7:$S$506&lt;=T$3,1,0))*OFFSET('Gastos com Pessoal'!$H$6,1,MATCH(3&amp;$B53,'Gastos com Pessoal'!$I$532:$AJ$532&amp;'Gastos com Pessoal'!$I$6:$AJ$6,0),500,1)),0)
+_xlfn.IFNA(SUM((T$3&gt;='Gastos com Pessoal'!$E$7:$E$506)*(T$3&lt;='Gastos com Pessoal'!$F$7:$F$506)*(IF('Gastos com Pessoal'!$Y$7:$Y$506&lt;=T$3,1,0))*OFFSET('Gastos com Pessoal'!$H$6,1,MATCH(4&amp;$B53,'Gastos com Pessoal'!$I$532:$AJ$532&amp;'Gastos com Pessoal'!$I$6:$AJ$6,0),500,1)),0)
+_xlfn.IFNA(SUM((T$3&gt;='Gastos com Pessoal'!$E$7:$E$506)*(T$3&lt;='Gastos com Pessoal'!$F$7:$F$506)*(IF('Gastos com Pessoal'!$AE$7:$AE$506&lt;=T$3,1,0))*OFFSET('Gastos com Pessoal'!$H$6,1,MATCH(5&amp;$B53,'Gastos com Pessoal'!$I$532:$AJ$532&amp;'Gastos com Pessoal'!$I$6:$AJ$6,0),500,1)),0)
+_xlfn.IFNA(SUM((T$3&gt;='Gastos com Pessoal'!$E$513:$E$522)*(T$3&lt;='Gastos com Pessoal'!$F$513:$F$522)*(IF('Gastos com Pessoal'!$G$513:$G$522&lt;=T$3,1,0))*OFFSET('Gastos com Pessoal'!$H$512,1,MATCH(1&amp;$B53,'Gastos com Pessoal'!$I$532:$AJ$532&amp;'Gastos com Pessoal'!$I$512:$AJ$512,0),10,1)),0)
+_xlfn.IFNA(SUM((T$3&gt;='Gastos com Pessoal'!$E$513:$E$522)*(T$3&lt;='Gastos com Pessoal'!$F$513:$F$522)*(IF('Gastos com Pessoal'!$M$513:$M$522&lt;=T$3,1,0))*OFFSET('Gastos com Pessoal'!$H$512,1,MATCH(2&amp;$B53,'Gastos com Pessoal'!$I$532:$AJ$532&amp;'Gastos com Pessoal'!$I$512:$AJ$512,0),10,1)),0)
+_xlfn.IFNA(SUM((T$3&gt;='Gastos com Pessoal'!$E$513:$E$522)*(T$3&lt;='Gastos com Pessoal'!$F$513:$F$522)*(IF('Gastos com Pessoal'!$S$513:$S$522&lt;=T$3,1,0))*OFFSET('Gastos com Pessoal'!$H$512,1,MATCH(3&amp;$B53,'Gastos com Pessoal'!$I$532:$AJ$532&amp;'Gastos com Pessoal'!$I$512:$AJ$512,0),10,1)),0)
+_xlfn.IFNA(SUM((T$3&gt;='Gastos com Pessoal'!$E$513:$E$522)*(T$3&lt;='Gastos com Pessoal'!$F$513:$F$522)*(IF('Gastos com Pessoal'!$Y$513:$Y$522&lt;=T$3,1,0))*OFFSET('Gastos com Pessoal'!$H$512,1,MATCH(4&amp;$B53,'Gastos com Pessoal'!$I$532:$AJ$532&amp;'Gastos com Pessoal'!$I$512:$AJ$512,0),10,1)),0)
+_xlfn.IFNA(SUM((T$3&gt;='Gastos com Pessoal'!$E$513:$E$522)*(T$3&lt;='Gastos com Pessoal'!$F$513:$F$522)*(IF('Gastos com Pessoal'!$AE$513:$AE$522&lt;=T$3,1,0))*OFFSET('Gastos com Pessoal'!$H$512,1,MATCH(5&amp;$B53,'Gastos com Pessoal'!$I$532:$AJ$532&amp;'Gastos com Pessoal'!$I$512:$AJ$512,0),10,1)),0)</f>
        <v>0</v>
      </c>
      <c r="U53" s="32">
        <f t="array" aca="1" ref="U53" ca="1">_xlfn.IFNA(SUM((U$3&gt;='Gastos com Pessoal'!$E$7:$E$506)*(U$3&lt;='Gastos com Pessoal'!$F$7:$F$506)*OFFSET('Encargos e Benefícios'!$D$5,1,MATCH($B53,'Encargos e Benefícios'!$E$5:$AB$5,0),500,1)),0)
+_xlfn.IFNA(SUM((U$3&gt;='Gastos com Pessoal'!$E$513:$E$522)*(U$3&lt;='Gastos com Pessoal'!$F$513:$F$522)*OFFSET('Encargos e Benefícios'!$D$511,1,MATCH($B53,'Encargos e Benefícios'!$E$511:$AB$511,0),10,1)),0)
+_xlfn.IFNA(SUM((U$3&gt;='Gastos com Pessoal'!$E$7:$E$506)*(U$3&lt;='Gastos com Pessoal'!$F$7:$F$506)*(IF('Gastos com Pessoal'!$G$7:$G$506&lt;=U$3,1,0))*OFFSET('Gastos com Pessoal'!$H$6,1,MATCH(1&amp;$B53,'Gastos com Pessoal'!$I$532:$AJ$532&amp;'Gastos com Pessoal'!$I$6:$AJ$6,0),500,1)),0)
+_xlfn.IFNA(SUM((U$3&gt;='Gastos com Pessoal'!$E$7:$E$506)*(U$3&lt;='Gastos com Pessoal'!$F$7:$F$506)*(IF('Gastos com Pessoal'!$M$7:$M$506&lt;=U$3,1,0))*OFFSET('Gastos com Pessoal'!$H$6,1,MATCH(2&amp;$B53,'Gastos com Pessoal'!$I$532:$AJ$532&amp;'Gastos com Pessoal'!$I$6:$AJ$6,0),500,1)),0)
+_xlfn.IFNA(SUM((U$3&gt;='Gastos com Pessoal'!$E$7:$E$506)*(U$3&lt;='Gastos com Pessoal'!$F$7:$F$506)*(IF('Gastos com Pessoal'!$S$7:$S$506&lt;=U$3,1,0))*OFFSET('Gastos com Pessoal'!$H$6,1,MATCH(3&amp;$B53,'Gastos com Pessoal'!$I$532:$AJ$532&amp;'Gastos com Pessoal'!$I$6:$AJ$6,0),500,1)),0)
+_xlfn.IFNA(SUM((U$3&gt;='Gastos com Pessoal'!$E$7:$E$506)*(U$3&lt;='Gastos com Pessoal'!$F$7:$F$506)*(IF('Gastos com Pessoal'!$Y$7:$Y$506&lt;=U$3,1,0))*OFFSET('Gastos com Pessoal'!$H$6,1,MATCH(4&amp;$B53,'Gastos com Pessoal'!$I$532:$AJ$532&amp;'Gastos com Pessoal'!$I$6:$AJ$6,0),500,1)),0)
+_xlfn.IFNA(SUM((U$3&gt;='Gastos com Pessoal'!$E$7:$E$506)*(U$3&lt;='Gastos com Pessoal'!$F$7:$F$506)*(IF('Gastos com Pessoal'!$AE$7:$AE$506&lt;=U$3,1,0))*OFFSET('Gastos com Pessoal'!$H$6,1,MATCH(5&amp;$B53,'Gastos com Pessoal'!$I$532:$AJ$532&amp;'Gastos com Pessoal'!$I$6:$AJ$6,0),500,1)),0)
+_xlfn.IFNA(SUM((U$3&gt;='Gastos com Pessoal'!$E$513:$E$522)*(U$3&lt;='Gastos com Pessoal'!$F$513:$F$522)*(IF('Gastos com Pessoal'!$G$513:$G$522&lt;=U$3,1,0))*OFFSET('Gastos com Pessoal'!$H$512,1,MATCH(1&amp;$B53,'Gastos com Pessoal'!$I$532:$AJ$532&amp;'Gastos com Pessoal'!$I$512:$AJ$512,0),10,1)),0)
+_xlfn.IFNA(SUM((U$3&gt;='Gastos com Pessoal'!$E$513:$E$522)*(U$3&lt;='Gastos com Pessoal'!$F$513:$F$522)*(IF('Gastos com Pessoal'!$M$513:$M$522&lt;=U$3,1,0))*OFFSET('Gastos com Pessoal'!$H$512,1,MATCH(2&amp;$B53,'Gastos com Pessoal'!$I$532:$AJ$532&amp;'Gastos com Pessoal'!$I$512:$AJ$512,0),10,1)),0)
+_xlfn.IFNA(SUM((U$3&gt;='Gastos com Pessoal'!$E$513:$E$522)*(U$3&lt;='Gastos com Pessoal'!$F$513:$F$522)*(IF('Gastos com Pessoal'!$S$513:$S$522&lt;=U$3,1,0))*OFFSET('Gastos com Pessoal'!$H$512,1,MATCH(3&amp;$B53,'Gastos com Pessoal'!$I$532:$AJ$532&amp;'Gastos com Pessoal'!$I$512:$AJ$512,0),10,1)),0)
+_xlfn.IFNA(SUM((U$3&gt;='Gastos com Pessoal'!$E$513:$E$522)*(U$3&lt;='Gastos com Pessoal'!$F$513:$F$522)*(IF('Gastos com Pessoal'!$Y$513:$Y$522&lt;=U$3,1,0))*OFFSET('Gastos com Pessoal'!$H$512,1,MATCH(4&amp;$B53,'Gastos com Pessoal'!$I$532:$AJ$532&amp;'Gastos com Pessoal'!$I$512:$AJ$512,0),10,1)),0)
+_xlfn.IFNA(SUM((U$3&gt;='Gastos com Pessoal'!$E$513:$E$522)*(U$3&lt;='Gastos com Pessoal'!$F$513:$F$522)*(IF('Gastos com Pessoal'!$AE$513:$AE$522&lt;=U$3,1,0))*OFFSET('Gastos com Pessoal'!$H$512,1,MATCH(5&amp;$B53,'Gastos com Pessoal'!$I$532:$AJ$532&amp;'Gastos com Pessoal'!$I$512:$AJ$512,0),10,1)),0)</f>
        <v>0</v>
      </c>
      <c r="V53" s="32">
        <f t="array" aca="1" ref="V53" ca="1">_xlfn.IFNA(SUM((V$3&gt;='Gastos com Pessoal'!$E$7:$E$506)*(V$3&lt;='Gastos com Pessoal'!$F$7:$F$506)*OFFSET('Encargos e Benefícios'!$D$5,1,MATCH($B53,'Encargos e Benefícios'!$E$5:$AB$5,0),500,1)),0)
+_xlfn.IFNA(SUM((V$3&gt;='Gastos com Pessoal'!$E$513:$E$522)*(V$3&lt;='Gastos com Pessoal'!$F$513:$F$522)*OFFSET('Encargos e Benefícios'!$D$511,1,MATCH($B53,'Encargos e Benefícios'!$E$511:$AB$511,0),10,1)),0)
+_xlfn.IFNA(SUM((V$3&gt;='Gastos com Pessoal'!$E$7:$E$506)*(V$3&lt;='Gastos com Pessoal'!$F$7:$F$506)*(IF('Gastos com Pessoal'!$G$7:$G$506&lt;=V$3,1,0))*OFFSET('Gastos com Pessoal'!$H$6,1,MATCH(1&amp;$B53,'Gastos com Pessoal'!$I$532:$AJ$532&amp;'Gastos com Pessoal'!$I$6:$AJ$6,0),500,1)),0)
+_xlfn.IFNA(SUM((V$3&gt;='Gastos com Pessoal'!$E$7:$E$506)*(V$3&lt;='Gastos com Pessoal'!$F$7:$F$506)*(IF('Gastos com Pessoal'!$M$7:$M$506&lt;=V$3,1,0))*OFFSET('Gastos com Pessoal'!$H$6,1,MATCH(2&amp;$B53,'Gastos com Pessoal'!$I$532:$AJ$532&amp;'Gastos com Pessoal'!$I$6:$AJ$6,0),500,1)),0)
+_xlfn.IFNA(SUM((V$3&gt;='Gastos com Pessoal'!$E$7:$E$506)*(V$3&lt;='Gastos com Pessoal'!$F$7:$F$506)*(IF('Gastos com Pessoal'!$S$7:$S$506&lt;=V$3,1,0))*OFFSET('Gastos com Pessoal'!$H$6,1,MATCH(3&amp;$B53,'Gastos com Pessoal'!$I$532:$AJ$532&amp;'Gastos com Pessoal'!$I$6:$AJ$6,0),500,1)),0)
+_xlfn.IFNA(SUM((V$3&gt;='Gastos com Pessoal'!$E$7:$E$506)*(V$3&lt;='Gastos com Pessoal'!$F$7:$F$506)*(IF('Gastos com Pessoal'!$Y$7:$Y$506&lt;=V$3,1,0))*OFFSET('Gastos com Pessoal'!$H$6,1,MATCH(4&amp;$B53,'Gastos com Pessoal'!$I$532:$AJ$532&amp;'Gastos com Pessoal'!$I$6:$AJ$6,0),500,1)),0)
+_xlfn.IFNA(SUM((V$3&gt;='Gastos com Pessoal'!$E$7:$E$506)*(V$3&lt;='Gastos com Pessoal'!$F$7:$F$506)*(IF('Gastos com Pessoal'!$AE$7:$AE$506&lt;=V$3,1,0))*OFFSET('Gastos com Pessoal'!$H$6,1,MATCH(5&amp;$B53,'Gastos com Pessoal'!$I$532:$AJ$532&amp;'Gastos com Pessoal'!$I$6:$AJ$6,0),500,1)),0)
+_xlfn.IFNA(SUM((V$3&gt;='Gastos com Pessoal'!$E$513:$E$522)*(V$3&lt;='Gastos com Pessoal'!$F$513:$F$522)*(IF('Gastos com Pessoal'!$G$513:$G$522&lt;=V$3,1,0))*OFFSET('Gastos com Pessoal'!$H$512,1,MATCH(1&amp;$B53,'Gastos com Pessoal'!$I$532:$AJ$532&amp;'Gastos com Pessoal'!$I$512:$AJ$512,0),10,1)),0)
+_xlfn.IFNA(SUM((V$3&gt;='Gastos com Pessoal'!$E$513:$E$522)*(V$3&lt;='Gastos com Pessoal'!$F$513:$F$522)*(IF('Gastos com Pessoal'!$M$513:$M$522&lt;=V$3,1,0))*OFFSET('Gastos com Pessoal'!$H$512,1,MATCH(2&amp;$B53,'Gastos com Pessoal'!$I$532:$AJ$532&amp;'Gastos com Pessoal'!$I$512:$AJ$512,0),10,1)),0)
+_xlfn.IFNA(SUM((V$3&gt;='Gastos com Pessoal'!$E$513:$E$522)*(V$3&lt;='Gastos com Pessoal'!$F$513:$F$522)*(IF('Gastos com Pessoal'!$S$513:$S$522&lt;=V$3,1,0))*OFFSET('Gastos com Pessoal'!$H$512,1,MATCH(3&amp;$B53,'Gastos com Pessoal'!$I$532:$AJ$532&amp;'Gastos com Pessoal'!$I$512:$AJ$512,0),10,1)),0)
+_xlfn.IFNA(SUM((V$3&gt;='Gastos com Pessoal'!$E$513:$E$522)*(V$3&lt;='Gastos com Pessoal'!$F$513:$F$522)*(IF('Gastos com Pessoal'!$Y$513:$Y$522&lt;=V$3,1,0))*OFFSET('Gastos com Pessoal'!$H$512,1,MATCH(4&amp;$B53,'Gastos com Pessoal'!$I$532:$AJ$532&amp;'Gastos com Pessoal'!$I$512:$AJ$512,0),10,1)),0)
+_xlfn.IFNA(SUM((V$3&gt;='Gastos com Pessoal'!$E$513:$E$522)*(V$3&lt;='Gastos com Pessoal'!$F$513:$F$522)*(IF('Gastos com Pessoal'!$AE$513:$AE$522&lt;=V$3,1,0))*OFFSET('Gastos com Pessoal'!$H$512,1,MATCH(5&amp;$B53,'Gastos com Pessoal'!$I$532:$AJ$532&amp;'Gastos com Pessoal'!$I$512:$AJ$512,0),10,1)),0)</f>
        <v>0</v>
      </c>
      <c r="W53" s="32">
        <f t="array" aca="1" ref="W53" ca="1">_xlfn.IFNA(SUM((W$3&gt;='Gastos com Pessoal'!$E$7:$E$506)*(W$3&lt;='Gastos com Pessoal'!$F$7:$F$506)*OFFSET('Encargos e Benefícios'!$D$5,1,MATCH($B53,'Encargos e Benefícios'!$E$5:$AB$5,0),500,1)),0)
+_xlfn.IFNA(SUM((W$3&gt;='Gastos com Pessoal'!$E$513:$E$522)*(W$3&lt;='Gastos com Pessoal'!$F$513:$F$522)*OFFSET('Encargos e Benefícios'!$D$511,1,MATCH($B53,'Encargos e Benefícios'!$E$511:$AB$511,0),10,1)),0)
+_xlfn.IFNA(SUM((W$3&gt;='Gastos com Pessoal'!$E$7:$E$506)*(W$3&lt;='Gastos com Pessoal'!$F$7:$F$506)*(IF('Gastos com Pessoal'!$G$7:$G$506&lt;=W$3,1,0))*OFFSET('Gastos com Pessoal'!$H$6,1,MATCH(1&amp;$B53,'Gastos com Pessoal'!$I$532:$AJ$532&amp;'Gastos com Pessoal'!$I$6:$AJ$6,0),500,1)),0)
+_xlfn.IFNA(SUM((W$3&gt;='Gastos com Pessoal'!$E$7:$E$506)*(W$3&lt;='Gastos com Pessoal'!$F$7:$F$506)*(IF('Gastos com Pessoal'!$M$7:$M$506&lt;=W$3,1,0))*OFFSET('Gastos com Pessoal'!$H$6,1,MATCH(2&amp;$B53,'Gastos com Pessoal'!$I$532:$AJ$532&amp;'Gastos com Pessoal'!$I$6:$AJ$6,0),500,1)),0)
+_xlfn.IFNA(SUM((W$3&gt;='Gastos com Pessoal'!$E$7:$E$506)*(W$3&lt;='Gastos com Pessoal'!$F$7:$F$506)*(IF('Gastos com Pessoal'!$S$7:$S$506&lt;=W$3,1,0))*OFFSET('Gastos com Pessoal'!$H$6,1,MATCH(3&amp;$B53,'Gastos com Pessoal'!$I$532:$AJ$532&amp;'Gastos com Pessoal'!$I$6:$AJ$6,0),500,1)),0)
+_xlfn.IFNA(SUM((W$3&gt;='Gastos com Pessoal'!$E$7:$E$506)*(W$3&lt;='Gastos com Pessoal'!$F$7:$F$506)*(IF('Gastos com Pessoal'!$Y$7:$Y$506&lt;=W$3,1,0))*OFFSET('Gastos com Pessoal'!$H$6,1,MATCH(4&amp;$B53,'Gastos com Pessoal'!$I$532:$AJ$532&amp;'Gastos com Pessoal'!$I$6:$AJ$6,0),500,1)),0)
+_xlfn.IFNA(SUM((W$3&gt;='Gastos com Pessoal'!$E$7:$E$506)*(W$3&lt;='Gastos com Pessoal'!$F$7:$F$506)*(IF('Gastos com Pessoal'!$AE$7:$AE$506&lt;=W$3,1,0))*OFFSET('Gastos com Pessoal'!$H$6,1,MATCH(5&amp;$B53,'Gastos com Pessoal'!$I$532:$AJ$532&amp;'Gastos com Pessoal'!$I$6:$AJ$6,0),500,1)),0)
+_xlfn.IFNA(SUM((W$3&gt;='Gastos com Pessoal'!$E$513:$E$522)*(W$3&lt;='Gastos com Pessoal'!$F$513:$F$522)*(IF('Gastos com Pessoal'!$G$513:$G$522&lt;=W$3,1,0))*OFFSET('Gastos com Pessoal'!$H$512,1,MATCH(1&amp;$B53,'Gastos com Pessoal'!$I$532:$AJ$532&amp;'Gastos com Pessoal'!$I$512:$AJ$512,0),10,1)),0)
+_xlfn.IFNA(SUM((W$3&gt;='Gastos com Pessoal'!$E$513:$E$522)*(W$3&lt;='Gastos com Pessoal'!$F$513:$F$522)*(IF('Gastos com Pessoal'!$M$513:$M$522&lt;=W$3,1,0))*OFFSET('Gastos com Pessoal'!$H$512,1,MATCH(2&amp;$B53,'Gastos com Pessoal'!$I$532:$AJ$532&amp;'Gastos com Pessoal'!$I$512:$AJ$512,0),10,1)),0)
+_xlfn.IFNA(SUM((W$3&gt;='Gastos com Pessoal'!$E$513:$E$522)*(W$3&lt;='Gastos com Pessoal'!$F$513:$F$522)*(IF('Gastos com Pessoal'!$S$513:$S$522&lt;=W$3,1,0))*OFFSET('Gastos com Pessoal'!$H$512,1,MATCH(3&amp;$B53,'Gastos com Pessoal'!$I$532:$AJ$532&amp;'Gastos com Pessoal'!$I$512:$AJ$512,0),10,1)),0)
+_xlfn.IFNA(SUM((W$3&gt;='Gastos com Pessoal'!$E$513:$E$522)*(W$3&lt;='Gastos com Pessoal'!$F$513:$F$522)*(IF('Gastos com Pessoal'!$Y$513:$Y$522&lt;=W$3,1,0))*OFFSET('Gastos com Pessoal'!$H$512,1,MATCH(4&amp;$B53,'Gastos com Pessoal'!$I$532:$AJ$532&amp;'Gastos com Pessoal'!$I$512:$AJ$512,0),10,1)),0)
+_xlfn.IFNA(SUM((W$3&gt;='Gastos com Pessoal'!$E$513:$E$522)*(W$3&lt;='Gastos com Pessoal'!$F$513:$F$522)*(IF('Gastos com Pessoal'!$AE$513:$AE$522&lt;=W$3,1,0))*OFFSET('Gastos com Pessoal'!$H$512,1,MATCH(5&amp;$B53,'Gastos com Pessoal'!$I$532:$AJ$532&amp;'Gastos com Pessoal'!$I$512:$AJ$512,0),10,1)),0)</f>
        <v>0</v>
      </c>
      <c r="X53" s="32">
        <f t="array" aca="1" ref="X53" ca="1">_xlfn.IFNA(SUM((X$3&gt;='Gastos com Pessoal'!$E$7:$E$506)*(X$3&lt;='Gastos com Pessoal'!$F$7:$F$506)*OFFSET('Encargos e Benefícios'!$D$5,1,MATCH($B53,'Encargos e Benefícios'!$E$5:$AB$5,0),500,1)),0)
+_xlfn.IFNA(SUM((X$3&gt;='Gastos com Pessoal'!$E$513:$E$522)*(X$3&lt;='Gastos com Pessoal'!$F$513:$F$522)*OFFSET('Encargos e Benefícios'!$D$511,1,MATCH($B53,'Encargos e Benefícios'!$E$511:$AB$511,0),10,1)),0)
+_xlfn.IFNA(SUM((X$3&gt;='Gastos com Pessoal'!$E$7:$E$506)*(X$3&lt;='Gastos com Pessoal'!$F$7:$F$506)*(IF('Gastos com Pessoal'!$G$7:$G$506&lt;=X$3,1,0))*OFFSET('Gastos com Pessoal'!$H$6,1,MATCH(1&amp;$B53,'Gastos com Pessoal'!$I$532:$AJ$532&amp;'Gastos com Pessoal'!$I$6:$AJ$6,0),500,1)),0)
+_xlfn.IFNA(SUM((X$3&gt;='Gastos com Pessoal'!$E$7:$E$506)*(X$3&lt;='Gastos com Pessoal'!$F$7:$F$506)*(IF('Gastos com Pessoal'!$M$7:$M$506&lt;=X$3,1,0))*OFFSET('Gastos com Pessoal'!$H$6,1,MATCH(2&amp;$B53,'Gastos com Pessoal'!$I$532:$AJ$532&amp;'Gastos com Pessoal'!$I$6:$AJ$6,0),500,1)),0)
+_xlfn.IFNA(SUM((X$3&gt;='Gastos com Pessoal'!$E$7:$E$506)*(X$3&lt;='Gastos com Pessoal'!$F$7:$F$506)*(IF('Gastos com Pessoal'!$S$7:$S$506&lt;=X$3,1,0))*OFFSET('Gastos com Pessoal'!$H$6,1,MATCH(3&amp;$B53,'Gastos com Pessoal'!$I$532:$AJ$532&amp;'Gastos com Pessoal'!$I$6:$AJ$6,0),500,1)),0)
+_xlfn.IFNA(SUM((X$3&gt;='Gastos com Pessoal'!$E$7:$E$506)*(X$3&lt;='Gastos com Pessoal'!$F$7:$F$506)*(IF('Gastos com Pessoal'!$Y$7:$Y$506&lt;=X$3,1,0))*OFFSET('Gastos com Pessoal'!$H$6,1,MATCH(4&amp;$B53,'Gastos com Pessoal'!$I$532:$AJ$532&amp;'Gastos com Pessoal'!$I$6:$AJ$6,0),500,1)),0)
+_xlfn.IFNA(SUM((X$3&gt;='Gastos com Pessoal'!$E$7:$E$506)*(X$3&lt;='Gastos com Pessoal'!$F$7:$F$506)*(IF('Gastos com Pessoal'!$AE$7:$AE$506&lt;=X$3,1,0))*OFFSET('Gastos com Pessoal'!$H$6,1,MATCH(5&amp;$B53,'Gastos com Pessoal'!$I$532:$AJ$532&amp;'Gastos com Pessoal'!$I$6:$AJ$6,0),500,1)),0)
+_xlfn.IFNA(SUM((X$3&gt;='Gastos com Pessoal'!$E$513:$E$522)*(X$3&lt;='Gastos com Pessoal'!$F$513:$F$522)*(IF('Gastos com Pessoal'!$G$513:$G$522&lt;=X$3,1,0))*OFFSET('Gastos com Pessoal'!$H$512,1,MATCH(1&amp;$B53,'Gastos com Pessoal'!$I$532:$AJ$532&amp;'Gastos com Pessoal'!$I$512:$AJ$512,0),10,1)),0)
+_xlfn.IFNA(SUM((X$3&gt;='Gastos com Pessoal'!$E$513:$E$522)*(X$3&lt;='Gastos com Pessoal'!$F$513:$F$522)*(IF('Gastos com Pessoal'!$M$513:$M$522&lt;=X$3,1,0))*OFFSET('Gastos com Pessoal'!$H$512,1,MATCH(2&amp;$B53,'Gastos com Pessoal'!$I$532:$AJ$532&amp;'Gastos com Pessoal'!$I$512:$AJ$512,0),10,1)),0)
+_xlfn.IFNA(SUM((X$3&gt;='Gastos com Pessoal'!$E$513:$E$522)*(X$3&lt;='Gastos com Pessoal'!$F$513:$F$522)*(IF('Gastos com Pessoal'!$S$513:$S$522&lt;=X$3,1,0))*OFFSET('Gastos com Pessoal'!$H$512,1,MATCH(3&amp;$B53,'Gastos com Pessoal'!$I$532:$AJ$532&amp;'Gastos com Pessoal'!$I$512:$AJ$512,0),10,1)),0)
+_xlfn.IFNA(SUM((X$3&gt;='Gastos com Pessoal'!$E$513:$E$522)*(X$3&lt;='Gastos com Pessoal'!$F$513:$F$522)*(IF('Gastos com Pessoal'!$Y$513:$Y$522&lt;=X$3,1,0))*OFFSET('Gastos com Pessoal'!$H$512,1,MATCH(4&amp;$B53,'Gastos com Pessoal'!$I$532:$AJ$532&amp;'Gastos com Pessoal'!$I$512:$AJ$512,0),10,1)),0)
+_xlfn.IFNA(SUM((X$3&gt;='Gastos com Pessoal'!$E$513:$E$522)*(X$3&lt;='Gastos com Pessoal'!$F$513:$F$522)*(IF('Gastos com Pessoal'!$AE$513:$AE$522&lt;=X$3,1,0))*OFFSET('Gastos com Pessoal'!$H$512,1,MATCH(5&amp;$B53,'Gastos com Pessoal'!$I$532:$AJ$532&amp;'Gastos com Pessoal'!$I$512:$AJ$512,0),10,1)),0)</f>
        <v>0</v>
      </c>
      <c r="Y53" s="32">
        <f t="array" aca="1" ref="Y53" ca="1">_xlfn.IFNA(SUM((Y$3&gt;='Gastos com Pessoal'!$E$7:$E$506)*(Y$3&lt;='Gastos com Pessoal'!$F$7:$F$506)*OFFSET('Encargos e Benefícios'!$D$5,1,MATCH($B53,'Encargos e Benefícios'!$E$5:$AB$5,0),500,1)),0)
+_xlfn.IFNA(SUM((Y$3&gt;='Gastos com Pessoal'!$E$513:$E$522)*(Y$3&lt;='Gastos com Pessoal'!$F$513:$F$522)*OFFSET('Encargos e Benefícios'!$D$511,1,MATCH($B53,'Encargos e Benefícios'!$E$511:$AB$511,0),10,1)),0)
+_xlfn.IFNA(SUM((Y$3&gt;='Gastos com Pessoal'!$E$7:$E$506)*(Y$3&lt;='Gastos com Pessoal'!$F$7:$F$506)*(IF('Gastos com Pessoal'!$G$7:$G$506&lt;=Y$3,1,0))*OFFSET('Gastos com Pessoal'!$H$6,1,MATCH(1&amp;$B53,'Gastos com Pessoal'!$I$532:$AJ$532&amp;'Gastos com Pessoal'!$I$6:$AJ$6,0),500,1)),0)
+_xlfn.IFNA(SUM((Y$3&gt;='Gastos com Pessoal'!$E$7:$E$506)*(Y$3&lt;='Gastos com Pessoal'!$F$7:$F$506)*(IF('Gastos com Pessoal'!$M$7:$M$506&lt;=Y$3,1,0))*OFFSET('Gastos com Pessoal'!$H$6,1,MATCH(2&amp;$B53,'Gastos com Pessoal'!$I$532:$AJ$532&amp;'Gastos com Pessoal'!$I$6:$AJ$6,0),500,1)),0)
+_xlfn.IFNA(SUM((Y$3&gt;='Gastos com Pessoal'!$E$7:$E$506)*(Y$3&lt;='Gastos com Pessoal'!$F$7:$F$506)*(IF('Gastos com Pessoal'!$S$7:$S$506&lt;=Y$3,1,0))*OFFSET('Gastos com Pessoal'!$H$6,1,MATCH(3&amp;$B53,'Gastos com Pessoal'!$I$532:$AJ$532&amp;'Gastos com Pessoal'!$I$6:$AJ$6,0),500,1)),0)
+_xlfn.IFNA(SUM((Y$3&gt;='Gastos com Pessoal'!$E$7:$E$506)*(Y$3&lt;='Gastos com Pessoal'!$F$7:$F$506)*(IF('Gastos com Pessoal'!$Y$7:$Y$506&lt;=Y$3,1,0))*OFFSET('Gastos com Pessoal'!$H$6,1,MATCH(4&amp;$B53,'Gastos com Pessoal'!$I$532:$AJ$532&amp;'Gastos com Pessoal'!$I$6:$AJ$6,0),500,1)),0)
+_xlfn.IFNA(SUM((Y$3&gt;='Gastos com Pessoal'!$E$7:$E$506)*(Y$3&lt;='Gastos com Pessoal'!$F$7:$F$506)*(IF('Gastos com Pessoal'!$AE$7:$AE$506&lt;=Y$3,1,0))*OFFSET('Gastos com Pessoal'!$H$6,1,MATCH(5&amp;$B53,'Gastos com Pessoal'!$I$532:$AJ$532&amp;'Gastos com Pessoal'!$I$6:$AJ$6,0),500,1)),0)
+_xlfn.IFNA(SUM((Y$3&gt;='Gastos com Pessoal'!$E$513:$E$522)*(Y$3&lt;='Gastos com Pessoal'!$F$513:$F$522)*(IF('Gastos com Pessoal'!$G$513:$G$522&lt;=Y$3,1,0))*OFFSET('Gastos com Pessoal'!$H$512,1,MATCH(1&amp;$B53,'Gastos com Pessoal'!$I$532:$AJ$532&amp;'Gastos com Pessoal'!$I$512:$AJ$512,0),10,1)),0)
+_xlfn.IFNA(SUM((Y$3&gt;='Gastos com Pessoal'!$E$513:$E$522)*(Y$3&lt;='Gastos com Pessoal'!$F$513:$F$522)*(IF('Gastos com Pessoal'!$M$513:$M$522&lt;=Y$3,1,0))*OFFSET('Gastos com Pessoal'!$H$512,1,MATCH(2&amp;$B53,'Gastos com Pessoal'!$I$532:$AJ$532&amp;'Gastos com Pessoal'!$I$512:$AJ$512,0),10,1)),0)
+_xlfn.IFNA(SUM((Y$3&gt;='Gastos com Pessoal'!$E$513:$E$522)*(Y$3&lt;='Gastos com Pessoal'!$F$513:$F$522)*(IF('Gastos com Pessoal'!$S$513:$S$522&lt;=Y$3,1,0))*OFFSET('Gastos com Pessoal'!$H$512,1,MATCH(3&amp;$B53,'Gastos com Pessoal'!$I$532:$AJ$532&amp;'Gastos com Pessoal'!$I$512:$AJ$512,0),10,1)),0)
+_xlfn.IFNA(SUM((Y$3&gt;='Gastos com Pessoal'!$E$513:$E$522)*(Y$3&lt;='Gastos com Pessoal'!$F$513:$F$522)*(IF('Gastos com Pessoal'!$Y$513:$Y$522&lt;=Y$3,1,0))*OFFSET('Gastos com Pessoal'!$H$512,1,MATCH(4&amp;$B53,'Gastos com Pessoal'!$I$532:$AJ$532&amp;'Gastos com Pessoal'!$I$512:$AJ$512,0),10,1)),0)
+_xlfn.IFNA(SUM((Y$3&gt;='Gastos com Pessoal'!$E$513:$E$522)*(Y$3&lt;='Gastos com Pessoal'!$F$513:$F$522)*(IF('Gastos com Pessoal'!$AE$513:$AE$522&lt;=Y$3,1,0))*OFFSET('Gastos com Pessoal'!$H$512,1,MATCH(5&amp;$B53,'Gastos com Pessoal'!$I$532:$AJ$532&amp;'Gastos com Pessoal'!$I$512:$AJ$512,0),10,1)),0)</f>
        <v>0</v>
      </c>
      <c r="Z53" s="32">
        <f t="array" aca="1" ref="Z53" ca="1">_xlfn.IFNA(SUM((Z$3&gt;='Gastos com Pessoal'!$E$7:$E$506)*(Z$3&lt;='Gastos com Pessoal'!$F$7:$F$506)*OFFSET('Encargos e Benefícios'!$D$5,1,MATCH($B53,'Encargos e Benefícios'!$E$5:$AB$5,0),500,1)),0)
+_xlfn.IFNA(SUM((Z$3&gt;='Gastos com Pessoal'!$E$513:$E$522)*(Z$3&lt;='Gastos com Pessoal'!$F$513:$F$522)*OFFSET('Encargos e Benefícios'!$D$511,1,MATCH($B53,'Encargos e Benefícios'!$E$511:$AB$511,0),10,1)),0)
+_xlfn.IFNA(SUM((Z$3&gt;='Gastos com Pessoal'!$E$7:$E$506)*(Z$3&lt;='Gastos com Pessoal'!$F$7:$F$506)*(IF('Gastos com Pessoal'!$G$7:$G$506&lt;=Z$3,1,0))*OFFSET('Gastos com Pessoal'!$H$6,1,MATCH(1&amp;$B53,'Gastos com Pessoal'!$I$532:$AJ$532&amp;'Gastos com Pessoal'!$I$6:$AJ$6,0),500,1)),0)
+_xlfn.IFNA(SUM((Z$3&gt;='Gastos com Pessoal'!$E$7:$E$506)*(Z$3&lt;='Gastos com Pessoal'!$F$7:$F$506)*(IF('Gastos com Pessoal'!$M$7:$M$506&lt;=Z$3,1,0))*OFFSET('Gastos com Pessoal'!$H$6,1,MATCH(2&amp;$B53,'Gastos com Pessoal'!$I$532:$AJ$532&amp;'Gastos com Pessoal'!$I$6:$AJ$6,0),500,1)),0)
+_xlfn.IFNA(SUM((Z$3&gt;='Gastos com Pessoal'!$E$7:$E$506)*(Z$3&lt;='Gastos com Pessoal'!$F$7:$F$506)*(IF('Gastos com Pessoal'!$S$7:$S$506&lt;=Z$3,1,0))*OFFSET('Gastos com Pessoal'!$H$6,1,MATCH(3&amp;$B53,'Gastos com Pessoal'!$I$532:$AJ$532&amp;'Gastos com Pessoal'!$I$6:$AJ$6,0),500,1)),0)
+_xlfn.IFNA(SUM((Z$3&gt;='Gastos com Pessoal'!$E$7:$E$506)*(Z$3&lt;='Gastos com Pessoal'!$F$7:$F$506)*(IF('Gastos com Pessoal'!$Y$7:$Y$506&lt;=Z$3,1,0))*OFFSET('Gastos com Pessoal'!$H$6,1,MATCH(4&amp;$B53,'Gastos com Pessoal'!$I$532:$AJ$532&amp;'Gastos com Pessoal'!$I$6:$AJ$6,0),500,1)),0)
+_xlfn.IFNA(SUM((Z$3&gt;='Gastos com Pessoal'!$E$7:$E$506)*(Z$3&lt;='Gastos com Pessoal'!$F$7:$F$506)*(IF('Gastos com Pessoal'!$AE$7:$AE$506&lt;=Z$3,1,0))*OFFSET('Gastos com Pessoal'!$H$6,1,MATCH(5&amp;$B53,'Gastos com Pessoal'!$I$532:$AJ$532&amp;'Gastos com Pessoal'!$I$6:$AJ$6,0),500,1)),0)
+_xlfn.IFNA(SUM((Z$3&gt;='Gastos com Pessoal'!$E$513:$E$522)*(Z$3&lt;='Gastos com Pessoal'!$F$513:$F$522)*(IF('Gastos com Pessoal'!$G$513:$G$522&lt;=Z$3,1,0))*OFFSET('Gastos com Pessoal'!$H$512,1,MATCH(1&amp;$B53,'Gastos com Pessoal'!$I$532:$AJ$532&amp;'Gastos com Pessoal'!$I$512:$AJ$512,0),10,1)),0)
+_xlfn.IFNA(SUM((Z$3&gt;='Gastos com Pessoal'!$E$513:$E$522)*(Z$3&lt;='Gastos com Pessoal'!$F$513:$F$522)*(IF('Gastos com Pessoal'!$M$513:$M$522&lt;=Z$3,1,0))*OFFSET('Gastos com Pessoal'!$H$512,1,MATCH(2&amp;$B53,'Gastos com Pessoal'!$I$532:$AJ$532&amp;'Gastos com Pessoal'!$I$512:$AJ$512,0),10,1)),0)
+_xlfn.IFNA(SUM((Z$3&gt;='Gastos com Pessoal'!$E$513:$E$522)*(Z$3&lt;='Gastos com Pessoal'!$F$513:$F$522)*(IF('Gastos com Pessoal'!$S$513:$S$522&lt;=Z$3,1,0))*OFFSET('Gastos com Pessoal'!$H$512,1,MATCH(3&amp;$B53,'Gastos com Pessoal'!$I$532:$AJ$532&amp;'Gastos com Pessoal'!$I$512:$AJ$512,0),10,1)),0)
+_xlfn.IFNA(SUM((Z$3&gt;='Gastos com Pessoal'!$E$513:$E$522)*(Z$3&lt;='Gastos com Pessoal'!$F$513:$F$522)*(IF('Gastos com Pessoal'!$Y$513:$Y$522&lt;=Z$3,1,0))*OFFSET('Gastos com Pessoal'!$H$512,1,MATCH(4&amp;$B53,'Gastos com Pessoal'!$I$532:$AJ$532&amp;'Gastos com Pessoal'!$I$512:$AJ$512,0),10,1)),0)
+_xlfn.IFNA(SUM((Z$3&gt;='Gastos com Pessoal'!$E$513:$E$522)*(Z$3&lt;='Gastos com Pessoal'!$F$513:$F$522)*(IF('Gastos com Pessoal'!$AE$513:$AE$522&lt;=Z$3,1,0))*OFFSET('Gastos com Pessoal'!$H$512,1,MATCH(5&amp;$B53,'Gastos com Pessoal'!$I$532:$AJ$532&amp;'Gastos com Pessoal'!$I$512:$AJ$512,0),10,1)),0)</f>
        <v>0</v>
      </c>
      <c r="AA53" s="32">
        <f t="array" aca="1" ref="AA53" ca="1">_xlfn.IFNA(SUM((AA$3&gt;='Gastos com Pessoal'!$E$7:$E$506)*(AA$3&lt;='Gastos com Pessoal'!$F$7:$F$506)*OFFSET('Encargos e Benefícios'!$D$5,1,MATCH($B53,'Encargos e Benefícios'!$E$5:$AB$5,0),500,1)),0)
+_xlfn.IFNA(SUM((AA$3&gt;='Gastos com Pessoal'!$E$513:$E$522)*(AA$3&lt;='Gastos com Pessoal'!$F$513:$F$522)*OFFSET('Encargos e Benefícios'!$D$511,1,MATCH($B53,'Encargos e Benefícios'!$E$511:$AB$511,0),10,1)),0)
+_xlfn.IFNA(SUM((AA$3&gt;='Gastos com Pessoal'!$E$7:$E$506)*(AA$3&lt;='Gastos com Pessoal'!$F$7:$F$506)*(IF('Gastos com Pessoal'!$G$7:$G$506&lt;=AA$3,1,0))*OFFSET('Gastos com Pessoal'!$H$6,1,MATCH(1&amp;$B53,'Gastos com Pessoal'!$I$532:$AJ$532&amp;'Gastos com Pessoal'!$I$6:$AJ$6,0),500,1)),0)
+_xlfn.IFNA(SUM((AA$3&gt;='Gastos com Pessoal'!$E$7:$E$506)*(AA$3&lt;='Gastos com Pessoal'!$F$7:$F$506)*(IF('Gastos com Pessoal'!$M$7:$M$506&lt;=AA$3,1,0))*OFFSET('Gastos com Pessoal'!$H$6,1,MATCH(2&amp;$B53,'Gastos com Pessoal'!$I$532:$AJ$532&amp;'Gastos com Pessoal'!$I$6:$AJ$6,0),500,1)),0)
+_xlfn.IFNA(SUM((AA$3&gt;='Gastos com Pessoal'!$E$7:$E$506)*(AA$3&lt;='Gastos com Pessoal'!$F$7:$F$506)*(IF('Gastos com Pessoal'!$S$7:$S$506&lt;=AA$3,1,0))*OFFSET('Gastos com Pessoal'!$H$6,1,MATCH(3&amp;$B53,'Gastos com Pessoal'!$I$532:$AJ$532&amp;'Gastos com Pessoal'!$I$6:$AJ$6,0),500,1)),0)
+_xlfn.IFNA(SUM((AA$3&gt;='Gastos com Pessoal'!$E$7:$E$506)*(AA$3&lt;='Gastos com Pessoal'!$F$7:$F$506)*(IF('Gastos com Pessoal'!$Y$7:$Y$506&lt;=AA$3,1,0))*OFFSET('Gastos com Pessoal'!$H$6,1,MATCH(4&amp;$B53,'Gastos com Pessoal'!$I$532:$AJ$532&amp;'Gastos com Pessoal'!$I$6:$AJ$6,0),500,1)),0)
+_xlfn.IFNA(SUM((AA$3&gt;='Gastos com Pessoal'!$E$7:$E$506)*(AA$3&lt;='Gastos com Pessoal'!$F$7:$F$506)*(IF('Gastos com Pessoal'!$AE$7:$AE$506&lt;=AA$3,1,0))*OFFSET('Gastos com Pessoal'!$H$6,1,MATCH(5&amp;$B53,'Gastos com Pessoal'!$I$532:$AJ$532&amp;'Gastos com Pessoal'!$I$6:$AJ$6,0),500,1)),0)
+_xlfn.IFNA(SUM((AA$3&gt;='Gastos com Pessoal'!$E$513:$E$522)*(AA$3&lt;='Gastos com Pessoal'!$F$513:$F$522)*(IF('Gastos com Pessoal'!$G$513:$G$522&lt;=AA$3,1,0))*OFFSET('Gastos com Pessoal'!$H$512,1,MATCH(1&amp;$B53,'Gastos com Pessoal'!$I$532:$AJ$532&amp;'Gastos com Pessoal'!$I$512:$AJ$512,0),10,1)),0)
+_xlfn.IFNA(SUM((AA$3&gt;='Gastos com Pessoal'!$E$513:$E$522)*(AA$3&lt;='Gastos com Pessoal'!$F$513:$F$522)*(IF('Gastos com Pessoal'!$M$513:$M$522&lt;=AA$3,1,0))*OFFSET('Gastos com Pessoal'!$H$512,1,MATCH(2&amp;$B53,'Gastos com Pessoal'!$I$532:$AJ$532&amp;'Gastos com Pessoal'!$I$512:$AJ$512,0),10,1)),0)
+_xlfn.IFNA(SUM((AA$3&gt;='Gastos com Pessoal'!$E$513:$E$522)*(AA$3&lt;='Gastos com Pessoal'!$F$513:$F$522)*(IF('Gastos com Pessoal'!$S$513:$S$522&lt;=AA$3,1,0))*OFFSET('Gastos com Pessoal'!$H$512,1,MATCH(3&amp;$B53,'Gastos com Pessoal'!$I$532:$AJ$532&amp;'Gastos com Pessoal'!$I$512:$AJ$512,0),10,1)),0)
+_xlfn.IFNA(SUM((AA$3&gt;='Gastos com Pessoal'!$E$513:$E$522)*(AA$3&lt;='Gastos com Pessoal'!$F$513:$F$522)*(IF('Gastos com Pessoal'!$Y$513:$Y$522&lt;=AA$3,1,0))*OFFSET('Gastos com Pessoal'!$H$512,1,MATCH(4&amp;$B53,'Gastos com Pessoal'!$I$532:$AJ$532&amp;'Gastos com Pessoal'!$I$512:$AJ$512,0),10,1)),0)
+_xlfn.IFNA(SUM((AA$3&gt;='Gastos com Pessoal'!$E$513:$E$522)*(AA$3&lt;='Gastos com Pessoal'!$F$513:$F$522)*(IF('Gastos com Pessoal'!$AE$513:$AE$522&lt;=AA$3,1,0))*OFFSET('Gastos com Pessoal'!$H$512,1,MATCH(5&amp;$B53,'Gastos com Pessoal'!$I$532:$AJ$532&amp;'Gastos com Pessoal'!$I$512:$AJ$512,0),10,1)),0)</f>
        <v>0</v>
      </c>
      <c r="AB53" s="32">
        <f t="array" aca="1" ref="AB53" ca="1">_xlfn.IFNA(SUM((AB$3&gt;='Gastos com Pessoal'!$E$7:$E$506)*(AB$3&lt;='Gastos com Pessoal'!$F$7:$F$506)*OFFSET('Encargos e Benefícios'!$D$5,1,MATCH($B53,'Encargos e Benefícios'!$E$5:$AB$5,0),500,1)),0)
+_xlfn.IFNA(SUM((AB$3&gt;='Gastos com Pessoal'!$E$513:$E$522)*(AB$3&lt;='Gastos com Pessoal'!$F$513:$F$522)*OFFSET('Encargos e Benefícios'!$D$511,1,MATCH($B53,'Encargos e Benefícios'!$E$511:$AB$511,0),10,1)),0)
+_xlfn.IFNA(SUM((AB$3&gt;='Gastos com Pessoal'!$E$7:$E$506)*(AB$3&lt;='Gastos com Pessoal'!$F$7:$F$506)*(IF('Gastos com Pessoal'!$G$7:$G$506&lt;=AB$3,1,0))*OFFSET('Gastos com Pessoal'!$H$6,1,MATCH(1&amp;$B53,'Gastos com Pessoal'!$I$532:$AJ$532&amp;'Gastos com Pessoal'!$I$6:$AJ$6,0),500,1)),0)
+_xlfn.IFNA(SUM((AB$3&gt;='Gastos com Pessoal'!$E$7:$E$506)*(AB$3&lt;='Gastos com Pessoal'!$F$7:$F$506)*(IF('Gastos com Pessoal'!$M$7:$M$506&lt;=AB$3,1,0))*OFFSET('Gastos com Pessoal'!$H$6,1,MATCH(2&amp;$B53,'Gastos com Pessoal'!$I$532:$AJ$532&amp;'Gastos com Pessoal'!$I$6:$AJ$6,0),500,1)),0)
+_xlfn.IFNA(SUM((AB$3&gt;='Gastos com Pessoal'!$E$7:$E$506)*(AB$3&lt;='Gastos com Pessoal'!$F$7:$F$506)*(IF('Gastos com Pessoal'!$S$7:$S$506&lt;=AB$3,1,0))*OFFSET('Gastos com Pessoal'!$H$6,1,MATCH(3&amp;$B53,'Gastos com Pessoal'!$I$532:$AJ$532&amp;'Gastos com Pessoal'!$I$6:$AJ$6,0),500,1)),0)
+_xlfn.IFNA(SUM((AB$3&gt;='Gastos com Pessoal'!$E$7:$E$506)*(AB$3&lt;='Gastos com Pessoal'!$F$7:$F$506)*(IF('Gastos com Pessoal'!$Y$7:$Y$506&lt;=AB$3,1,0))*OFFSET('Gastos com Pessoal'!$H$6,1,MATCH(4&amp;$B53,'Gastos com Pessoal'!$I$532:$AJ$532&amp;'Gastos com Pessoal'!$I$6:$AJ$6,0),500,1)),0)
+_xlfn.IFNA(SUM((AB$3&gt;='Gastos com Pessoal'!$E$7:$E$506)*(AB$3&lt;='Gastos com Pessoal'!$F$7:$F$506)*(IF('Gastos com Pessoal'!$AE$7:$AE$506&lt;=AB$3,1,0))*OFFSET('Gastos com Pessoal'!$H$6,1,MATCH(5&amp;$B53,'Gastos com Pessoal'!$I$532:$AJ$532&amp;'Gastos com Pessoal'!$I$6:$AJ$6,0),500,1)),0)
+_xlfn.IFNA(SUM((AB$3&gt;='Gastos com Pessoal'!$E$513:$E$522)*(AB$3&lt;='Gastos com Pessoal'!$F$513:$F$522)*(IF('Gastos com Pessoal'!$G$513:$G$522&lt;=AB$3,1,0))*OFFSET('Gastos com Pessoal'!$H$512,1,MATCH(1&amp;$B53,'Gastos com Pessoal'!$I$532:$AJ$532&amp;'Gastos com Pessoal'!$I$512:$AJ$512,0),10,1)),0)
+_xlfn.IFNA(SUM((AB$3&gt;='Gastos com Pessoal'!$E$513:$E$522)*(AB$3&lt;='Gastos com Pessoal'!$F$513:$F$522)*(IF('Gastos com Pessoal'!$M$513:$M$522&lt;=AB$3,1,0))*OFFSET('Gastos com Pessoal'!$H$512,1,MATCH(2&amp;$B53,'Gastos com Pessoal'!$I$532:$AJ$532&amp;'Gastos com Pessoal'!$I$512:$AJ$512,0),10,1)),0)
+_xlfn.IFNA(SUM((AB$3&gt;='Gastos com Pessoal'!$E$513:$E$522)*(AB$3&lt;='Gastos com Pessoal'!$F$513:$F$522)*(IF('Gastos com Pessoal'!$S$513:$S$522&lt;=AB$3,1,0))*OFFSET('Gastos com Pessoal'!$H$512,1,MATCH(3&amp;$B53,'Gastos com Pessoal'!$I$532:$AJ$532&amp;'Gastos com Pessoal'!$I$512:$AJ$512,0),10,1)),0)
+_xlfn.IFNA(SUM((AB$3&gt;='Gastos com Pessoal'!$E$513:$E$522)*(AB$3&lt;='Gastos com Pessoal'!$F$513:$F$522)*(IF('Gastos com Pessoal'!$Y$513:$Y$522&lt;=AB$3,1,0))*OFFSET('Gastos com Pessoal'!$H$512,1,MATCH(4&amp;$B53,'Gastos com Pessoal'!$I$532:$AJ$532&amp;'Gastos com Pessoal'!$I$512:$AJ$512,0),10,1)),0)
+_xlfn.IFNA(SUM((AB$3&gt;='Gastos com Pessoal'!$E$513:$E$522)*(AB$3&lt;='Gastos com Pessoal'!$F$513:$F$522)*(IF('Gastos com Pessoal'!$AE$513:$AE$522&lt;=AB$3,1,0))*OFFSET('Gastos com Pessoal'!$H$512,1,MATCH(5&amp;$B53,'Gastos com Pessoal'!$I$532:$AJ$532&amp;'Gastos com Pessoal'!$I$512:$AJ$512,0),10,1)),0)</f>
        <v>0</v>
      </c>
      <c r="AC53" s="32">
        <f t="array" aca="1" ref="AC53" ca="1">_xlfn.IFNA(SUM((AC$3&gt;='Gastos com Pessoal'!$E$7:$E$506)*(AC$3&lt;='Gastos com Pessoal'!$F$7:$F$506)*OFFSET('Encargos e Benefícios'!$D$5,1,MATCH($B53,'Encargos e Benefícios'!$E$5:$AB$5,0),500,1)),0)
+_xlfn.IFNA(SUM((AC$3&gt;='Gastos com Pessoal'!$E$513:$E$522)*(AC$3&lt;='Gastos com Pessoal'!$F$513:$F$522)*OFFSET('Encargos e Benefícios'!$D$511,1,MATCH($B53,'Encargos e Benefícios'!$E$511:$AB$511,0),10,1)),0)
+_xlfn.IFNA(SUM((AC$3&gt;='Gastos com Pessoal'!$E$7:$E$506)*(AC$3&lt;='Gastos com Pessoal'!$F$7:$F$506)*(IF('Gastos com Pessoal'!$G$7:$G$506&lt;=AC$3,1,0))*OFFSET('Gastos com Pessoal'!$H$6,1,MATCH(1&amp;$B53,'Gastos com Pessoal'!$I$532:$AJ$532&amp;'Gastos com Pessoal'!$I$6:$AJ$6,0),500,1)),0)
+_xlfn.IFNA(SUM((AC$3&gt;='Gastos com Pessoal'!$E$7:$E$506)*(AC$3&lt;='Gastos com Pessoal'!$F$7:$F$506)*(IF('Gastos com Pessoal'!$M$7:$M$506&lt;=AC$3,1,0))*OFFSET('Gastos com Pessoal'!$H$6,1,MATCH(2&amp;$B53,'Gastos com Pessoal'!$I$532:$AJ$532&amp;'Gastos com Pessoal'!$I$6:$AJ$6,0),500,1)),0)
+_xlfn.IFNA(SUM((AC$3&gt;='Gastos com Pessoal'!$E$7:$E$506)*(AC$3&lt;='Gastos com Pessoal'!$F$7:$F$506)*(IF('Gastos com Pessoal'!$S$7:$S$506&lt;=AC$3,1,0))*OFFSET('Gastos com Pessoal'!$H$6,1,MATCH(3&amp;$B53,'Gastos com Pessoal'!$I$532:$AJ$532&amp;'Gastos com Pessoal'!$I$6:$AJ$6,0),500,1)),0)
+_xlfn.IFNA(SUM((AC$3&gt;='Gastos com Pessoal'!$E$7:$E$506)*(AC$3&lt;='Gastos com Pessoal'!$F$7:$F$506)*(IF('Gastos com Pessoal'!$Y$7:$Y$506&lt;=AC$3,1,0))*OFFSET('Gastos com Pessoal'!$H$6,1,MATCH(4&amp;$B53,'Gastos com Pessoal'!$I$532:$AJ$532&amp;'Gastos com Pessoal'!$I$6:$AJ$6,0),500,1)),0)
+_xlfn.IFNA(SUM((AC$3&gt;='Gastos com Pessoal'!$E$7:$E$506)*(AC$3&lt;='Gastos com Pessoal'!$F$7:$F$506)*(IF('Gastos com Pessoal'!$AE$7:$AE$506&lt;=AC$3,1,0))*OFFSET('Gastos com Pessoal'!$H$6,1,MATCH(5&amp;$B53,'Gastos com Pessoal'!$I$532:$AJ$532&amp;'Gastos com Pessoal'!$I$6:$AJ$6,0),500,1)),0)
+_xlfn.IFNA(SUM((AC$3&gt;='Gastos com Pessoal'!$E$513:$E$522)*(AC$3&lt;='Gastos com Pessoal'!$F$513:$F$522)*(IF('Gastos com Pessoal'!$G$513:$G$522&lt;=AC$3,1,0))*OFFSET('Gastos com Pessoal'!$H$512,1,MATCH(1&amp;$B53,'Gastos com Pessoal'!$I$532:$AJ$532&amp;'Gastos com Pessoal'!$I$512:$AJ$512,0),10,1)),0)
+_xlfn.IFNA(SUM((AC$3&gt;='Gastos com Pessoal'!$E$513:$E$522)*(AC$3&lt;='Gastos com Pessoal'!$F$513:$F$522)*(IF('Gastos com Pessoal'!$M$513:$M$522&lt;=AC$3,1,0))*OFFSET('Gastos com Pessoal'!$H$512,1,MATCH(2&amp;$B53,'Gastos com Pessoal'!$I$532:$AJ$532&amp;'Gastos com Pessoal'!$I$512:$AJ$512,0),10,1)),0)
+_xlfn.IFNA(SUM((AC$3&gt;='Gastos com Pessoal'!$E$513:$E$522)*(AC$3&lt;='Gastos com Pessoal'!$F$513:$F$522)*(IF('Gastos com Pessoal'!$S$513:$S$522&lt;=AC$3,1,0))*OFFSET('Gastos com Pessoal'!$H$512,1,MATCH(3&amp;$B53,'Gastos com Pessoal'!$I$532:$AJ$532&amp;'Gastos com Pessoal'!$I$512:$AJ$512,0),10,1)),0)
+_xlfn.IFNA(SUM((AC$3&gt;='Gastos com Pessoal'!$E$513:$E$522)*(AC$3&lt;='Gastos com Pessoal'!$F$513:$F$522)*(IF('Gastos com Pessoal'!$Y$513:$Y$522&lt;=AC$3,1,0))*OFFSET('Gastos com Pessoal'!$H$512,1,MATCH(4&amp;$B53,'Gastos com Pessoal'!$I$532:$AJ$532&amp;'Gastos com Pessoal'!$I$512:$AJ$512,0),10,1)),0)
+_xlfn.IFNA(SUM((AC$3&gt;='Gastos com Pessoal'!$E$513:$E$522)*(AC$3&lt;='Gastos com Pessoal'!$F$513:$F$522)*(IF('Gastos com Pessoal'!$AE$513:$AE$522&lt;=AC$3,1,0))*OFFSET('Gastos com Pessoal'!$H$512,1,MATCH(5&amp;$B53,'Gastos com Pessoal'!$I$532:$AJ$532&amp;'Gastos com Pessoal'!$I$512:$AJ$512,0),10,1)),0)</f>
        <v>0</v>
      </c>
      <c r="AD53" s="32">
        <f t="array" aca="1" ref="AD53" ca="1">_xlfn.IFNA(SUM((AD$3&gt;='Gastos com Pessoal'!$E$7:$E$506)*(AD$3&lt;='Gastos com Pessoal'!$F$7:$F$506)*OFFSET('Encargos e Benefícios'!$D$5,1,MATCH($B53,'Encargos e Benefícios'!$E$5:$AB$5,0),500,1)),0)
+_xlfn.IFNA(SUM((AD$3&gt;='Gastos com Pessoal'!$E$513:$E$522)*(AD$3&lt;='Gastos com Pessoal'!$F$513:$F$522)*OFFSET('Encargos e Benefícios'!$D$511,1,MATCH($B53,'Encargos e Benefícios'!$E$511:$AB$511,0),10,1)),0)
+_xlfn.IFNA(SUM((AD$3&gt;='Gastos com Pessoal'!$E$7:$E$506)*(AD$3&lt;='Gastos com Pessoal'!$F$7:$F$506)*(IF('Gastos com Pessoal'!$G$7:$G$506&lt;=AD$3,1,0))*OFFSET('Gastos com Pessoal'!$H$6,1,MATCH(1&amp;$B53,'Gastos com Pessoal'!$I$532:$AJ$532&amp;'Gastos com Pessoal'!$I$6:$AJ$6,0),500,1)),0)
+_xlfn.IFNA(SUM((AD$3&gt;='Gastos com Pessoal'!$E$7:$E$506)*(AD$3&lt;='Gastos com Pessoal'!$F$7:$F$506)*(IF('Gastos com Pessoal'!$M$7:$M$506&lt;=AD$3,1,0))*OFFSET('Gastos com Pessoal'!$H$6,1,MATCH(2&amp;$B53,'Gastos com Pessoal'!$I$532:$AJ$532&amp;'Gastos com Pessoal'!$I$6:$AJ$6,0),500,1)),0)
+_xlfn.IFNA(SUM((AD$3&gt;='Gastos com Pessoal'!$E$7:$E$506)*(AD$3&lt;='Gastos com Pessoal'!$F$7:$F$506)*(IF('Gastos com Pessoal'!$S$7:$S$506&lt;=AD$3,1,0))*OFFSET('Gastos com Pessoal'!$H$6,1,MATCH(3&amp;$B53,'Gastos com Pessoal'!$I$532:$AJ$532&amp;'Gastos com Pessoal'!$I$6:$AJ$6,0),500,1)),0)
+_xlfn.IFNA(SUM((AD$3&gt;='Gastos com Pessoal'!$E$7:$E$506)*(AD$3&lt;='Gastos com Pessoal'!$F$7:$F$506)*(IF('Gastos com Pessoal'!$Y$7:$Y$506&lt;=AD$3,1,0))*OFFSET('Gastos com Pessoal'!$H$6,1,MATCH(4&amp;$B53,'Gastos com Pessoal'!$I$532:$AJ$532&amp;'Gastos com Pessoal'!$I$6:$AJ$6,0),500,1)),0)
+_xlfn.IFNA(SUM((AD$3&gt;='Gastos com Pessoal'!$E$7:$E$506)*(AD$3&lt;='Gastos com Pessoal'!$F$7:$F$506)*(IF('Gastos com Pessoal'!$AE$7:$AE$506&lt;=AD$3,1,0))*OFFSET('Gastos com Pessoal'!$H$6,1,MATCH(5&amp;$B53,'Gastos com Pessoal'!$I$532:$AJ$532&amp;'Gastos com Pessoal'!$I$6:$AJ$6,0),500,1)),0)
+_xlfn.IFNA(SUM((AD$3&gt;='Gastos com Pessoal'!$E$513:$E$522)*(AD$3&lt;='Gastos com Pessoal'!$F$513:$F$522)*(IF('Gastos com Pessoal'!$G$513:$G$522&lt;=AD$3,1,0))*OFFSET('Gastos com Pessoal'!$H$512,1,MATCH(1&amp;$B53,'Gastos com Pessoal'!$I$532:$AJ$532&amp;'Gastos com Pessoal'!$I$512:$AJ$512,0),10,1)),0)
+_xlfn.IFNA(SUM((AD$3&gt;='Gastos com Pessoal'!$E$513:$E$522)*(AD$3&lt;='Gastos com Pessoal'!$F$513:$F$522)*(IF('Gastos com Pessoal'!$M$513:$M$522&lt;=AD$3,1,0))*OFFSET('Gastos com Pessoal'!$H$512,1,MATCH(2&amp;$B53,'Gastos com Pessoal'!$I$532:$AJ$532&amp;'Gastos com Pessoal'!$I$512:$AJ$512,0),10,1)),0)
+_xlfn.IFNA(SUM((AD$3&gt;='Gastos com Pessoal'!$E$513:$E$522)*(AD$3&lt;='Gastos com Pessoal'!$F$513:$F$522)*(IF('Gastos com Pessoal'!$S$513:$S$522&lt;=AD$3,1,0))*OFFSET('Gastos com Pessoal'!$H$512,1,MATCH(3&amp;$B53,'Gastos com Pessoal'!$I$532:$AJ$532&amp;'Gastos com Pessoal'!$I$512:$AJ$512,0),10,1)),0)
+_xlfn.IFNA(SUM((AD$3&gt;='Gastos com Pessoal'!$E$513:$E$522)*(AD$3&lt;='Gastos com Pessoal'!$F$513:$F$522)*(IF('Gastos com Pessoal'!$Y$513:$Y$522&lt;=AD$3,1,0))*OFFSET('Gastos com Pessoal'!$H$512,1,MATCH(4&amp;$B53,'Gastos com Pessoal'!$I$532:$AJ$532&amp;'Gastos com Pessoal'!$I$512:$AJ$512,0),10,1)),0)
+_xlfn.IFNA(SUM((AD$3&gt;='Gastos com Pessoal'!$E$513:$E$522)*(AD$3&lt;='Gastos com Pessoal'!$F$513:$F$522)*(IF('Gastos com Pessoal'!$AE$513:$AE$522&lt;=AD$3,1,0))*OFFSET('Gastos com Pessoal'!$H$512,1,MATCH(5&amp;$B53,'Gastos com Pessoal'!$I$532:$AJ$532&amp;'Gastos com Pessoal'!$I$512:$AJ$512,0),10,1)),0)</f>
        <v>0</v>
      </c>
      <c r="AE53" s="32">
        <f t="array" aca="1" ref="AE53" ca="1">_xlfn.IFNA(SUM((AE$3&gt;='Gastos com Pessoal'!$E$7:$E$506)*(AE$3&lt;='Gastos com Pessoal'!$F$7:$F$506)*OFFSET('Encargos e Benefícios'!$D$5,1,MATCH($B53,'Encargos e Benefícios'!$E$5:$AB$5,0),500,1)),0)
+_xlfn.IFNA(SUM((AE$3&gt;='Gastos com Pessoal'!$E$513:$E$522)*(AE$3&lt;='Gastos com Pessoal'!$F$513:$F$522)*OFFSET('Encargos e Benefícios'!$D$511,1,MATCH($B53,'Encargos e Benefícios'!$E$511:$AB$511,0),10,1)),0)
+_xlfn.IFNA(SUM((AE$3&gt;='Gastos com Pessoal'!$E$7:$E$506)*(AE$3&lt;='Gastos com Pessoal'!$F$7:$F$506)*(IF('Gastos com Pessoal'!$G$7:$G$506&lt;=AE$3,1,0))*OFFSET('Gastos com Pessoal'!$H$6,1,MATCH(1&amp;$B53,'Gastos com Pessoal'!$I$532:$AJ$532&amp;'Gastos com Pessoal'!$I$6:$AJ$6,0),500,1)),0)
+_xlfn.IFNA(SUM((AE$3&gt;='Gastos com Pessoal'!$E$7:$E$506)*(AE$3&lt;='Gastos com Pessoal'!$F$7:$F$506)*(IF('Gastos com Pessoal'!$M$7:$M$506&lt;=AE$3,1,0))*OFFSET('Gastos com Pessoal'!$H$6,1,MATCH(2&amp;$B53,'Gastos com Pessoal'!$I$532:$AJ$532&amp;'Gastos com Pessoal'!$I$6:$AJ$6,0),500,1)),0)
+_xlfn.IFNA(SUM((AE$3&gt;='Gastos com Pessoal'!$E$7:$E$506)*(AE$3&lt;='Gastos com Pessoal'!$F$7:$F$506)*(IF('Gastos com Pessoal'!$S$7:$S$506&lt;=AE$3,1,0))*OFFSET('Gastos com Pessoal'!$H$6,1,MATCH(3&amp;$B53,'Gastos com Pessoal'!$I$532:$AJ$532&amp;'Gastos com Pessoal'!$I$6:$AJ$6,0),500,1)),0)
+_xlfn.IFNA(SUM((AE$3&gt;='Gastos com Pessoal'!$E$7:$E$506)*(AE$3&lt;='Gastos com Pessoal'!$F$7:$F$506)*(IF('Gastos com Pessoal'!$Y$7:$Y$506&lt;=AE$3,1,0))*OFFSET('Gastos com Pessoal'!$H$6,1,MATCH(4&amp;$B53,'Gastos com Pessoal'!$I$532:$AJ$532&amp;'Gastos com Pessoal'!$I$6:$AJ$6,0),500,1)),0)
+_xlfn.IFNA(SUM((AE$3&gt;='Gastos com Pessoal'!$E$7:$E$506)*(AE$3&lt;='Gastos com Pessoal'!$F$7:$F$506)*(IF('Gastos com Pessoal'!$AE$7:$AE$506&lt;=AE$3,1,0))*OFFSET('Gastos com Pessoal'!$H$6,1,MATCH(5&amp;$B53,'Gastos com Pessoal'!$I$532:$AJ$532&amp;'Gastos com Pessoal'!$I$6:$AJ$6,0),500,1)),0)
+_xlfn.IFNA(SUM((AE$3&gt;='Gastos com Pessoal'!$E$513:$E$522)*(AE$3&lt;='Gastos com Pessoal'!$F$513:$F$522)*(IF('Gastos com Pessoal'!$G$513:$G$522&lt;=AE$3,1,0))*OFFSET('Gastos com Pessoal'!$H$512,1,MATCH(1&amp;$B53,'Gastos com Pessoal'!$I$532:$AJ$532&amp;'Gastos com Pessoal'!$I$512:$AJ$512,0),10,1)),0)
+_xlfn.IFNA(SUM((AE$3&gt;='Gastos com Pessoal'!$E$513:$E$522)*(AE$3&lt;='Gastos com Pessoal'!$F$513:$F$522)*(IF('Gastos com Pessoal'!$M$513:$M$522&lt;=AE$3,1,0))*OFFSET('Gastos com Pessoal'!$H$512,1,MATCH(2&amp;$B53,'Gastos com Pessoal'!$I$532:$AJ$532&amp;'Gastos com Pessoal'!$I$512:$AJ$512,0),10,1)),0)
+_xlfn.IFNA(SUM((AE$3&gt;='Gastos com Pessoal'!$E$513:$E$522)*(AE$3&lt;='Gastos com Pessoal'!$F$513:$F$522)*(IF('Gastos com Pessoal'!$S$513:$S$522&lt;=AE$3,1,0))*OFFSET('Gastos com Pessoal'!$H$512,1,MATCH(3&amp;$B53,'Gastos com Pessoal'!$I$532:$AJ$532&amp;'Gastos com Pessoal'!$I$512:$AJ$512,0),10,1)),0)
+_xlfn.IFNA(SUM((AE$3&gt;='Gastos com Pessoal'!$E$513:$E$522)*(AE$3&lt;='Gastos com Pessoal'!$F$513:$F$522)*(IF('Gastos com Pessoal'!$Y$513:$Y$522&lt;=AE$3,1,0))*OFFSET('Gastos com Pessoal'!$H$512,1,MATCH(4&amp;$B53,'Gastos com Pessoal'!$I$532:$AJ$532&amp;'Gastos com Pessoal'!$I$512:$AJ$512,0),10,1)),0)
+_xlfn.IFNA(SUM((AE$3&gt;='Gastos com Pessoal'!$E$513:$E$522)*(AE$3&lt;='Gastos com Pessoal'!$F$513:$F$522)*(IF('Gastos com Pessoal'!$AE$513:$AE$522&lt;=AE$3,1,0))*OFFSET('Gastos com Pessoal'!$H$512,1,MATCH(5&amp;$B53,'Gastos com Pessoal'!$I$532:$AJ$532&amp;'Gastos com Pessoal'!$I$512:$AJ$512,0),10,1)),0)</f>
        <v>0</v>
      </c>
      <c r="AF53" s="32">
        <f t="array" aca="1" ref="AF53" ca="1">_xlfn.IFNA(SUM((AF$3&gt;='Gastos com Pessoal'!$E$7:$E$506)*(AF$3&lt;='Gastos com Pessoal'!$F$7:$F$506)*OFFSET('Encargos e Benefícios'!$D$5,1,MATCH($B53,'Encargos e Benefícios'!$E$5:$AB$5,0),500,1)),0)
+_xlfn.IFNA(SUM((AF$3&gt;='Gastos com Pessoal'!$E$513:$E$522)*(AF$3&lt;='Gastos com Pessoal'!$F$513:$F$522)*OFFSET('Encargos e Benefícios'!$D$511,1,MATCH($B53,'Encargos e Benefícios'!$E$511:$AB$511,0),10,1)),0)
+_xlfn.IFNA(SUM((AF$3&gt;='Gastos com Pessoal'!$E$7:$E$506)*(AF$3&lt;='Gastos com Pessoal'!$F$7:$F$506)*(IF('Gastos com Pessoal'!$G$7:$G$506&lt;=AF$3,1,0))*OFFSET('Gastos com Pessoal'!$H$6,1,MATCH(1&amp;$B53,'Gastos com Pessoal'!$I$532:$AJ$532&amp;'Gastos com Pessoal'!$I$6:$AJ$6,0),500,1)),0)
+_xlfn.IFNA(SUM((AF$3&gt;='Gastos com Pessoal'!$E$7:$E$506)*(AF$3&lt;='Gastos com Pessoal'!$F$7:$F$506)*(IF('Gastos com Pessoal'!$M$7:$M$506&lt;=AF$3,1,0))*OFFSET('Gastos com Pessoal'!$H$6,1,MATCH(2&amp;$B53,'Gastos com Pessoal'!$I$532:$AJ$532&amp;'Gastos com Pessoal'!$I$6:$AJ$6,0),500,1)),0)
+_xlfn.IFNA(SUM((AF$3&gt;='Gastos com Pessoal'!$E$7:$E$506)*(AF$3&lt;='Gastos com Pessoal'!$F$7:$F$506)*(IF('Gastos com Pessoal'!$S$7:$S$506&lt;=AF$3,1,0))*OFFSET('Gastos com Pessoal'!$H$6,1,MATCH(3&amp;$B53,'Gastos com Pessoal'!$I$532:$AJ$532&amp;'Gastos com Pessoal'!$I$6:$AJ$6,0),500,1)),0)
+_xlfn.IFNA(SUM((AF$3&gt;='Gastos com Pessoal'!$E$7:$E$506)*(AF$3&lt;='Gastos com Pessoal'!$F$7:$F$506)*(IF('Gastos com Pessoal'!$Y$7:$Y$506&lt;=AF$3,1,0))*OFFSET('Gastos com Pessoal'!$H$6,1,MATCH(4&amp;$B53,'Gastos com Pessoal'!$I$532:$AJ$532&amp;'Gastos com Pessoal'!$I$6:$AJ$6,0),500,1)),0)
+_xlfn.IFNA(SUM((AF$3&gt;='Gastos com Pessoal'!$E$7:$E$506)*(AF$3&lt;='Gastos com Pessoal'!$F$7:$F$506)*(IF('Gastos com Pessoal'!$AE$7:$AE$506&lt;=AF$3,1,0))*OFFSET('Gastos com Pessoal'!$H$6,1,MATCH(5&amp;$B53,'Gastos com Pessoal'!$I$532:$AJ$532&amp;'Gastos com Pessoal'!$I$6:$AJ$6,0),500,1)),0)
+_xlfn.IFNA(SUM((AF$3&gt;='Gastos com Pessoal'!$E$513:$E$522)*(AF$3&lt;='Gastos com Pessoal'!$F$513:$F$522)*(IF('Gastos com Pessoal'!$G$513:$G$522&lt;=AF$3,1,0))*OFFSET('Gastos com Pessoal'!$H$512,1,MATCH(1&amp;$B53,'Gastos com Pessoal'!$I$532:$AJ$532&amp;'Gastos com Pessoal'!$I$512:$AJ$512,0),10,1)),0)
+_xlfn.IFNA(SUM((AF$3&gt;='Gastos com Pessoal'!$E$513:$E$522)*(AF$3&lt;='Gastos com Pessoal'!$F$513:$F$522)*(IF('Gastos com Pessoal'!$M$513:$M$522&lt;=AF$3,1,0))*OFFSET('Gastos com Pessoal'!$H$512,1,MATCH(2&amp;$B53,'Gastos com Pessoal'!$I$532:$AJ$532&amp;'Gastos com Pessoal'!$I$512:$AJ$512,0),10,1)),0)
+_xlfn.IFNA(SUM((AF$3&gt;='Gastos com Pessoal'!$E$513:$E$522)*(AF$3&lt;='Gastos com Pessoal'!$F$513:$F$522)*(IF('Gastos com Pessoal'!$S$513:$S$522&lt;=AF$3,1,0))*OFFSET('Gastos com Pessoal'!$H$512,1,MATCH(3&amp;$B53,'Gastos com Pessoal'!$I$532:$AJ$532&amp;'Gastos com Pessoal'!$I$512:$AJ$512,0),10,1)),0)
+_xlfn.IFNA(SUM((AF$3&gt;='Gastos com Pessoal'!$E$513:$E$522)*(AF$3&lt;='Gastos com Pessoal'!$F$513:$F$522)*(IF('Gastos com Pessoal'!$Y$513:$Y$522&lt;=AF$3,1,0))*OFFSET('Gastos com Pessoal'!$H$512,1,MATCH(4&amp;$B53,'Gastos com Pessoal'!$I$532:$AJ$532&amp;'Gastos com Pessoal'!$I$512:$AJ$512,0),10,1)),0)
+_xlfn.IFNA(SUM((AF$3&gt;='Gastos com Pessoal'!$E$513:$E$522)*(AF$3&lt;='Gastos com Pessoal'!$F$513:$F$522)*(IF('Gastos com Pessoal'!$AE$513:$AE$522&lt;=AF$3,1,0))*OFFSET('Gastos com Pessoal'!$H$512,1,MATCH(5&amp;$B53,'Gastos com Pessoal'!$I$532:$AJ$532&amp;'Gastos com Pessoal'!$I$512:$AJ$512,0),10,1)),0)</f>
        <v>0</v>
      </c>
      <c r="AG53" s="32">
        <f t="array" aca="1" ref="AG53" ca="1">_xlfn.IFNA(SUM((AG$3&gt;='Gastos com Pessoal'!$E$7:$E$506)*(AG$3&lt;='Gastos com Pessoal'!$F$7:$F$506)*OFFSET('Encargos e Benefícios'!$D$5,1,MATCH($B53,'Encargos e Benefícios'!$E$5:$AB$5,0),500,1)),0)
+_xlfn.IFNA(SUM((AG$3&gt;='Gastos com Pessoal'!$E$513:$E$522)*(AG$3&lt;='Gastos com Pessoal'!$F$513:$F$522)*OFFSET('Encargos e Benefícios'!$D$511,1,MATCH($B53,'Encargos e Benefícios'!$E$511:$AB$511,0),10,1)),0)
+_xlfn.IFNA(SUM((AG$3&gt;='Gastos com Pessoal'!$E$7:$E$506)*(AG$3&lt;='Gastos com Pessoal'!$F$7:$F$506)*(IF('Gastos com Pessoal'!$G$7:$G$506&lt;=AG$3,1,0))*OFFSET('Gastos com Pessoal'!$H$6,1,MATCH(1&amp;$B53,'Gastos com Pessoal'!$I$532:$AJ$532&amp;'Gastos com Pessoal'!$I$6:$AJ$6,0),500,1)),0)
+_xlfn.IFNA(SUM((AG$3&gt;='Gastos com Pessoal'!$E$7:$E$506)*(AG$3&lt;='Gastos com Pessoal'!$F$7:$F$506)*(IF('Gastos com Pessoal'!$M$7:$M$506&lt;=AG$3,1,0))*OFFSET('Gastos com Pessoal'!$H$6,1,MATCH(2&amp;$B53,'Gastos com Pessoal'!$I$532:$AJ$532&amp;'Gastos com Pessoal'!$I$6:$AJ$6,0),500,1)),0)
+_xlfn.IFNA(SUM((AG$3&gt;='Gastos com Pessoal'!$E$7:$E$506)*(AG$3&lt;='Gastos com Pessoal'!$F$7:$F$506)*(IF('Gastos com Pessoal'!$S$7:$S$506&lt;=AG$3,1,0))*OFFSET('Gastos com Pessoal'!$H$6,1,MATCH(3&amp;$B53,'Gastos com Pessoal'!$I$532:$AJ$532&amp;'Gastos com Pessoal'!$I$6:$AJ$6,0),500,1)),0)
+_xlfn.IFNA(SUM((AG$3&gt;='Gastos com Pessoal'!$E$7:$E$506)*(AG$3&lt;='Gastos com Pessoal'!$F$7:$F$506)*(IF('Gastos com Pessoal'!$Y$7:$Y$506&lt;=AG$3,1,0))*OFFSET('Gastos com Pessoal'!$H$6,1,MATCH(4&amp;$B53,'Gastos com Pessoal'!$I$532:$AJ$532&amp;'Gastos com Pessoal'!$I$6:$AJ$6,0),500,1)),0)
+_xlfn.IFNA(SUM((AG$3&gt;='Gastos com Pessoal'!$E$7:$E$506)*(AG$3&lt;='Gastos com Pessoal'!$F$7:$F$506)*(IF('Gastos com Pessoal'!$AE$7:$AE$506&lt;=AG$3,1,0))*OFFSET('Gastos com Pessoal'!$H$6,1,MATCH(5&amp;$B53,'Gastos com Pessoal'!$I$532:$AJ$532&amp;'Gastos com Pessoal'!$I$6:$AJ$6,0),500,1)),0)
+_xlfn.IFNA(SUM((AG$3&gt;='Gastos com Pessoal'!$E$513:$E$522)*(AG$3&lt;='Gastos com Pessoal'!$F$513:$F$522)*(IF('Gastos com Pessoal'!$G$513:$G$522&lt;=AG$3,1,0))*OFFSET('Gastos com Pessoal'!$H$512,1,MATCH(1&amp;$B53,'Gastos com Pessoal'!$I$532:$AJ$532&amp;'Gastos com Pessoal'!$I$512:$AJ$512,0),10,1)),0)
+_xlfn.IFNA(SUM((AG$3&gt;='Gastos com Pessoal'!$E$513:$E$522)*(AG$3&lt;='Gastos com Pessoal'!$F$513:$F$522)*(IF('Gastos com Pessoal'!$M$513:$M$522&lt;=AG$3,1,0))*OFFSET('Gastos com Pessoal'!$H$512,1,MATCH(2&amp;$B53,'Gastos com Pessoal'!$I$532:$AJ$532&amp;'Gastos com Pessoal'!$I$512:$AJ$512,0),10,1)),0)
+_xlfn.IFNA(SUM((AG$3&gt;='Gastos com Pessoal'!$E$513:$E$522)*(AG$3&lt;='Gastos com Pessoal'!$F$513:$F$522)*(IF('Gastos com Pessoal'!$S$513:$S$522&lt;=AG$3,1,0))*OFFSET('Gastos com Pessoal'!$H$512,1,MATCH(3&amp;$B53,'Gastos com Pessoal'!$I$532:$AJ$532&amp;'Gastos com Pessoal'!$I$512:$AJ$512,0),10,1)),0)
+_xlfn.IFNA(SUM((AG$3&gt;='Gastos com Pessoal'!$E$513:$E$522)*(AG$3&lt;='Gastos com Pessoal'!$F$513:$F$522)*(IF('Gastos com Pessoal'!$Y$513:$Y$522&lt;=AG$3,1,0))*OFFSET('Gastos com Pessoal'!$H$512,1,MATCH(4&amp;$B53,'Gastos com Pessoal'!$I$532:$AJ$532&amp;'Gastos com Pessoal'!$I$512:$AJ$512,0),10,1)),0)
+_xlfn.IFNA(SUM((AG$3&gt;='Gastos com Pessoal'!$E$513:$E$522)*(AG$3&lt;='Gastos com Pessoal'!$F$513:$F$522)*(IF('Gastos com Pessoal'!$AE$513:$AE$522&lt;=AG$3,1,0))*OFFSET('Gastos com Pessoal'!$H$512,1,MATCH(5&amp;$B53,'Gastos com Pessoal'!$I$532:$AJ$532&amp;'Gastos com Pessoal'!$I$512:$AJ$512,0),10,1)),0)</f>
        <v>0</v>
      </c>
      <c r="AH53" s="32">
        <f t="array" aca="1" ref="AH53" ca="1">_xlfn.IFNA(SUM((AH$3&gt;='Gastos com Pessoal'!$E$7:$E$506)*(AH$3&lt;='Gastos com Pessoal'!$F$7:$F$506)*OFFSET('Encargos e Benefícios'!$D$5,1,MATCH($B53,'Encargos e Benefícios'!$E$5:$AB$5,0),500,1)),0)
+_xlfn.IFNA(SUM((AH$3&gt;='Gastos com Pessoal'!$E$513:$E$522)*(AH$3&lt;='Gastos com Pessoal'!$F$513:$F$522)*OFFSET('Encargos e Benefícios'!$D$511,1,MATCH($B53,'Encargos e Benefícios'!$E$511:$AB$511,0),10,1)),0)
+_xlfn.IFNA(SUM((AH$3&gt;='Gastos com Pessoal'!$E$7:$E$506)*(AH$3&lt;='Gastos com Pessoal'!$F$7:$F$506)*(IF('Gastos com Pessoal'!$G$7:$G$506&lt;=AH$3,1,0))*OFFSET('Gastos com Pessoal'!$H$6,1,MATCH(1&amp;$B53,'Gastos com Pessoal'!$I$532:$AJ$532&amp;'Gastos com Pessoal'!$I$6:$AJ$6,0),500,1)),0)
+_xlfn.IFNA(SUM((AH$3&gt;='Gastos com Pessoal'!$E$7:$E$506)*(AH$3&lt;='Gastos com Pessoal'!$F$7:$F$506)*(IF('Gastos com Pessoal'!$M$7:$M$506&lt;=AH$3,1,0))*OFFSET('Gastos com Pessoal'!$H$6,1,MATCH(2&amp;$B53,'Gastos com Pessoal'!$I$532:$AJ$532&amp;'Gastos com Pessoal'!$I$6:$AJ$6,0),500,1)),0)
+_xlfn.IFNA(SUM((AH$3&gt;='Gastos com Pessoal'!$E$7:$E$506)*(AH$3&lt;='Gastos com Pessoal'!$F$7:$F$506)*(IF('Gastos com Pessoal'!$S$7:$S$506&lt;=AH$3,1,0))*OFFSET('Gastos com Pessoal'!$H$6,1,MATCH(3&amp;$B53,'Gastos com Pessoal'!$I$532:$AJ$532&amp;'Gastos com Pessoal'!$I$6:$AJ$6,0),500,1)),0)
+_xlfn.IFNA(SUM((AH$3&gt;='Gastos com Pessoal'!$E$7:$E$506)*(AH$3&lt;='Gastos com Pessoal'!$F$7:$F$506)*(IF('Gastos com Pessoal'!$Y$7:$Y$506&lt;=AH$3,1,0))*OFFSET('Gastos com Pessoal'!$H$6,1,MATCH(4&amp;$B53,'Gastos com Pessoal'!$I$532:$AJ$532&amp;'Gastos com Pessoal'!$I$6:$AJ$6,0),500,1)),0)
+_xlfn.IFNA(SUM((AH$3&gt;='Gastos com Pessoal'!$E$7:$E$506)*(AH$3&lt;='Gastos com Pessoal'!$F$7:$F$506)*(IF('Gastos com Pessoal'!$AE$7:$AE$506&lt;=AH$3,1,0))*OFFSET('Gastos com Pessoal'!$H$6,1,MATCH(5&amp;$B53,'Gastos com Pessoal'!$I$532:$AJ$532&amp;'Gastos com Pessoal'!$I$6:$AJ$6,0),500,1)),0)
+_xlfn.IFNA(SUM((AH$3&gt;='Gastos com Pessoal'!$E$513:$E$522)*(AH$3&lt;='Gastos com Pessoal'!$F$513:$F$522)*(IF('Gastos com Pessoal'!$G$513:$G$522&lt;=AH$3,1,0))*OFFSET('Gastos com Pessoal'!$H$512,1,MATCH(1&amp;$B53,'Gastos com Pessoal'!$I$532:$AJ$532&amp;'Gastos com Pessoal'!$I$512:$AJ$512,0),10,1)),0)
+_xlfn.IFNA(SUM((AH$3&gt;='Gastos com Pessoal'!$E$513:$E$522)*(AH$3&lt;='Gastos com Pessoal'!$F$513:$F$522)*(IF('Gastos com Pessoal'!$M$513:$M$522&lt;=AH$3,1,0))*OFFSET('Gastos com Pessoal'!$H$512,1,MATCH(2&amp;$B53,'Gastos com Pessoal'!$I$532:$AJ$532&amp;'Gastos com Pessoal'!$I$512:$AJ$512,0),10,1)),0)
+_xlfn.IFNA(SUM((AH$3&gt;='Gastos com Pessoal'!$E$513:$E$522)*(AH$3&lt;='Gastos com Pessoal'!$F$513:$F$522)*(IF('Gastos com Pessoal'!$S$513:$S$522&lt;=AH$3,1,0))*OFFSET('Gastos com Pessoal'!$H$512,1,MATCH(3&amp;$B53,'Gastos com Pessoal'!$I$532:$AJ$532&amp;'Gastos com Pessoal'!$I$512:$AJ$512,0),10,1)),0)
+_xlfn.IFNA(SUM((AH$3&gt;='Gastos com Pessoal'!$E$513:$E$522)*(AH$3&lt;='Gastos com Pessoal'!$F$513:$F$522)*(IF('Gastos com Pessoal'!$Y$513:$Y$522&lt;=AH$3,1,0))*OFFSET('Gastos com Pessoal'!$H$512,1,MATCH(4&amp;$B53,'Gastos com Pessoal'!$I$532:$AJ$532&amp;'Gastos com Pessoal'!$I$512:$AJ$512,0),10,1)),0)
+_xlfn.IFNA(SUM((AH$3&gt;='Gastos com Pessoal'!$E$513:$E$522)*(AH$3&lt;='Gastos com Pessoal'!$F$513:$F$522)*(IF('Gastos com Pessoal'!$AE$513:$AE$522&lt;=AH$3,1,0))*OFFSET('Gastos com Pessoal'!$H$512,1,MATCH(5&amp;$B53,'Gastos com Pessoal'!$I$532:$AJ$532&amp;'Gastos com Pessoal'!$I$512:$AJ$512,0),10,1)),0)</f>
        <v>0</v>
      </c>
      <c r="AI53" s="32">
        <f t="array" aca="1" ref="AI53" ca="1">_xlfn.IFNA(SUM((AI$3&gt;='Gastos com Pessoal'!$E$7:$E$506)*(AI$3&lt;='Gastos com Pessoal'!$F$7:$F$506)*OFFSET('Encargos e Benefícios'!$D$5,1,MATCH($B53,'Encargos e Benefícios'!$E$5:$AB$5,0),500,1)),0)
+_xlfn.IFNA(SUM((AI$3&gt;='Gastos com Pessoal'!$E$513:$E$522)*(AI$3&lt;='Gastos com Pessoal'!$F$513:$F$522)*OFFSET('Encargos e Benefícios'!$D$511,1,MATCH($B53,'Encargos e Benefícios'!$E$511:$AB$511,0),10,1)),0)
+_xlfn.IFNA(SUM((AI$3&gt;='Gastos com Pessoal'!$E$7:$E$506)*(AI$3&lt;='Gastos com Pessoal'!$F$7:$F$506)*(IF('Gastos com Pessoal'!$G$7:$G$506&lt;=AI$3,1,0))*OFFSET('Gastos com Pessoal'!$H$6,1,MATCH(1&amp;$B53,'Gastos com Pessoal'!$I$532:$AJ$532&amp;'Gastos com Pessoal'!$I$6:$AJ$6,0),500,1)),0)
+_xlfn.IFNA(SUM((AI$3&gt;='Gastos com Pessoal'!$E$7:$E$506)*(AI$3&lt;='Gastos com Pessoal'!$F$7:$F$506)*(IF('Gastos com Pessoal'!$M$7:$M$506&lt;=AI$3,1,0))*OFFSET('Gastos com Pessoal'!$H$6,1,MATCH(2&amp;$B53,'Gastos com Pessoal'!$I$532:$AJ$532&amp;'Gastos com Pessoal'!$I$6:$AJ$6,0),500,1)),0)
+_xlfn.IFNA(SUM((AI$3&gt;='Gastos com Pessoal'!$E$7:$E$506)*(AI$3&lt;='Gastos com Pessoal'!$F$7:$F$506)*(IF('Gastos com Pessoal'!$S$7:$S$506&lt;=AI$3,1,0))*OFFSET('Gastos com Pessoal'!$H$6,1,MATCH(3&amp;$B53,'Gastos com Pessoal'!$I$532:$AJ$532&amp;'Gastos com Pessoal'!$I$6:$AJ$6,0),500,1)),0)
+_xlfn.IFNA(SUM((AI$3&gt;='Gastos com Pessoal'!$E$7:$E$506)*(AI$3&lt;='Gastos com Pessoal'!$F$7:$F$506)*(IF('Gastos com Pessoal'!$Y$7:$Y$506&lt;=AI$3,1,0))*OFFSET('Gastos com Pessoal'!$H$6,1,MATCH(4&amp;$B53,'Gastos com Pessoal'!$I$532:$AJ$532&amp;'Gastos com Pessoal'!$I$6:$AJ$6,0),500,1)),0)
+_xlfn.IFNA(SUM((AI$3&gt;='Gastos com Pessoal'!$E$7:$E$506)*(AI$3&lt;='Gastos com Pessoal'!$F$7:$F$506)*(IF('Gastos com Pessoal'!$AE$7:$AE$506&lt;=AI$3,1,0))*OFFSET('Gastos com Pessoal'!$H$6,1,MATCH(5&amp;$B53,'Gastos com Pessoal'!$I$532:$AJ$532&amp;'Gastos com Pessoal'!$I$6:$AJ$6,0),500,1)),0)
+_xlfn.IFNA(SUM((AI$3&gt;='Gastos com Pessoal'!$E$513:$E$522)*(AI$3&lt;='Gastos com Pessoal'!$F$513:$F$522)*(IF('Gastos com Pessoal'!$G$513:$G$522&lt;=AI$3,1,0))*OFFSET('Gastos com Pessoal'!$H$512,1,MATCH(1&amp;$B53,'Gastos com Pessoal'!$I$532:$AJ$532&amp;'Gastos com Pessoal'!$I$512:$AJ$512,0),10,1)),0)
+_xlfn.IFNA(SUM((AI$3&gt;='Gastos com Pessoal'!$E$513:$E$522)*(AI$3&lt;='Gastos com Pessoal'!$F$513:$F$522)*(IF('Gastos com Pessoal'!$M$513:$M$522&lt;=AI$3,1,0))*OFFSET('Gastos com Pessoal'!$H$512,1,MATCH(2&amp;$B53,'Gastos com Pessoal'!$I$532:$AJ$532&amp;'Gastos com Pessoal'!$I$512:$AJ$512,0),10,1)),0)
+_xlfn.IFNA(SUM((AI$3&gt;='Gastos com Pessoal'!$E$513:$E$522)*(AI$3&lt;='Gastos com Pessoal'!$F$513:$F$522)*(IF('Gastos com Pessoal'!$S$513:$S$522&lt;=AI$3,1,0))*OFFSET('Gastos com Pessoal'!$H$512,1,MATCH(3&amp;$B53,'Gastos com Pessoal'!$I$532:$AJ$532&amp;'Gastos com Pessoal'!$I$512:$AJ$512,0),10,1)),0)
+_xlfn.IFNA(SUM((AI$3&gt;='Gastos com Pessoal'!$E$513:$E$522)*(AI$3&lt;='Gastos com Pessoal'!$F$513:$F$522)*(IF('Gastos com Pessoal'!$Y$513:$Y$522&lt;=AI$3,1,0))*OFFSET('Gastos com Pessoal'!$H$512,1,MATCH(4&amp;$B53,'Gastos com Pessoal'!$I$532:$AJ$532&amp;'Gastos com Pessoal'!$I$512:$AJ$512,0),10,1)),0)
+_xlfn.IFNA(SUM((AI$3&gt;='Gastos com Pessoal'!$E$513:$E$522)*(AI$3&lt;='Gastos com Pessoal'!$F$513:$F$522)*(IF('Gastos com Pessoal'!$AE$513:$AE$522&lt;=AI$3,1,0))*OFFSET('Gastos com Pessoal'!$H$512,1,MATCH(5&amp;$B53,'Gastos com Pessoal'!$I$532:$AJ$532&amp;'Gastos com Pessoal'!$I$512:$AJ$512,0),10,1)),0)</f>
        <v>0</v>
      </c>
      <c r="AJ53" s="32">
        <f t="array" aca="1" ref="AJ53" ca="1">_xlfn.IFNA(SUM((AJ$3&gt;='Gastos com Pessoal'!$E$7:$E$506)*(AJ$3&lt;='Gastos com Pessoal'!$F$7:$F$506)*OFFSET('Encargos e Benefícios'!$D$5,1,MATCH($B53,'Encargos e Benefícios'!$E$5:$AB$5,0),500,1)),0)
+_xlfn.IFNA(SUM((AJ$3&gt;='Gastos com Pessoal'!$E$513:$E$522)*(AJ$3&lt;='Gastos com Pessoal'!$F$513:$F$522)*OFFSET('Encargos e Benefícios'!$D$511,1,MATCH($B53,'Encargos e Benefícios'!$E$511:$AB$511,0),10,1)),0)
+_xlfn.IFNA(SUM((AJ$3&gt;='Gastos com Pessoal'!$E$7:$E$506)*(AJ$3&lt;='Gastos com Pessoal'!$F$7:$F$506)*(IF('Gastos com Pessoal'!$G$7:$G$506&lt;=AJ$3,1,0))*OFFSET('Gastos com Pessoal'!$H$6,1,MATCH(1&amp;$B53,'Gastos com Pessoal'!$I$532:$AJ$532&amp;'Gastos com Pessoal'!$I$6:$AJ$6,0),500,1)),0)
+_xlfn.IFNA(SUM((AJ$3&gt;='Gastos com Pessoal'!$E$7:$E$506)*(AJ$3&lt;='Gastos com Pessoal'!$F$7:$F$506)*(IF('Gastos com Pessoal'!$M$7:$M$506&lt;=AJ$3,1,0))*OFFSET('Gastos com Pessoal'!$H$6,1,MATCH(2&amp;$B53,'Gastos com Pessoal'!$I$532:$AJ$532&amp;'Gastos com Pessoal'!$I$6:$AJ$6,0),500,1)),0)
+_xlfn.IFNA(SUM((AJ$3&gt;='Gastos com Pessoal'!$E$7:$E$506)*(AJ$3&lt;='Gastos com Pessoal'!$F$7:$F$506)*(IF('Gastos com Pessoal'!$S$7:$S$506&lt;=AJ$3,1,0))*OFFSET('Gastos com Pessoal'!$H$6,1,MATCH(3&amp;$B53,'Gastos com Pessoal'!$I$532:$AJ$532&amp;'Gastos com Pessoal'!$I$6:$AJ$6,0),500,1)),0)
+_xlfn.IFNA(SUM((AJ$3&gt;='Gastos com Pessoal'!$E$7:$E$506)*(AJ$3&lt;='Gastos com Pessoal'!$F$7:$F$506)*(IF('Gastos com Pessoal'!$Y$7:$Y$506&lt;=AJ$3,1,0))*OFFSET('Gastos com Pessoal'!$H$6,1,MATCH(4&amp;$B53,'Gastos com Pessoal'!$I$532:$AJ$532&amp;'Gastos com Pessoal'!$I$6:$AJ$6,0),500,1)),0)
+_xlfn.IFNA(SUM((AJ$3&gt;='Gastos com Pessoal'!$E$7:$E$506)*(AJ$3&lt;='Gastos com Pessoal'!$F$7:$F$506)*(IF('Gastos com Pessoal'!$AE$7:$AE$506&lt;=AJ$3,1,0))*OFFSET('Gastos com Pessoal'!$H$6,1,MATCH(5&amp;$B53,'Gastos com Pessoal'!$I$532:$AJ$532&amp;'Gastos com Pessoal'!$I$6:$AJ$6,0),500,1)),0)
+_xlfn.IFNA(SUM((AJ$3&gt;='Gastos com Pessoal'!$E$513:$E$522)*(AJ$3&lt;='Gastos com Pessoal'!$F$513:$F$522)*(IF('Gastos com Pessoal'!$G$513:$G$522&lt;=AJ$3,1,0))*OFFSET('Gastos com Pessoal'!$H$512,1,MATCH(1&amp;$B53,'Gastos com Pessoal'!$I$532:$AJ$532&amp;'Gastos com Pessoal'!$I$512:$AJ$512,0),10,1)),0)
+_xlfn.IFNA(SUM((AJ$3&gt;='Gastos com Pessoal'!$E$513:$E$522)*(AJ$3&lt;='Gastos com Pessoal'!$F$513:$F$522)*(IF('Gastos com Pessoal'!$M$513:$M$522&lt;=AJ$3,1,0))*OFFSET('Gastos com Pessoal'!$H$512,1,MATCH(2&amp;$B53,'Gastos com Pessoal'!$I$532:$AJ$532&amp;'Gastos com Pessoal'!$I$512:$AJ$512,0),10,1)),0)
+_xlfn.IFNA(SUM((AJ$3&gt;='Gastos com Pessoal'!$E$513:$E$522)*(AJ$3&lt;='Gastos com Pessoal'!$F$513:$F$522)*(IF('Gastos com Pessoal'!$S$513:$S$522&lt;=AJ$3,1,0))*OFFSET('Gastos com Pessoal'!$H$512,1,MATCH(3&amp;$B53,'Gastos com Pessoal'!$I$532:$AJ$532&amp;'Gastos com Pessoal'!$I$512:$AJ$512,0),10,1)),0)
+_xlfn.IFNA(SUM((AJ$3&gt;='Gastos com Pessoal'!$E$513:$E$522)*(AJ$3&lt;='Gastos com Pessoal'!$F$513:$F$522)*(IF('Gastos com Pessoal'!$Y$513:$Y$522&lt;=AJ$3,1,0))*OFFSET('Gastos com Pessoal'!$H$512,1,MATCH(4&amp;$B53,'Gastos com Pessoal'!$I$532:$AJ$532&amp;'Gastos com Pessoal'!$I$512:$AJ$512,0),10,1)),0)
+_xlfn.IFNA(SUM((AJ$3&gt;='Gastos com Pessoal'!$E$513:$E$522)*(AJ$3&lt;='Gastos com Pessoal'!$F$513:$F$522)*(IF('Gastos com Pessoal'!$AE$513:$AE$522&lt;=AJ$3,1,0))*OFFSET('Gastos com Pessoal'!$H$512,1,MATCH(5&amp;$B53,'Gastos com Pessoal'!$I$532:$AJ$532&amp;'Gastos com Pessoal'!$I$512:$AJ$512,0),10,1)),0)</f>
        <v>0</v>
      </c>
      <c r="AK53" s="32">
        <f t="array" aca="1" ref="AK53" ca="1">_xlfn.IFNA(SUM((AK$3&gt;='Gastos com Pessoal'!$E$7:$E$506)*(AK$3&lt;='Gastos com Pessoal'!$F$7:$F$506)*OFFSET('Encargos e Benefícios'!$D$5,1,MATCH($B53,'Encargos e Benefícios'!$E$5:$AB$5,0),500,1)),0)
+_xlfn.IFNA(SUM((AK$3&gt;='Gastos com Pessoal'!$E$513:$E$522)*(AK$3&lt;='Gastos com Pessoal'!$F$513:$F$522)*OFFSET('Encargos e Benefícios'!$D$511,1,MATCH($B53,'Encargos e Benefícios'!$E$511:$AB$511,0),10,1)),0)
+_xlfn.IFNA(SUM((AK$3&gt;='Gastos com Pessoal'!$E$7:$E$506)*(AK$3&lt;='Gastos com Pessoal'!$F$7:$F$506)*(IF('Gastos com Pessoal'!$G$7:$G$506&lt;=AK$3,1,0))*OFFSET('Gastos com Pessoal'!$H$6,1,MATCH(1&amp;$B53,'Gastos com Pessoal'!$I$532:$AJ$532&amp;'Gastos com Pessoal'!$I$6:$AJ$6,0),500,1)),0)
+_xlfn.IFNA(SUM((AK$3&gt;='Gastos com Pessoal'!$E$7:$E$506)*(AK$3&lt;='Gastos com Pessoal'!$F$7:$F$506)*(IF('Gastos com Pessoal'!$M$7:$M$506&lt;=AK$3,1,0))*OFFSET('Gastos com Pessoal'!$H$6,1,MATCH(2&amp;$B53,'Gastos com Pessoal'!$I$532:$AJ$532&amp;'Gastos com Pessoal'!$I$6:$AJ$6,0),500,1)),0)
+_xlfn.IFNA(SUM((AK$3&gt;='Gastos com Pessoal'!$E$7:$E$506)*(AK$3&lt;='Gastos com Pessoal'!$F$7:$F$506)*(IF('Gastos com Pessoal'!$S$7:$S$506&lt;=AK$3,1,0))*OFFSET('Gastos com Pessoal'!$H$6,1,MATCH(3&amp;$B53,'Gastos com Pessoal'!$I$532:$AJ$532&amp;'Gastos com Pessoal'!$I$6:$AJ$6,0),500,1)),0)
+_xlfn.IFNA(SUM((AK$3&gt;='Gastos com Pessoal'!$E$7:$E$506)*(AK$3&lt;='Gastos com Pessoal'!$F$7:$F$506)*(IF('Gastos com Pessoal'!$Y$7:$Y$506&lt;=AK$3,1,0))*OFFSET('Gastos com Pessoal'!$H$6,1,MATCH(4&amp;$B53,'Gastos com Pessoal'!$I$532:$AJ$532&amp;'Gastos com Pessoal'!$I$6:$AJ$6,0),500,1)),0)
+_xlfn.IFNA(SUM((AK$3&gt;='Gastos com Pessoal'!$E$7:$E$506)*(AK$3&lt;='Gastos com Pessoal'!$F$7:$F$506)*(IF('Gastos com Pessoal'!$AE$7:$AE$506&lt;=AK$3,1,0))*OFFSET('Gastos com Pessoal'!$H$6,1,MATCH(5&amp;$B53,'Gastos com Pessoal'!$I$532:$AJ$532&amp;'Gastos com Pessoal'!$I$6:$AJ$6,0),500,1)),0)
+_xlfn.IFNA(SUM((AK$3&gt;='Gastos com Pessoal'!$E$513:$E$522)*(AK$3&lt;='Gastos com Pessoal'!$F$513:$F$522)*(IF('Gastos com Pessoal'!$G$513:$G$522&lt;=AK$3,1,0))*OFFSET('Gastos com Pessoal'!$H$512,1,MATCH(1&amp;$B53,'Gastos com Pessoal'!$I$532:$AJ$532&amp;'Gastos com Pessoal'!$I$512:$AJ$512,0),10,1)),0)
+_xlfn.IFNA(SUM((AK$3&gt;='Gastos com Pessoal'!$E$513:$E$522)*(AK$3&lt;='Gastos com Pessoal'!$F$513:$F$522)*(IF('Gastos com Pessoal'!$M$513:$M$522&lt;=AK$3,1,0))*OFFSET('Gastos com Pessoal'!$H$512,1,MATCH(2&amp;$B53,'Gastos com Pessoal'!$I$532:$AJ$532&amp;'Gastos com Pessoal'!$I$512:$AJ$512,0),10,1)),0)
+_xlfn.IFNA(SUM((AK$3&gt;='Gastos com Pessoal'!$E$513:$E$522)*(AK$3&lt;='Gastos com Pessoal'!$F$513:$F$522)*(IF('Gastos com Pessoal'!$S$513:$S$522&lt;=AK$3,1,0))*OFFSET('Gastos com Pessoal'!$H$512,1,MATCH(3&amp;$B53,'Gastos com Pessoal'!$I$532:$AJ$532&amp;'Gastos com Pessoal'!$I$512:$AJ$512,0),10,1)),0)
+_xlfn.IFNA(SUM((AK$3&gt;='Gastos com Pessoal'!$E$513:$E$522)*(AK$3&lt;='Gastos com Pessoal'!$F$513:$F$522)*(IF('Gastos com Pessoal'!$Y$513:$Y$522&lt;=AK$3,1,0))*OFFSET('Gastos com Pessoal'!$H$512,1,MATCH(4&amp;$B53,'Gastos com Pessoal'!$I$532:$AJ$532&amp;'Gastos com Pessoal'!$I$512:$AJ$512,0),10,1)),0)
+_xlfn.IFNA(SUM((AK$3&gt;='Gastos com Pessoal'!$E$513:$E$522)*(AK$3&lt;='Gastos com Pessoal'!$F$513:$F$522)*(IF('Gastos com Pessoal'!$AE$513:$AE$522&lt;=AK$3,1,0))*OFFSET('Gastos com Pessoal'!$H$512,1,MATCH(5&amp;$B53,'Gastos com Pessoal'!$I$532:$AJ$532&amp;'Gastos com Pessoal'!$I$512:$AJ$512,0),10,1)),0)</f>
        <v>0</v>
      </c>
      <c r="AL53" s="32">
        <f t="array" aca="1" ref="AL53" ca="1">_xlfn.IFNA(SUM((AL$3&gt;='Gastos com Pessoal'!$E$7:$E$506)*(AL$3&lt;='Gastos com Pessoal'!$F$7:$F$506)*OFFSET('Encargos e Benefícios'!$D$5,1,MATCH($B53,'Encargos e Benefícios'!$E$5:$AB$5,0),500,1)),0)
+_xlfn.IFNA(SUM((AL$3&gt;='Gastos com Pessoal'!$E$513:$E$522)*(AL$3&lt;='Gastos com Pessoal'!$F$513:$F$522)*OFFSET('Encargos e Benefícios'!$D$511,1,MATCH($B53,'Encargos e Benefícios'!$E$511:$AB$511,0),10,1)),0)
+_xlfn.IFNA(SUM((AL$3&gt;='Gastos com Pessoal'!$E$7:$E$506)*(AL$3&lt;='Gastos com Pessoal'!$F$7:$F$506)*(IF('Gastos com Pessoal'!$G$7:$G$506&lt;=AL$3,1,0))*OFFSET('Gastos com Pessoal'!$H$6,1,MATCH(1&amp;$B53,'Gastos com Pessoal'!$I$532:$AJ$532&amp;'Gastos com Pessoal'!$I$6:$AJ$6,0),500,1)),0)
+_xlfn.IFNA(SUM((AL$3&gt;='Gastos com Pessoal'!$E$7:$E$506)*(AL$3&lt;='Gastos com Pessoal'!$F$7:$F$506)*(IF('Gastos com Pessoal'!$M$7:$M$506&lt;=AL$3,1,0))*OFFSET('Gastos com Pessoal'!$H$6,1,MATCH(2&amp;$B53,'Gastos com Pessoal'!$I$532:$AJ$532&amp;'Gastos com Pessoal'!$I$6:$AJ$6,0),500,1)),0)
+_xlfn.IFNA(SUM((AL$3&gt;='Gastos com Pessoal'!$E$7:$E$506)*(AL$3&lt;='Gastos com Pessoal'!$F$7:$F$506)*(IF('Gastos com Pessoal'!$S$7:$S$506&lt;=AL$3,1,0))*OFFSET('Gastos com Pessoal'!$H$6,1,MATCH(3&amp;$B53,'Gastos com Pessoal'!$I$532:$AJ$532&amp;'Gastos com Pessoal'!$I$6:$AJ$6,0),500,1)),0)
+_xlfn.IFNA(SUM((AL$3&gt;='Gastos com Pessoal'!$E$7:$E$506)*(AL$3&lt;='Gastos com Pessoal'!$F$7:$F$506)*(IF('Gastos com Pessoal'!$Y$7:$Y$506&lt;=AL$3,1,0))*OFFSET('Gastos com Pessoal'!$H$6,1,MATCH(4&amp;$B53,'Gastos com Pessoal'!$I$532:$AJ$532&amp;'Gastos com Pessoal'!$I$6:$AJ$6,0),500,1)),0)
+_xlfn.IFNA(SUM((AL$3&gt;='Gastos com Pessoal'!$E$7:$E$506)*(AL$3&lt;='Gastos com Pessoal'!$F$7:$F$506)*(IF('Gastos com Pessoal'!$AE$7:$AE$506&lt;=AL$3,1,0))*OFFSET('Gastos com Pessoal'!$H$6,1,MATCH(5&amp;$B53,'Gastos com Pessoal'!$I$532:$AJ$532&amp;'Gastos com Pessoal'!$I$6:$AJ$6,0),500,1)),0)
+_xlfn.IFNA(SUM((AL$3&gt;='Gastos com Pessoal'!$E$513:$E$522)*(AL$3&lt;='Gastos com Pessoal'!$F$513:$F$522)*(IF('Gastos com Pessoal'!$G$513:$G$522&lt;=AL$3,1,0))*OFFSET('Gastos com Pessoal'!$H$512,1,MATCH(1&amp;$B53,'Gastos com Pessoal'!$I$532:$AJ$532&amp;'Gastos com Pessoal'!$I$512:$AJ$512,0),10,1)),0)
+_xlfn.IFNA(SUM((AL$3&gt;='Gastos com Pessoal'!$E$513:$E$522)*(AL$3&lt;='Gastos com Pessoal'!$F$513:$F$522)*(IF('Gastos com Pessoal'!$M$513:$M$522&lt;=AL$3,1,0))*OFFSET('Gastos com Pessoal'!$H$512,1,MATCH(2&amp;$B53,'Gastos com Pessoal'!$I$532:$AJ$532&amp;'Gastos com Pessoal'!$I$512:$AJ$512,0),10,1)),0)
+_xlfn.IFNA(SUM((AL$3&gt;='Gastos com Pessoal'!$E$513:$E$522)*(AL$3&lt;='Gastos com Pessoal'!$F$513:$F$522)*(IF('Gastos com Pessoal'!$S$513:$S$522&lt;=AL$3,1,0))*OFFSET('Gastos com Pessoal'!$H$512,1,MATCH(3&amp;$B53,'Gastos com Pessoal'!$I$532:$AJ$532&amp;'Gastos com Pessoal'!$I$512:$AJ$512,0),10,1)),0)
+_xlfn.IFNA(SUM((AL$3&gt;='Gastos com Pessoal'!$E$513:$E$522)*(AL$3&lt;='Gastos com Pessoal'!$F$513:$F$522)*(IF('Gastos com Pessoal'!$Y$513:$Y$522&lt;=AL$3,1,0))*OFFSET('Gastos com Pessoal'!$H$512,1,MATCH(4&amp;$B53,'Gastos com Pessoal'!$I$532:$AJ$532&amp;'Gastos com Pessoal'!$I$512:$AJ$512,0),10,1)),0)
+_xlfn.IFNA(SUM((AL$3&gt;='Gastos com Pessoal'!$E$513:$E$522)*(AL$3&lt;='Gastos com Pessoal'!$F$513:$F$522)*(IF('Gastos com Pessoal'!$AE$513:$AE$522&lt;=AL$3,1,0))*OFFSET('Gastos com Pessoal'!$H$512,1,MATCH(5&amp;$B53,'Gastos com Pessoal'!$I$532:$AJ$532&amp;'Gastos com Pessoal'!$I$512:$AJ$512,0),10,1)),0)</f>
        <v>0</v>
      </c>
      <c r="AM53" s="32">
        <f t="array" aca="1" ref="AM53" ca="1">_xlfn.IFNA(SUM((AM$3&gt;='Gastos com Pessoal'!$E$7:$E$506)*(AM$3&lt;='Gastos com Pessoal'!$F$7:$F$506)*OFFSET('Encargos e Benefícios'!$D$5,1,MATCH($B53,'Encargos e Benefícios'!$E$5:$AB$5,0),500,1)),0)
+_xlfn.IFNA(SUM((AM$3&gt;='Gastos com Pessoal'!$E$513:$E$522)*(AM$3&lt;='Gastos com Pessoal'!$F$513:$F$522)*OFFSET('Encargos e Benefícios'!$D$511,1,MATCH($B53,'Encargos e Benefícios'!$E$511:$AB$511,0),10,1)),0)
+_xlfn.IFNA(SUM((AM$3&gt;='Gastos com Pessoal'!$E$7:$E$506)*(AM$3&lt;='Gastos com Pessoal'!$F$7:$F$506)*(IF('Gastos com Pessoal'!$G$7:$G$506&lt;=AM$3,1,0))*OFFSET('Gastos com Pessoal'!$H$6,1,MATCH(1&amp;$B53,'Gastos com Pessoal'!$I$532:$AJ$532&amp;'Gastos com Pessoal'!$I$6:$AJ$6,0),500,1)),0)
+_xlfn.IFNA(SUM((AM$3&gt;='Gastos com Pessoal'!$E$7:$E$506)*(AM$3&lt;='Gastos com Pessoal'!$F$7:$F$506)*(IF('Gastos com Pessoal'!$M$7:$M$506&lt;=AM$3,1,0))*OFFSET('Gastos com Pessoal'!$H$6,1,MATCH(2&amp;$B53,'Gastos com Pessoal'!$I$532:$AJ$532&amp;'Gastos com Pessoal'!$I$6:$AJ$6,0),500,1)),0)
+_xlfn.IFNA(SUM((AM$3&gt;='Gastos com Pessoal'!$E$7:$E$506)*(AM$3&lt;='Gastos com Pessoal'!$F$7:$F$506)*(IF('Gastos com Pessoal'!$S$7:$S$506&lt;=AM$3,1,0))*OFFSET('Gastos com Pessoal'!$H$6,1,MATCH(3&amp;$B53,'Gastos com Pessoal'!$I$532:$AJ$532&amp;'Gastos com Pessoal'!$I$6:$AJ$6,0),500,1)),0)
+_xlfn.IFNA(SUM((AM$3&gt;='Gastos com Pessoal'!$E$7:$E$506)*(AM$3&lt;='Gastos com Pessoal'!$F$7:$F$506)*(IF('Gastos com Pessoal'!$Y$7:$Y$506&lt;=AM$3,1,0))*OFFSET('Gastos com Pessoal'!$H$6,1,MATCH(4&amp;$B53,'Gastos com Pessoal'!$I$532:$AJ$532&amp;'Gastos com Pessoal'!$I$6:$AJ$6,0),500,1)),0)
+_xlfn.IFNA(SUM((AM$3&gt;='Gastos com Pessoal'!$E$7:$E$506)*(AM$3&lt;='Gastos com Pessoal'!$F$7:$F$506)*(IF('Gastos com Pessoal'!$AE$7:$AE$506&lt;=AM$3,1,0))*OFFSET('Gastos com Pessoal'!$H$6,1,MATCH(5&amp;$B53,'Gastos com Pessoal'!$I$532:$AJ$532&amp;'Gastos com Pessoal'!$I$6:$AJ$6,0),500,1)),0)
+_xlfn.IFNA(SUM((AM$3&gt;='Gastos com Pessoal'!$E$513:$E$522)*(AM$3&lt;='Gastos com Pessoal'!$F$513:$F$522)*(IF('Gastos com Pessoal'!$G$513:$G$522&lt;=AM$3,1,0))*OFFSET('Gastos com Pessoal'!$H$512,1,MATCH(1&amp;$B53,'Gastos com Pessoal'!$I$532:$AJ$532&amp;'Gastos com Pessoal'!$I$512:$AJ$512,0),10,1)),0)
+_xlfn.IFNA(SUM((AM$3&gt;='Gastos com Pessoal'!$E$513:$E$522)*(AM$3&lt;='Gastos com Pessoal'!$F$513:$F$522)*(IF('Gastos com Pessoal'!$M$513:$M$522&lt;=AM$3,1,0))*OFFSET('Gastos com Pessoal'!$H$512,1,MATCH(2&amp;$B53,'Gastos com Pessoal'!$I$532:$AJ$532&amp;'Gastos com Pessoal'!$I$512:$AJ$512,0),10,1)),0)
+_xlfn.IFNA(SUM((AM$3&gt;='Gastos com Pessoal'!$E$513:$E$522)*(AM$3&lt;='Gastos com Pessoal'!$F$513:$F$522)*(IF('Gastos com Pessoal'!$S$513:$S$522&lt;=AM$3,1,0))*OFFSET('Gastos com Pessoal'!$H$512,1,MATCH(3&amp;$B53,'Gastos com Pessoal'!$I$532:$AJ$532&amp;'Gastos com Pessoal'!$I$512:$AJ$512,0),10,1)),0)
+_xlfn.IFNA(SUM((AM$3&gt;='Gastos com Pessoal'!$E$513:$E$522)*(AM$3&lt;='Gastos com Pessoal'!$F$513:$F$522)*(IF('Gastos com Pessoal'!$Y$513:$Y$522&lt;=AM$3,1,0))*OFFSET('Gastos com Pessoal'!$H$512,1,MATCH(4&amp;$B53,'Gastos com Pessoal'!$I$532:$AJ$532&amp;'Gastos com Pessoal'!$I$512:$AJ$512,0),10,1)),0)
+_xlfn.IFNA(SUM((AM$3&gt;='Gastos com Pessoal'!$E$513:$E$522)*(AM$3&lt;='Gastos com Pessoal'!$F$513:$F$522)*(IF('Gastos com Pessoal'!$AE$513:$AE$522&lt;=AM$3,1,0))*OFFSET('Gastos com Pessoal'!$H$512,1,MATCH(5&amp;$B53,'Gastos com Pessoal'!$I$532:$AJ$532&amp;'Gastos com Pessoal'!$I$512:$AJ$512,0),10,1)),0)</f>
        <v>0</v>
      </c>
      <c r="AN53" s="32">
        <f t="array" aca="1" ref="AN53" ca="1">_xlfn.IFNA(SUM((AN$3&gt;='Gastos com Pessoal'!$E$7:$E$506)*(AN$3&lt;='Gastos com Pessoal'!$F$7:$F$506)*OFFSET('Encargos e Benefícios'!$D$5,1,MATCH($B53,'Encargos e Benefícios'!$E$5:$AB$5,0),500,1)),0)
+_xlfn.IFNA(SUM((AN$3&gt;='Gastos com Pessoal'!$E$513:$E$522)*(AN$3&lt;='Gastos com Pessoal'!$F$513:$F$522)*OFFSET('Encargos e Benefícios'!$D$511,1,MATCH($B53,'Encargos e Benefícios'!$E$511:$AB$511,0),10,1)),0)
+_xlfn.IFNA(SUM((AN$3&gt;='Gastos com Pessoal'!$E$7:$E$506)*(AN$3&lt;='Gastos com Pessoal'!$F$7:$F$506)*(IF('Gastos com Pessoal'!$G$7:$G$506&lt;=AN$3,1,0))*OFFSET('Gastos com Pessoal'!$H$6,1,MATCH(1&amp;$B53,'Gastos com Pessoal'!$I$532:$AJ$532&amp;'Gastos com Pessoal'!$I$6:$AJ$6,0),500,1)),0)
+_xlfn.IFNA(SUM((AN$3&gt;='Gastos com Pessoal'!$E$7:$E$506)*(AN$3&lt;='Gastos com Pessoal'!$F$7:$F$506)*(IF('Gastos com Pessoal'!$M$7:$M$506&lt;=AN$3,1,0))*OFFSET('Gastos com Pessoal'!$H$6,1,MATCH(2&amp;$B53,'Gastos com Pessoal'!$I$532:$AJ$532&amp;'Gastos com Pessoal'!$I$6:$AJ$6,0),500,1)),0)
+_xlfn.IFNA(SUM((AN$3&gt;='Gastos com Pessoal'!$E$7:$E$506)*(AN$3&lt;='Gastos com Pessoal'!$F$7:$F$506)*(IF('Gastos com Pessoal'!$S$7:$S$506&lt;=AN$3,1,0))*OFFSET('Gastos com Pessoal'!$H$6,1,MATCH(3&amp;$B53,'Gastos com Pessoal'!$I$532:$AJ$532&amp;'Gastos com Pessoal'!$I$6:$AJ$6,0),500,1)),0)
+_xlfn.IFNA(SUM((AN$3&gt;='Gastos com Pessoal'!$E$7:$E$506)*(AN$3&lt;='Gastos com Pessoal'!$F$7:$F$506)*(IF('Gastos com Pessoal'!$Y$7:$Y$506&lt;=AN$3,1,0))*OFFSET('Gastos com Pessoal'!$H$6,1,MATCH(4&amp;$B53,'Gastos com Pessoal'!$I$532:$AJ$532&amp;'Gastos com Pessoal'!$I$6:$AJ$6,0),500,1)),0)
+_xlfn.IFNA(SUM((AN$3&gt;='Gastos com Pessoal'!$E$7:$E$506)*(AN$3&lt;='Gastos com Pessoal'!$F$7:$F$506)*(IF('Gastos com Pessoal'!$AE$7:$AE$506&lt;=AN$3,1,0))*OFFSET('Gastos com Pessoal'!$H$6,1,MATCH(5&amp;$B53,'Gastos com Pessoal'!$I$532:$AJ$532&amp;'Gastos com Pessoal'!$I$6:$AJ$6,0),500,1)),0)
+_xlfn.IFNA(SUM((AN$3&gt;='Gastos com Pessoal'!$E$513:$E$522)*(AN$3&lt;='Gastos com Pessoal'!$F$513:$F$522)*(IF('Gastos com Pessoal'!$G$513:$G$522&lt;=AN$3,1,0))*OFFSET('Gastos com Pessoal'!$H$512,1,MATCH(1&amp;$B53,'Gastos com Pessoal'!$I$532:$AJ$532&amp;'Gastos com Pessoal'!$I$512:$AJ$512,0),10,1)),0)
+_xlfn.IFNA(SUM((AN$3&gt;='Gastos com Pessoal'!$E$513:$E$522)*(AN$3&lt;='Gastos com Pessoal'!$F$513:$F$522)*(IF('Gastos com Pessoal'!$M$513:$M$522&lt;=AN$3,1,0))*OFFSET('Gastos com Pessoal'!$H$512,1,MATCH(2&amp;$B53,'Gastos com Pessoal'!$I$532:$AJ$532&amp;'Gastos com Pessoal'!$I$512:$AJ$512,0),10,1)),0)
+_xlfn.IFNA(SUM((AN$3&gt;='Gastos com Pessoal'!$E$513:$E$522)*(AN$3&lt;='Gastos com Pessoal'!$F$513:$F$522)*(IF('Gastos com Pessoal'!$S$513:$S$522&lt;=AN$3,1,0))*OFFSET('Gastos com Pessoal'!$H$512,1,MATCH(3&amp;$B53,'Gastos com Pessoal'!$I$532:$AJ$532&amp;'Gastos com Pessoal'!$I$512:$AJ$512,0),10,1)),0)
+_xlfn.IFNA(SUM((AN$3&gt;='Gastos com Pessoal'!$E$513:$E$522)*(AN$3&lt;='Gastos com Pessoal'!$F$513:$F$522)*(IF('Gastos com Pessoal'!$Y$513:$Y$522&lt;=AN$3,1,0))*OFFSET('Gastos com Pessoal'!$H$512,1,MATCH(4&amp;$B53,'Gastos com Pessoal'!$I$532:$AJ$532&amp;'Gastos com Pessoal'!$I$512:$AJ$512,0),10,1)),0)
+_xlfn.IFNA(SUM((AN$3&gt;='Gastos com Pessoal'!$E$513:$E$522)*(AN$3&lt;='Gastos com Pessoal'!$F$513:$F$522)*(IF('Gastos com Pessoal'!$AE$513:$AE$522&lt;=AN$3,1,0))*OFFSET('Gastos com Pessoal'!$H$512,1,MATCH(5&amp;$B53,'Gastos com Pessoal'!$I$532:$AJ$532&amp;'Gastos com Pessoal'!$I$512:$AJ$512,0),10,1)),0)</f>
        <v>0</v>
      </c>
      <c r="AO53" s="32">
        <f t="array" aca="1" ref="AO53" ca="1">_xlfn.IFNA(SUM((AO$3&gt;='Gastos com Pessoal'!$E$7:$E$506)*(AO$3&lt;='Gastos com Pessoal'!$F$7:$F$506)*OFFSET('Encargos e Benefícios'!$D$5,1,MATCH($B53,'Encargos e Benefícios'!$E$5:$AB$5,0),500,1)),0)
+_xlfn.IFNA(SUM((AO$3&gt;='Gastos com Pessoal'!$E$513:$E$522)*(AO$3&lt;='Gastos com Pessoal'!$F$513:$F$522)*OFFSET('Encargos e Benefícios'!$D$511,1,MATCH($B53,'Encargos e Benefícios'!$E$511:$AB$511,0),10,1)),0)
+_xlfn.IFNA(SUM((AO$3&gt;='Gastos com Pessoal'!$E$7:$E$506)*(AO$3&lt;='Gastos com Pessoal'!$F$7:$F$506)*(IF('Gastos com Pessoal'!$G$7:$G$506&lt;=AO$3,1,0))*OFFSET('Gastos com Pessoal'!$H$6,1,MATCH(1&amp;$B53,'Gastos com Pessoal'!$I$532:$AJ$532&amp;'Gastos com Pessoal'!$I$6:$AJ$6,0),500,1)),0)
+_xlfn.IFNA(SUM((AO$3&gt;='Gastos com Pessoal'!$E$7:$E$506)*(AO$3&lt;='Gastos com Pessoal'!$F$7:$F$506)*(IF('Gastos com Pessoal'!$M$7:$M$506&lt;=AO$3,1,0))*OFFSET('Gastos com Pessoal'!$H$6,1,MATCH(2&amp;$B53,'Gastos com Pessoal'!$I$532:$AJ$532&amp;'Gastos com Pessoal'!$I$6:$AJ$6,0),500,1)),0)
+_xlfn.IFNA(SUM((AO$3&gt;='Gastos com Pessoal'!$E$7:$E$506)*(AO$3&lt;='Gastos com Pessoal'!$F$7:$F$506)*(IF('Gastos com Pessoal'!$S$7:$S$506&lt;=AO$3,1,0))*OFFSET('Gastos com Pessoal'!$H$6,1,MATCH(3&amp;$B53,'Gastos com Pessoal'!$I$532:$AJ$532&amp;'Gastos com Pessoal'!$I$6:$AJ$6,0),500,1)),0)
+_xlfn.IFNA(SUM((AO$3&gt;='Gastos com Pessoal'!$E$7:$E$506)*(AO$3&lt;='Gastos com Pessoal'!$F$7:$F$506)*(IF('Gastos com Pessoal'!$Y$7:$Y$506&lt;=AO$3,1,0))*OFFSET('Gastos com Pessoal'!$H$6,1,MATCH(4&amp;$B53,'Gastos com Pessoal'!$I$532:$AJ$532&amp;'Gastos com Pessoal'!$I$6:$AJ$6,0),500,1)),0)
+_xlfn.IFNA(SUM((AO$3&gt;='Gastos com Pessoal'!$E$7:$E$506)*(AO$3&lt;='Gastos com Pessoal'!$F$7:$F$506)*(IF('Gastos com Pessoal'!$AE$7:$AE$506&lt;=AO$3,1,0))*OFFSET('Gastos com Pessoal'!$H$6,1,MATCH(5&amp;$B53,'Gastos com Pessoal'!$I$532:$AJ$532&amp;'Gastos com Pessoal'!$I$6:$AJ$6,0),500,1)),0)
+_xlfn.IFNA(SUM((AO$3&gt;='Gastos com Pessoal'!$E$513:$E$522)*(AO$3&lt;='Gastos com Pessoal'!$F$513:$F$522)*(IF('Gastos com Pessoal'!$G$513:$G$522&lt;=AO$3,1,0))*OFFSET('Gastos com Pessoal'!$H$512,1,MATCH(1&amp;$B53,'Gastos com Pessoal'!$I$532:$AJ$532&amp;'Gastos com Pessoal'!$I$512:$AJ$512,0),10,1)),0)
+_xlfn.IFNA(SUM((AO$3&gt;='Gastos com Pessoal'!$E$513:$E$522)*(AO$3&lt;='Gastos com Pessoal'!$F$513:$F$522)*(IF('Gastos com Pessoal'!$M$513:$M$522&lt;=AO$3,1,0))*OFFSET('Gastos com Pessoal'!$H$512,1,MATCH(2&amp;$B53,'Gastos com Pessoal'!$I$532:$AJ$532&amp;'Gastos com Pessoal'!$I$512:$AJ$512,0),10,1)),0)
+_xlfn.IFNA(SUM((AO$3&gt;='Gastos com Pessoal'!$E$513:$E$522)*(AO$3&lt;='Gastos com Pessoal'!$F$513:$F$522)*(IF('Gastos com Pessoal'!$S$513:$S$522&lt;=AO$3,1,0))*OFFSET('Gastos com Pessoal'!$H$512,1,MATCH(3&amp;$B53,'Gastos com Pessoal'!$I$532:$AJ$532&amp;'Gastos com Pessoal'!$I$512:$AJ$512,0),10,1)),0)
+_xlfn.IFNA(SUM((AO$3&gt;='Gastos com Pessoal'!$E$513:$E$522)*(AO$3&lt;='Gastos com Pessoal'!$F$513:$F$522)*(IF('Gastos com Pessoal'!$Y$513:$Y$522&lt;=AO$3,1,0))*OFFSET('Gastos com Pessoal'!$H$512,1,MATCH(4&amp;$B53,'Gastos com Pessoal'!$I$532:$AJ$532&amp;'Gastos com Pessoal'!$I$512:$AJ$512,0),10,1)),0)
+_xlfn.IFNA(SUM((AO$3&gt;='Gastos com Pessoal'!$E$513:$E$522)*(AO$3&lt;='Gastos com Pessoal'!$F$513:$F$522)*(IF('Gastos com Pessoal'!$AE$513:$AE$522&lt;=AO$3,1,0))*OFFSET('Gastos com Pessoal'!$H$512,1,MATCH(5&amp;$B53,'Gastos com Pessoal'!$I$532:$AJ$532&amp;'Gastos com Pessoal'!$I$512:$AJ$512,0),10,1)),0)</f>
        <v>0</v>
      </c>
      <c r="AP53" s="32">
        <f t="array" aca="1" ref="AP53" ca="1">_xlfn.IFNA(SUM((AP$3&gt;='Gastos com Pessoal'!$E$7:$E$506)*(AP$3&lt;='Gastos com Pessoal'!$F$7:$F$506)*OFFSET('Encargos e Benefícios'!$D$5,1,MATCH($B53,'Encargos e Benefícios'!$E$5:$AB$5,0),500,1)),0)
+_xlfn.IFNA(SUM((AP$3&gt;='Gastos com Pessoal'!$E$513:$E$522)*(AP$3&lt;='Gastos com Pessoal'!$F$513:$F$522)*OFFSET('Encargos e Benefícios'!$D$511,1,MATCH($B53,'Encargos e Benefícios'!$E$511:$AB$511,0),10,1)),0)
+_xlfn.IFNA(SUM((AP$3&gt;='Gastos com Pessoal'!$E$7:$E$506)*(AP$3&lt;='Gastos com Pessoal'!$F$7:$F$506)*(IF('Gastos com Pessoal'!$G$7:$G$506&lt;=AP$3,1,0))*OFFSET('Gastos com Pessoal'!$H$6,1,MATCH(1&amp;$B53,'Gastos com Pessoal'!$I$532:$AJ$532&amp;'Gastos com Pessoal'!$I$6:$AJ$6,0),500,1)),0)
+_xlfn.IFNA(SUM((AP$3&gt;='Gastos com Pessoal'!$E$7:$E$506)*(AP$3&lt;='Gastos com Pessoal'!$F$7:$F$506)*(IF('Gastos com Pessoal'!$M$7:$M$506&lt;=AP$3,1,0))*OFFSET('Gastos com Pessoal'!$H$6,1,MATCH(2&amp;$B53,'Gastos com Pessoal'!$I$532:$AJ$532&amp;'Gastos com Pessoal'!$I$6:$AJ$6,0),500,1)),0)
+_xlfn.IFNA(SUM((AP$3&gt;='Gastos com Pessoal'!$E$7:$E$506)*(AP$3&lt;='Gastos com Pessoal'!$F$7:$F$506)*(IF('Gastos com Pessoal'!$S$7:$S$506&lt;=AP$3,1,0))*OFFSET('Gastos com Pessoal'!$H$6,1,MATCH(3&amp;$B53,'Gastos com Pessoal'!$I$532:$AJ$532&amp;'Gastos com Pessoal'!$I$6:$AJ$6,0),500,1)),0)
+_xlfn.IFNA(SUM((AP$3&gt;='Gastos com Pessoal'!$E$7:$E$506)*(AP$3&lt;='Gastos com Pessoal'!$F$7:$F$506)*(IF('Gastos com Pessoal'!$Y$7:$Y$506&lt;=AP$3,1,0))*OFFSET('Gastos com Pessoal'!$H$6,1,MATCH(4&amp;$B53,'Gastos com Pessoal'!$I$532:$AJ$532&amp;'Gastos com Pessoal'!$I$6:$AJ$6,0),500,1)),0)
+_xlfn.IFNA(SUM((AP$3&gt;='Gastos com Pessoal'!$E$7:$E$506)*(AP$3&lt;='Gastos com Pessoal'!$F$7:$F$506)*(IF('Gastos com Pessoal'!$AE$7:$AE$506&lt;=AP$3,1,0))*OFFSET('Gastos com Pessoal'!$H$6,1,MATCH(5&amp;$B53,'Gastos com Pessoal'!$I$532:$AJ$532&amp;'Gastos com Pessoal'!$I$6:$AJ$6,0),500,1)),0)
+_xlfn.IFNA(SUM((AP$3&gt;='Gastos com Pessoal'!$E$513:$E$522)*(AP$3&lt;='Gastos com Pessoal'!$F$513:$F$522)*(IF('Gastos com Pessoal'!$G$513:$G$522&lt;=AP$3,1,0))*OFFSET('Gastos com Pessoal'!$H$512,1,MATCH(1&amp;$B53,'Gastos com Pessoal'!$I$532:$AJ$532&amp;'Gastos com Pessoal'!$I$512:$AJ$512,0),10,1)),0)
+_xlfn.IFNA(SUM((AP$3&gt;='Gastos com Pessoal'!$E$513:$E$522)*(AP$3&lt;='Gastos com Pessoal'!$F$513:$F$522)*(IF('Gastos com Pessoal'!$M$513:$M$522&lt;=AP$3,1,0))*OFFSET('Gastos com Pessoal'!$H$512,1,MATCH(2&amp;$B53,'Gastos com Pessoal'!$I$532:$AJ$532&amp;'Gastos com Pessoal'!$I$512:$AJ$512,0),10,1)),0)
+_xlfn.IFNA(SUM((AP$3&gt;='Gastos com Pessoal'!$E$513:$E$522)*(AP$3&lt;='Gastos com Pessoal'!$F$513:$F$522)*(IF('Gastos com Pessoal'!$S$513:$S$522&lt;=AP$3,1,0))*OFFSET('Gastos com Pessoal'!$H$512,1,MATCH(3&amp;$B53,'Gastos com Pessoal'!$I$532:$AJ$532&amp;'Gastos com Pessoal'!$I$512:$AJ$512,0),10,1)),0)
+_xlfn.IFNA(SUM((AP$3&gt;='Gastos com Pessoal'!$E$513:$E$522)*(AP$3&lt;='Gastos com Pessoal'!$F$513:$F$522)*(IF('Gastos com Pessoal'!$Y$513:$Y$522&lt;=AP$3,1,0))*OFFSET('Gastos com Pessoal'!$H$512,1,MATCH(4&amp;$B53,'Gastos com Pessoal'!$I$532:$AJ$532&amp;'Gastos com Pessoal'!$I$512:$AJ$512,0),10,1)),0)
+_xlfn.IFNA(SUM((AP$3&gt;='Gastos com Pessoal'!$E$513:$E$522)*(AP$3&lt;='Gastos com Pessoal'!$F$513:$F$522)*(IF('Gastos com Pessoal'!$AE$513:$AE$522&lt;=AP$3,1,0))*OFFSET('Gastos com Pessoal'!$H$512,1,MATCH(5&amp;$B53,'Gastos com Pessoal'!$I$532:$AJ$532&amp;'Gastos com Pessoal'!$I$512:$AJ$512,0),10,1)),0)</f>
        <v>0</v>
      </c>
      <c r="AQ53" s="32">
        <f t="array" aca="1" ref="AQ53" ca="1">_xlfn.IFNA(SUM((AQ$3&gt;='Gastos com Pessoal'!$E$7:$E$506)*(AQ$3&lt;='Gastos com Pessoal'!$F$7:$F$506)*OFFSET('Encargos e Benefícios'!$D$5,1,MATCH($B53,'Encargos e Benefícios'!$E$5:$AB$5,0),500,1)),0)
+_xlfn.IFNA(SUM((AQ$3&gt;='Gastos com Pessoal'!$E$513:$E$522)*(AQ$3&lt;='Gastos com Pessoal'!$F$513:$F$522)*OFFSET('Encargos e Benefícios'!$D$511,1,MATCH($B53,'Encargos e Benefícios'!$E$511:$AB$511,0),10,1)),0)
+_xlfn.IFNA(SUM((AQ$3&gt;='Gastos com Pessoal'!$E$7:$E$506)*(AQ$3&lt;='Gastos com Pessoal'!$F$7:$F$506)*(IF('Gastos com Pessoal'!$G$7:$G$506&lt;=AQ$3,1,0))*OFFSET('Gastos com Pessoal'!$H$6,1,MATCH(1&amp;$B53,'Gastos com Pessoal'!$I$532:$AJ$532&amp;'Gastos com Pessoal'!$I$6:$AJ$6,0),500,1)),0)
+_xlfn.IFNA(SUM((AQ$3&gt;='Gastos com Pessoal'!$E$7:$E$506)*(AQ$3&lt;='Gastos com Pessoal'!$F$7:$F$506)*(IF('Gastos com Pessoal'!$M$7:$M$506&lt;=AQ$3,1,0))*OFFSET('Gastos com Pessoal'!$H$6,1,MATCH(2&amp;$B53,'Gastos com Pessoal'!$I$532:$AJ$532&amp;'Gastos com Pessoal'!$I$6:$AJ$6,0),500,1)),0)
+_xlfn.IFNA(SUM((AQ$3&gt;='Gastos com Pessoal'!$E$7:$E$506)*(AQ$3&lt;='Gastos com Pessoal'!$F$7:$F$506)*(IF('Gastos com Pessoal'!$S$7:$S$506&lt;=AQ$3,1,0))*OFFSET('Gastos com Pessoal'!$H$6,1,MATCH(3&amp;$B53,'Gastos com Pessoal'!$I$532:$AJ$532&amp;'Gastos com Pessoal'!$I$6:$AJ$6,0),500,1)),0)
+_xlfn.IFNA(SUM((AQ$3&gt;='Gastos com Pessoal'!$E$7:$E$506)*(AQ$3&lt;='Gastos com Pessoal'!$F$7:$F$506)*(IF('Gastos com Pessoal'!$Y$7:$Y$506&lt;=AQ$3,1,0))*OFFSET('Gastos com Pessoal'!$H$6,1,MATCH(4&amp;$B53,'Gastos com Pessoal'!$I$532:$AJ$532&amp;'Gastos com Pessoal'!$I$6:$AJ$6,0),500,1)),0)
+_xlfn.IFNA(SUM((AQ$3&gt;='Gastos com Pessoal'!$E$7:$E$506)*(AQ$3&lt;='Gastos com Pessoal'!$F$7:$F$506)*(IF('Gastos com Pessoal'!$AE$7:$AE$506&lt;=AQ$3,1,0))*OFFSET('Gastos com Pessoal'!$H$6,1,MATCH(5&amp;$B53,'Gastos com Pessoal'!$I$532:$AJ$532&amp;'Gastos com Pessoal'!$I$6:$AJ$6,0),500,1)),0)
+_xlfn.IFNA(SUM((AQ$3&gt;='Gastos com Pessoal'!$E$513:$E$522)*(AQ$3&lt;='Gastos com Pessoal'!$F$513:$F$522)*(IF('Gastos com Pessoal'!$G$513:$G$522&lt;=AQ$3,1,0))*OFFSET('Gastos com Pessoal'!$H$512,1,MATCH(1&amp;$B53,'Gastos com Pessoal'!$I$532:$AJ$532&amp;'Gastos com Pessoal'!$I$512:$AJ$512,0),10,1)),0)
+_xlfn.IFNA(SUM((AQ$3&gt;='Gastos com Pessoal'!$E$513:$E$522)*(AQ$3&lt;='Gastos com Pessoal'!$F$513:$F$522)*(IF('Gastos com Pessoal'!$M$513:$M$522&lt;=AQ$3,1,0))*OFFSET('Gastos com Pessoal'!$H$512,1,MATCH(2&amp;$B53,'Gastos com Pessoal'!$I$532:$AJ$532&amp;'Gastos com Pessoal'!$I$512:$AJ$512,0),10,1)),0)
+_xlfn.IFNA(SUM((AQ$3&gt;='Gastos com Pessoal'!$E$513:$E$522)*(AQ$3&lt;='Gastos com Pessoal'!$F$513:$F$522)*(IF('Gastos com Pessoal'!$S$513:$S$522&lt;=AQ$3,1,0))*OFFSET('Gastos com Pessoal'!$H$512,1,MATCH(3&amp;$B53,'Gastos com Pessoal'!$I$532:$AJ$532&amp;'Gastos com Pessoal'!$I$512:$AJ$512,0),10,1)),0)
+_xlfn.IFNA(SUM((AQ$3&gt;='Gastos com Pessoal'!$E$513:$E$522)*(AQ$3&lt;='Gastos com Pessoal'!$F$513:$F$522)*(IF('Gastos com Pessoal'!$Y$513:$Y$522&lt;=AQ$3,1,0))*OFFSET('Gastos com Pessoal'!$H$512,1,MATCH(4&amp;$B53,'Gastos com Pessoal'!$I$532:$AJ$532&amp;'Gastos com Pessoal'!$I$512:$AJ$512,0),10,1)),0)
+_xlfn.IFNA(SUM((AQ$3&gt;='Gastos com Pessoal'!$E$513:$E$522)*(AQ$3&lt;='Gastos com Pessoal'!$F$513:$F$522)*(IF('Gastos com Pessoal'!$AE$513:$AE$522&lt;=AQ$3,1,0))*OFFSET('Gastos com Pessoal'!$H$512,1,MATCH(5&amp;$B53,'Gastos com Pessoal'!$I$532:$AJ$532&amp;'Gastos com Pessoal'!$I$512:$AJ$512,0),10,1)),0)</f>
        <v>0</v>
      </c>
      <c r="AR53" s="32">
        <f t="array" aca="1" ref="AR53" ca="1">_xlfn.IFNA(SUM((AR$3&gt;='Gastos com Pessoal'!$E$7:$E$506)*(AR$3&lt;='Gastos com Pessoal'!$F$7:$F$506)*OFFSET('Encargos e Benefícios'!$D$5,1,MATCH($B53,'Encargos e Benefícios'!$E$5:$AB$5,0),500,1)),0)
+_xlfn.IFNA(SUM((AR$3&gt;='Gastos com Pessoal'!$E$513:$E$522)*(AR$3&lt;='Gastos com Pessoal'!$F$513:$F$522)*OFFSET('Encargos e Benefícios'!$D$511,1,MATCH($B53,'Encargos e Benefícios'!$E$511:$AB$511,0),10,1)),0)
+_xlfn.IFNA(SUM((AR$3&gt;='Gastos com Pessoal'!$E$7:$E$506)*(AR$3&lt;='Gastos com Pessoal'!$F$7:$F$506)*(IF('Gastos com Pessoal'!$G$7:$G$506&lt;=AR$3,1,0))*OFFSET('Gastos com Pessoal'!$H$6,1,MATCH(1&amp;$B53,'Gastos com Pessoal'!$I$532:$AJ$532&amp;'Gastos com Pessoal'!$I$6:$AJ$6,0),500,1)),0)
+_xlfn.IFNA(SUM((AR$3&gt;='Gastos com Pessoal'!$E$7:$E$506)*(AR$3&lt;='Gastos com Pessoal'!$F$7:$F$506)*(IF('Gastos com Pessoal'!$M$7:$M$506&lt;=AR$3,1,0))*OFFSET('Gastos com Pessoal'!$H$6,1,MATCH(2&amp;$B53,'Gastos com Pessoal'!$I$532:$AJ$532&amp;'Gastos com Pessoal'!$I$6:$AJ$6,0),500,1)),0)
+_xlfn.IFNA(SUM((AR$3&gt;='Gastos com Pessoal'!$E$7:$E$506)*(AR$3&lt;='Gastos com Pessoal'!$F$7:$F$506)*(IF('Gastos com Pessoal'!$S$7:$S$506&lt;=AR$3,1,0))*OFFSET('Gastos com Pessoal'!$H$6,1,MATCH(3&amp;$B53,'Gastos com Pessoal'!$I$532:$AJ$532&amp;'Gastos com Pessoal'!$I$6:$AJ$6,0),500,1)),0)
+_xlfn.IFNA(SUM((AR$3&gt;='Gastos com Pessoal'!$E$7:$E$506)*(AR$3&lt;='Gastos com Pessoal'!$F$7:$F$506)*(IF('Gastos com Pessoal'!$Y$7:$Y$506&lt;=AR$3,1,0))*OFFSET('Gastos com Pessoal'!$H$6,1,MATCH(4&amp;$B53,'Gastos com Pessoal'!$I$532:$AJ$532&amp;'Gastos com Pessoal'!$I$6:$AJ$6,0),500,1)),0)
+_xlfn.IFNA(SUM((AR$3&gt;='Gastos com Pessoal'!$E$7:$E$506)*(AR$3&lt;='Gastos com Pessoal'!$F$7:$F$506)*(IF('Gastos com Pessoal'!$AE$7:$AE$506&lt;=AR$3,1,0))*OFFSET('Gastos com Pessoal'!$H$6,1,MATCH(5&amp;$B53,'Gastos com Pessoal'!$I$532:$AJ$532&amp;'Gastos com Pessoal'!$I$6:$AJ$6,0),500,1)),0)
+_xlfn.IFNA(SUM((AR$3&gt;='Gastos com Pessoal'!$E$513:$E$522)*(AR$3&lt;='Gastos com Pessoal'!$F$513:$F$522)*(IF('Gastos com Pessoal'!$G$513:$G$522&lt;=AR$3,1,0))*OFFSET('Gastos com Pessoal'!$H$512,1,MATCH(1&amp;$B53,'Gastos com Pessoal'!$I$532:$AJ$532&amp;'Gastos com Pessoal'!$I$512:$AJ$512,0),10,1)),0)
+_xlfn.IFNA(SUM((AR$3&gt;='Gastos com Pessoal'!$E$513:$E$522)*(AR$3&lt;='Gastos com Pessoal'!$F$513:$F$522)*(IF('Gastos com Pessoal'!$M$513:$M$522&lt;=AR$3,1,0))*OFFSET('Gastos com Pessoal'!$H$512,1,MATCH(2&amp;$B53,'Gastos com Pessoal'!$I$532:$AJ$532&amp;'Gastos com Pessoal'!$I$512:$AJ$512,0),10,1)),0)
+_xlfn.IFNA(SUM((AR$3&gt;='Gastos com Pessoal'!$E$513:$E$522)*(AR$3&lt;='Gastos com Pessoal'!$F$513:$F$522)*(IF('Gastos com Pessoal'!$S$513:$S$522&lt;=AR$3,1,0))*OFFSET('Gastos com Pessoal'!$H$512,1,MATCH(3&amp;$B53,'Gastos com Pessoal'!$I$532:$AJ$532&amp;'Gastos com Pessoal'!$I$512:$AJ$512,0),10,1)),0)
+_xlfn.IFNA(SUM((AR$3&gt;='Gastos com Pessoal'!$E$513:$E$522)*(AR$3&lt;='Gastos com Pessoal'!$F$513:$F$522)*(IF('Gastos com Pessoal'!$Y$513:$Y$522&lt;=AR$3,1,0))*OFFSET('Gastos com Pessoal'!$H$512,1,MATCH(4&amp;$B53,'Gastos com Pessoal'!$I$532:$AJ$532&amp;'Gastos com Pessoal'!$I$512:$AJ$512,0),10,1)),0)
+_xlfn.IFNA(SUM((AR$3&gt;='Gastos com Pessoal'!$E$513:$E$522)*(AR$3&lt;='Gastos com Pessoal'!$F$513:$F$522)*(IF('Gastos com Pessoal'!$AE$513:$AE$522&lt;=AR$3,1,0))*OFFSET('Gastos com Pessoal'!$H$512,1,MATCH(5&amp;$B53,'Gastos com Pessoal'!$I$532:$AJ$532&amp;'Gastos com Pessoal'!$I$512:$AJ$512,0),10,1)),0)</f>
        <v>0</v>
      </c>
      <c r="AS53" s="32">
        <f t="array" aca="1" ref="AS53" ca="1">_xlfn.IFNA(SUM((AS$3&gt;='Gastos com Pessoal'!$E$7:$E$506)*(AS$3&lt;='Gastos com Pessoal'!$F$7:$F$506)*OFFSET('Encargos e Benefícios'!$D$5,1,MATCH($B53,'Encargos e Benefícios'!$E$5:$AB$5,0),500,1)),0)
+_xlfn.IFNA(SUM((AS$3&gt;='Gastos com Pessoal'!$E$513:$E$522)*(AS$3&lt;='Gastos com Pessoal'!$F$513:$F$522)*OFFSET('Encargos e Benefícios'!$D$511,1,MATCH($B53,'Encargos e Benefícios'!$E$511:$AB$511,0),10,1)),0)
+_xlfn.IFNA(SUM((AS$3&gt;='Gastos com Pessoal'!$E$7:$E$506)*(AS$3&lt;='Gastos com Pessoal'!$F$7:$F$506)*(IF('Gastos com Pessoal'!$G$7:$G$506&lt;=AS$3,1,0))*OFFSET('Gastos com Pessoal'!$H$6,1,MATCH(1&amp;$B53,'Gastos com Pessoal'!$I$532:$AJ$532&amp;'Gastos com Pessoal'!$I$6:$AJ$6,0),500,1)),0)
+_xlfn.IFNA(SUM((AS$3&gt;='Gastos com Pessoal'!$E$7:$E$506)*(AS$3&lt;='Gastos com Pessoal'!$F$7:$F$506)*(IF('Gastos com Pessoal'!$M$7:$M$506&lt;=AS$3,1,0))*OFFSET('Gastos com Pessoal'!$H$6,1,MATCH(2&amp;$B53,'Gastos com Pessoal'!$I$532:$AJ$532&amp;'Gastos com Pessoal'!$I$6:$AJ$6,0),500,1)),0)
+_xlfn.IFNA(SUM((AS$3&gt;='Gastos com Pessoal'!$E$7:$E$506)*(AS$3&lt;='Gastos com Pessoal'!$F$7:$F$506)*(IF('Gastos com Pessoal'!$S$7:$S$506&lt;=AS$3,1,0))*OFFSET('Gastos com Pessoal'!$H$6,1,MATCH(3&amp;$B53,'Gastos com Pessoal'!$I$532:$AJ$532&amp;'Gastos com Pessoal'!$I$6:$AJ$6,0),500,1)),0)
+_xlfn.IFNA(SUM((AS$3&gt;='Gastos com Pessoal'!$E$7:$E$506)*(AS$3&lt;='Gastos com Pessoal'!$F$7:$F$506)*(IF('Gastos com Pessoal'!$Y$7:$Y$506&lt;=AS$3,1,0))*OFFSET('Gastos com Pessoal'!$H$6,1,MATCH(4&amp;$B53,'Gastos com Pessoal'!$I$532:$AJ$532&amp;'Gastos com Pessoal'!$I$6:$AJ$6,0),500,1)),0)
+_xlfn.IFNA(SUM((AS$3&gt;='Gastos com Pessoal'!$E$7:$E$506)*(AS$3&lt;='Gastos com Pessoal'!$F$7:$F$506)*(IF('Gastos com Pessoal'!$AE$7:$AE$506&lt;=AS$3,1,0))*OFFSET('Gastos com Pessoal'!$H$6,1,MATCH(5&amp;$B53,'Gastos com Pessoal'!$I$532:$AJ$532&amp;'Gastos com Pessoal'!$I$6:$AJ$6,0),500,1)),0)
+_xlfn.IFNA(SUM((AS$3&gt;='Gastos com Pessoal'!$E$513:$E$522)*(AS$3&lt;='Gastos com Pessoal'!$F$513:$F$522)*(IF('Gastos com Pessoal'!$G$513:$G$522&lt;=AS$3,1,0))*OFFSET('Gastos com Pessoal'!$H$512,1,MATCH(1&amp;$B53,'Gastos com Pessoal'!$I$532:$AJ$532&amp;'Gastos com Pessoal'!$I$512:$AJ$512,0),10,1)),0)
+_xlfn.IFNA(SUM((AS$3&gt;='Gastos com Pessoal'!$E$513:$E$522)*(AS$3&lt;='Gastos com Pessoal'!$F$513:$F$522)*(IF('Gastos com Pessoal'!$M$513:$M$522&lt;=AS$3,1,0))*OFFSET('Gastos com Pessoal'!$H$512,1,MATCH(2&amp;$B53,'Gastos com Pessoal'!$I$532:$AJ$532&amp;'Gastos com Pessoal'!$I$512:$AJ$512,0),10,1)),0)
+_xlfn.IFNA(SUM((AS$3&gt;='Gastos com Pessoal'!$E$513:$E$522)*(AS$3&lt;='Gastos com Pessoal'!$F$513:$F$522)*(IF('Gastos com Pessoal'!$S$513:$S$522&lt;=AS$3,1,0))*OFFSET('Gastos com Pessoal'!$H$512,1,MATCH(3&amp;$B53,'Gastos com Pessoal'!$I$532:$AJ$532&amp;'Gastos com Pessoal'!$I$512:$AJ$512,0),10,1)),0)
+_xlfn.IFNA(SUM((AS$3&gt;='Gastos com Pessoal'!$E$513:$E$522)*(AS$3&lt;='Gastos com Pessoal'!$F$513:$F$522)*(IF('Gastos com Pessoal'!$Y$513:$Y$522&lt;=AS$3,1,0))*OFFSET('Gastos com Pessoal'!$H$512,1,MATCH(4&amp;$B53,'Gastos com Pessoal'!$I$532:$AJ$532&amp;'Gastos com Pessoal'!$I$512:$AJ$512,0),10,1)),0)
+_xlfn.IFNA(SUM((AS$3&gt;='Gastos com Pessoal'!$E$513:$E$522)*(AS$3&lt;='Gastos com Pessoal'!$F$513:$F$522)*(IF('Gastos com Pessoal'!$AE$513:$AE$522&lt;=AS$3,1,0))*OFFSET('Gastos com Pessoal'!$H$512,1,MATCH(5&amp;$B53,'Gastos com Pessoal'!$I$532:$AJ$532&amp;'Gastos com Pessoal'!$I$512:$AJ$512,0),10,1)),0)</f>
        <v>0</v>
      </c>
      <c r="AT53" s="32">
        <f t="array" aca="1" ref="AT53" ca="1">_xlfn.IFNA(SUM((AT$3&gt;='Gastos com Pessoal'!$E$7:$E$506)*(AT$3&lt;='Gastos com Pessoal'!$F$7:$F$506)*OFFSET('Encargos e Benefícios'!$D$5,1,MATCH($B53,'Encargos e Benefícios'!$E$5:$AB$5,0),500,1)),0)
+_xlfn.IFNA(SUM((AT$3&gt;='Gastos com Pessoal'!$E$513:$E$522)*(AT$3&lt;='Gastos com Pessoal'!$F$513:$F$522)*OFFSET('Encargos e Benefícios'!$D$511,1,MATCH($B53,'Encargos e Benefícios'!$E$511:$AB$511,0),10,1)),0)
+_xlfn.IFNA(SUM((AT$3&gt;='Gastos com Pessoal'!$E$7:$E$506)*(AT$3&lt;='Gastos com Pessoal'!$F$7:$F$506)*(IF('Gastos com Pessoal'!$G$7:$G$506&lt;=AT$3,1,0))*OFFSET('Gastos com Pessoal'!$H$6,1,MATCH(1&amp;$B53,'Gastos com Pessoal'!$I$532:$AJ$532&amp;'Gastos com Pessoal'!$I$6:$AJ$6,0),500,1)),0)
+_xlfn.IFNA(SUM((AT$3&gt;='Gastos com Pessoal'!$E$7:$E$506)*(AT$3&lt;='Gastos com Pessoal'!$F$7:$F$506)*(IF('Gastos com Pessoal'!$M$7:$M$506&lt;=AT$3,1,0))*OFFSET('Gastos com Pessoal'!$H$6,1,MATCH(2&amp;$B53,'Gastos com Pessoal'!$I$532:$AJ$532&amp;'Gastos com Pessoal'!$I$6:$AJ$6,0),500,1)),0)
+_xlfn.IFNA(SUM((AT$3&gt;='Gastos com Pessoal'!$E$7:$E$506)*(AT$3&lt;='Gastos com Pessoal'!$F$7:$F$506)*(IF('Gastos com Pessoal'!$S$7:$S$506&lt;=AT$3,1,0))*OFFSET('Gastos com Pessoal'!$H$6,1,MATCH(3&amp;$B53,'Gastos com Pessoal'!$I$532:$AJ$532&amp;'Gastos com Pessoal'!$I$6:$AJ$6,0),500,1)),0)
+_xlfn.IFNA(SUM((AT$3&gt;='Gastos com Pessoal'!$E$7:$E$506)*(AT$3&lt;='Gastos com Pessoal'!$F$7:$F$506)*(IF('Gastos com Pessoal'!$Y$7:$Y$506&lt;=AT$3,1,0))*OFFSET('Gastos com Pessoal'!$H$6,1,MATCH(4&amp;$B53,'Gastos com Pessoal'!$I$532:$AJ$532&amp;'Gastos com Pessoal'!$I$6:$AJ$6,0),500,1)),0)
+_xlfn.IFNA(SUM((AT$3&gt;='Gastos com Pessoal'!$E$7:$E$506)*(AT$3&lt;='Gastos com Pessoal'!$F$7:$F$506)*(IF('Gastos com Pessoal'!$AE$7:$AE$506&lt;=AT$3,1,0))*OFFSET('Gastos com Pessoal'!$H$6,1,MATCH(5&amp;$B53,'Gastos com Pessoal'!$I$532:$AJ$532&amp;'Gastos com Pessoal'!$I$6:$AJ$6,0),500,1)),0)
+_xlfn.IFNA(SUM((AT$3&gt;='Gastos com Pessoal'!$E$513:$E$522)*(AT$3&lt;='Gastos com Pessoal'!$F$513:$F$522)*(IF('Gastos com Pessoal'!$G$513:$G$522&lt;=AT$3,1,0))*OFFSET('Gastos com Pessoal'!$H$512,1,MATCH(1&amp;$B53,'Gastos com Pessoal'!$I$532:$AJ$532&amp;'Gastos com Pessoal'!$I$512:$AJ$512,0),10,1)),0)
+_xlfn.IFNA(SUM((AT$3&gt;='Gastos com Pessoal'!$E$513:$E$522)*(AT$3&lt;='Gastos com Pessoal'!$F$513:$F$522)*(IF('Gastos com Pessoal'!$M$513:$M$522&lt;=AT$3,1,0))*OFFSET('Gastos com Pessoal'!$H$512,1,MATCH(2&amp;$B53,'Gastos com Pessoal'!$I$532:$AJ$532&amp;'Gastos com Pessoal'!$I$512:$AJ$512,0),10,1)),0)
+_xlfn.IFNA(SUM((AT$3&gt;='Gastos com Pessoal'!$E$513:$E$522)*(AT$3&lt;='Gastos com Pessoal'!$F$513:$F$522)*(IF('Gastos com Pessoal'!$S$513:$S$522&lt;=AT$3,1,0))*OFFSET('Gastos com Pessoal'!$H$512,1,MATCH(3&amp;$B53,'Gastos com Pessoal'!$I$532:$AJ$532&amp;'Gastos com Pessoal'!$I$512:$AJ$512,0),10,1)),0)
+_xlfn.IFNA(SUM((AT$3&gt;='Gastos com Pessoal'!$E$513:$E$522)*(AT$3&lt;='Gastos com Pessoal'!$F$513:$F$522)*(IF('Gastos com Pessoal'!$Y$513:$Y$522&lt;=AT$3,1,0))*OFFSET('Gastos com Pessoal'!$H$512,1,MATCH(4&amp;$B53,'Gastos com Pessoal'!$I$532:$AJ$532&amp;'Gastos com Pessoal'!$I$512:$AJ$512,0),10,1)),0)
+_xlfn.IFNA(SUM((AT$3&gt;='Gastos com Pessoal'!$E$513:$E$522)*(AT$3&lt;='Gastos com Pessoal'!$F$513:$F$522)*(IF('Gastos com Pessoal'!$AE$513:$AE$522&lt;=AT$3,1,0))*OFFSET('Gastos com Pessoal'!$H$512,1,MATCH(5&amp;$B53,'Gastos com Pessoal'!$I$532:$AJ$532&amp;'Gastos com Pessoal'!$I$512:$AJ$512,0),10,1)),0)</f>
        <v>0</v>
      </c>
      <c r="AU53" s="32">
        <f t="array" aca="1" ref="AU53" ca="1">_xlfn.IFNA(SUM((AU$3&gt;='Gastos com Pessoal'!$E$7:$E$506)*(AU$3&lt;='Gastos com Pessoal'!$F$7:$F$506)*OFFSET('Encargos e Benefícios'!$D$5,1,MATCH($B53,'Encargos e Benefícios'!$E$5:$AB$5,0),500,1)),0)
+_xlfn.IFNA(SUM((AU$3&gt;='Gastos com Pessoal'!$E$513:$E$522)*(AU$3&lt;='Gastos com Pessoal'!$F$513:$F$522)*OFFSET('Encargos e Benefícios'!$D$511,1,MATCH($B53,'Encargos e Benefícios'!$E$511:$AB$511,0),10,1)),0)
+_xlfn.IFNA(SUM((AU$3&gt;='Gastos com Pessoal'!$E$7:$E$506)*(AU$3&lt;='Gastos com Pessoal'!$F$7:$F$506)*(IF('Gastos com Pessoal'!$G$7:$G$506&lt;=AU$3,1,0))*OFFSET('Gastos com Pessoal'!$H$6,1,MATCH(1&amp;$B53,'Gastos com Pessoal'!$I$532:$AJ$532&amp;'Gastos com Pessoal'!$I$6:$AJ$6,0),500,1)),0)
+_xlfn.IFNA(SUM((AU$3&gt;='Gastos com Pessoal'!$E$7:$E$506)*(AU$3&lt;='Gastos com Pessoal'!$F$7:$F$506)*(IF('Gastos com Pessoal'!$M$7:$M$506&lt;=AU$3,1,0))*OFFSET('Gastos com Pessoal'!$H$6,1,MATCH(2&amp;$B53,'Gastos com Pessoal'!$I$532:$AJ$532&amp;'Gastos com Pessoal'!$I$6:$AJ$6,0),500,1)),0)
+_xlfn.IFNA(SUM((AU$3&gt;='Gastos com Pessoal'!$E$7:$E$506)*(AU$3&lt;='Gastos com Pessoal'!$F$7:$F$506)*(IF('Gastos com Pessoal'!$S$7:$S$506&lt;=AU$3,1,0))*OFFSET('Gastos com Pessoal'!$H$6,1,MATCH(3&amp;$B53,'Gastos com Pessoal'!$I$532:$AJ$532&amp;'Gastos com Pessoal'!$I$6:$AJ$6,0),500,1)),0)
+_xlfn.IFNA(SUM((AU$3&gt;='Gastos com Pessoal'!$E$7:$E$506)*(AU$3&lt;='Gastos com Pessoal'!$F$7:$F$506)*(IF('Gastos com Pessoal'!$Y$7:$Y$506&lt;=AU$3,1,0))*OFFSET('Gastos com Pessoal'!$H$6,1,MATCH(4&amp;$B53,'Gastos com Pessoal'!$I$532:$AJ$532&amp;'Gastos com Pessoal'!$I$6:$AJ$6,0),500,1)),0)
+_xlfn.IFNA(SUM((AU$3&gt;='Gastos com Pessoal'!$E$7:$E$506)*(AU$3&lt;='Gastos com Pessoal'!$F$7:$F$506)*(IF('Gastos com Pessoal'!$AE$7:$AE$506&lt;=AU$3,1,0))*OFFSET('Gastos com Pessoal'!$H$6,1,MATCH(5&amp;$B53,'Gastos com Pessoal'!$I$532:$AJ$532&amp;'Gastos com Pessoal'!$I$6:$AJ$6,0),500,1)),0)
+_xlfn.IFNA(SUM((AU$3&gt;='Gastos com Pessoal'!$E$513:$E$522)*(AU$3&lt;='Gastos com Pessoal'!$F$513:$F$522)*(IF('Gastos com Pessoal'!$G$513:$G$522&lt;=AU$3,1,0))*OFFSET('Gastos com Pessoal'!$H$512,1,MATCH(1&amp;$B53,'Gastos com Pessoal'!$I$532:$AJ$532&amp;'Gastos com Pessoal'!$I$512:$AJ$512,0),10,1)),0)
+_xlfn.IFNA(SUM((AU$3&gt;='Gastos com Pessoal'!$E$513:$E$522)*(AU$3&lt;='Gastos com Pessoal'!$F$513:$F$522)*(IF('Gastos com Pessoal'!$M$513:$M$522&lt;=AU$3,1,0))*OFFSET('Gastos com Pessoal'!$H$512,1,MATCH(2&amp;$B53,'Gastos com Pessoal'!$I$532:$AJ$532&amp;'Gastos com Pessoal'!$I$512:$AJ$512,0),10,1)),0)
+_xlfn.IFNA(SUM((AU$3&gt;='Gastos com Pessoal'!$E$513:$E$522)*(AU$3&lt;='Gastos com Pessoal'!$F$513:$F$522)*(IF('Gastos com Pessoal'!$S$513:$S$522&lt;=AU$3,1,0))*OFFSET('Gastos com Pessoal'!$H$512,1,MATCH(3&amp;$B53,'Gastos com Pessoal'!$I$532:$AJ$532&amp;'Gastos com Pessoal'!$I$512:$AJ$512,0),10,1)),0)
+_xlfn.IFNA(SUM((AU$3&gt;='Gastos com Pessoal'!$E$513:$E$522)*(AU$3&lt;='Gastos com Pessoal'!$F$513:$F$522)*(IF('Gastos com Pessoal'!$Y$513:$Y$522&lt;=AU$3,1,0))*OFFSET('Gastos com Pessoal'!$H$512,1,MATCH(4&amp;$B53,'Gastos com Pessoal'!$I$532:$AJ$532&amp;'Gastos com Pessoal'!$I$512:$AJ$512,0),10,1)),0)
+_xlfn.IFNA(SUM((AU$3&gt;='Gastos com Pessoal'!$E$513:$E$522)*(AU$3&lt;='Gastos com Pessoal'!$F$513:$F$522)*(IF('Gastos com Pessoal'!$AE$513:$AE$522&lt;=AU$3,1,0))*OFFSET('Gastos com Pessoal'!$H$512,1,MATCH(5&amp;$B53,'Gastos com Pessoal'!$I$532:$AJ$532&amp;'Gastos com Pessoal'!$I$512:$AJ$512,0),10,1)),0)</f>
        <v>0</v>
      </c>
      <c r="AV53" s="32">
        <f t="array" aca="1" ref="AV53" ca="1">_xlfn.IFNA(SUM((AV$3&gt;='Gastos com Pessoal'!$E$7:$E$506)*(AV$3&lt;='Gastos com Pessoal'!$F$7:$F$506)*OFFSET('Encargos e Benefícios'!$D$5,1,MATCH($B53,'Encargos e Benefícios'!$E$5:$AB$5,0),500,1)),0)
+_xlfn.IFNA(SUM((AV$3&gt;='Gastos com Pessoal'!$E$513:$E$522)*(AV$3&lt;='Gastos com Pessoal'!$F$513:$F$522)*OFFSET('Encargos e Benefícios'!$D$511,1,MATCH($B53,'Encargos e Benefícios'!$E$511:$AB$511,0),10,1)),0)
+_xlfn.IFNA(SUM((AV$3&gt;='Gastos com Pessoal'!$E$7:$E$506)*(AV$3&lt;='Gastos com Pessoal'!$F$7:$F$506)*(IF('Gastos com Pessoal'!$G$7:$G$506&lt;=AV$3,1,0))*OFFSET('Gastos com Pessoal'!$H$6,1,MATCH(1&amp;$B53,'Gastos com Pessoal'!$I$532:$AJ$532&amp;'Gastos com Pessoal'!$I$6:$AJ$6,0),500,1)),0)
+_xlfn.IFNA(SUM((AV$3&gt;='Gastos com Pessoal'!$E$7:$E$506)*(AV$3&lt;='Gastos com Pessoal'!$F$7:$F$506)*(IF('Gastos com Pessoal'!$M$7:$M$506&lt;=AV$3,1,0))*OFFSET('Gastos com Pessoal'!$H$6,1,MATCH(2&amp;$B53,'Gastos com Pessoal'!$I$532:$AJ$532&amp;'Gastos com Pessoal'!$I$6:$AJ$6,0),500,1)),0)
+_xlfn.IFNA(SUM((AV$3&gt;='Gastos com Pessoal'!$E$7:$E$506)*(AV$3&lt;='Gastos com Pessoal'!$F$7:$F$506)*(IF('Gastos com Pessoal'!$S$7:$S$506&lt;=AV$3,1,0))*OFFSET('Gastos com Pessoal'!$H$6,1,MATCH(3&amp;$B53,'Gastos com Pessoal'!$I$532:$AJ$532&amp;'Gastos com Pessoal'!$I$6:$AJ$6,0),500,1)),0)
+_xlfn.IFNA(SUM((AV$3&gt;='Gastos com Pessoal'!$E$7:$E$506)*(AV$3&lt;='Gastos com Pessoal'!$F$7:$F$506)*(IF('Gastos com Pessoal'!$Y$7:$Y$506&lt;=AV$3,1,0))*OFFSET('Gastos com Pessoal'!$H$6,1,MATCH(4&amp;$B53,'Gastos com Pessoal'!$I$532:$AJ$532&amp;'Gastos com Pessoal'!$I$6:$AJ$6,0),500,1)),0)
+_xlfn.IFNA(SUM((AV$3&gt;='Gastos com Pessoal'!$E$7:$E$506)*(AV$3&lt;='Gastos com Pessoal'!$F$7:$F$506)*(IF('Gastos com Pessoal'!$AE$7:$AE$506&lt;=AV$3,1,0))*OFFSET('Gastos com Pessoal'!$H$6,1,MATCH(5&amp;$B53,'Gastos com Pessoal'!$I$532:$AJ$532&amp;'Gastos com Pessoal'!$I$6:$AJ$6,0),500,1)),0)
+_xlfn.IFNA(SUM((AV$3&gt;='Gastos com Pessoal'!$E$513:$E$522)*(AV$3&lt;='Gastos com Pessoal'!$F$513:$F$522)*(IF('Gastos com Pessoal'!$G$513:$G$522&lt;=AV$3,1,0))*OFFSET('Gastos com Pessoal'!$H$512,1,MATCH(1&amp;$B53,'Gastos com Pessoal'!$I$532:$AJ$532&amp;'Gastos com Pessoal'!$I$512:$AJ$512,0),10,1)),0)
+_xlfn.IFNA(SUM((AV$3&gt;='Gastos com Pessoal'!$E$513:$E$522)*(AV$3&lt;='Gastos com Pessoal'!$F$513:$F$522)*(IF('Gastos com Pessoal'!$M$513:$M$522&lt;=AV$3,1,0))*OFFSET('Gastos com Pessoal'!$H$512,1,MATCH(2&amp;$B53,'Gastos com Pessoal'!$I$532:$AJ$532&amp;'Gastos com Pessoal'!$I$512:$AJ$512,0),10,1)),0)
+_xlfn.IFNA(SUM((AV$3&gt;='Gastos com Pessoal'!$E$513:$E$522)*(AV$3&lt;='Gastos com Pessoal'!$F$513:$F$522)*(IF('Gastos com Pessoal'!$S$513:$S$522&lt;=AV$3,1,0))*OFFSET('Gastos com Pessoal'!$H$512,1,MATCH(3&amp;$B53,'Gastos com Pessoal'!$I$532:$AJ$532&amp;'Gastos com Pessoal'!$I$512:$AJ$512,0),10,1)),0)
+_xlfn.IFNA(SUM((AV$3&gt;='Gastos com Pessoal'!$E$513:$E$522)*(AV$3&lt;='Gastos com Pessoal'!$F$513:$F$522)*(IF('Gastos com Pessoal'!$Y$513:$Y$522&lt;=AV$3,1,0))*OFFSET('Gastos com Pessoal'!$H$512,1,MATCH(4&amp;$B53,'Gastos com Pessoal'!$I$532:$AJ$532&amp;'Gastos com Pessoal'!$I$512:$AJ$512,0),10,1)),0)
+_xlfn.IFNA(SUM((AV$3&gt;='Gastos com Pessoal'!$E$513:$E$522)*(AV$3&lt;='Gastos com Pessoal'!$F$513:$F$522)*(IF('Gastos com Pessoal'!$AE$513:$AE$522&lt;=AV$3,1,0))*OFFSET('Gastos com Pessoal'!$H$512,1,MATCH(5&amp;$B53,'Gastos com Pessoal'!$I$532:$AJ$532&amp;'Gastos com Pessoal'!$I$512:$AJ$512,0),10,1)),0)</f>
        <v>0</v>
      </c>
      <c r="AW53" s="32">
        <f t="array" aca="1" ref="AW53" ca="1">_xlfn.IFNA(SUM((AW$3&gt;='Gastos com Pessoal'!$E$7:$E$506)*(AW$3&lt;='Gastos com Pessoal'!$F$7:$F$506)*OFFSET('Encargos e Benefícios'!$D$5,1,MATCH($B53,'Encargos e Benefícios'!$E$5:$AB$5,0),500,1)),0)
+_xlfn.IFNA(SUM((AW$3&gt;='Gastos com Pessoal'!$E$513:$E$522)*(AW$3&lt;='Gastos com Pessoal'!$F$513:$F$522)*OFFSET('Encargos e Benefícios'!$D$511,1,MATCH($B53,'Encargos e Benefícios'!$E$511:$AB$511,0),10,1)),0)
+_xlfn.IFNA(SUM((AW$3&gt;='Gastos com Pessoal'!$E$7:$E$506)*(AW$3&lt;='Gastos com Pessoal'!$F$7:$F$506)*(IF('Gastos com Pessoal'!$G$7:$G$506&lt;=AW$3,1,0))*OFFSET('Gastos com Pessoal'!$H$6,1,MATCH(1&amp;$B53,'Gastos com Pessoal'!$I$532:$AJ$532&amp;'Gastos com Pessoal'!$I$6:$AJ$6,0),500,1)),0)
+_xlfn.IFNA(SUM((AW$3&gt;='Gastos com Pessoal'!$E$7:$E$506)*(AW$3&lt;='Gastos com Pessoal'!$F$7:$F$506)*(IF('Gastos com Pessoal'!$M$7:$M$506&lt;=AW$3,1,0))*OFFSET('Gastos com Pessoal'!$H$6,1,MATCH(2&amp;$B53,'Gastos com Pessoal'!$I$532:$AJ$532&amp;'Gastos com Pessoal'!$I$6:$AJ$6,0),500,1)),0)
+_xlfn.IFNA(SUM((AW$3&gt;='Gastos com Pessoal'!$E$7:$E$506)*(AW$3&lt;='Gastos com Pessoal'!$F$7:$F$506)*(IF('Gastos com Pessoal'!$S$7:$S$506&lt;=AW$3,1,0))*OFFSET('Gastos com Pessoal'!$H$6,1,MATCH(3&amp;$B53,'Gastos com Pessoal'!$I$532:$AJ$532&amp;'Gastos com Pessoal'!$I$6:$AJ$6,0),500,1)),0)
+_xlfn.IFNA(SUM((AW$3&gt;='Gastos com Pessoal'!$E$7:$E$506)*(AW$3&lt;='Gastos com Pessoal'!$F$7:$F$506)*(IF('Gastos com Pessoal'!$Y$7:$Y$506&lt;=AW$3,1,0))*OFFSET('Gastos com Pessoal'!$H$6,1,MATCH(4&amp;$B53,'Gastos com Pessoal'!$I$532:$AJ$532&amp;'Gastos com Pessoal'!$I$6:$AJ$6,0),500,1)),0)
+_xlfn.IFNA(SUM((AW$3&gt;='Gastos com Pessoal'!$E$7:$E$506)*(AW$3&lt;='Gastos com Pessoal'!$F$7:$F$506)*(IF('Gastos com Pessoal'!$AE$7:$AE$506&lt;=AW$3,1,0))*OFFSET('Gastos com Pessoal'!$H$6,1,MATCH(5&amp;$B53,'Gastos com Pessoal'!$I$532:$AJ$532&amp;'Gastos com Pessoal'!$I$6:$AJ$6,0),500,1)),0)
+_xlfn.IFNA(SUM((AW$3&gt;='Gastos com Pessoal'!$E$513:$E$522)*(AW$3&lt;='Gastos com Pessoal'!$F$513:$F$522)*(IF('Gastos com Pessoal'!$G$513:$G$522&lt;=AW$3,1,0))*OFFSET('Gastos com Pessoal'!$H$512,1,MATCH(1&amp;$B53,'Gastos com Pessoal'!$I$532:$AJ$532&amp;'Gastos com Pessoal'!$I$512:$AJ$512,0),10,1)),0)
+_xlfn.IFNA(SUM((AW$3&gt;='Gastos com Pessoal'!$E$513:$E$522)*(AW$3&lt;='Gastos com Pessoal'!$F$513:$F$522)*(IF('Gastos com Pessoal'!$M$513:$M$522&lt;=AW$3,1,0))*OFFSET('Gastos com Pessoal'!$H$512,1,MATCH(2&amp;$B53,'Gastos com Pessoal'!$I$532:$AJ$532&amp;'Gastos com Pessoal'!$I$512:$AJ$512,0),10,1)),0)
+_xlfn.IFNA(SUM((AW$3&gt;='Gastos com Pessoal'!$E$513:$E$522)*(AW$3&lt;='Gastos com Pessoal'!$F$513:$F$522)*(IF('Gastos com Pessoal'!$S$513:$S$522&lt;=AW$3,1,0))*OFFSET('Gastos com Pessoal'!$H$512,1,MATCH(3&amp;$B53,'Gastos com Pessoal'!$I$532:$AJ$532&amp;'Gastos com Pessoal'!$I$512:$AJ$512,0),10,1)),0)
+_xlfn.IFNA(SUM((AW$3&gt;='Gastos com Pessoal'!$E$513:$E$522)*(AW$3&lt;='Gastos com Pessoal'!$F$513:$F$522)*(IF('Gastos com Pessoal'!$Y$513:$Y$522&lt;=AW$3,1,0))*OFFSET('Gastos com Pessoal'!$H$512,1,MATCH(4&amp;$B53,'Gastos com Pessoal'!$I$532:$AJ$532&amp;'Gastos com Pessoal'!$I$512:$AJ$512,0),10,1)),0)
+_xlfn.IFNA(SUM((AW$3&gt;='Gastos com Pessoal'!$E$513:$E$522)*(AW$3&lt;='Gastos com Pessoal'!$F$513:$F$522)*(IF('Gastos com Pessoal'!$AE$513:$AE$522&lt;=AW$3,1,0))*OFFSET('Gastos com Pessoal'!$H$512,1,MATCH(5&amp;$B53,'Gastos com Pessoal'!$I$532:$AJ$532&amp;'Gastos com Pessoal'!$I$512:$AJ$512,0),10,1)),0)</f>
        <v>0</v>
      </c>
      <c r="AX53" s="32">
        <f t="array" aca="1" ref="AX53" ca="1">_xlfn.IFNA(SUM((AX$3&gt;='Gastos com Pessoal'!$E$7:$E$506)*(AX$3&lt;='Gastos com Pessoal'!$F$7:$F$506)*OFFSET('Encargos e Benefícios'!$D$5,1,MATCH($B53,'Encargos e Benefícios'!$E$5:$AB$5,0),500,1)),0)
+_xlfn.IFNA(SUM((AX$3&gt;='Gastos com Pessoal'!$E$513:$E$522)*(AX$3&lt;='Gastos com Pessoal'!$F$513:$F$522)*OFFSET('Encargos e Benefícios'!$D$511,1,MATCH($B53,'Encargos e Benefícios'!$E$511:$AB$511,0),10,1)),0)
+_xlfn.IFNA(SUM((AX$3&gt;='Gastos com Pessoal'!$E$7:$E$506)*(AX$3&lt;='Gastos com Pessoal'!$F$7:$F$506)*(IF('Gastos com Pessoal'!$G$7:$G$506&lt;=AX$3,1,0))*OFFSET('Gastos com Pessoal'!$H$6,1,MATCH(1&amp;$B53,'Gastos com Pessoal'!$I$532:$AJ$532&amp;'Gastos com Pessoal'!$I$6:$AJ$6,0),500,1)),0)
+_xlfn.IFNA(SUM((AX$3&gt;='Gastos com Pessoal'!$E$7:$E$506)*(AX$3&lt;='Gastos com Pessoal'!$F$7:$F$506)*(IF('Gastos com Pessoal'!$M$7:$M$506&lt;=AX$3,1,0))*OFFSET('Gastos com Pessoal'!$H$6,1,MATCH(2&amp;$B53,'Gastos com Pessoal'!$I$532:$AJ$532&amp;'Gastos com Pessoal'!$I$6:$AJ$6,0),500,1)),0)
+_xlfn.IFNA(SUM((AX$3&gt;='Gastos com Pessoal'!$E$7:$E$506)*(AX$3&lt;='Gastos com Pessoal'!$F$7:$F$506)*(IF('Gastos com Pessoal'!$S$7:$S$506&lt;=AX$3,1,0))*OFFSET('Gastos com Pessoal'!$H$6,1,MATCH(3&amp;$B53,'Gastos com Pessoal'!$I$532:$AJ$532&amp;'Gastos com Pessoal'!$I$6:$AJ$6,0),500,1)),0)
+_xlfn.IFNA(SUM((AX$3&gt;='Gastos com Pessoal'!$E$7:$E$506)*(AX$3&lt;='Gastos com Pessoal'!$F$7:$F$506)*(IF('Gastos com Pessoal'!$Y$7:$Y$506&lt;=AX$3,1,0))*OFFSET('Gastos com Pessoal'!$H$6,1,MATCH(4&amp;$B53,'Gastos com Pessoal'!$I$532:$AJ$532&amp;'Gastos com Pessoal'!$I$6:$AJ$6,0),500,1)),0)
+_xlfn.IFNA(SUM((AX$3&gt;='Gastos com Pessoal'!$E$7:$E$506)*(AX$3&lt;='Gastos com Pessoal'!$F$7:$F$506)*(IF('Gastos com Pessoal'!$AE$7:$AE$506&lt;=AX$3,1,0))*OFFSET('Gastos com Pessoal'!$H$6,1,MATCH(5&amp;$B53,'Gastos com Pessoal'!$I$532:$AJ$532&amp;'Gastos com Pessoal'!$I$6:$AJ$6,0),500,1)),0)
+_xlfn.IFNA(SUM((AX$3&gt;='Gastos com Pessoal'!$E$513:$E$522)*(AX$3&lt;='Gastos com Pessoal'!$F$513:$F$522)*(IF('Gastos com Pessoal'!$G$513:$G$522&lt;=AX$3,1,0))*OFFSET('Gastos com Pessoal'!$H$512,1,MATCH(1&amp;$B53,'Gastos com Pessoal'!$I$532:$AJ$532&amp;'Gastos com Pessoal'!$I$512:$AJ$512,0),10,1)),0)
+_xlfn.IFNA(SUM((AX$3&gt;='Gastos com Pessoal'!$E$513:$E$522)*(AX$3&lt;='Gastos com Pessoal'!$F$513:$F$522)*(IF('Gastos com Pessoal'!$M$513:$M$522&lt;=AX$3,1,0))*OFFSET('Gastos com Pessoal'!$H$512,1,MATCH(2&amp;$B53,'Gastos com Pessoal'!$I$532:$AJ$532&amp;'Gastos com Pessoal'!$I$512:$AJ$512,0),10,1)),0)
+_xlfn.IFNA(SUM((AX$3&gt;='Gastos com Pessoal'!$E$513:$E$522)*(AX$3&lt;='Gastos com Pessoal'!$F$513:$F$522)*(IF('Gastos com Pessoal'!$S$513:$S$522&lt;=AX$3,1,0))*OFFSET('Gastos com Pessoal'!$H$512,1,MATCH(3&amp;$B53,'Gastos com Pessoal'!$I$532:$AJ$532&amp;'Gastos com Pessoal'!$I$512:$AJ$512,0),10,1)),0)
+_xlfn.IFNA(SUM((AX$3&gt;='Gastos com Pessoal'!$E$513:$E$522)*(AX$3&lt;='Gastos com Pessoal'!$F$513:$F$522)*(IF('Gastos com Pessoal'!$Y$513:$Y$522&lt;=AX$3,1,0))*OFFSET('Gastos com Pessoal'!$H$512,1,MATCH(4&amp;$B53,'Gastos com Pessoal'!$I$532:$AJ$532&amp;'Gastos com Pessoal'!$I$512:$AJ$512,0),10,1)),0)
+_xlfn.IFNA(SUM((AX$3&gt;='Gastos com Pessoal'!$E$513:$E$522)*(AX$3&lt;='Gastos com Pessoal'!$F$513:$F$522)*(IF('Gastos com Pessoal'!$AE$513:$AE$522&lt;=AX$3,1,0))*OFFSET('Gastos com Pessoal'!$H$512,1,MATCH(5&amp;$B53,'Gastos com Pessoal'!$I$532:$AJ$532&amp;'Gastos com Pessoal'!$I$512:$AJ$512,0),10,1)),0)</f>
        <v>0</v>
      </c>
      <c r="AY53" s="32">
        <f t="array" aca="1" ref="AY53" ca="1">_xlfn.IFNA(SUM((AY$3&gt;='Gastos com Pessoal'!$E$7:$E$506)*(AY$3&lt;='Gastos com Pessoal'!$F$7:$F$506)*OFFSET('Encargos e Benefícios'!$D$5,1,MATCH($B53,'Encargos e Benefícios'!$E$5:$AB$5,0),500,1)),0)
+_xlfn.IFNA(SUM((AY$3&gt;='Gastos com Pessoal'!$E$513:$E$522)*(AY$3&lt;='Gastos com Pessoal'!$F$513:$F$522)*OFFSET('Encargos e Benefícios'!$D$511,1,MATCH($B53,'Encargos e Benefícios'!$E$511:$AB$511,0),10,1)),0)
+_xlfn.IFNA(SUM((AY$3&gt;='Gastos com Pessoal'!$E$7:$E$506)*(AY$3&lt;='Gastos com Pessoal'!$F$7:$F$506)*(IF('Gastos com Pessoal'!$G$7:$G$506&lt;=AY$3,1,0))*OFFSET('Gastos com Pessoal'!$H$6,1,MATCH(1&amp;$B53,'Gastos com Pessoal'!$I$532:$AJ$532&amp;'Gastos com Pessoal'!$I$6:$AJ$6,0),500,1)),0)
+_xlfn.IFNA(SUM((AY$3&gt;='Gastos com Pessoal'!$E$7:$E$506)*(AY$3&lt;='Gastos com Pessoal'!$F$7:$F$506)*(IF('Gastos com Pessoal'!$M$7:$M$506&lt;=AY$3,1,0))*OFFSET('Gastos com Pessoal'!$H$6,1,MATCH(2&amp;$B53,'Gastos com Pessoal'!$I$532:$AJ$532&amp;'Gastos com Pessoal'!$I$6:$AJ$6,0),500,1)),0)
+_xlfn.IFNA(SUM((AY$3&gt;='Gastos com Pessoal'!$E$7:$E$506)*(AY$3&lt;='Gastos com Pessoal'!$F$7:$F$506)*(IF('Gastos com Pessoal'!$S$7:$S$506&lt;=AY$3,1,0))*OFFSET('Gastos com Pessoal'!$H$6,1,MATCH(3&amp;$B53,'Gastos com Pessoal'!$I$532:$AJ$532&amp;'Gastos com Pessoal'!$I$6:$AJ$6,0),500,1)),0)
+_xlfn.IFNA(SUM((AY$3&gt;='Gastos com Pessoal'!$E$7:$E$506)*(AY$3&lt;='Gastos com Pessoal'!$F$7:$F$506)*(IF('Gastos com Pessoal'!$Y$7:$Y$506&lt;=AY$3,1,0))*OFFSET('Gastos com Pessoal'!$H$6,1,MATCH(4&amp;$B53,'Gastos com Pessoal'!$I$532:$AJ$532&amp;'Gastos com Pessoal'!$I$6:$AJ$6,0),500,1)),0)
+_xlfn.IFNA(SUM((AY$3&gt;='Gastos com Pessoal'!$E$7:$E$506)*(AY$3&lt;='Gastos com Pessoal'!$F$7:$F$506)*(IF('Gastos com Pessoal'!$AE$7:$AE$506&lt;=AY$3,1,0))*OFFSET('Gastos com Pessoal'!$H$6,1,MATCH(5&amp;$B53,'Gastos com Pessoal'!$I$532:$AJ$532&amp;'Gastos com Pessoal'!$I$6:$AJ$6,0),500,1)),0)
+_xlfn.IFNA(SUM((AY$3&gt;='Gastos com Pessoal'!$E$513:$E$522)*(AY$3&lt;='Gastos com Pessoal'!$F$513:$F$522)*(IF('Gastos com Pessoal'!$G$513:$G$522&lt;=AY$3,1,0))*OFFSET('Gastos com Pessoal'!$H$512,1,MATCH(1&amp;$B53,'Gastos com Pessoal'!$I$532:$AJ$532&amp;'Gastos com Pessoal'!$I$512:$AJ$512,0),10,1)),0)
+_xlfn.IFNA(SUM((AY$3&gt;='Gastos com Pessoal'!$E$513:$E$522)*(AY$3&lt;='Gastos com Pessoal'!$F$513:$F$522)*(IF('Gastos com Pessoal'!$M$513:$M$522&lt;=AY$3,1,0))*OFFSET('Gastos com Pessoal'!$H$512,1,MATCH(2&amp;$B53,'Gastos com Pessoal'!$I$532:$AJ$532&amp;'Gastos com Pessoal'!$I$512:$AJ$512,0),10,1)),0)
+_xlfn.IFNA(SUM((AY$3&gt;='Gastos com Pessoal'!$E$513:$E$522)*(AY$3&lt;='Gastos com Pessoal'!$F$513:$F$522)*(IF('Gastos com Pessoal'!$S$513:$S$522&lt;=AY$3,1,0))*OFFSET('Gastos com Pessoal'!$H$512,1,MATCH(3&amp;$B53,'Gastos com Pessoal'!$I$532:$AJ$532&amp;'Gastos com Pessoal'!$I$512:$AJ$512,0),10,1)),0)
+_xlfn.IFNA(SUM((AY$3&gt;='Gastos com Pessoal'!$E$513:$E$522)*(AY$3&lt;='Gastos com Pessoal'!$F$513:$F$522)*(IF('Gastos com Pessoal'!$Y$513:$Y$522&lt;=AY$3,1,0))*OFFSET('Gastos com Pessoal'!$H$512,1,MATCH(4&amp;$B53,'Gastos com Pessoal'!$I$532:$AJ$532&amp;'Gastos com Pessoal'!$I$512:$AJ$512,0),10,1)),0)
+_xlfn.IFNA(SUM((AY$3&gt;='Gastos com Pessoal'!$E$513:$E$522)*(AY$3&lt;='Gastos com Pessoal'!$F$513:$F$522)*(IF('Gastos com Pessoal'!$AE$513:$AE$522&lt;=AY$3,1,0))*OFFSET('Gastos com Pessoal'!$H$512,1,MATCH(5&amp;$B53,'Gastos com Pessoal'!$I$532:$AJ$532&amp;'Gastos com Pessoal'!$I$512:$AJ$512,0),10,1)),0)</f>
        <v>0</v>
      </c>
      <c r="AZ53" s="32">
        <f t="array" aca="1" ref="AZ53" ca="1">_xlfn.IFNA(SUM((AZ$3&gt;='Gastos com Pessoal'!$E$7:$E$506)*(AZ$3&lt;='Gastos com Pessoal'!$F$7:$F$506)*OFFSET('Encargos e Benefícios'!$D$5,1,MATCH($B53,'Encargos e Benefícios'!$E$5:$AB$5,0),500,1)),0)
+_xlfn.IFNA(SUM((AZ$3&gt;='Gastos com Pessoal'!$E$513:$E$522)*(AZ$3&lt;='Gastos com Pessoal'!$F$513:$F$522)*OFFSET('Encargos e Benefícios'!$D$511,1,MATCH($B53,'Encargos e Benefícios'!$E$511:$AB$511,0),10,1)),0)
+_xlfn.IFNA(SUM((AZ$3&gt;='Gastos com Pessoal'!$E$7:$E$506)*(AZ$3&lt;='Gastos com Pessoal'!$F$7:$F$506)*(IF('Gastos com Pessoal'!$G$7:$G$506&lt;=AZ$3,1,0))*OFFSET('Gastos com Pessoal'!$H$6,1,MATCH(1&amp;$B53,'Gastos com Pessoal'!$I$532:$AJ$532&amp;'Gastos com Pessoal'!$I$6:$AJ$6,0),500,1)),0)
+_xlfn.IFNA(SUM((AZ$3&gt;='Gastos com Pessoal'!$E$7:$E$506)*(AZ$3&lt;='Gastos com Pessoal'!$F$7:$F$506)*(IF('Gastos com Pessoal'!$M$7:$M$506&lt;=AZ$3,1,0))*OFFSET('Gastos com Pessoal'!$H$6,1,MATCH(2&amp;$B53,'Gastos com Pessoal'!$I$532:$AJ$532&amp;'Gastos com Pessoal'!$I$6:$AJ$6,0),500,1)),0)
+_xlfn.IFNA(SUM((AZ$3&gt;='Gastos com Pessoal'!$E$7:$E$506)*(AZ$3&lt;='Gastos com Pessoal'!$F$7:$F$506)*(IF('Gastos com Pessoal'!$S$7:$S$506&lt;=AZ$3,1,0))*OFFSET('Gastos com Pessoal'!$H$6,1,MATCH(3&amp;$B53,'Gastos com Pessoal'!$I$532:$AJ$532&amp;'Gastos com Pessoal'!$I$6:$AJ$6,0),500,1)),0)
+_xlfn.IFNA(SUM((AZ$3&gt;='Gastos com Pessoal'!$E$7:$E$506)*(AZ$3&lt;='Gastos com Pessoal'!$F$7:$F$506)*(IF('Gastos com Pessoal'!$Y$7:$Y$506&lt;=AZ$3,1,0))*OFFSET('Gastos com Pessoal'!$H$6,1,MATCH(4&amp;$B53,'Gastos com Pessoal'!$I$532:$AJ$532&amp;'Gastos com Pessoal'!$I$6:$AJ$6,0),500,1)),0)
+_xlfn.IFNA(SUM((AZ$3&gt;='Gastos com Pessoal'!$E$7:$E$506)*(AZ$3&lt;='Gastos com Pessoal'!$F$7:$F$506)*(IF('Gastos com Pessoal'!$AE$7:$AE$506&lt;=AZ$3,1,0))*OFFSET('Gastos com Pessoal'!$H$6,1,MATCH(5&amp;$B53,'Gastos com Pessoal'!$I$532:$AJ$532&amp;'Gastos com Pessoal'!$I$6:$AJ$6,0),500,1)),0)
+_xlfn.IFNA(SUM((AZ$3&gt;='Gastos com Pessoal'!$E$513:$E$522)*(AZ$3&lt;='Gastos com Pessoal'!$F$513:$F$522)*(IF('Gastos com Pessoal'!$G$513:$G$522&lt;=AZ$3,1,0))*OFFSET('Gastos com Pessoal'!$H$512,1,MATCH(1&amp;$B53,'Gastos com Pessoal'!$I$532:$AJ$532&amp;'Gastos com Pessoal'!$I$512:$AJ$512,0),10,1)),0)
+_xlfn.IFNA(SUM((AZ$3&gt;='Gastos com Pessoal'!$E$513:$E$522)*(AZ$3&lt;='Gastos com Pessoal'!$F$513:$F$522)*(IF('Gastos com Pessoal'!$M$513:$M$522&lt;=AZ$3,1,0))*OFFSET('Gastos com Pessoal'!$H$512,1,MATCH(2&amp;$B53,'Gastos com Pessoal'!$I$532:$AJ$532&amp;'Gastos com Pessoal'!$I$512:$AJ$512,0),10,1)),0)
+_xlfn.IFNA(SUM((AZ$3&gt;='Gastos com Pessoal'!$E$513:$E$522)*(AZ$3&lt;='Gastos com Pessoal'!$F$513:$F$522)*(IF('Gastos com Pessoal'!$S$513:$S$522&lt;=AZ$3,1,0))*OFFSET('Gastos com Pessoal'!$H$512,1,MATCH(3&amp;$B53,'Gastos com Pessoal'!$I$532:$AJ$532&amp;'Gastos com Pessoal'!$I$512:$AJ$512,0),10,1)),0)
+_xlfn.IFNA(SUM((AZ$3&gt;='Gastos com Pessoal'!$E$513:$E$522)*(AZ$3&lt;='Gastos com Pessoal'!$F$513:$F$522)*(IF('Gastos com Pessoal'!$Y$513:$Y$522&lt;=AZ$3,1,0))*OFFSET('Gastos com Pessoal'!$H$512,1,MATCH(4&amp;$B53,'Gastos com Pessoal'!$I$532:$AJ$532&amp;'Gastos com Pessoal'!$I$512:$AJ$512,0),10,1)),0)
+_xlfn.IFNA(SUM((AZ$3&gt;='Gastos com Pessoal'!$E$513:$E$522)*(AZ$3&lt;='Gastos com Pessoal'!$F$513:$F$522)*(IF('Gastos com Pessoal'!$AE$513:$AE$522&lt;=AZ$3,1,0))*OFFSET('Gastos com Pessoal'!$H$512,1,MATCH(5&amp;$B53,'Gastos com Pessoal'!$I$532:$AJ$532&amp;'Gastos com Pessoal'!$I$512:$AJ$512,0),10,1)),0)</f>
        <v>0</v>
      </c>
      <c r="BA53" s="32">
        <f t="array" aca="1" ref="BA53" ca="1">_xlfn.IFNA(SUM((BA$3&gt;='Gastos com Pessoal'!$E$7:$E$506)*(BA$3&lt;='Gastos com Pessoal'!$F$7:$F$506)*OFFSET('Encargos e Benefícios'!$D$5,1,MATCH($B53,'Encargos e Benefícios'!$E$5:$AB$5,0),500,1)),0)
+_xlfn.IFNA(SUM((BA$3&gt;='Gastos com Pessoal'!$E$513:$E$522)*(BA$3&lt;='Gastos com Pessoal'!$F$513:$F$522)*OFFSET('Encargos e Benefícios'!$D$511,1,MATCH($B53,'Encargos e Benefícios'!$E$511:$AB$511,0),10,1)),0)
+_xlfn.IFNA(SUM((BA$3&gt;='Gastos com Pessoal'!$E$7:$E$506)*(BA$3&lt;='Gastos com Pessoal'!$F$7:$F$506)*(IF('Gastos com Pessoal'!$G$7:$G$506&lt;=BA$3,1,0))*OFFSET('Gastos com Pessoal'!$H$6,1,MATCH(1&amp;$B53,'Gastos com Pessoal'!$I$532:$AJ$532&amp;'Gastos com Pessoal'!$I$6:$AJ$6,0),500,1)),0)
+_xlfn.IFNA(SUM((BA$3&gt;='Gastos com Pessoal'!$E$7:$E$506)*(BA$3&lt;='Gastos com Pessoal'!$F$7:$F$506)*(IF('Gastos com Pessoal'!$M$7:$M$506&lt;=BA$3,1,0))*OFFSET('Gastos com Pessoal'!$H$6,1,MATCH(2&amp;$B53,'Gastos com Pessoal'!$I$532:$AJ$532&amp;'Gastos com Pessoal'!$I$6:$AJ$6,0),500,1)),0)
+_xlfn.IFNA(SUM((BA$3&gt;='Gastos com Pessoal'!$E$7:$E$506)*(BA$3&lt;='Gastos com Pessoal'!$F$7:$F$506)*(IF('Gastos com Pessoal'!$S$7:$S$506&lt;=BA$3,1,0))*OFFSET('Gastos com Pessoal'!$H$6,1,MATCH(3&amp;$B53,'Gastos com Pessoal'!$I$532:$AJ$532&amp;'Gastos com Pessoal'!$I$6:$AJ$6,0),500,1)),0)
+_xlfn.IFNA(SUM((BA$3&gt;='Gastos com Pessoal'!$E$7:$E$506)*(BA$3&lt;='Gastos com Pessoal'!$F$7:$F$506)*(IF('Gastos com Pessoal'!$Y$7:$Y$506&lt;=BA$3,1,0))*OFFSET('Gastos com Pessoal'!$H$6,1,MATCH(4&amp;$B53,'Gastos com Pessoal'!$I$532:$AJ$532&amp;'Gastos com Pessoal'!$I$6:$AJ$6,0),500,1)),0)
+_xlfn.IFNA(SUM((BA$3&gt;='Gastos com Pessoal'!$E$7:$E$506)*(BA$3&lt;='Gastos com Pessoal'!$F$7:$F$506)*(IF('Gastos com Pessoal'!$AE$7:$AE$506&lt;=BA$3,1,0))*OFFSET('Gastos com Pessoal'!$H$6,1,MATCH(5&amp;$B53,'Gastos com Pessoal'!$I$532:$AJ$532&amp;'Gastos com Pessoal'!$I$6:$AJ$6,0),500,1)),0)
+_xlfn.IFNA(SUM((BA$3&gt;='Gastos com Pessoal'!$E$513:$E$522)*(BA$3&lt;='Gastos com Pessoal'!$F$513:$F$522)*(IF('Gastos com Pessoal'!$G$513:$G$522&lt;=BA$3,1,0))*OFFSET('Gastos com Pessoal'!$H$512,1,MATCH(1&amp;$B53,'Gastos com Pessoal'!$I$532:$AJ$532&amp;'Gastos com Pessoal'!$I$512:$AJ$512,0),10,1)),0)
+_xlfn.IFNA(SUM((BA$3&gt;='Gastos com Pessoal'!$E$513:$E$522)*(BA$3&lt;='Gastos com Pessoal'!$F$513:$F$522)*(IF('Gastos com Pessoal'!$M$513:$M$522&lt;=BA$3,1,0))*OFFSET('Gastos com Pessoal'!$H$512,1,MATCH(2&amp;$B53,'Gastos com Pessoal'!$I$532:$AJ$532&amp;'Gastos com Pessoal'!$I$512:$AJ$512,0),10,1)),0)
+_xlfn.IFNA(SUM((BA$3&gt;='Gastos com Pessoal'!$E$513:$E$522)*(BA$3&lt;='Gastos com Pessoal'!$F$513:$F$522)*(IF('Gastos com Pessoal'!$S$513:$S$522&lt;=BA$3,1,0))*OFFSET('Gastos com Pessoal'!$H$512,1,MATCH(3&amp;$B53,'Gastos com Pessoal'!$I$532:$AJ$532&amp;'Gastos com Pessoal'!$I$512:$AJ$512,0),10,1)),0)
+_xlfn.IFNA(SUM((BA$3&gt;='Gastos com Pessoal'!$E$513:$E$522)*(BA$3&lt;='Gastos com Pessoal'!$F$513:$F$522)*(IF('Gastos com Pessoal'!$Y$513:$Y$522&lt;=BA$3,1,0))*OFFSET('Gastos com Pessoal'!$H$512,1,MATCH(4&amp;$B53,'Gastos com Pessoal'!$I$532:$AJ$532&amp;'Gastos com Pessoal'!$I$512:$AJ$512,0),10,1)),0)
+_xlfn.IFNA(SUM((BA$3&gt;='Gastos com Pessoal'!$E$513:$E$522)*(BA$3&lt;='Gastos com Pessoal'!$F$513:$F$522)*(IF('Gastos com Pessoal'!$AE$513:$AE$522&lt;=BA$3,1,0))*OFFSET('Gastos com Pessoal'!$H$512,1,MATCH(5&amp;$B53,'Gastos com Pessoal'!$I$532:$AJ$532&amp;'Gastos com Pessoal'!$I$512:$AJ$512,0),10,1)),0)</f>
        <v>0</v>
      </c>
      <c r="BB53" s="32">
        <f t="array" aca="1" ref="BB53" ca="1">_xlfn.IFNA(SUM((BB$3&gt;='Gastos com Pessoal'!$E$7:$E$506)*(BB$3&lt;='Gastos com Pessoal'!$F$7:$F$506)*OFFSET('Encargos e Benefícios'!$D$5,1,MATCH($B53,'Encargos e Benefícios'!$E$5:$AB$5,0),500,1)),0)
+_xlfn.IFNA(SUM((BB$3&gt;='Gastos com Pessoal'!$E$513:$E$522)*(BB$3&lt;='Gastos com Pessoal'!$F$513:$F$522)*OFFSET('Encargos e Benefícios'!$D$511,1,MATCH($B53,'Encargos e Benefícios'!$E$511:$AB$511,0),10,1)),0)
+_xlfn.IFNA(SUM((BB$3&gt;='Gastos com Pessoal'!$E$7:$E$506)*(BB$3&lt;='Gastos com Pessoal'!$F$7:$F$506)*(IF('Gastos com Pessoal'!$G$7:$G$506&lt;=BB$3,1,0))*OFFSET('Gastos com Pessoal'!$H$6,1,MATCH(1&amp;$B53,'Gastos com Pessoal'!$I$532:$AJ$532&amp;'Gastos com Pessoal'!$I$6:$AJ$6,0),500,1)),0)
+_xlfn.IFNA(SUM((BB$3&gt;='Gastos com Pessoal'!$E$7:$E$506)*(BB$3&lt;='Gastos com Pessoal'!$F$7:$F$506)*(IF('Gastos com Pessoal'!$M$7:$M$506&lt;=BB$3,1,0))*OFFSET('Gastos com Pessoal'!$H$6,1,MATCH(2&amp;$B53,'Gastos com Pessoal'!$I$532:$AJ$532&amp;'Gastos com Pessoal'!$I$6:$AJ$6,0),500,1)),0)
+_xlfn.IFNA(SUM((BB$3&gt;='Gastos com Pessoal'!$E$7:$E$506)*(BB$3&lt;='Gastos com Pessoal'!$F$7:$F$506)*(IF('Gastos com Pessoal'!$S$7:$S$506&lt;=BB$3,1,0))*OFFSET('Gastos com Pessoal'!$H$6,1,MATCH(3&amp;$B53,'Gastos com Pessoal'!$I$532:$AJ$532&amp;'Gastos com Pessoal'!$I$6:$AJ$6,0),500,1)),0)
+_xlfn.IFNA(SUM((BB$3&gt;='Gastos com Pessoal'!$E$7:$E$506)*(BB$3&lt;='Gastos com Pessoal'!$F$7:$F$506)*(IF('Gastos com Pessoal'!$Y$7:$Y$506&lt;=BB$3,1,0))*OFFSET('Gastos com Pessoal'!$H$6,1,MATCH(4&amp;$B53,'Gastos com Pessoal'!$I$532:$AJ$532&amp;'Gastos com Pessoal'!$I$6:$AJ$6,0),500,1)),0)
+_xlfn.IFNA(SUM((BB$3&gt;='Gastos com Pessoal'!$E$7:$E$506)*(BB$3&lt;='Gastos com Pessoal'!$F$7:$F$506)*(IF('Gastos com Pessoal'!$AE$7:$AE$506&lt;=BB$3,1,0))*OFFSET('Gastos com Pessoal'!$H$6,1,MATCH(5&amp;$B53,'Gastos com Pessoal'!$I$532:$AJ$532&amp;'Gastos com Pessoal'!$I$6:$AJ$6,0),500,1)),0)
+_xlfn.IFNA(SUM((BB$3&gt;='Gastos com Pessoal'!$E$513:$E$522)*(BB$3&lt;='Gastos com Pessoal'!$F$513:$F$522)*(IF('Gastos com Pessoal'!$G$513:$G$522&lt;=BB$3,1,0))*OFFSET('Gastos com Pessoal'!$H$512,1,MATCH(1&amp;$B53,'Gastos com Pessoal'!$I$532:$AJ$532&amp;'Gastos com Pessoal'!$I$512:$AJ$512,0),10,1)),0)
+_xlfn.IFNA(SUM((BB$3&gt;='Gastos com Pessoal'!$E$513:$E$522)*(BB$3&lt;='Gastos com Pessoal'!$F$513:$F$522)*(IF('Gastos com Pessoal'!$M$513:$M$522&lt;=BB$3,1,0))*OFFSET('Gastos com Pessoal'!$H$512,1,MATCH(2&amp;$B53,'Gastos com Pessoal'!$I$532:$AJ$532&amp;'Gastos com Pessoal'!$I$512:$AJ$512,0),10,1)),0)
+_xlfn.IFNA(SUM((BB$3&gt;='Gastos com Pessoal'!$E$513:$E$522)*(BB$3&lt;='Gastos com Pessoal'!$F$513:$F$522)*(IF('Gastos com Pessoal'!$S$513:$S$522&lt;=BB$3,1,0))*OFFSET('Gastos com Pessoal'!$H$512,1,MATCH(3&amp;$B53,'Gastos com Pessoal'!$I$532:$AJ$532&amp;'Gastos com Pessoal'!$I$512:$AJ$512,0),10,1)),0)
+_xlfn.IFNA(SUM((BB$3&gt;='Gastos com Pessoal'!$E$513:$E$522)*(BB$3&lt;='Gastos com Pessoal'!$F$513:$F$522)*(IF('Gastos com Pessoal'!$Y$513:$Y$522&lt;=BB$3,1,0))*OFFSET('Gastos com Pessoal'!$H$512,1,MATCH(4&amp;$B53,'Gastos com Pessoal'!$I$532:$AJ$532&amp;'Gastos com Pessoal'!$I$512:$AJ$512,0),10,1)),0)
+_xlfn.IFNA(SUM((BB$3&gt;='Gastos com Pessoal'!$E$513:$E$522)*(BB$3&lt;='Gastos com Pessoal'!$F$513:$F$522)*(IF('Gastos com Pessoal'!$AE$513:$AE$522&lt;=BB$3,1,0))*OFFSET('Gastos com Pessoal'!$H$512,1,MATCH(5&amp;$B53,'Gastos com Pessoal'!$I$532:$AJ$532&amp;'Gastos com Pessoal'!$I$512:$AJ$512,0),10,1)),0)</f>
        <v>0</v>
      </c>
      <c r="BC53" s="32">
        <f t="array" aca="1" ref="BC53" ca="1">_xlfn.IFNA(SUM((BC$3&gt;='Gastos com Pessoal'!$E$7:$E$506)*(BC$3&lt;='Gastos com Pessoal'!$F$7:$F$506)*OFFSET('Encargos e Benefícios'!$D$5,1,MATCH($B53,'Encargos e Benefícios'!$E$5:$AB$5,0),500,1)),0)
+_xlfn.IFNA(SUM((BC$3&gt;='Gastos com Pessoal'!$E$513:$E$522)*(BC$3&lt;='Gastos com Pessoal'!$F$513:$F$522)*OFFSET('Encargos e Benefícios'!$D$511,1,MATCH($B53,'Encargos e Benefícios'!$E$511:$AB$511,0),10,1)),0)
+_xlfn.IFNA(SUM((BC$3&gt;='Gastos com Pessoal'!$E$7:$E$506)*(BC$3&lt;='Gastos com Pessoal'!$F$7:$F$506)*(IF('Gastos com Pessoal'!$G$7:$G$506&lt;=BC$3,1,0))*OFFSET('Gastos com Pessoal'!$H$6,1,MATCH(1&amp;$B53,'Gastos com Pessoal'!$I$532:$AJ$532&amp;'Gastos com Pessoal'!$I$6:$AJ$6,0),500,1)),0)
+_xlfn.IFNA(SUM((BC$3&gt;='Gastos com Pessoal'!$E$7:$E$506)*(BC$3&lt;='Gastos com Pessoal'!$F$7:$F$506)*(IF('Gastos com Pessoal'!$M$7:$M$506&lt;=BC$3,1,0))*OFFSET('Gastos com Pessoal'!$H$6,1,MATCH(2&amp;$B53,'Gastos com Pessoal'!$I$532:$AJ$532&amp;'Gastos com Pessoal'!$I$6:$AJ$6,0),500,1)),0)
+_xlfn.IFNA(SUM((BC$3&gt;='Gastos com Pessoal'!$E$7:$E$506)*(BC$3&lt;='Gastos com Pessoal'!$F$7:$F$506)*(IF('Gastos com Pessoal'!$S$7:$S$506&lt;=BC$3,1,0))*OFFSET('Gastos com Pessoal'!$H$6,1,MATCH(3&amp;$B53,'Gastos com Pessoal'!$I$532:$AJ$532&amp;'Gastos com Pessoal'!$I$6:$AJ$6,0),500,1)),0)
+_xlfn.IFNA(SUM((BC$3&gt;='Gastos com Pessoal'!$E$7:$E$506)*(BC$3&lt;='Gastos com Pessoal'!$F$7:$F$506)*(IF('Gastos com Pessoal'!$Y$7:$Y$506&lt;=BC$3,1,0))*OFFSET('Gastos com Pessoal'!$H$6,1,MATCH(4&amp;$B53,'Gastos com Pessoal'!$I$532:$AJ$532&amp;'Gastos com Pessoal'!$I$6:$AJ$6,0),500,1)),0)
+_xlfn.IFNA(SUM((BC$3&gt;='Gastos com Pessoal'!$E$7:$E$506)*(BC$3&lt;='Gastos com Pessoal'!$F$7:$F$506)*(IF('Gastos com Pessoal'!$AE$7:$AE$506&lt;=BC$3,1,0))*OFFSET('Gastos com Pessoal'!$H$6,1,MATCH(5&amp;$B53,'Gastos com Pessoal'!$I$532:$AJ$532&amp;'Gastos com Pessoal'!$I$6:$AJ$6,0),500,1)),0)
+_xlfn.IFNA(SUM((BC$3&gt;='Gastos com Pessoal'!$E$513:$E$522)*(BC$3&lt;='Gastos com Pessoal'!$F$513:$F$522)*(IF('Gastos com Pessoal'!$G$513:$G$522&lt;=BC$3,1,0))*OFFSET('Gastos com Pessoal'!$H$512,1,MATCH(1&amp;$B53,'Gastos com Pessoal'!$I$532:$AJ$532&amp;'Gastos com Pessoal'!$I$512:$AJ$512,0),10,1)),0)
+_xlfn.IFNA(SUM((BC$3&gt;='Gastos com Pessoal'!$E$513:$E$522)*(BC$3&lt;='Gastos com Pessoal'!$F$513:$F$522)*(IF('Gastos com Pessoal'!$M$513:$M$522&lt;=BC$3,1,0))*OFFSET('Gastos com Pessoal'!$H$512,1,MATCH(2&amp;$B53,'Gastos com Pessoal'!$I$532:$AJ$532&amp;'Gastos com Pessoal'!$I$512:$AJ$512,0),10,1)),0)
+_xlfn.IFNA(SUM((BC$3&gt;='Gastos com Pessoal'!$E$513:$E$522)*(BC$3&lt;='Gastos com Pessoal'!$F$513:$F$522)*(IF('Gastos com Pessoal'!$S$513:$S$522&lt;=BC$3,1,0))*OFFSET('Gastos com Pessoal'!$H$512,1,MATCH(3&amp;$B53,'Gastos com Pessoal'!$I$532:$AJ$532&amp;'Gastos com Pessoal'!$I$512:$AJ$512,0),10,1)),0)
+_xlfn.IFNA(SUM((BC$3&gt;='Gastos com Pessoal'!$E$513:$E$522)*(BC$3&lt;='Gastos com Pessoal'!$F$513:$F$522)*(IF('Gastos com Pessoal'!$Y$513:$Y$522&lt;=BC$3,1,0))*OFFSET('Gastos com Pessoal'!$H$512,1,MATCH(4&amp;$B53,'Gastos com Pessoal'!$I$532:$AJ$532&amp;'Gastos com Pessoal'!$I$512:$AJ$512,0),10,1)),0)
+_xlfn.IFNA(SUM((BC$3&gt;='Gastos com Pessoal'!$E$513:$E$522)*(BC$3&lt;='Gastos com Pessoal'!$F$513:$F$522)*(IF('Gastos com Pessoal'!$AE$513:$AE$522&lt;=BC$3,1,0))*OFFSET('Gastos com Pessoal'!$H$512,1,MATCH(5&amp;$B53,'Gastos com Pessoal'!$I$532:$AJ$532&amp;'Gastos com Pessoal'!$I$512:$AJ$512,0),10,1)),0)</f>
        <v>0</v>
      </c>
      <c r="BD53" s="32">
        <f t="array" aca="1" ref="BD53" ca="1">_xlfn.IFNA(SUM((BD$3&gt;='Gastos com Pessoal'!$E$7:$E$506)*(BD$3&lt;='Gastos com Pessoal'!$F$7:$F$506)*OFFSET('Encargos e Benefícios'!$D$5,1,MATCH($B53,'Encargos e Benefícios'!$E$5:$AB$5,0),500,1)),0)
+_xlfn.IFNA(SUM((BD$3&gt;='Gastos com Pessoal'!$E$513:$E$522)*(BD$3&lt;='Gastos com Pessoal'!$F$513:$F$522)*OFFSET('Encargos e Benefícios'!$D$511,1,MATCH($B53,'Encargos e Benefícios'!$E$511:$AB$511,0),10,1)),0)
+_xlfn.IFNA(SUM((BD$3&gt;='Gastos com Pessoal'!$E$7:$E$506)*(BD$3&lt;='Gastos com Pessoal'!$F$7:$F$506)*(IF('Gastos com Pessoal'!$G$7:$G$506&lt;=BD$3,1,0))*OFFSET('Gastos com Pessoal'!$H$6,1,MATCH(1&amp;$B53,'Gastos com Pessoal'!$I$532:$AJ$532&amp;'Gastos com Pessoal'!$I$6:$AJ$6,0),500,1)),0)
+_xlfn.IFNA(SUM((BD$3&gt;='Gastos com Pessoal'!$E$7:$E$506)*(BD$3&lt;='Gastos com Pessoal'!$F$7:$F$506)*(IF('Gastos com Pessoal'!$M$7:$M$506&lt;=BD$3,1,0))*OFFSET('Gastos com Pessoal'!$H$6,1,MATCH(2&amp;$B53,'Gastos com Pessoal'!$I$532:$AJ$532&amp;'Gastos com Pessoal'!$I$6:$AJ$6,0),500,1)),0)
+_xlfn.IFNA(SUM((BD$3&gt;='Gastos com Pessoal'!$E$7:$E$506)*(BD$3&lt;='Gastos com Pessoal'!$F$7:$F$506)*(IF('Gastos com Pessoal'!$S$7:$S$506&lt;=BD$3,1,0))*OFFSET('Gastos com Pessoal'!$H$6,1,MATCH(3&amp;$B53,'Gastos com Pessoal'!$I$532:$AJ$532&amp;'Gastos com Pessoal'!$I$6:$AJ$6,0),500,1)),0)
+_xlfn.IFNA(SUM((BD$3&gt;='Gastos com Pessoal'!$E$7:$E$506)*(BD$3&lt;='Gastos com Pessoal'!$F$7:$F$506)*(IF('Gastos com Pessoal'!$Y$7:$Y$506&lt;=BD$3,1,0))*OFFSET('Gastos com Pessoal'!$H$6,1,MATCH(4&amp;$B53,'Gastos com Pessoal'!$I$532:$AJ$532&amp;'Gastos com Pessoal'!$I$6:$AJ$6,0),500,1)),0)
+_xlfn.IFNA(SUM((BD$3&gt;='Gastos com Pessoal'!$E$7:$E$506)*(BD$3&lt;='Gastos com Pessoal'!$F$7:$F$506)*(IF('Gastos com Pessoal'!$AE$7:$AE$506&lt;=BD$3,1,0))*OFFSET('Gastos com Pessoal'!$H$6,1,MATCH(5&amp;$B53,'Gastos com Pessoal'!$I$532:$AJ$532&amp;'Gastos com Pessoal'!$I$6:$AJ$6,0),500,1)),0)
+_xlfn.IFNA(SUM((BD$3&gt;='Gastos com Pessoal'!$E$513:$E$522)*(BD$3&lt;='Gastos com Pessoal'!$F$513:$F$522)*(IF('Gastos com Pessoal'!$G$513:$G$522&lt;=BD$3,1,0))*OFFSET('Gastos com Pessoal'!$H$512,1,MATCH(1&amp;$B53,'Gastos com Pessoal'!$I$532:$AJ$532&amp;'Gastos com Pessoal'!$I$512:$AJ$512,0),10,1)),0)
+_xlfn.IFNA(SUM((BD$3&gt;='Gastos com Pessoal'!$E$513:$E$522)*(BD$3&lt;='Gastos com Pessoal'!$F$513:$F$522)*(IF('Gastos com Pessoal'!$M$513:$M$522&lt;=BD$3,1,0))*OFFSET('Gastos com Pessoal'!$H$512,1,MATCH(2&amp;$B53,'Gastos com Pessoal'!$I$532:$AJ$532&amp;'Gastos com Pessoal'!$I$512:$AJ$512,0),10,1)),0)
+_xlfn.IFNA(SUM((BD$3&gt;='Gastos com Pessoal'!$E$513:$E$522)*(BD$3&lt;='Gastos com Pessoal'!$F$513:$F$522)*(IF('Gastos com Pessoal'!$S$513:$S$522&lt;=BD$3,1,0))*OFFSET('Gastos com Pessoal'!$H$512,1,MATCH(3&amp;$B53,'Gastos com Pessoal'!$I$532:$AJ$532&amp;'Gastos com Pessoal'!$I$512:$AJ$512,0),10,1)),0)
+_xlfn.IFNA(SUM((BD$3&gt;='Gastos com Pessoal'!$E$513:$E$522)*(BD$3&lt;='Gastos com Pessoal'!$F$513:$F$522)*(IF('Gastos com Pessoal'!$Y$513:$Y$522&lt;=BD$3,1,0))*OFFSET('Gastos com Pessoal'!$H$512,1,MATCH(4&amp;$B53,'Gastos com Pessoal'!$I$532:$AJ$532&amp;'Gastos com Pessoal'!$I$512:$AJ$512,0),10,1)),0)
+_xlfn.IFNA(SUM((BD$3&gt;='Gastos com Pessoal'!$E$513:$E$522)*(BD$3&lt;='Gastos com Pessoal'!$F$513:$F$522)*(IF('Gastos com Pessoal'!$AE$513:$AE$522&lt;=BD$3,1,0))*OFFSET('Gastos com Pessoal'!$H$512,1,MATCH(5&amp;$B53,'Gastos com Pessoal'!$I$532:$AJ$532&amp;'Gastos com Pessoal'!$I$512:$AJ$512,0),10,1)),0)</f>
        <v>0</v>
      </c>
      <c r="BE53" s="32">
        <f t="array" aca="1" ref="BE53" ca="1">_xlfn.IFNA(SUM((BE$3&gt;='Gastos com Pessoal'!$E$7:$E$506)*(BE$3&lt;='Gastos com Pessoal'!$F$7:$F$506)*OFFSET('Encargos e Benefícios'!$D$5,1,MATCH($B53,'Encargos e Benefícios'!$E$5:$AB$5,0),500,1)),0)
+_xlfn.IFNA(SUM((BE$3&gt;='Gastos com Pessoal'!$E$513:$E$522)*(BE$3&lt;='Gastos com Pessoal'!$F$513:$F$522)*OFFSET('Encargos e Benefícios'!$D$511,1,MATCH($B53,'Encargos e Benefícios'!$E$511:$AB$511,0),10,1)),0)
+_xlfn.IFNA(SUM((BE$3&gt;='Gastos com Pessoal'!$E$7:$E$506)*(BE$3&lt;='Gastos com Pessoal'!$F$7:$F$506)*(IF('Gastos com Pessoal'!$G$7:$G$506&lt;=BE$3,1,0))*OFFSET('Gastos com Pessoal'!$H$6,1,MATCH(1&amp;$B53,'Gastos com Pessoal'!$I$532:$AJ$532&amp;'Gastos com Pessoal'!$I$6:$AJ$6,0),500,1)),0)
+_xlfn.IFNA(SUM((BE$3&gt;='Gastos com Pessoal'!$E$7:$E$506)*(BE$3&lt;='Gastos com Pessoal'!$F$7:$F$506)*(IF('Gastos com Pessoal'!$M$7:$M$506&lt;=BE$3,1,0))*OFFSET('Gastos com Pessoal'!$H$6,1,MATCH(2&amp;$B53,'Gastos com Pessoal'!$I$532:$AJ$532&amp;'Gastos com Pessoal'!$I$6:$AJ$6,0),500,1)),0)
+_xlfn.IFNA(SUM((BE$3&gt;='Gastos com Pessoal'!$E$7:$E$506)*(BE$3&lt;='Gastos com Pessoal'!$F$7:$F$506)*(IF('Gastos com Pessoal'!$S$7:$S$506&lt;=BE$3,1,0))*OFFSET('Gastos com Pessoal'!$H$6,1,MATCH(3&amp;$B53,'Gastos com Pessoal'!$I$532:$AJ$532&amp;'Gastos com Pessoal'!$I$6:$AJ$6,0),500,1)),0)
+_xlfn.IFNA(SUM((BE$3&gt;='Gastos com Pessoal'!$E$7:$E$506)*(BE$3&lt;='Gastos com Pessoal'!$F$7:$F$506)*(IF('Gastos com Pessoal'!$Y$7:$Y$506&lt;=BE$3,1,0))*OFFSET('Gastos com Pessoal'!$H$6,1,MATCH(4&amp;$B53,'Gastos com Pessoal'!$I$532:$AJ$532&amp;'Gastos com Pessoal'!$I$6:$AJ$6,0),500,1)),0)
+_xlfn.IFNA(SUM((BE$3&gt;='Gastos com Pessoal'!$E$7:$E$506)*(BE$3&lt;='Gastos com Pessoal'!$F$7:$F$506)*(IF('Gastos com Pessoal'!$AE$7:$AE$506&lt;=BE$3,1,0))*OFFSET('Gastos com Pessoal'!$H$6,1,MATCH(5&amp;$B53,'Gastos com Pessoal'!$I$532:$AJ$532&amp;'Gastos com Pessoal'!$I$6:$AJ$6,0),500,1)),0)
+_xlfn.IFNA(SUM((BE$3&gt;='Gastos com Pessoal'!$E$513:$E$522)*(BE$3&lt;='Gastos com Pessoal'!$F$513:$F$522)*(IF('Gastos com Pessoal'!$G$513:$G$522&lt;=BE$3,1,0))*OFFSET('Gastos com Pessoal'!$H$512,1,MATCH(1&amp;$B53,'Gastos com Pessoal'!$I$532:$AJ$532&amp;'Gastos com Pessoal'!$I$512:$AJ$512,0),10,1)),0)
+_xlfn.IFNA(SUM((BE$3&gt;='Gastos com Pessoal'!$E$513:$E$522)*(BE$3&lt;='Gastos com Pessoal'!$F$513:$F$522)*(IF('Gastos com Pessoal'!$M$513:$M$522&lt;=BE$3,1,0))*OFFSET('Gastos com Pessoal'!$H$512,1,MATCH(2&amp;$B53,'Gastos com Pessoal'!$I$532:$AJ$532&amp;'Gastos com Pessoal'!$I$512:$AJ$512,0),10,1)),0)
+_xlfn.IFNA(SUM((BE$3&gt;='Gastos com Pessoal'!$E$513:$E$522)*(BE$3&lt;='Gastos com Pessoal'!$F$513:$F$522)*(IF('Gastos com Pessoal'!$S$513:$S$522&lt;=BE$3,1,0))*OFFSET('Gastos com Pessoal'!$H$512,1,MATCH(3&amp;$B53,'Gastos com Pessoal'!$I$532:$AJ$532&amp;'Gastos com Pessoal'!$I$512:$AJ$512,0),10,1)),0)
+_xlfn.IFNA(SUM((BE$3&gt;='Gastos com Pessoal'!$E$513:$E$522)*(BE$3&lt;='Gastos com Pessoal'!$F$513:$F$522)*(IF('Gastos com Pessoal'!$Y$513:$Y$522&lt;=BE$3,1,0))*OFFSET('Gastos com Pessoal'!$H$512,1,MATCH(4&amp;$B53,'Gastos com Pessoal'!$I$532:$AJ$532&amp;'Gastos com Pessoal'!$I$512:$AJ$512,0),10,1)),0)
+_xlfn.IFNA(SUM((BE$3&gt;='Gastos com Pessoal'!$E$513:$E$522)*(BE$3&lt;='Gastos com Pessoal'!$F$513:$F$522)*(IF('Gastos com Pessoal'!$AE$513:$AE$522&lt;=BE$3,1,0))*OFFSET('Gastos com Pessoal'!$H$512,1,MATCH(5&amp;$B53,'Gastos com Pessoal'!$I$532:$AJ$532&amp;'Gastos com Pessoal'!$I$512:$AJ$512,0),10,1)),0)</f>
        <v>0</v>
      </c>
      <c r="BF53" s="32">
        <f t="array" aca="1" ref="BF53" ca="1">_xlfn.IFNA(SUM((BF$3&gt;='Gastos com Pessoal'!$E$7:$E$506)*(BF$3&lt;='Gastos com Pessoal'!$F$7:$F$506)*OFFSET('Encargos e Benefícios'!$D$5,1,MATCH($B53,'Encargos e Benefícios'!$E$5:$AB$5,0),500,1)),0)
+_xlfn.IFNA(SUM((BF$3&gt;='Gastos com Pessoal'!$E$513:$E$522)*(BF$3&lt;='Gastos com Pessoal'!$F$513:$F$522)*OFFSET('Encargos e Benefícios'!$D$511,1,MATCH($B53,'Encargos e Benefícios'!$E$511:$AB$511,0),10,1)),0)
+_xlfn.IFNA(SUM((BF$3&gt;='Gastos com Pessoal'!$E$7:$E$506)*(BF$3&lt;='Gastos com Pessoal'!$F$7:$F$506)*(IF('Gastos com Pessoal'!$G$7:$G$506&lt;=BF$3,1,0))*OFFSET('Gastos com Pessoal'!$H$6,1,MATCH(1&amp;$B53,'Gastos com Pessoal'!$I$532:$AJ$532&amp;'Gastos com Pessoal'!$I$6:$AJ$6,0),500,1)),0)
+_xlfn.IFNA(SUM((BF$3&gt;='Gastos com Pessoal'!$E$7:$E$506)*(BF$3&lt;='Gastos com Pessoal'!$F$7:$F$506)*(IF('Gastos com Pessoal'!$M$7:$M$506&lt;=BF$3,1,0))*OFFSET('Gastos com Pessoal'!$H$6,1,MATCH(2&amp;$B53,'Gastos com Pessoal'!$I$532:$AJ$532&amp;'Gastos com Pessoal'!$I$6:$AJ$6,0),500,1)),0)
+_xlfn.IFNA(SUM((BF$3&gt;='Gastos com Pessoal'!$E$7:$E$506)*(BF$3&lt;='Gastos com Pessoal'!$F$7:$F$506)*(IF('Gastos com Pessoal'!$S$7:$S$506&lt;=BF$3,1,0))*OFFSET('Gastos com Pessoal'!$H$6,1,MATCH(3&amp;$B53,'Gastos com Pessoal'!$I$532:$AJ$532&amp;'Gastos com Pessoal'!$I$6:$AJ$6,0),500,1)),0)
+_xlfn.IFNA(SUM((BF$3&gt;='Gastos com Pessoal'!$E$7:$E$506)*(BF$3&lt;='Gastos com Pessoal'!$F$7:$F$506)*(IF('Gastos com Pessoal'!$Y$7:$Y$506&lt;=BF$3,1,0))*OFFSET('Gastos com Pessoal'!$H$6,1,MATCH(4&amp;$B53,'Gastos com Pessoal'!$I$532:$AJ$532&amp;'Gastos com Pessoal'!$I$6:$AJ$6,0),500,1)),0)
+_xlfn.IFNA(SUM((BF$3&gt;='Gastos com Pessoal'!$E$7:$E$506)*(BF$3&lt;='Gastos com Pessoal'!$F$7:$F$506)*(IF('Gastos com Pessoal'!$AE$7:$AE$506&lt;=BF$3,1,0))*OFFSET('Gastos com Pessoal'!$H$6,1,MATCH(5&amp;$B53,'Gastos com Pessoal'!$I$532:$AJ$532&amp;'Gastos com Pessoal'!$I$6:$AJ$6,0),500,1)),0)
+_xlfn.IFNA(SUM((BF$3&gt;='Gastos com Pessoal'!$E$513:$E$522)*(BF$3&lt;='Gastos com Pessoal'!$F$513:$F$522)*(IF('Gastos com Pessoal'!$G$513:$G$522&lt;=BF$3,1,0))*OFFSET('Gastos com Pessoal'!$H$512,1,MATCH(1&amp;$B53,'Gastos com Pessoal'!$I$532:$AJ$532&amp;'Gastos com Pessoal'!$I$512:$AJ$512,0),10,1)),0)
+_xlfn.IFNA(SUM((BF$3&gt;='Gastos com Pessoal'!$E$513:$E$522)*(BF$3&lt;='Gastos com Pessoal'!$F$513:$F$522)*(IF('Gastos com Pessoal'!$M$513:$M$522&lt;=BF$3,1,0))*OFFSET('Gastos com Pessoal'!$H$512,1,MATCH(2&amp;$B53,'Gastos com Pessoal'!$I$532:$AJ$532&amp;'Gastos com Pessoal'!$I$512:$AJ$512,0),10,1)),0)
+_xlfn.IFNA(SUM((BF$3&gt;='Gastos com Pessoal'!$E$513:$E$522)*(BF$3&lt;='Gastos com Pessoal'!$F$513:$F$522)*(IF('Gastos com Pessoal'!$S$513:$S$522&lt;=BF$3,1,0))*OFFSET('Gastos com Pessoal'!$H$512,1,MATCH(3&amp;$B53,'Gastos com Pessoal'!$I$532:$AJ$532&amp;'Gastos com Pessoal'!$I$512:$AJ$512,0),10,1)),0)
+_xlfn.IFNA(SUM((BF$3&gt;='Gastos com Pessoal'!$E$513:$E$522)*(BF$3&lt;='Gastos com Pessoal'!$F$513:$F$522)*(IF('Gastos com Pessoal'!$Y$513:$Y$522&lt;=BF$3,1,0))*OFFSET('Gastos com Pessoal'!$H$512,1,MATCH(4&amp;$B53,'Gastos com Pessoal'!$I$532:$AJ$532&amp;'Gastos com Pessoal'!$I$512:$AJ$512,0),10,1)),0)
+_xlfn.IFNA(SUM((BF$3&gt;='Gastos com Pessoal'!$E$513:$E$522)*(BF$3&lt;='Gastos com Pessoal'!$F$513:$F$522)*(IF('Gastos com Pessoal'!$AE$513:$AE$522&lt;=BF$3,1,0))*OFFSET('Gastos com Pessoal'!$H$512,1,MATCH(5&amp;$B53,'Gastos com Pessoal'!$I$532:$AJ$532&amp;'Gastos com Pessoal'!$I$512:$AJ$512,0),10,1)),0)</f>
        <v>0</v>
      </c>
      <c r="BG53" s="32">
        <f t="array" aca="1" ref="BG53" ca="1">_xlfn.IFNA(SUM((BG$3&gt;='Gastos com Pessoal'!$E$7:$E$506)*(BG$3&lt;='Gastos com Pessoal'!$F$7:$F$506)*OFFSET('Encargos e Benefícios'!$D$5,1,MATCH($B53,'Encargos e Benefícios'!$E$5:$AB$5,0),500,1)),0)
+_xlfn.IFNA(SUM((BG$3&gt;='Gastos com Pessoal'!$E$513:$E$522)*(BG$3&lt;='Gastos com Pessoal'!$F$513:$F$522)*OFFSET('Encargos e Benefícios'!$D$511,1,MATCH($B53,'Encargos e Benefícios'!$E$511:$AB$511,0),10,1)),0)
+_xlfn.IFNA(SUM((BG$3&gt;='Gastos com Pessoal'!$E$7:$E$506)*(BG$3&lt;='Gastos com Pessoal'!$F$7:$F$506)*(IF('Gastos com Pessoal'!$G$7:$G$506&lt;=BG$3,1,0))*OFFSET('Gastos com Pessoal'!$H$6,1,MATCH(1&amp;$B53,'Gastos com Pessoal'!$I$532:$AJ$532&amp;'Gastos com Pessoal'!$I$6:$AJ$6,0),500,1)),0)
+_xlfn.IFNA(SUM((BG$3&gt;='Gastos com Pessoal'!$E$7:$E$506)*(BG$3&lt;='Gastos com Pessoal'!$F$7:$F$506)*(IF('Gastos com Pessoal'!$M$7:$M$506&lt;=BG$3,1,0))*OFFSET('Gastos com Pessoal'!$H$6,1,MATCH(2&amp;$B53,'Gastos com Pessoal'!$I$532:$AJ$532&amp;'Gastos com Pessoal'!$I$6:$AJ$6,0),500,1)),0)
+_xlfn.IFNA(SUM((BG$3&gt;='Gastos com Pessoal'!$E$7:$E$506)*(BG$3&lt;='Gastos com Pessoal'!$F$7:$F$506)*(IF('Gastos com Pessoal'!$S$7:$S$506&lt;=BG$3,1,0))*OFFSET('Gastos com Pessoal'!$H$6,1,MATCH(3&amp;$B53,'Gastos com Pessoal'!$I$532:$AJ$532&amp;'Gastos com Pessoal'!$I$6:$AJ$6,0),500,1)),0)
+_xlfn.IFNA(SUM((BG$3&gt;='Gastos com Pessoal'!$E$7:$E$506)*(BG$3&lt;='Gastos com Pessoal'!$F$7:$F$506)*(IF('Gastos com Pessoal'!$Y$7:$Y$506&lt;=BG$3,1,0))*OFFSET('Gastos com Pessoal'!$H$6,1,MATCH(4&amp;$B53,'Gastos com Pessoal'!$I$532:$AJ$532&amp;'Gastos com Pessoal'!$I$6:$AJ$6,0),500,1)),0)
+_xlfn.IFNA(SUM((BG$3&gt;='Gastos com Pessoal'!$E$7:$E$506)*(BG$3&lt;='Gastos com Pessoal'!$F$7:$F$506)*(IF('Gastos com Pessoal'!$AE$7:$AE$506&lt;=BG$3,1,0))*OFFSET('Gastos com Pessoal'!$H$6,1,MATCH(5&amp;$B53,'Gastos com Pessoal'!$I$532:$AJ$532&amp;'Gastos com Pessoal'!$I$6:$AJ$6,0),500,1)),0)
+_xlfn.IFNA(SUM((BG$3&gt;='Gastos com Pessoal'!$E$513:$E$522)*(BG$3&lt;='Gastos com Pessoal'!$F$513:$F$522)*(IF('Gastos com Pessoal'!$G$513:$G$522&lt;=BG$3,1,0))*OFFSET('Gastos com Pessoal'!$H$512,1,MATCH(1&amp;$B53,'Gastos com Pessoal'!$I$532:$AJ$532&amp;'Gastos com Pessoal'!$I$512:$AJ$512,0),10,1)),0)
+_xlfn.IFNA(SUM((BG$3&gt;='Gastos com Pessoal'!$E$513:$E$522)*(BG$3&lt;='Gastos com Pessoal'!$F$513:$F$522)*(IF('Gastos com Pessoal'!$M$513:$M$522&lt;=BG$3,1,0))*OFFSET('Gastos com Pessoal'!$H$512,1,MATCH(2&amp;$B53,'Gastos com Pessoal'!$I$532:$AJ$532&amp;'Gastos com Pessoal'!$I$512:$AJ$512,0),10,1)),0)
+_xlfn.IFNA(SUM((BG$3&gt;='Gastos com Pessoal'!$E$513:$E$522)*(BG$3&lt;='Gastos com Pessoal'!$F$513:$F$522)*(IF('Gastos com Pessoal'!$S$513:$S$522&lt;=BG$3,1,0))*OFFSET('Gastos com Pessoal'!$H$512,1,MATCH(3&amp;$B53,'Gastos com Pessoal'!$I$532:$AJ$532&amp;'Gastos com Pessoal'!$I$512:$AJ$512,0),10,1)),0)
+_xlfn.IFNA(SUM((BG$3&gt;='Gastos com Pessoal'!$E$513:$E$522)*(BG$3&lt;='Gastos com Pessoal'!$F$513:$F$522)*(IF('Gastos com Pessoal'!$Y$513:$Y$522&lt;=BG$3,1,0))*OFFSET('Gastos com Pessoal'!$H$512,1,MATCH(4&amp;$B53,'Gastos com Pessoal'!$I$532:$AJ$532&amp;'Gastos com Pessoal'!$I$512:$AJ$512,0),10,1)),0)
+_xlfn.IFNA(SUM((BG$3&gt;='Gastos com Pessoal'!$E$513:$E$522)*(BG$3&lt;='Gastos com Pessoal'!$F$513:$F$522)*(IF('Gastos com Pessoal'!$AE$513:$AE$522&lt;=BG$3,1,0))*OFFSET('Gastos com Pessoal'!$H$512,1,MATCH(5&amp;$B53,'Gastos com Pessoal'!$I$532:$AJ$532&amp;'Gastos com Pessoal'!$I$512:$AJ$512,0),10,1)),0)</f>
        <v>0</v>
      </c>
      <c r="BH53" s="32">
        <f t="array" aca="1" ref="BH53" ca="1">_xlfn.IFNA(SUM((BH$3&gt;='Gastos com Pessoal'!$E$7:$E$506)*(BH$3&lt;='Gastos com Pessoal'!$F$7:$F$506)*OFFSET('Encargos e Benefícios'!$D$5,1,MATCH($B53,'Encargos e Benefícios'!$E$5:$AB$5,0),500,1)),0)
+_xlfn.IFNA(SUM((BH$3&gt;='Gastos com Pessoal'!$E$513:$E$522)*(BH$3&lt;='Gastos com Pessoal'!$F$513:$F$522)*OFFSET('Encargos e Benefícios'!$D$511,1,MATCH($B53,'Encargos e Benefícios'!$E$511:$AB$511,0),10,1)),0)
+_xlfn.IFNA(SUM((BH$3&gt;='Gastos com Pessoal'!$E$7:$E$506)*(BH$3&lt;='Gastos com Pessoal'!$F$7:$F$506)*(IF('Gastos com Pessoal'!$G$7:$G$506&lt;=BH$3,1,0))*OFFSET('Gastos com Pessoal'!$H$6,1,MATCH(1&amp;$B53,'Gastos com Pessoal'!$I$532:$AJ$532&amp;'Gastos com Pessoal'!$I$6:$AJ$6,0),500,1)),0)
+_xlfn.IFNA(SUM((BH$3&gt;='Gastos com Pessoal'!$E$7:$E$506)*(BH$3&lt;='Gastos com Pessoal'!$F$7:$F$506)*(IF('Gastos com Pessoal'!$M$7:$M$506&lt;=BH$3,1,0))*OFFSET('Gastos com Pessoal'!$H$6,1,MATCH(2&amp;$B53,'Gastos com Pessoal'!$I$532:$AJ$532&amp;'Gastos com Pessoal'!$I$6:$AJ$6,0),500,1)),0)
+_xlfn.IFNA(SUM((BH$3&gt;='Gastos com Pessoal'!$E$7:$E$506)*(BH$3&lt;='Gastos com Pessoal'!$F$7:$F$506)*(IF('Gastos com Pessoal'!$S$7:$S$506&lt;=BH$3,1,0))*OFFSET('Gastos com Pessoal'!$H$6,1,MATCH(3&amp;$B53,'Gastos com Pessoal'!$I$532:$AJ$532&amp;'Gastos com Pessoal'!$I$6:$AJ$6,0),500,1)),0)
+_xlfn.IFNA(SUM((BH$3&gt;='Gastos com Pessoal'!$E$7:$E$506)*(BH$3&lt;='Gastos com Pessoal'!$F$7:$F$506)*(IF('Gastos com Pessoal'!$Y$7:$Y$506&lt;=BH$3,1,0))*OFFSET('Gastos com Pessoal'!$H$6,1,MATCH(4&amp;$B53,'Gastos com Pessoal'!$I$532:$AJ$532&amp;'Gastos com Pessoal'!$I$6:$AJ$6,0),500,1)),0)
+_xlfn.IFNA(SUM((BH$3&gt;='Gastos com Pessoal'!$E$7:$E$506)*(BH$3&lt;='Gastos com Pessoal'!$F$7:$F$506)*(IF('Gastos com Pessoal'!$AE$7:$AE$506&lt;=BH$3,1,0))*OFFSET('Gastos com Pessoal'!$H$6,1,MATCH(5&amp;$B53,'Gastos com Pessoal'!$I$532:$AJ$532&amp;'Gastos com Pessoal'!$I$6:$AJ$6,0),500,1)),0)
+_xlfn.IFNA(SUM((BH$3&gt;='Gastos com Pessoal'!$E$513:$E$522)*(BH$3&lt;='Gastos com Pessoal'!$F$513:$F$522)*(IF('Gastos com Pessoal'!$G$513:$G$522&lt;=BH$3,1,0))*OFFSET('Gastos com Pessoal'!$H$512,1,MATCH(1&amp;$B53,'Gastos com Pessoal'!$I$532:$AJ$532&amp;'Gastos com Pessoal'!$I$512:$AJ$512,0),10,1)),0)
+_xlfn.IFNA(SUM((BH$3&gt;='Gastos com Pessoal'!$E$513:$E$522)*(BH$3&lt;='Gastos com Pessoal'!$F$513:$F$522)*(IF('Gastos com Pessoal'!$M$513:$M$522&lt;=BH$3,1,0))*OFFSET('Gastos com Pessoal'!$H$512,1,MATCH(2&amp;$B53,'Gastos com Pessoal'!$I$532:$AJ$532&amp;'Gastos com Pessoal'!$I$512:$AJ$512,0),10,1)),0)
+_xlfn.IFNA(SUM((BH$3&gt;='Gastos com Pessoal'!$E$513:$E$522)*(BH$3&lt;='Gastos com Pessoal'!$F$513:$F$522)*(IF('Gastos com Pessoal'!$S$513:$S$522&lt;=BH$3,1,0))*OFFSET('Gastos com Pessoal'!$H$512,1,MATCH(3&amp;$B53,'Gastos com Pessoal'!$I$532:$AJ$532&amp;'Gastos com Pessoal'!$I$512:$AJ$512,0),10,1)),0)
+_xlfn.IFNA(SUM((BH$3&gt;='Gastos com Pessoal'!$E$513:$E$522)*(BH$3&lt;='Gastos com Pessoal'!$F$513:$F$522)*(IF('Gastos com Pessoal'!$Y$513:$Y$522&lt;=BH$3,1,0))*OFFSET('Gastos com Pessoal'!$H$512,1,MATCH(4&amp;$B53,'Gastos com Pessoal'!$I$532:$AJ$532&amp;'Gastos com Pessoal'!$I$512:$AJ$512,0),10,1)),0)
+_xlfn.IFNA(SUM((BH$3&gt;='Gastos com Pessoal'!$E$513:$E$522)*(BH$3&lt;='Gastos com Pessoal'!$F$513:$F$522)*(IF('Gastos com Pessoal'!$AE$513:$AE$522&lt;=BH$3,1,0))*OFFSET('Gastos com Pessoal'!$H$512,1,MATCH(5&amp;$B53,'Gastos com Pessoal'!$I$532:$AJ$532&amp;'Gastos com Pessoal'!$I$512:$AJ$512,0),10,1)),0)</f>
        <v>0</v>
      </c>
      <c r="BI53" s="32">
        <f t="array" aca="1" ref="BI53" ca="1">_xlfn.IFNA(SUM((BI$3&gt;='Gastos com Pessoal'!$E$7:$E$506)*(BI$3&lt;='Gastos com Pessoal'!$F$7:$F$506)*OFFSET('Encargos e Benefícios'!$D$5,1,MATCH($B53,'Encargos e Benefícios'!$E$5:$AB$5,0),500,1)),0)
+_xlfn.IFNA(SUM((BI$3&gt;='Gastos com Pessoal'!$E$513:$E$522)*(BI$3&lt;='Gastos com Pessoal'!$F$513:$F$522)*OFFSET('Encargos e Benefícios'!$D$511,1,MATCH($B53,'Encargos e Benefícios'!$E$511:$AB$511,0),10,1)),0)
+_xlfn.IFNA(SUM((BI$3&gt;='Gastos com Pessoal'!$E$7:$E$506)*(BI$3&lt;='Gastos com Pessoal'!$F$7:$F$506)*(IF('Gastos com Pessoal'!$G$7:$G$506&lt;=BI$3,1,0))*OFFSET('Gastos com Pessoal'!$H$6,1,MATCH(1&amp;$B53,'Gastos com Pessoal'!$I$532:$AJ$532&amp;'Gastos com Pessoal'!$I$6:$AJ$6,0),500,1)),0)
+_xlfn.IFNA(SUM((BI$3&gt;='Gastos com Pessoal'!$E$7:$E$506)*(BI$3&lt;='Gastos com Pessoal'!$F$7:$F$506)*(IF('Gastos com Pessoal'!$M$7:$M$506&lt;=BI$3,1,0))*OFFSET('Gastos com Pessoal'!$H$6,1,MATCH(2&amp;$B53,'Gastos com Pessoal'!$I$532:$AJ$532&amp;'Gastos com Pessoal'!$I$6:$AJ$6,0),500,1)),0)
+_xlfn.IFNA(SUM((BI$3&gt;='Gastos com Pessoal'!$E$7:$E$506)*(BI$3&lt;='Gastos com Pessoal'!$F$7:$F$506)*(IF('Gastos com Pessoal'!$S$7:$S$506&lt;=BI$3,1,0))*OFFSET('Gastos com Pessoal'!$H$6,1,MATCH(3&amp;$B53,'Gastos com Pessoal'!$I$532:$AJ$532&amp;'Gastos com Pessoal'!$I$6:$AJ$6,0),500,1)),0)
+_xlfn.IFNA(SUM((BI$3&gt;='Gastos com Pessoal'!$E$7:$E$506)*(BI$3&lt;='Gastos com Pessoal'!$F$7:$F$506)*(IF('Gastos com Pessoal'!$Y$7:$Y$506&lt;=BI$3,1,0))*OFFSET('Gastos com Pessoal'!$H$6,1,MATCH(4&amp;$B53,'Gastos com Pessoal'!$I$532:$AJ$532&amp;'Gastos com Pessoal'!$I$6:$AJ$6,0),500,1)),0)
+_xlfn.IFNA(SUM((BI$3&gt;='Gastos com Pessoal'!$E$7:$E$506)*(BI$3&lt;='Gastos com Pessoal'!$F$7:$F$506)*(IF('Gastos com Pessoal'!$AE$7:$AE$506&lt;=BI$3,1,0))*OFFSET('Gastos com Pessoal'!$H$6,1,MATCH(5&amp;$B53,'Gastos com Pessoal'!$I$532:$AJ$532&amp;'Gastos com Pessoal'!$I$6:$AJ$6,0),500,1)),0)
+_xlfn.IFNA(SUM((BI$3&gt;='Gastos com Pessoal'!$E$513:$E$522)*(BI$3&lt;='Gastos com Pessoal'!$F$513:$F$522)*(IF('Gastos com Pessoal'!$G$513:$G$522&lt;=BI$3,1,0))*OFFSET('Gastos com Pessoal'!$H$512,1,MATCH(1&amp;$B53,'Gastos com Pessoal'!$I$532:$AJ$532&amp;'Gastos com Pessoal'!$I$512:$AJ$512,0),10,1)),0)
+_xlfn.IFNA(SUM((BI$3&gt;='Gastos com Pessoal'!$E$513:$E$522)*(BI$3&lt;='Gastos com Pessoal'!$F$513:$F$522)*(IF('Gastos com Pessoal'!$M$513:$M$522&lt;=BI$3,1,0))*OFFSET('Gastos com Pessoal'!$H$512,1,MATCH(2&amp;$B53,'Gastos com Pessoal'!$I$532:$AJ$532&amp;'Gastos com Pessoal'!$I$512:$AJ$512,0),10,1)),0)
+_xlfn.IFNA(SUM((BI$3&gt;='Gastos com Pessoal'!$E$513:$E$522)*(BI$3&lt;='Gastos com Pessoal'!$F$513:$F$522)*(IF('Gastos com Pessoal'!$S$513:$S$522&lt;=BI$3,1,0))*OFFSET('Gastos com Pessoal'!$H$512,1,MATCH(3&amp;$B53,'Gastos com Pessoal'!$I$532:$AJ$532&amp;'Gastos com Pessoal'!$I$512:$AJ$512,0),10,1)),0)
+_xlfn.IFNA(SUM((BI$3&gt;='Gastos com Pessoal'!$E$513:$E$522)*(BI$3&lt;='Gastos com Pessoal'!$F$513:$F$522)*(IF('Gastos com Pessoal'!$Y$513:$Y$522&lt;=BI$3,1,0))*OFFSET('Gastos com Pessoal'!$H$512,1,MATCH(4&amp;$B53,'Gastos com Pessoal'!$I$532:$AJ$532&amp;'Gastos com Pessoal'!$I$512:$AJ$512,0),10,1)),0)
+_xlfn.IFNA(SUM((BI$3&gt;='Gastos com Pessoal'!$E$513:$E$522)*(BI$3&lt;='Gastos com Pessoal'!$F$513:$F$522)*(IF('Gastos com Pessoal'!$AE$513:$AE$522&lt;=BI$3,1,0))*OFFSET('Gastos com Pessoal'!$H$512,1,MATCH(5&amp;$B53,'Gastos com Pessoal'!$I$532:$AJ$532&amp;'Gastos com Pessoal'!$I$512:$AJ$512,0),10,1)),0)</f>
        <v>0</v>
      </c>
      <c r="BJ53" s="32">
        <f t="array" aca="1" ref="BJ53" ca="1">_xlfn.IFNA(SUM((BJ$3&gt;='Gastos com Pessoal'!$E$7:$E$506)*(BJ$3&lt;='Gastos com Pessoal'!$F$7:$F$506)*OFFSET('Encargos e Benefícios'!$D$5,1,MATCH($B53,'Encargos e Benefícios'!$E$5:$AB$5,0),500,1)),0)
+_xlfn.IFNA(SUM((BJ$3&gt;='Gastos com Pessoal'!$E$513:$E$522)*(BJ$3&lt;='Gastos com Pessoal'!$F$513:$F$522)*OFFSET('Encargos e Benefícios'!$D$511,1,MATCH($B53,'Encargos e Benefícios'!$E$511:$AB$511,0),10,1)),0)
+_xlfn.IFNA(SUM((BJ$3&gt;='Gastos com Pessoal'!$E$7:$E$506)*(BJ$3&lt;='Gastos com Pessoal'!$F$7:$F$506)*(IF('Gastos com Pessoal'!$G$7:$G$506&lt;=BJ$3,1,0))*OFFSET('Gastos com Pessoal'!$H$6,1,MATCH(1&amp;$B53,'Gastos com Pessoal'!$I$532:$AJ$532&amp;'Gastos com Pessoal'!$I$6:$AJ$6,0),500,1)),0)
+_xlfn.IFNA(SUM((BJ$3&gt;='Gastos com Pessoal'!$E$7:$E$506)*(BJ$3&lt;='Gastos com Pessoal'!$F$7:$F$506)*(IF('Gastos com Pessoal'!$M$7:$M$506&lt;=BJ$3,1,0))*OFFSET('Gastos com Pessoal'!$H$6,1,MATCH(2&amp;$B53,'Gastos com Pessoal'!$I$532:$AJ$532&amp;'Gastos com Pessoal'!$I$6:$AJ$6,0),500,1)),0)
+_xlfn.IFNA(SUM((BJ$3&gt;='Gastos com Pessoal'!$E$7:$E$506)*(BJ$3&lt;='Gastos com Pessoal'!$F$7:$F$506)*(IF('Gastos com Pessoal'!$S$7:$S$506&lt;=BJ$3,1,0))*OFFSET('Gastos com Pessoal'!$H$6,1,MATCH(3&amp;$B53,'Gastos com Pessoal'!$I$532:$AJ$532&amp;'Gastos com Pessoal'!$I$6:$AJ$6,0),500,1)),0)
+_xlfn.IFNA(SUM((BJ$3&gt;='Gastos com Pessoal'!$E$7:$E$506)*(BJ$3&lt;='Gastos com Pessoal'!$F$7:$F$506)*(IF('Gastos com Pessoal'!$Y$7:$Y$506&lt;=BJ$3,1,0))*OFFSET('Gastos com Pessoal'!$H$6,1,MATCH(4&amp;$B53,'Gastos com Pessoal'!$I$532:$AJ$532&amp;'Gastos com Pessoal'!$I$6:$AJ$6,0),500,1)),0)
+_xlfn.IFNA(SUM((BJ$3&gt;='Gastos com Pessoal'!$E$7:$E$506)*(BJ$3&lt;='Gastos com Pessoal'!$F$7:$F$506)*(IF('Gastos com Pessoal'!$AE$7:$AE$506&lt;=BJ$3,1,0))*OFFSET('Gastos com Pessoal'!$H$6,1,MATCH(5&amp;$B53,'Gastos com Pessoal'!$I$532:$AJ$532&amp;'Gastos com Pessoal'!$I$6:$AJ$6,0),500,1)),0)
+_xlfn.IFNA(SUM((BJ$3&gt;='Gastos com Pessoal'!$E$513:$E$522)*(BJ$3&lt;='Gastos com Pessoal'!$F$513:$F$522)*(IF('Gastos com Pessoal'!$G$513:$G$522&lt;=BJ$3,1,0))*OFFSET('Gastos com Pessoal'!$H$512,1,MATCH(1&amp;$B53,'Gastos com Pessoal'!$I$532:$AJ$532&amp;'Gastos com Pessoal'!$I$512:$AJ$512,0),10,1)),0)
+_xlfn.IFNA(SUM((BJ$3&gt;='Gastos com Pessoal'!$E$513:$E$522)*(BJ$3&lt;='Gastos com Pessoal'!$F$513:$F$522)*(IF('Gastos com Pessoal'!$M$513:$M$522&lt;=BJ$3,1,0))*OFFSET('Gastos com Pessoal'!$H$512,1,MATCH(2&amp;$B53,'Gastos com Pessoal'!$I$532:$AJ$532&amp;'Gastos com Pessoal'!$I$512:$AJ$512,0),10,1)),0)
+_xlfn.IFNA(SUM((BJ$3&gt;='Gastos com Pessoal'!$E$513:$E$522)*(BJ$3&lt;='Gastos com Pessoal'!$F$513:$F$522)*(IF('Gastos com Pessoal'!$S$513:$S$522&lt;=BJ$3,1,0))*OFFSET('Gastos com Pessoal'!$H$512,1,MATCH(3&amp;$B53,'Gastos com Pessoal'!$I$532:$AJ$532&amp;'Gastos com Pessoal'!$I$512:$AJ$512,0),10,1)),0)
+_xlfn.IFNA(SUM((BJ$3&gt;='Gastos com Pessoal'!$E$513:$E$522)*(BJ$3&lt;='Gastos com Pessoal'!$F$513:$F$522)*(IF('Gastos com Pessoal'!$Y$513:$Y$522&lt;=BJ$3,1,0))*OFFSET('Gastos com Pessoal'!$H$512,1,MATCH(4&amp;$B53,'Gastos com Pessoal'!$I$532:$AJ$532&amp;'Gastos com Pessoal'!$I$512:$AJ$512,0),10,1)),0)
+_xlfn.IFNA(SUM((BJ$3&gt;='Gastos com Pessoal'!$E$513:$E$522)*(BJ$3&lt;='Gastos com Pessoal'!$F$513:$F$522)*(IF('Gastos com Pessoal'!$AE$513:$AE$522&lt;=BJ$3,1,0))*OFFSET('Gastos com Pessoal'!$H$512,1,MATCH(5&amp;$B53,'Gastos com Pessoal'!$I$532:$AJ$532&amp;'Gastos com Pessoal'!$I$512:$AJ$512,0),10,1)),0)</f>
        <v>0</v>
      </c>
      <c r="BK53" s="71">
        <f t="shared" ref="BK53:BK56" ca="1" si="22">SUM(C53:BJ53)</f>
        <v>0</v>
      </c>
      <c r="BL53" s="76">
        <f t="shared" ca="1" si="21"/>
        <v>0</v>
      </c>
    </row>
    <row r="54" spans="1:64" s="49" customFormat="1" ht="23.25" customHeight="1" x14ac:dyDescent="0.2">
      <c r="A54" s="18" t="s">
        <v>181</v>
      </c>
      <c r="B54" s="12" t="s">
        <v>182</v>
      </c>
      <c r="C54" s="32">
        <f t="array" aca="1" ref="C54" ca="1">_xlfn.IFNA(SUM((C$3&gt;='Gastos com Pessoal'!$E$7:$E$506)*(C$3&lt;='Gastos com Pessoal'!$F$7:$F$506)*OFFSET('Encargos e Benefícios'!$D$5,1,MATCH($B54,'Encargos e Benefícios'!$E$5:$AB$5,0),500,1)),0)
+_xlfn.IFNA(SUM((C$3&gt;='Gastos com Pessoal'!$E$513:$E$522)*(C$3&lt;='Gastos com Pessoal'!$F$513:$F$522)*OFFSET('Encargos e Benefícios'!$D$511,1,MATCH($B54,'Encargos e Benefícios'!$E$511:$AB$511,0),10,1)),0)
+_xlfn.IFNA(SUM((C$3&gt;='Gastos com Pessoal'!$E$7:$E$506)*(C$3&lt;='Gastos com Pessoal'!$F$7:$F$506)*(IF('Gastos com Pessoal'!$G$7:$G$506&lt;=C$3,1,0))*OFFSET('Gastos com Pessoal'!$H$6,1,MATCH(1&amp;$B54,'Gastos com Pessoal'!$I$532:$AJ$532&amp;'Gastos com Pessoal'!$I$6:$AJ$6,0),500,1)),0)
+_xlfn.IFNA(SUM((C$3&gt;='Gastos com Pessoal'!$E$7:$E$506)*(C$3&lt;='Gastos com Pessoal'!$F$7:$F$506)*(IF('Gastos com Pessoal'!$M$7:$M$506&lt;=C$3,1,0))*OFFSET('Gastos com Pessoal'!$H$6,1,MATCH(2&amp;$B54,'Gastos com Pessoal'!$I$532:$AJ$532&amp;'Gastos com Pessoal'!$I$6:$AJ$6,0),500,1)),0)
+_xlfn.IFNA(SUM((C$3&gt;='Gastos com Pessoal'!$E$7:$E$506)*(C$3&lt;='Gastos com Pessoal'!$F$7:$F$506)*(IF('Gastos com Pessoal'!$S$7:$S$506&lt;=C$3,1,0))*OFFSET('Gastos com Pessoal'!$H$6,1,MATCH(3&amp;$B54,'Gastos com Pessoal'!$I$532:$AJ$532&amp;'Gastos com Pessoal'!$I$6:$AJ$6,0),500,1)),0)
+_xlfn.IFNA(SUM((C$3&gt;='Gastos com Pessoal'!$E$7:$E$506)*(C$3&lt;='Gastos com Pessoal'!$F$7:$F$506)*(IF('Gastos com Pessoal'!$Y$7:$Y$506&lt;=C$3,1,0))*OFFSET('Gastos com Pessoal'!$H$6,1,MATCH(4&amp;$B54,'Gastos com Pessoal'!$I$532:$AJ$532&amp;'Gastos com Pessoal'!$I$6:$AJ$6,0),500,1)),0)
+_xlfn.IFNA(SUM((C$3&gt;='Gastos com Pessoal'!$E$7:$E$506)*(C$3&lt;='Gastos com Pessoal'!$F$7:$F$506)*(IF('Gastos com Pessoal'!$AE$7:$AE$506&lt;=C$3,1,0))*OFFSET('Gastos com Pessoal'!$H$6,1,MATCH(5&amp;$B54,'Gastos com Pessoal'!$I$532:$AJ$532&amp;'Gastos com Pessoal'!$I$6:$AJ$6,0),500,1)),0)
+_xlfn.IFNA(SUM((C$3&gt;='Gastos com Pessoal'!$E$513:$E$522)*(C$3&lt;='Gastos com Pessoal'!$F$513:$F$522)*(IF('Gastos com Pessoal'!$G$513:$G$522&lt;=C$3,1,0))*OFFSET('Gastos com Pessoal'!$H$512,1,MATCH(1&amp;$B54,'Gastos com Pessoal'!$I$532:$AJ$532&amp;'Gastos com Pessoal'!$I$512:$AJ$512,0),10,1)),0)
+_xlfn.IFNA(SUM((C$3&gt;='Gastos com Pessoal'!$E$513:$E$522)*(C$3&lt;='Gastos com Pessoal'!$F$513:$F$522)*(IF('Gastos com Pessoal'!$M$513:$M$522&lt;=C$3,1,0))*OFFSET('Gastos com Pessoal'!$H$512,1,MATCH(2&amp;$B54,'Gastos com Pessoal'!$I$532:$AJ$532&amp;'Gastos com Pessoal'!$I$512:$AJ$512,0),10,1)),0)
+_xlfn.IFNA(SUM((C$3&gt;='Gastos com Pessoal'!$E$513:$E$522)*(C$3&lt;='Gastos com Pessoal'!$F$513:$F$522)*(IF('Gastos com Pessoal'!$S$513:$S$522&lt;=C$3,1,0))*OFFSET('Gastos com Pessoal'!$H$512,1,MATCH(3&amp;$B54,'Gastos com Pessoal'!$I$532:$AJ$532&amp;'Gastos com Pessoal'!$I$512:$AJ$512,0),10,1)),0)
+_xlfn.IFNA(SUM((C$3&gt;='Gastos com Pessoal'!$E$513:$E$522)*(C$3&lt;='Gastos com Pessoal'!$F$513:$F$522)*(IF('Gastos com Pessoal'!$Y$513:$Y$522&lt;=C$3,1,0))*OFFSET('Gastos com Pessoal'!$H$512,1,MATCH(4&amp;$B54,'Gastos com Pessoal'!$I$532:$AJ$532&amp;'Gastos com Pessoal'!$I$512:$AJ$512,0),10,1)),0)
+_xlfn.IFNA(SUM((C$3&gt;='Gastos com Pessoal'!$E$513:$E$522)*(C$3&lt;='Gastos com Pessoal'!$F$513:$F$522)*(IF('Gastos com Pessoal'!$AE$513:$AE$522&lt;=C$3,1,0))*OFFSET('Gastos com Pessoal'!$H$512,1,MATCH(5&amp;$B54,'Gastos com Pessoal'!$I$532:$AJ$532&amp;'Gastos com Pessoal'!$I$512:$AJ$512,0),10,1)),0)</f>
        <v>33582</v>
      </c>
      <c r="D54" s="32">
        <f t="array" aca="1" ref="D54" ca="1">_xlfn.IFNA(SUM((D$3&gt;='Gastos com Pessoal'!$E$7:$E$506)*(D$3&lt;='Gastos com Pessoal'!$F$7:$F$506)*OFFSET('Encargos e Benefícios'!$D$5,1,MATCH($B54,'Encargos e Benefícios'!$E$5:$AB$5,0),500,1)),0)
+_xlfn.IFNA(SUM((D$3&gt;='Gastos com Pessoal'!$E$513:$E$522)*(D$3&lt;='Gastos com Pessoal'!$F$513:$F$522)*OFFSET('Encargos e Benefícios'!$D$511,1,MATCH($B54,'Encargos e Benefícios'!$E$511:$AB$511,0),10,1)),0)
+_xlfn.IFNA(SUM((D$3&gt;='Gastos com Pessoal'!$E$7:$E$506)*(D$3&lt;='Gastos com Pessoal'!$F$7:$F$506)*(IF('Gastos com Pessoal'!$G$7:$G$506&lt;=D$3,1,0))*OFFSET('Gastos com Pessoal'!$H$6,1,MATCH(1&amp;$B54,'Gastos com Pessoal'!$I$532:$AJ$532&amp;'Gastos com Pessoal'!$I$6:$AJ$6,0),500,1)),0)
+_xlfn.IFNA(SUM((D$3&gt;='Gastos com Pessoal'!$E$7:$E$506)*(D$3&lt;='Gastos com Pessoal'!$F$7:$F$506)*(IF('Gastos com Pessoal'!$M$7:$M$506&lt;=D$3,1,0))*OFFSET('Gastos com Pessoal'!$H$6,1,MATCH(2&amp;$B54,'Gastos com Pessoal'!$I$532:$AJ$532&amp;'Gastos com Pessoal'!$I$6:$AJ$6,0),500,1)),0)
+_xlfn.IFNA(SUM((D$3&gt;='Gastos com Pessoal'!$E$7:$E$506)*(D$3&lt;='Gastos com Pessoal'!$F$7:$F$506)*(IF('Gastos com Pessoal'!$S$7:$S$506&lt;=D$3,1,0))*OFFSET('Gastos com Pessoal'!$H$6,1,MATCH(3&amp;$B54,'Gastos com Pessoal'!$I$532:$AJ$532&amp;'Gastos com Pessoal'!$I$6:$AJ$6,0),500,1)),0)
+_xlfn.IFNA(SUM((D$3&gt;='Gastos com Pessoal'!$E$7:$E$506)*(D$3&lt;='Gastos com Pessoal'!$F$7:$F$506)*(IF('Gastos com Pessoal'!$Y$7:$Y$506&lt;=D$3,1,0))*OFFSET('Gastos com Pessoal'!$H$6,1,MATCH(4&amp;$B54,'Gastos com Pessoal'!$I$532:$AJ$532&amp;'Gastos com Pessoal'!$I$6:$AJ$6,0),500,1)),0)
+_xlfn.IFNA(SUM((D$3&gt;='Gastos com Pessoal'!$E$7:$E$506)*(D$3&lt;='Gastos com Pessoal'!$F$7:$F$506)*(IF('Gastos com Pessoal'!$AE$7:$AE$506&lt;=D$3,1,0))*OFFSET('Gastos com Pessoal'!$H$6,1,MATCH(5&amp;$B54,'Gastos com Pessoal'!$I$532:$AJ$532&amp;'Gastos com Pessoal'!$I$6:$AJ$6,0),500,1)),0)
+_xlfn.IFNA(SUM((D$3&gt;='Gastos com Pessoal'!$E$513:$E$522)*(D$3&lt;='Gastos com Pessoal'!$F$513:$F$522)*(IF('Gastos com Pessoal'!$G$513:$G$522&lt;=D$3,1,0))*OFFSET('Gastos com Pessoal'!$H$512,1,MATCH(1&amp;$B54,'Gastos com Pessoal'!$I$532:$AJ$532&amp;'Gastos com Pessoal'!$I$512:$AJ$512,0),10,1)),0)
+_xlfn.IFNA(SUM((D$3&gt;='Gastos com Pessoal'!$E$513:$E$522)*(D$3&lt;='Gastos com Pessoal'!$F$513:$F$522)*(IF('Gastos com Pessoal'!$M$513:$M$522&lt;=D$3,1,0))*OFFSET('Gastos com Pessoal'!$H$512,1,MATCH(2&amp;$B54,'Gastos com Pessoal'!$I$532:$AJ$532&amp;'Gastos com Pessoal'!$I$512:$AJ$512,0),10,1)),0)
+_xlfn.IFNA(SUM((D$3&gt;='Gastos com Pessoal'!$E$513:$E$522)*(D$3&lt;='Gastos com Pessoal'!$F$513:$F$522)*(IF('Gastos com Pessoal'!$S$513:$S$522&lt;=D$3,1,0))*OFFSET('Gastos com Pessoal'!$H$512,1,MATCH(3&amp;$B54,'Gastos com Pessoal'!$I$532:$AJ$532&amp;'Gastos com Pessoal'!$I$512:$AJ$512,0),10,1)),0)
+_xlfn.IFNA(SUM((D$3&gt;='Gastos com Pessoal'!$E$513:$E$522)*(D$3&lt;='Gastos com Pessoal'!$F$513:$F$522)*(IF('Gastos com Pessoal'!$Y$513:$Y$522&lt;=D$3,1,0))*OFFSET('Gastos com Pessoal'!$H$512,1,MATCH(4&amp;$B54,'Gastos com Pessoal'!$I$532:$AJ$532&amp;'Gastos com Pessoal'!$I$512:$AJ$512,0),10,1)),0)
+_xlfn.IFNA(SUM((D$3&gt;='Gastos com Pessoal'!$E$513:$E$522)*(D$3&lt;='Gastos com Pessoal'!$F$513:$F$522)*(IF('Gastos com Pessoal'!$AE$513:$AE$522&lt;=D$3,1,0))*OFFSET('Gastos com Pessoal'!$H$512,1,MATCH(5&amp;$B54,'Gastos com Pessoal'!$I$532:$AJ$532&amp;'Gastos com Pessoal'!$I$512:$AJ$512,0),10,1)),0)</f>
        <v>33582</v>
      </c>
      <c r="E54" s="32">
        <f t="array" aca="1" ref="E54" ca="1">_xlfn.IFNA(SUM((E$3&gt;='Gastos com Pessoal'!$E$7:$E$506)*(E$3&lt;='Gastos com Pessoal'!$F$7:$F$506)*OFFSET('Encargos e Benefícios'!$D$5,1,MATCH($B54,'Encargos e Benefícios'!$E$5:$AB$5,0),500,1)),0)
+_xlfn.IFNA(SUM((E$3&gt;='Gastos com Pessoal'!$E$513:$E$522)*(E$3&lt;='Gastos com Pessoal'!$F$513:$F$522)*OFFSET('Encargos e Benefícios'!$D$511,1,MATCH($B54,'Encargos e Benefícios'!$E$511:$AB$511,0),10,1)),0)
+_xlfn.IFNA(SUM((E$3&gt;='Gastos com Pessoal'!$E$7:$E$506)*(E$3&lt;='Gastos com Pessoal'!$F$7:$F$506)*(IF('Gastos com Pessoal'!$G$7:$G$506&lt;=E$3,1,0))*OFFSET('Gastos com Pessoal'!$H$6,1,MATCH(1&amp;$B54,'Gastos com Pessoal'!$I$532:$AJ$532&amp;'Gastos com Pessoal'!$I$6:$AJ$6,0),500,1)),0)
+_xlfn.IFNA(SUM((E$3&gt;='Gastos com Pessoal'!$E$7:$E$506)*(E$3&lt;='Gastos com Pessoal'!$F$7:$F$506)*(IF('Gastos com Pessoal'!$M$7:$M$506&lt;=E$3,1,0))*OFFSET('Gastos com Pessoal'!$H$6,1,MATCH(2&amp;$B54,'Gastos com Pessoal'!$I$532:$AJ$532&amp;'Gastos com Pessoal'!$I$6:$AJ$6,0),500,1)),0)
+_xlfn.IFNA(SUM((E$3&gt;='Gastos com Pessoal'!$E$7:$E$506)*(E$3&lt;='Gastos com Pessoal'!$F$7:$F$506)*(IF('Gastos com Pessoal'!$S$7:$S$506&lt;=E$3,1,0))*OFFSET('Gastos com Pessoal'!$H$6,1,MATCH(3&amp;$B54,'Gastos com Pessoal'!$I$532:$AJ$532&amp;'Gastos com Pessoal'!$I$6:$AJ$6,0),500,1)),0)
+_xlfn.IFNA(SUM((E$3&gt;='Gastos com Pessoal'!$E$7:$E$506)*(E$3&lt;='Gastos com Pessoal'!$F$7:$F$506)*(IF('Gastos com Pessoal'!$Y$7:$Y$506&lt;=E$3,1,0))*OFFSET('Gastos com Pessoal'!$H$6,1,MATCH(4&amp;$B54,'Gastos com Pessoal'!$I$532:$AJ$532&amp;'Gastos com Pessoal'!$I$6:$AJ$6,0),500,1)),0)
+_xlfn.IFNA(SUM((E$3&gt;='Gastos com Pessoal'!$E$7:$E$506)*(E$3&lt;='Gastos com Pessoal'!$F$7:$F$506)*(IF('Gastos com Pessoal'!$AE$7:$AE$506&lt;=E$3,1,0))*OFFSET('Gastos com Pessoal'!$H$6,1,MATCH(5&amp;$B54,'Gastos com Pessoal'!$I$532:$AJ$532&amp;'Gastos com Pessoal'!$I$6:$AJ$6,0),500,1)),0)
+_xlfn.IFNA(SUM((E$3&gt;='Gastos com Pessoal'!$E$513:$E$522)*(E$3&lt;='Gastos com Pessoal'!$F$513:$F$522)*(IF('Gastos com Pessoal'!$G$513:$G$522&lt;=E$3,1,0))*OFFSET('Gastos com Pessoal'!$H$512,1,MATCH(1&amp;$B54,'Gastos com Pessoal'!$I$532:$AJ$532&amp;'Gastos com Pessoal'!$I$512:$AJ$512,0),10,1)),0)
+_xlfn.IFNA(SUM((E$3&gt;='Gastos com Pessoal'!$E$513:$E$522)*(E$3&lt;='Gastos com Pessoal'!$F$513:$F$522)*(IF('Gastos com Pessoal'!$M$513:$M$522&lt;=E$3,1,0))*OFFSET('Gastos com Pessoal'!$H$512,1,MATCH(2&amp;$B54,'Gastos com Pessoal'!$I$532:$AJ$532&amp;'Gastos com Pessoal'!$I$512:$AJ$512,0),10,1)),0)
+_xlfn.IFNA(SUM((E$3&gt;='Gastos com Pessoal'!$E$513:$E$522)*(E$3&lt;='Gastos com Pessoal'!$F$513:$F$522)*(IF('Gastos com Pessoal'!$S$513:$S$522&lt;=E$3,1,0))*OFFSET('Gastos com Pessoal'!$H$512,1,MATCH(3&amp;$B54,'Gastos com Pessoal'!$I$532:$AJ$532&amp;'Gastos com Pessoal'!$I$512:$AJ$512,0),10,1)),0)
+_xlfn.IFNA(SUM((E$3&gt;='Gastos com Pessoal'!$E$513:$E$522)*(E$3&lt;='Gastos com Pessoal'!$F$513:$F$522)*(IF('Gastos com Pessoal'!$Y$513:$Y$522&lt;=E$3,1,0))*OFFSET('Gastos com Pessoal'!$H$512,1,MATCH(4&amp;$B54,'Gastos com Pessoal'!$I$532:$AJ$532&amp;'Gastos com Pessoal'!$I$512:$AJ$512,0),10,1)),0)
+_xlfn.IFNA(SUM((E$3&gt;='Gastos com Pessoal'!$E$513:$E$522)*(E$3&lt;='Gastos com Pessoal'!$F$513:$F$522)*(IF('Gastos com Pessoal'!$AE$513:$AE$522&lt;=E$3,1,0))*OFFSET('Gastos com Pessoal'!$H$512,1,MATCH(5&amp;$B54,'Gastos com Pessoal'!$I$532:$AJ$532&amp;'Gastos com Pessoal'!$I$512:$AJ$512,0),10,1)),0)</f>
        <v>33582</v>
      </c>
      <c r="F54" s="32">
        <f t="array" aca="1" ref="F54" ca="1">_xlfn.IFNA(SUM((F$3&gt;='Gastos com Pessoal'!$E$7:$E$506)*(F$3&lt;='Gastos com Pessoal'!$F$7:$F$506)*OFFSET('Encargos e Benefícios'!$D$5,1,MATCH($B54,'Encargos e Benefícios'!$E$5:$AB$5,0),500,1)),0)
+_xlfn.IFNA(SUM((F$3&gt;='Gastos com Pessoal'!$E$513:$E$522)*(F$3&lt;='Gastos com Pessoal'!$F$513:$F$522)*OFFSET('Encargos e Benefícios'!$D$511,1,MATCH($B54,'Encargos e Benefícios'!$E$511:$AB$511,0),10,1)),0)
+_xlfn.IFNA(SUM((F$3&gt;='Gastos com Pessoal'!$E$7:$E$506)*(F$3&lt;='Gastos com Pessoal'!$F$7:$F$506)*(IF('Gastos com Pessoal'!$G$7:$G$506&lt;=F$3,1,0))*OFFSET('Gastos com Pessoal'!$H$6,1,MATCH(1&amp;$B54,'Gastos com Pessoal'!$I$532:$AJ$532&amp;'Gastos com Pessoal'!$I$6:$AJ$6,0),500,1)),0)
+_xlfn.IFNA(SUM((F$3&gt;='Gastos com Pessoal'!$E$7:$E$506)*(F$3&lt;='Gastos com Pessoal'!$F$7:$F$506)*(IF('Gastos com Pessoal'!$M$7:$M$506&lt;=F$3,1,0))*OFFSET('Gastos com Pessoal'!$H$6,1,MATCH(2&amp;$B54,'Gastos com Pessoal'!$I$532:$AJ$532&amp;'Gastos com Pessoal'!$I$6:$AJ$6,0),500,1)),0)
+_xlfn.IFNA(SUM((F$3&gt;='Gastos com Pessoal'!$E$7:$E$506)*(F$3&lt;='Gastos com Pessoal'!$F$7:$F$506)*(IF('Gastos com Pessoal'!$S$7:$S$506&lt;=F$3,1,0))*OFFSET('Gastos com Pessoal'!$H$6,1,MATCH(3&amp;$B54,'Gastos com Pessoal'!$I$532:$AJ$532&amp;'Gastos com Pessoal'!$I$6:$AJ$6,0),500,1)),0)
+_xlfn.IFNA(SUM((F$3&gt;='Gastos com Pessoal'!$E$7:$E$506)*(F$3&lt;='Gastos com Pessoal'!$F$7:$F$506)*(IF('Gastos com Pessoal'!$Y$7:$Y$506&lt;=F$3,1,0))*OFFSET('Gastos com Pessoal'!$H$6,1,MATCH(4&amp;$B54,'Gastos com Pessoal'!$I$532:$AJ$532&amp;'Gastos com Pessoal'!$I$6:$AJ$6,0),500,1)),0)
+_xlfn.IFNA(SUM((F$3&gt;='Gastos com Pessoal'!$E$7:$E$506)*(F$3&lt;='Gastos com Pessoal'!$F$7:$F$506)*(IF('Gastos com Pessoal'!$AE$7:$AE$506&lt;=F$3,1,0))*OFFSET('Gastos com Pessoal'!$H$6,1,MATCH(5&amp;$B54,'Gastos com Pessoal'!$I$532:$AJ$532&amp;'Gastos com Pessoal'!$I$6:$AJ$6,0),500,1)),0)
+_xlfn.IFNA(SUM((F$3&gt;='Gastos com Pessoal'!$E$513:$E$522)*(F$3&lt;='Gastos com Pessoal'!$F$513:$F$522)*(IF('Gastos com Pessoal'!$G$513:$G$522&lt;=F$3,1,0))*OFFSET('Gastos com Pessoal'!$H$512,1,MATCH(1&amp;$B54,'Gastos com Pessoal'!$I$532:$AJ$532&amp;'Gastos com Pessoal'!$I$512:$AJ$512,0),10,1)),0)
+_xlfn.IFNA(SUM((F$3&gt;='Gastos com Pessoal'!$E$513:$E$522)*(F$3&lt;='Gastos com Pessoal'!$F$513:$F$522)*(IF('Gastos com Pessoal'!$M$513:$M$522&lt;=F$3,1,0))*OFFSET('Gastos com Pessoal'!$H$512,1,MATCH(2&amp;$B54,'Gastos com Pessoal'!$I$532:$AJ$532&amp;'Gastos com Pessoal'!$I$512:$AJ$512,0),10,1)),0)
+_xlfn.IFNA(SUM((F$3&gt;='Gastos com Pessoal'!$E$513:$E$522)*(F$3&lt;='Gastos com Pessoal'!$F$513:$F$522)*(IF('Gastos com Pessoal'!$S$513:$S$522&lt;=F$3,1,0))*OFFSET('Gastos com Pessoal'!$H$512,1,MATCH(3&amp;$B54,'Gastos com Pessoal'!$I$532:$AJ$532&amp;'Gastos com Pessoal'!$I$512:$AJ$512,0),10,1)),0)
+_xlfn.IFNA(SUM((F$3&gt;='Gastos com Pessoal'!$E$513:$E$522)*(F$3&lt;='Gastos com Pessoal'!$F$513:$F$522)*(IF('Gastos com Pessoal'!$Y$513:$Y$522&lt;=F$3,1,0))*OFFSET('Gastos com Pessoal'!$H$512,1,MATCH(4&amp;$B54,'Gastos com Pessoal'!$I$532:$AJ$532&amp;'Gastos com Pessoal'!$I$512:$AJ$512,0),10,1)),0)
+_xlfn.IFNA(SUM((F$3&gt;='Gastos com Pessoal'!$E$513:$E$522)*(F$3&lt;='Gastos com Pessoal'!$F$513:$F$522)*(IF('Gastos com Pessoal'!$AE$513:$AE$522&lt;=F$3,1,0))*OFFSET('Gastos com Pessoal'!$H$512,1,MATCH(5&amp;$B54,'Gastos com Pessoal'!$I$532:$AJ$532&amp;'Gastos com Pessoal'!$I$512:$AJ$512,0),10,1)),0)</f>
        <v>33582</v>
      </c>
      <c r="G54" s="32">
        <f t="array" aca="1" ref="G54" ca="1">_xlfn.IFNA(SUM((G$3&gt;='Gastos com Pessoal'!$E$7:$E$506)*(G$3&lt;='Gastos com Pessoal'!$F$7:$F$506)*OFFSET('Encargos e Benefícios'!$D$5,1,MATCH($B54,'Encargos e Benefícios'!$E$5:$AB$5,0),500,1)),0)
+_xlfn.IFNA(SUM((G$3&gt;='Gastos com Pessoal'!$E$513:$E$522)*(G$3&lt;='Gastos com Pessoal'!$F$513:$F$522)*OFFSET('Encargos e Benefícios'!$D$511,1,MATCH($B54,'Encargos e Benefícios'!$E$511:$AB$511,0),10,1)),0)
+_xlfn.IFNA(SUM((G$3&gt;='Gastos com Pessoal'!$E$7:$E$506)*(G$3&lt;='Gastos com Pessoal'!$F$7:$F$506)*(IF('Gastos com Pessoal'!$G$7:$G$506&lt;=G$3,1,0))*OFFSET('Gastos com Pessoal'!$H$6,1,MATCH(1&amp;$B54,'Gastos com Pessoal'!$I$532:$AJ$532&amp;'Gastos com Pessoal'!$I$6:$AJ$6,0),500,1)),0)
+_xlfn.IFNA(SUM((G$3&gt;='Gastos com Pessoal'!$E$7:$E$506)*(G$3&lt;='Gastos com Pessoal'!$F$7:$F$506)*(IF('Gastos com Pessoal'!$M$7:$M$506&lt;=G$3,1,0))*OFFSET('Gastos com Pessoal'!$H$6,1,MATCH(2&amp;$B54,'Gastos com Pessoal'!$I$532:$AJ$532&amp;'Gastos com Pessoal'!$I$6:$AJ$6,0),500,1)),0)
+_xlfn.IFNA(SUM((G$3&gt;='Gastos com Pessoal'!$E$7:$E$506)*(G$3&lt;='Gastos com Pessoal'!$F$7:$F$506)*(IF('Gastos com Pessoal'!$S$7:$S$506&lt;=G$3,1,0))*OFFSET('Gastos com Pessoal'!$H$6,1,MATCH(3&amp;$B54,'Gastos com Pessoal'!$I$532:$AJ$532&amp;'Gastos com Pessoal'!$I$6:$AJ$6,0),500,1)),0)
+_xlfn.IFNA(SUM((G$3&gt;='Gastos com Pessoal'!$E$7:$E$506)*(G$3&lt;='Gastos com Pessoal'!$F$7:$F$506)*(IF('Gastos com Pessoal'!$Y$7:$Y$506&lt;=G$3,1,0))*OFFSET('Gastos com Pessoal'!$H$6,1,MATCH(4&amp;$B54,'Gastos com Pessoal'!$I$532:$AJ$532&amp;'Gastos com Pessoal'!$I$6:$AJ$6,0),500,1)),0)
+_xlfn.IFNA(SUM((G$3&gt;='Gastos com Pessoal'!$E$7:$E$506)*(G$3&lt;='Gastos com Pessoal'!$F$7:$F$506)*(IF('Gastos com Pessoal'!$AE$7:$AE$506&lt;=G$3,1,0))*OFFSET('Gastos com Pessoal'!$H$6,1,MATCH(5&amp;$B54,'Gastos com Pessoal'!$I$532:$AJ$532&amp;'Gastos com Pessoal'!$I$6:$AJ$6,0),500,1)),0)
+_xlfn.IFNA(SUM((G$3&gt;='Gastos com Pessoal'!$E$513:$E$522)*(G$3&lt;='Gastos com Pessoal'!$F$513:$F$522)*(IF('Gastos com Pessoal'!$G$513:$G$522&lt;=G$3,1,0))*OFFSET('Gastos com Pessoal'!$H$512,1,MATCH(1&amp;$B54,'Gastos com Pessoal'!$I$532:$AJ$532&amp;'Gastos com Pessoal'!$I$512:$AJ$512,0),10,1)),0)
+_xlfn.IFNA(SUM((G$3&gt;='Gastos com Pessoal'!$E$513:$E$522)*(G$3&lt;='Gastos com Pessoal'!$F$513:$F$522)*(IF('Gastos com Pessoal'!$M$513:$M$522&lt;=G$3,1,0))*OFFSET('Gastos com Pessoal'!$H$512,1,MATCH(2&amp;$B54,'Gastos com Pessoal'!$I$532:$AJ$532&amp;'Gastos com Pessoal'!$I$512:$AJ$512,0),10,1)),0)
+_xlfn.IFNA(SUM((G$3&gt;='Gastos com Pessoal'!$E$513:$E$522)*(G$3&lt;='Gastos com Pessoal'!$F$513:$F$522)*(IF('Gastos com Pessoal'!$S$513:$S$522&lt;=G$3,1,0))*OFFSET('Gastos com Pessoal'!$H$512,1,MATCH(3&amp;$B54,'Gastos com Pessoal'!$I$532:$AJ$532&amp;'Gastos com Pessoal'!$I$512:$AJ$512,0),10,1)),0)
+_xlfn.IFNA(SUM((G$3&gt;='Gastos com Pessoal'!$E$513:$E$522)*(G$3&lt;='Gastos com Pessoal'!$F$513:$F$522)*(IF('Gastos com Pessoal'!$Y$513:$Y$522&lt;=G$3,1,0))*OFFSET('Gastos com Pessoal'!$H$512,1,MATCH(4&amp;$B54,'Gastos com Pessoal'!$I$532:$AJ$532&amp;'Gastos com Pessoal'!$I$512:$AJ$512,0),10,1)),0)
+_xlfn.IFNA(SUM((G$3&gt;='Gastos com Pessoal'!$E$513:$E$522)*(G$3&lt;='Gastos com Pessoal'!$F$513:$F$522)*(IF('Gastos com Pessoal'!$AE$513:$AE$522&lt;=G$3,1,0))*OFFSET('Gastos com Pessoal'!$H$512,1,MATCH(5&amp;$B54,'Gastos com Pessoal'!$I$532:$AJ$532&amp;'Gastos com Pessoal'!$I$512:$AJ$512,0),10,1)),0)</f>
        <v>33582</v>
      </c>
      <c r="H54" s="32">
        <f t="array" aca="1" ref="H54" ca="1">_xlfn.IFNA(SUM((H$3&gt;='Gastos com Pessoal'!$E$7:$E$506)*(H$3&lt;='Gastos com Pessoal'!$F$7:$F$506)*OFFSET('Encargos e Benefícios'!$D$5,1,MATCH($B54,'Encargos e Benefícios'!$E$5:$AB$5,0),500,1)),0)
+_xlfn.IFNA(SUM((H$3&gt;='Gastos com Pessoal'!$E$513:$E$522)*(H$3&lt;='Gastos com Pessoal'!$F$513:$F$522)*OFFSET('Encargos e Benefícios'!$D$511,1,MATCH($B54,'Encargos e Benefícios'!$E$511:$AB$511,0),10,1)),0)
+_xlfn.IFNA(SUM((H$3&gt;='Gastos com Pessoal'!$E$7:$E$506)*(H$3&lt;='Gastos com Pessoal'!$F$7:$F$506)*(IF('Gastos com Pessoal'!$G$7:$G$506&lt;=H$3,1,0))*OFFSET('Gastos com Pessoal'!$H$6,1,MATCH(1&amp;$B54,'Gastos com Pessoal'!$I$532:$AJ$532&amp;'Gastos com Pessoal'!$I$6:$AJ$6,0),500,1)),0)
+_xlfn.IFNA(SUM((H$3&gt;='Gastos com Pessoal'!$E$7:$E$506)*(H$3&lt;='Gastos com Pessoal'!$F$7:$F$506)*(IF('Gastos com Pessoal'!$M$7:$M$506&lt;=H$3,1,0))*OFFSET('Gastos com Pessoal'!$H$6,1,MATCH(2&amp;$B54,'Gastos com Pessoal'!$I$532:$AJ$532&amp;'Gastos com Pessoal'!$I$6:$AJ$6,0),500,1)),0)
+_xlfn.IFNA(SUM((H$3&gt;='Gastos com Pessoal'!$E$7:$E$506)*(H$3&lt;='Gastos com Pessoal'!$F$7:$F$506)*(IF('Gastos com Pessoal'!$S$7:$S$506&lt;=H$3,1,0))*OFFSET('Gastos com Pessoal'!$H$6,1,MATCH(3&amp;$B54,'Gastos com Pessoal'!$I$532:$AJ$532&amp;'Gastos com Pessoal'!$I$6:$AJ$6,0),500,1)),0)
+_xlfn.IFNA(SUM((H$3&gt;='Gastos com Pessoal'!$E$7:$E$506)*(H$3&lt;='Gastos com Pessoal'!$F$7:$F$506)*(IF('Gastos com Pessoal'!$Y$7:$Y$506&lt;=H$3,1,0))*OFFSET('Gastos com Pessoal'!$H$6,1,MATCH(4&amp;$B54,'Gastos com Pessoal'!$I$532:$AJ$532&amp;'Gastos com Pessoal'!$I$6:$AJ$6,0),500,1)),0)
+_xlfn.IFNA(SUM((H$3&gt;='Gastos com Pessoal'!$E$7:$E$506)*(H$3&lt;='Gastos com Pessoal'!$F$7:$F$506)*(IF('Gastos com Pessoal'!$AE$7:$AE$506&lt;=H$3,1,0))*OFFSET('Gastos com Pessoal'!$H$6,1,MATCH(5&amp;$B54,'Gastos com Pessoal'!$I$532:$AJ$532&amp;'Gastos com Pessoal'!$I$6:$AJ$6,0),500,1)),0)
+_xlfn.IFNA(SUM((H$3&gt;='Gastos com Pessoal'!$E$513:$E$522)*(H$3&lt;='Gastos com Pessoal'!$F$513:$F$522)*(IF('Gastos com Pessoal'!$G$513:$G$522&lt;=H$3,1,0))*OFFSET('Gastos com Pessoal'!$H$512,1,MATCH(1&amp;$B54,'Gastos com Pessoal'!$I$532:$AJ$532&amp;'Gastos com Pessoal'!$I$512:$AJ$512,0),10,1)),0)
+_xlfn.IFNA(SUM((H$3&gt;='Gastos com Pessoal'!$E$513:$E$522)*(H$3&lt;='Gastos com Pessoal'!$F$513:$F$522)*(IF('Gastos com Pessoal'!$M$513:$M$522&lt;=H$3,1,0))*OFFSET('Gastos com Pessoal'!$H$512,1,MATCH(2&amp;$B54,'Gastos com Pessoal'!$I$532:$AJ$532&amp;'Gastos com Pessoal'!$I$512:$AJ$512,0),10,1)),0)
+_xlfn.IFNA(SUM((H$3&gt;='Gastos com Pessoal'!$E$513:$E$522)*(H$3&lt;='Gastos com Pessoal'!$F$513:$F$522)*(IF('Gastos com Pessoal'!$S$513:$S$522&lt;=H$3,1,0))*OFFSET('Gastos com Pessoal'!$H$512,1,MATCH(3&amp;$B54,'Gastos com Pessoal'!$I$532:$AJ$532&amp;'Gastos com Pessoal'!$I$512:$AJ$512,0),10,1)),0)
+_xlfn.IFNA(SUM((H$3&gt;='Gastos com Pessoal'!$E$513:$E$522)*(H$3&lt;='Gastos com Pessoal'!$F$513:$F$522)*(IF('Gastos com Pessoal'!$Y$513:$Y$522&lt;=H$3,1,0))*OFFSET('Gastos com Pessoal'!$H$512,1,MATCH(4&amp;$B54,'Gastos com Pessoal'!$I$532:$AJ$532&amp;'Gastos com Pessoal'!$I$512:$AJ$512,0),10,1)),0)
+_xlfn.IFNA(SUM((H$3&gt;='Gastos com Pessoal'!$E$513:$E$522)*(H$3&lt;='Gastos com Pessoal'!$F$513:$F$522)*(IF('Gastos com Pessoal'!$AE$513:$AE$522&lt;=H$3,1,0))*OFFSET('Gastos com Pessoal'!$H$512,1,MATCH(5&amp;$B54,'Gastos com Pessoal'!$I$532:$AJ$532&amp;'Gastos com Pessoal'!$I$512:$AJ$512,0),10,1)),0)</f>
        <v>33582</v>
      </c>
      <c r="I54" s="32">
        <f t="array" aca="1" ref="I54" ca="1">_xlfn.IFNA(SUM((I$3&gt;='Gastos com Pessoal'!$E$7:$E$506)*(I$3&lt;='Gastos com Pessoal'!$F$7:$F$506)*OFFSET('Encargos e Benefícios'!$D$5,1,MATCH($B54,'Encargos e Benefícios'!$E$5:$AB$5,0),500,1)),0)
+_xlfn.IFNA(SUM((I$3&gt;='Gastos com Pessoal'!$E$513:$E$522)*(I$3&lt;='Gastos com Pessoal'!$F$513:$F$522)*OFFSET('Encargos e Benefícios'!$D$511,1,MATCH($B54,'Encargos e Benefícios'!$E$511:$AB$511,0),10,1)),0)
+_xlfn.IFNA(SUM((I$3&gt;='Gastos com Pessoal'!$E$7:$E$506)*(I$3&lt;='Gastos com Pessoal'!$F$7:$F$506)*(IF('Gastos com Pessoal'!$G$7:$G$506&lt;=I$3,1,0))*OFFSET('Gastos com Pessoal'!$H$6,1,MATCH(1&amp;$B54,'Gastos com Pessoal'!$I$532:$AJ$532&amp;'Gastos com Pessoal'!$I$6:$AJ$6,0),500,1)),0)
+_xlfn.IFNA(SUM((I$3&gt;='Gastos com Pessoal'!$E$7:$E$506)*(I$3&lt;='Gastos com Pessoal'!$F$7:$F$506)*(IF('Gastos com Pessoal'!$M$7:$M$506&lt;=I$3,1,0))*OFFSET('Gastos com Pessoal'!$H$6,1,MATCH(2&amp;$B54,'Gastos com Pessoal'!$I$532:$AJ$532&amp;'Gastos com Pessoal'!$I$6:$AJ$6,0),500,1)),0)
+_xlfn.IFNA(SUM((I$3&gt;='Gastos com Pessoal'!$E$7:$E$506)*(I$3&lt;='Gastos com Pessoal'!$F$7:$F$506)*(IF('Gastos com Pessoal'!$S$7:$S$506&lt;=I$3,1,0))*OFFSET('Gastos com Pessoal'!$H$6,1,MATCH(3&amp;$B54,'Gastos com Pessoal'!$I$532:$AJ$532&amp;'Gastos com Pessoal'!$I$6:$AJ$6,0),500,1)),0)
+_xlfn.IFNA(SUM((I$3&gt;='Gastos com Pessoal'!$E$7:$E$506)*(I$3&lt;='Gastos com Pessoal'!$F$7:$F$506)*(IF('Gastos com Pessoal'!$Y$7:$Y$506&lt;=I$3,1,0))*OFFSET('Gastos com Pessoal'!$H$6,1,MATCH(4&amp;$B54,'Gastos com Pessoal'!$I$532:$AJ$532&amp;'Gastos com Pessoal'!$I$6:$AJ$6,0),500,1)),0)
+_xlfn.IFNA(SUM((I$3&gt;='Gastos com Pessoal'!$E$7:$E$506)*(I$3&lt;='Gastos com Pessoal'!$F$7:$F$506)*(IF('Gastos com Pessoal'!$AE$7:$AE$506&lt;=I$3,1,0))*OFFSET('Gastos com Pessoal'!$H$6,1,MATCH(5&amp;$B54,'Gastos com Pessoal'!$I$532:$AJ$532&amp;'Gastos com Pessoal'!$I$6:$AJ$6,0),500,1)),0)
+_xlfn.IFNA(SUM((I$3&gt;='Gastos com Pessoal'!$E$513:$E$522)*(I$3&lt;='Gastos com Pessoal'!$F$513:$F$522)*(IF('Gastos com Pessoal'!$G$513:$G$522&lt;=I$3,1,0))*OFFSET('Gastos com Pessoal'!$H$512,1,MATCH(1&amp;$B54,'Gastos com Pessoal'!$I$532:$AJ$532&amp;'Gastos com Pessoal'!$I$512:$AJ$512,0),10,1)),0)
+_xlfn.IFNA(SUM((I$3&gt;='Gastos com Pessoal'!$E$513:$E$522)*(I$3&lt;='Gastos com Pessoal'!$F$513:$F$522)*(IF('Gastos com Pessoal'!$M$513:$M$522&lt;=I$3,1,0))*OFFSET('Gastos com Pessoal'!$H$512,1,MATCH(2&amp;$B54,'Gastos com Pessoal'!$I$532:$AJ$532&amp;'Gastos com Pessoal'!$I$512:$AJ$512,0),10,1)),0)
+_xlfn.IFNA(SUM((I$3&gt;='Gastos com Pessoal'!$E$513:$E$522)*(I$3&lt;='Gastos com Pessoal'!$F$513:$F$522)*(IF('Gastos com Pessoal'!$S$513:$S$522&lt;=I$3,1,0))*OFFSET('Gastos com Pessoal'!$H$512,1,MATCH(3&amp;$B54,'Gastos com Pessoal'!$I$532:$AJ$532&amp;'Gastos com Pessoal'!$I$512:$AJ$512,0),10,1)),0)
+_xlfn.IFNA(SUM((I$3&gt;='Gastos com Pessoal'!$E$513:$E$522)*(I$3&lt;='Gastos com Pessoal'!$F$513:$F$522)*(IF('Gastos com Pessoal'!$Y$513:$Y$522&lt;=I$3,1,0))*OFFSET('Gastos com Pessoal'!$H$512,1,MATCH(4&amp;$B54,'Gastos com Pessoal'!$I$532:$AJ$532&amp;'Gastos com Pessoal'!$I$512:$AJ$512,0),10,1)),0)
+_xlfn.IFNA(SUM((I$3&gt;='Gastos com Pessoal'!$E$513:$E$522)*(I$3&lt;='Gastos com Pessoal'!$F$513:$F$522)*(IF('Gastos com Pessoal'!$AE$513:$AE$522&lt;=I$3,1,0))*OFFSET('Gastos com Pessoal'!$H$512,1,MATCH(5&amp;$B54,'Gastos com Pessoal'!$I$532:$AJ$532&amp;'Gastos com Pessoal'!$I$512:$AJ$512,0),10,1)),0)</f>
        <v>33582</v>
      </c>
      <c r="J54" s="32">
        <f t="array" aca="1" ref="J54" ca="1">_xlfn.IFNA(SUM((J$3&gt;='Gastos com Pessoal'!$E$7:$E$506)*(J$3&lt;='Gastos com Pessoal'!$F$7:$F$506)*OFFSET('Encargos e Benefícios'!$D$5,1,MATCH($B54,'Encargos e Benefícios'!$E$5:$AB$5,0),500,1)),0)
+_xlfn.IFNA(SUM((J$3&gt;='Gastos com Pessoal'!$E$513:$E$522)*(J$3&lt;='Gastos com Pessoal'!$F$513:$F$522)*OFFSET('Encargos e Benefícios'!$D$511,1,MATCH($B54,'Encargos e Benefícios'!$E$511:$AB$511,0),10,1)),0)
+_xlfn.IFNA(SUM((J$3&gt;='Gastos com Pessoal'!$E$7:$E$506)*(J$3&lt;='Gastos com Pessoal'!$F$7:$F$506)*(IF('Gastos com Pessoal'!$G$7:$G$506&lt;=J$3,1,0))*OFFSET('Gastos com Pessoal'!$H$6,1,MATCH(1&amp;$B54,'Gastos com Pessoal'!$I$532:$AJ$532&amp;'Gastos com Pessoal'!$I$6:$AJ$6,0),500,1)),0)
+_xlfn.IFNA(SUM((J$3&gt;='Gastos com Pessoal'!$E$7:$E$506)*(J$3&lt;='Gastos com Pessoal'!$F$7:$F$506)*(IF('Gastos com Pessoal'!$M$7:$M$506&lt;=J$3,1,0))*OFFSET('Gastos com Pessoal'!$H$6,1,MATCH(2&amp;$B54,'Gastos com Pessoal'!$I$532:$AJ$532&amp;'Gastos com Pessoal'!$I$6:$AJ$6,0),500,1)),0)
+_xlfn.IFNA(SUM((J$3&gt;='Gastos com Pessoal'!$E$7:$E$506)*(J$3&lt;='Gastos com Pessoal'!$F$7:$F$506)*(IF('Gastos com Pessoal'!$S$7:$S$506&lt;=J$3,1,0))*OFFSET('Gastos com Pessoal'!$H$6,1,MATCH(3&amp;$B54,'Gastos com Pessoal'!$I$532:$AJ$532&amp;'Gastos com Pessoal'!$I$6:$AJ$6,0),500,1)),0)
+_xlfn.IFNA(SUM((J$3&gt;='Gastos com Pessoal'!$E$7:$E$506)*(J$3&lt;='Gastos com Pessoal'!$F$7:$F$506)*(IF('Gastos com Pessoal'!$Y$7:$Y$506&lt;=J$3,1,0))*OFFSET('Gastos com Pessoal'!$H$6,1,MATCH(4&amp;$B54,'Gastos com Pessoal'!$I$532:$AJ$532&amp;'Gastos com Pessoal'!$I$6:$AJ$6,0),500,1)),0)
+_xlfn.IFNA(SUM((J$3&gt;='Gastos com Pessoal'!$E$7:$E$506)*(J$3&lt;='Gastos com Pessoal'!$F$7:$F$506)*(IF('Gastos com Pessoal'!$AE$7:$AE$506&lt;=J$3,1,0))*OFFSET('Gastos com Pessoal'!$H$6,1,MATCH(5&amp;$B54,'Gastos com Pessoal'!$I$532:$AJ$532&amp;'Gastos com Pessoal'!$I$6:$AJ$6,0),500,1)),0)
+_xlfn.IFNA(SUM((J$3&gt;='Gastos com Pessoal'!$E$513:$E$522)*(J$3&lt;='Gastos com Pessoal'!$F$513:$F$522)*(IF('Gastos com Pessoal'!$G$513:$G$522&lt;=J$3,1,0))*OFFSET('Gastos com Pessoal'!$H$512,1,MATCH(1&amp;$B54,'Gastos com Pessoal'!$I$532:$AJ$532&amp;'Gastos com Pessoal'!$I$512:$AJ$512,0),10,1)),0)
+_xlfn.IFNA(SUM((J$3&gt;='Gastos com Pessoal'!$E$513:$E$522)*(J$3&lt;='Gastos com Pessoal'!$F$513:$F$522)*(IF('Gastos com Pessoal'!$M$513:$M$522&lt;=J$3,1,0))*OFFSET('Gastos com Pessoal'!$H$512,1,MATCH(2&amp;$B54,'Gastos com Pessoal'!$I$532:$AJ$532&amp;'Gastos com Pessoal'!$I$512:$AJ$512,0),10,1)),0)
+_xlfn.IFNA(SUM((J$3&gt;='Gastos com Pessoal'!$E$513:$E$522)*(J$3&lt;='Gastos com Pessoal'!$F$513:$F$522)*(IF('Gastos com Pessoal'!$S$513:$S$522&lt;=J$3,1,0))*OFFSET('Gastos com Pessoal'!$H$512,1,MATCH(3&amp;$B54,'Gastos com Pessoal'!$I$532:$AJ$532&amp;'Gastos com Pessoal'!$I$512:$AJ$512,0),10,1)),0)
+_xlfn.IFNA(SUM((J$3&gt;='Gastos com Pessoal'!$E$513:$E$522)*(J$3&lt;='Gastos com Pessoal'!$F$513:$F$522)*(IF('Gastos com Pessoal'!$Y$513:$Y$522&lt;=J$3,1,0))*OFFSET('Gastos com Pessoal'!$H$512,1,MATCH(4&amp;$B54,'Gastos com Pessoal'!$I$532:$AJ$532&amp;'Gastos com Pessoal'!$I$512:$AJ$512,0),10,1)),0)
+_xlfn.IFNA(SUM((J$3&gt;='Gastos com Pessoal'!$E$513:$E$522)*(J$3&lt;='Gastos com Pessoal'!$F$513:$F$522)*(IF('Gastos com Pessoal'!$AE$513:$AE$522&lt;=J$3,1,0))*OFFSET('Gastos com Pessoal'!$H$512,1,MATCH(5&amp;$B54,'Gastos com Pessoal'!$I$532:$AJ$532&amp;'Gastos com Pessoal'!$I$512:$AJ$512,0),10,1)),0)</f>
        <v>33582</v>
      </c>
      <c r="K54" s="32">
        <f t="array" aca="1" ref="K54" ca="1">_xlfn.IFNA(SUM((K$3&gt;='Gastos com Pessoal'!$E$7:$E$506)*(K$3&lt;='Gastos com Pessoal'!$F$7:$F$506)*OFFSET('Encargos e Benefícios'!$D$5,1,MATCH($B54,'Encargos e Benefícios'!$E$5:$AB$5,0),500,1)),0)
+_xlfn.IFNA(SUM((K$3&gt;='Gastos com Pessoal'!$E$513:$E$522)*(K$3&lt;='Gastos com Pessoal'!$F$513:$F$522)*OFFSET('Encargos e Benefícios'!$D$511,1,MATCH($B54,'Encargos e Benefícios'!$E$511:$AB$511,0),10,1)),0)
+_xlfn.IFNA(SUM((K$3&gt;='Gastos com Pessoal'!$E$7:$E$506)*(K$3&lt;='Gastos com Pessoal'!$F$7:$F$506)*(IF('Gastos com Pessoal'!$G$7:$G$506&lt;=K$3,1,0))*OFFSET('Gastos com Pessoal'!$H$6,1,MATCH(1&amp;$B54,'Gastos com Pessoal'!$I$532:$AJ$532&amp;'Gastos com Pessoal'!$I$6:$AJ$6,0),500,1)),0)
+_xlfn.IFNA(SUM((K$3&gt;='Gastos com Pessoal'!$E$7:$E$506)*(K$3&lt;='Gastos com Pessoal'!$F$7:$F$506)*(IF('Gastos com Pessoal'!$M$7:$M$506&lt;=K$3,1,0))*OFFSET('Gastos com Pessoal'!$H$6,1,MATCH(2&amp;$B54,'Gastos com Pessoal'!$I$532:$AJ$532&amp;'Gastos com Pessoal'!$I$6:$AJ$6,0),500,1)),0)
+_xlfn.IFNA(SUM((K$3&gt;='Gastos com Pessoal'!$E$7:$E$506)*(K$3&lt;='Gastos com Pessoal'!$F$7:$F$506)*(IF('Gastos com Pessoal'!$S$7:$S$506&lt;=K$3,1,0))*OFFSET('Gastos com Pessoal'!$H$6,1,MATCH(3&amp;$B54,'Gastos com Pessoal'!$I$532:$AJ$532&amp;'Gastos com Pessoal'!$I$6:$AJ$6,0),500,1)),0)
+_xlfn.IFNA(SUM((K$3&gt;='Gastos com Pessoal'!$E$7:$E$506)*(K$3&lt;='Gastos com Pessoal'!$F$7:$F$506)*(IF('Gastos com Pessoal'!$Y$7:$Y$506&lt;=K$3,1,0))*OFFSET('Gastos com Pessoal'!$H$6,1,MATCH(4&amp;$B54,'Gastos com Pessoal'!$I$532:$AJ$532&amp;'Gastos com Pessoal'!$I$6:$AJ$6,0),500,1)),0)
+_xlfn.IFNA(SUM((K$3&gt;='Gastos com Pessoal'!$E$7:$E$506)*(K$3&lt;='Gastos com Pessoal'!$F$7:$F$506)*(IF('Gastos com Pessoal'!$AE$7:$AE$506&lt;=K$3,1,0))*OFFSET('Gastos com Pessoal'!$H$6,1,MATCH(5&amp;$B54,'Gastos com Pessoal'!$I$532:$AJ$532&amp;'Gastos com Pessoal'!$I$6:$AJ$6,0),500,1)),0)
+_xlfn.IFNA(SUM((K$3&gt;='Gastos com Pessoal'!$E$513:$E$522)*(K$3&lt;='Gastos com Pessoal'!$F$513:$F$522)*(IF('Gastos com Pessoal'!$G$513:$G$522&lt;=K$3,1,0))*OFFSET('Gastos com Pessoal'!$H$512,1,MATCH(1&amp;$B54,'Gastos com Pessoal'!$I$532:$AJ$532&amp;'Gastos com Pessoal'!$I$512:$AJ$512,0),10,1)),0)
+_xlfn.IFNA(SUM((K$3&gt;='Gastos com Pessoal'!$E$513:$E$522)*(K$3&lt;='Gastos com Pessoal'!$F$513:$F$522)*(IF('Gastos com Pessoal'!$M$513:$M$522&lt;=K$3,1,0))*OFFSET('Gastos com Pessoal'!$H$512,1,MATCH(2&amp;$B54,'Gastos com Pessoal'!$I$532:$AJ$532&amp;'Gastos com Pessoal'!$I$512:$AJ$512,0),10,1)),0)
+_xlfn.IFNA(SUM((K$3&gt;='Gastos com Pessoal'!$E$513:$E$522)*(K$3&lt;='Gastos com Pessoal'!$F$513:$F$522)*(IF('Gastos com Pessoal'!$S$513:$S$522&lt;=K$3,1,0))*OFFSET('Gastos com Pessoal'!$H$512,1,MATCH(3&amp;$B54,'Gastos com Pessoal'!$I$532:$AJ$532&amp;'Gastos com Pessoal'!$I$512:$AJ$512,0),10,1)),0)
+_xlfn.IFNA(SUM((K$3&gt;='Gastos com Pessoal'!$E$513:$E$522)*(K$3&lt;='Gastos com Pessoal'!$F$513:$F$522)*(IF('Gastos com Pessoal'!$Y$513:$Y$522&lt;=K$3,1,0))*OFFSET('Gastos com Pessoal'!$H$512,1,MATCH(4&amp;$B54,'Gastos com Pessoal'!$I$532:$AJ$532&amp;'Gastos com Pessoal'!$I$512:$AJ$512,0),10,1)),0)
+_xlfn.IFNA(SUM((K$3&gt;='Gastos com Pessoal'!$E$513:$E$522)*(K$3&lt;='Gastos com Pessoal'!$F$513:$F$522)*(IF('Gastos com Pessoal'!$AE$513:$AE$522&lt;=K$3,1,0))*OFFSET('Gastos com Pessoal'!$H$512,1,MATCH(5&amp;$B54,'Gastos com Pessoal'!$I$532:$AJ$532&amp;'Gastos com Pessoal'!$I$512:$AJ$512,0),10,1)),0)</f>
        <v>33582</v>
      </c>
      <c r="L54" s="32">
        <f t="array" aca="1" ref="L54" ca="1">_xlfn.IFNA(SUM((L$3&gt;='Gastos com Pessoal'!$E$7:$E$506)*(L$3&lt;='Gastos com Pessoal'!$F$7:$F$506)*OFFSET('Encargos e Benefícios'!$D$5,1,MATCH($B54,'Encargos e Benefícios'!$E$5:$AB$5,0),500,1)),0)
+_xlfn.IFNA(SUM((L$3&gt;='Gastos com Pessoal'!$E$513:$E$522)*(L$3&lt;='Gastos com Pessoal'!$F$513:$F$522)*OFFSET('Encargos e Benefícios'!$D$511,1,MATCH($B54,'Encargos e Benefícios'!$E$511:$AB$511,0),10,1)),0)
+_xlfn.IFNA(SUM((L$3&gt;='Gastos com Pessoal'!$E$7:$E$506)*(L$3&lt;='Gastos com Pessoal'!$F$7:$F$506)*(IF('Gastos com Pessoal'!$G$7:$G$506&lt;=L$3,1,0))*OFFSET('Gastos com Pessoal'!$H$6,1,MATCH(1&amp;$B54,'Gastos com Pessoal'!$I$532:$AJ$532&amp;'Gastos com Pessoal'!$I$6:$AJ$6,0),500,1)),0)
+_xlfn.IFNA(SUM((L$3&gt;='Gastos com Pessoal'!$E$7:$E$506)*(L$3&lt;='Gastos com Pessoal'!$F$7:$F$506)*(IF('Gastos com Pessoal'!$M$7:$M$506&lt;=L$3,1,0))*OFFSET('Gastos com Pessoal'!$H$6,1,MATCH(2&amp;$B54,'Gastos com Pessoal'!$I$532:$AJ$532&amp;'Gastos com Pessoal'!$I$6:$AJ$6,0),500,1)),0)
+_xlfn.IFNA(SUM((L$3&gt;='Gastos com Pessoal'!$E$7:$E$506)*(L$3&lt;='Gastos com Pessoal'!$F$7:$F$506)*(IF('Gastos com Pessoal'!$S$7:$S$506&lt;=L$3,1,0))*OFFSET('Gastos com Pessoal'!$H$6,1,MATCH(3&amp;$B54,'Gastos com Pessoal'!$I$532:$AJ$532&amp;'Gastos com Pessoal'!$I$6:$AJ$6,0),500,1)),0)
+_xlfn.IFNA(SUM((L$3&gt;='Gastos com Pessoal'!$E$7:$E$506)*(L$3&lt;='Gastos com Pessoal'!$F$7:$F$506)*(IF('Gastos com Pessoal'!$Y$7:$Y$506&lt;=L$3,1,0))*OFFSET('Gastos com Pessoal'!$H$6,1,MATCH(4&amp;$B54,'Gastos com Pessoal'!$I$532:$AJ$532&amp;'Gastos com Pessoal'!$I$6:$AJ$6,0),500,1)),0)
+_xlfn.IFNA(SUM((L$3&gt;='Gastos com Pessoal'!$E$7:$E$506)*(L$3&lt;='Gastos com Pessoal'!$F$7:$F$506)*(IF('Gastos com Pessoal'!$AE$7:$AE$506&lt;=L$3,1,0))*OFFSET('Gastos com Pessoal'!$H$6,1,MATCH(5&amp;$B54,'Gastos com Pessoal'!$I$532:$AJ$532&amp;'Gastos com Pessoal'!$I$6:$AJ$6,0),500,1)),0)
+_xlfn.IFNA(SUM((L$3&gt;='Gastos com Pessoal'!$E$513:$E$522)*(L$3&lt;='Gastos com Pessoal'!$F$513:$F$522)*(IF('Gastos com Pessoal'!$G$513:$G$522&lt;=L$3,1,0))*OFFSET('Gastos com Pessoal'!$H$512,1,MATCH(1&amp;$B54,'Gastos com Pessoal'!$I$532:$AJ$532&amp;'Gastos com Pessoal'!$I$512:$AJ$512,0),10,1)),0)
+_xlfn.IFNA(SUM((L$3&gt;='Gastos com Pessoal'!$E$513:$E$522)*(L$3&lt;='Gastos com Pessoal'!$F$513:$F$522)*(IF('Gastos com Pessoal'!$M$513:$M$522&lt;=L$3,1,0))*OFFSET('Gastos com Pessoal'!$H$512,1,MATCH(2&amp;$B54,'Gastos com Pessoal'!$I$532:$AJ$532&amp;'Gastos com Pessoal'!$I$512:$AJ$512,0),10,1)),0)
+_xlfn.IFNA(SUM((L$3&gt;='Gastos com Pessoal'!$E$513:$E$522)*(L$3&lt;='Gastos com Pessoal'!$F$513:$F$522)*(IF('Gastos com Pessoal'!$S$513:$S$522&lt;=L$3,1,0))*OFFSET('Gastos com Pessoal'!$H$512,1,MATCH(3&amp;$B54,'Gastos com Pessoal'!$I$532:$AJ$532&amp;'Gastos com Pessoal'!$I$512:$AJ$512,0),10,1)),0)
+_xlfn.IFNA(SUM((L$3&gt;='Gastos com Pessoal'!$E$513:$E$522)*(L$3&lt;='Gastos com Pessoal'!$F$513:$F$522)*(IF('Gastos com Pessoal'!$Y$513:$Y$522&lt;=L$3,1,0))*OFFSET('Gastos com Pessoal'!$H$512,1,MATCH(4&amp;$B54,'Gastos com Pessoal'!$I$532:$AJ$532&amp;'Gastos com Pessoal'!$I$512:$AJ$512,0),10,1)),0)
+_xlfn.IFNA(SUM((L$3&gt;='Gastos com Pessoal'!$E$513:$E$522)*(L$3&lt;='Gastos com Pessoal'!$F$513:$F$522)*(IF('Gastos com Pessoal'!$AE$513:$AE$522&lt;=L$3,1,0))*OFFSET('Gastos com Pessoal'!$H$512,1,MATCH(5&amp;$B54,'Gastos com Pessoal'!$I$532:$AJ$532&amp;'Gastos com Pessoal'!$I$512:$AJ$512,0),10,1)),0)</f>
        <v>33582</v>
      </c>
      <c r="M54" s="32">
        <f t="array" aca="1" ref="M54" ca="1">_xlfn.IFNA(SUM((M$3&gt;='Gastos com Pessoal'!$E$7:$E$506)*(M$3&lt;='Gastos com Pessoal'!$F$7:$F$506)*OFFSET('Encargos e Benefícios'!$D$5,1,MATCH($B54,'Encargos e Benefícios'!$E$5:$AB$5,0),500,1)),0)
+_xlfn.IFNA(SUM((M$3&gt;='Gastos com Pessoal'!$E$513:$E$522)*(M$3&lt;='Gastos com Pessoal'!$F$513:$F$522)*OFFSET('Encargos e Benefícios'!$D$511,1,MATCH($B54,'Encargos e Benefícios'!$E$511:$AB$511,0),10,1)),0)
+_xlfn.IFNA(SUM((M$3&gt;='Gastos com Pessoal'!$E$7:$E$506)*(M$3&lt;='Gastos com Pessoal'!$F$7:$F$506)*(IF('Gastos com Pessoal'!$G$7:$G$506&lt;=M$3,1,0))*OFFSET('Gastos com Pessoal'!$H$6,1,MATCH(1&amp;$B54,'Gastos com Pessoal'!$I$532:$AJ$532&amp;'Gastos com Pessoal'!$I$6:$AJ$6,0),500,1)),0)
+_xlfn.IFNA(SUM((M$3&gt;='Gastos com Pessoal'!$E$7:$E$506)*(M$3&lt;='Gastos com Pessoal'!$F$7:$F$506)*(IF('Gastos com Pessoal'!$M$7:$M$506&lt;=M$3,1,0))*OFFSET('Gastos com Pessoal'!$H$6,1,MATCH(2&amp;$B54,'Gastos com Pessoal'!$I$532:$AJ$532&amp;'Gastos com Pessoal'!$I$6:$AJ$6,0),500,1)),0)
+_xlfn.IFNA(SUM((M$3&gt;='Gastos com Pessoal'!$E$7:$E$506)*(M$3&lt;='Gastos com Pessoal'!$F$7:$F$506)*(IF('Gastos com Pessoal'!$S$7:$S$506&lt;=M$3,1,0))*OFFSET('Gastos com Pessoal'!$H$6,1,MATCH(3&amp;$B54,'Gastos com Pessoal'!$I$532:$AJ$532&amp;'Gastos com Pessoal'!$I$6:$AJ$6,0),500,1)),0)
+_xlfn.IFNA(SUM((M$3&gt;='Gastos com Pessoal'!$E$7:$E$506)*(M$3&lt;='Gastos com Pessoal'!$F$7:$F$506)*(IF('Gastos com Pessoal'!$Y$7:$Y$506&lt;=M$3,1,0))*OFFSET('Gastos com Pessoal'!$H$6,1,MATCH(4&amp;$B54,'Gastos com Pessoal'!$I$532:$AJ$532&amp;'Gastos com Pessoal'!$I$6:$AJ$6,0),500,1)),0)
+_xlfn.IFNA(SUM((M$3&gt;='Gastos com Pessoal'!$E$7:$E$506)*(M$3&lt;='Gastos com Pessoal'!$F$7:$F$506)*(IF('Gastos com Pessoal'!$AE$7:$AE$506&lt;=M$3,1,0))*OFFSET('Gastos com Pessoal'!$H$6,1,MATCH(5&amp;$B54,'Gastos com Pessoal'!$I$532:$AJ$532&amp;'Gastos com Pessoal'!$I$6:$AJ$6,0),500,1)),0)
+_xlfn.IFNA(SUM((M$3&gt;='Gastos com Pessoal'!$E$513:$E$522)*(M$3&lt;='Gastos com Pessoal'!$F$513:$F$522)*(IF('Gastos com Pessoal'!$G$513:$G$522&lt;=M$3,1,0))*OFFSET('Gastos com Pessoal'!$H$512,1,MATCH(1&amp;$B54,'Gastos com Pessoal'!$I$532:$AJ$532&amp;'Gastos com Pessoal'!$I$512:$AJ$512,0),10,1)),0)
+_xlfn.IFNA(SUM((M$3&gt;='Gastos com Pessoal'!$E$513:$E$522)*(M$3&lt;='Gastos com Pessoal'!$F$513:$F$522)*(IF('Gastos com Pessoal'!$M$513:$M$522&lt;=M$3,1,0))*OFFSET('Gastos com Pessoal'!$H$512,1,MATCH(2&amp;$B54,'Gastos com Pessoal'!$I$532:$AJ$532&amp;'Gastos com Pessoal'!$I$512:$AJ$512,0),10,1)),0)
+_xlfn.IFNA(SUM((M$3&gt;='Gastos com Pessoal'!$E$513:$E$522)*(M$3&lt;='Gastos com Pessoal'!$F$513:$F$522)*(IF('Gastos com Pessoal'!$S$513:$S$522&lt;=M$3,1,0))*OFFSET('Gastos com Pessoal'!$H$512,1,MATCH(3&amp;$B54,'Gastos com Pessoal'!$I$532:$AJ$532&amp;'Gastos com Pessoal'!$I$512:$AJ$512,0),10,1)),0)
+_xlfn.IFNA(SUM((M$3&gt;='Gastos com Pessoal'!$E$513:$E$522)*(M$3&lt;='Gastos com Pessoal'!$F$513:$F$522)*(IF('Gastos com Pessoal'!$Y$513:$Y$522&lt;=M$3,1,0))*OFFSET('Gastos com Pessoal'!$H$512,1,MATCH(4&amp;$B54,'Gastos com Pessoal'!$I$532:$AJ$532&amp;'Gastos com Pessoal'!$I$512:$AJ$512,0),10,1)),0)
+_xlfn.IFNA(SUM((M$3&gt;='Gastos com Pessoal'!$E$513:$E$522)*(M$3&lt;='Gastos com Pessoal'!$F$513:$F$522)*(IF('Gastos com Pessoal'!$AE$513:$AE$522&lt;=M$3,1,0))*OFFSET('Gastos com Pessoal'!$H$512,1,MATCH(5&amp;$B54,'Gastos com Pessoal'!$I$532:$AJ$532&amp;'Gastos com Pessoal'!$I$512:$AJ$512,0),10,1)),0)</f>
        <v>33582</v>
      </c>
      <c r="N54" s="32">
        <f t="array" aca="1" ref="N54" ca="1">_xlfn.IFNA(SUM((N$3&gt;='Gastos com Pessoal'!$E$7:$E$506)*(N$3&lt;='Gastos com Pessoal'!$F$7:$F$506)*OFFSET('Encargos e Benefícios'!$D$5,1,MATCH($B54,'Encargos e Benefícios'!$E$5:$AB$5,0),500,1)),0)
+_xlfn.IFNA(SUM((N$3&gt;='Gastos com Pessoal'!$E$513:$E$522)*(N$3&lt;='Gastos com Pessoal'!$F$513:$F$522)*OFFSET('Encargos e Benefícios'!$D$511,1,MATCH($B54,'Encargos e Benefícios'!$E$511:$AB$511,0),10,1)),0)
+_xlfn.IFNA(SUM((N$3&gt;='Gastos com Pessoal'!$E$7:$E$506)*(N$3&lt;='Gastos com Pessoal'!$F$7:$F$506)*(IF('Gastos com Pessoal'!$G$7:$G$506&lt;=N$3,1,0))*OFFSET('Gastos com Pessoal'!$H$6,1,MATCH(1&amp;$B54,'Gastos com Pessoal'!$I$532:$AJ$532&amp;'Gastos com Pessoal'!$I$6:$AJ$6,0),500,1)),0)
+_xlfn.IFNA(SUM((N$3&gt;='Gastos com Pessoal'!$E$7:$E$506)*(N$3&lt;='Gastos com Pessoal'!$F$7:$F$506)*(IF('Gastos com Pessoal'!$M$7:$M$506&lt;=N$3,1,0))*OFFSET('Gastos com Pessoal'!$H$6,1,MATCH(2&amp;$B54,'Gastos com Pessoal'!$I$532:$AJ$532&amp;'Gastos com Pessoal'!$I$6:$AJ$6,0),500,1)),0)
+_xlfn.IFNA(SUM((N$3&gt;='Gastos com Pessoal'!$E$7:$E$506)*(N$3&lt;='Gastos com Pessoal'!$F$7:$F$506)*(IF('Gastos com Pessoal'!$S$7:$S$506&lt;=N$3,1,0))*OFFSET('Gastos com Pessoal'!$H$6,1,MATCH(3&amp;$B54,'Gastos com Pessoal'!$I$532:$AJ$532&amp;'Gastos com Pessoal'!$I$6:$AJ$6,0),500,1)),0)
+_xlfn.IFNA(SUM((N$3&gt;='Gastos com Pessoal'!$E$7:$E$506)*(N$3&lt;='Gastos com Pessoal'!$F$7:$F$506)*(IF('Gastos com Pessoal'!$Y$7:$Y$506&lt;=N$3,1,0))*OFFSET('Gastos com Pessoal'!$H$6,1,MATCH(4&amp;$B54,'Gastos com Pessoal'!$I$532:$AJ$532&amp;'Gastos com Pessoal'!$I$6:$AJ$6,0),500,1)),0)
+_xlfn.IFNA(SUM((N$3&gt;='Gastos com Pessoal'!$E$7:$E$506)*(N$3&lt;='Gastos com Pessoal'!$F$7:$F$506)*(IF('Gastos com Pessoal'!$AE$7:$AE$506&lt;=N$3,1,0))*OFFSET('Gastos com Pessoal'!$H$6,1,MATCH(5&amp;$B54,'Gastos com Pessoal'!$I$532:$AJ$532&amp;'Gastos com Pessoal'!$I$6:$AJ$6,0),500,1)),0)
+_xlfn.IFNA(SUM((N$3&gt;='Gastos com Pessoal'!$E$513:$E$522)*(N$3&lt;='Gastos com Pessoal'!$F$513:$F$522)*(IF('Gastos com Pessoal'!$G$513:$G$522&lt;=N$3,1,0))*OFFSET('Gastos com Pessoal'!$H$512,1,MATCH(1&amp;$B54,'Gastos com Pessoal'!$I$532:$AJ$532&amp;'Gastos com Pessoal'!$I$512:$AJ$512,0),10,1)),0)
+_xlfn.IFNA(SUM((N$3&gt;='Gastos com Pessoal'!$E$513:$E$522)*(N$3&lt;='Gastos com Pessoal'!$F$513:$F$522)*(IF('Gastos com Pessoal'!$M$513:$M$522&lt;=N$3,1,0))*OFFSET('Gastos com Pessoal'!$H$512,1,MATCH(2&amp;$B54,'Gastos com Pessoal'!$I$532:$AJ$532&amp;'Gastos com Pessoal'!$I$512:$AJ$512,0),10,1)),0)
+_xlfn.IFNA(SUM((N$3&gt;='Gastos com Pessoal'!$E$513:$E$522)*(N$3&lt;='Gastos com Pessoal'!$F$513:$F$522)*(IF('Gastos com Pessoal'!$S$513:$S$522&lt;=N$3,1,0))*OFFSET('Gastos com Pessoal'!$H$512,1,MATCH(3&amp;$B54,'Gastos com Pessoal'!$I$532:$AJ$532&amp;'Gastos com Pessoal'!$I$512:$AJ$512,0),10,1)),0)
+_xlfn.IFNA(SUM((N$3&gt;='Gastos com Pessoal'!$E$513:$E$522)*(N$3&lt;='Gastos com Pessoal'!$F$513:$F$522)*(IF('Gastos com Pessoal'!$Y$513:$Y$522&lt;=N$3,1,0))*OFFSET('Gastos com Pessoal'!$H$512,1,MATCH(4&amp;$B54,'Gastos com Pessoal'!$I$532:$AJ$532&amp;'Gastos com Pessoal'!$I$512:$AJ$512,0),10,1)),0)
+_xlfn.IFNA(SUM((N$3&gt;='Gastos com Pessoal'!$E$513:$E$522)*(N$3&lt;='Gastos com Pessoal'!$F$513:$F$522)*(IF('Gastos com Pessoal'!$AE$513:$AE$522&lt;=N$3,1,0))*OFFSET('Gastos com Pessoal'!$H$512,1,MATCH(5&amp;$B54,'Gastos com Pessoal'!$I$532:$AJ$532&amp;'Gastos com Pessoal'!$I$512:$AJ$512,0),10,1)),0)</f>
        <v>33582</v>
      </c>
      <c r="O54" s="32">
        <f t="array" aca="1" ref="O54" ca="1">_xlfn.IFNA(SUM((O$3&gt;='Gastos com Pessoal'!$E$7:$E$506)*(O$3&lt;='Gastos com Pessoal'!$F$7:$F$506)*OFFSET('Encargos e Benefícios'!$D$5,1,MATCH($B54,'Encargos e Benefícios'!$E$5:$AB$5,0),500,1)),0)
+_xlfn.IFNA(SUM((O$3&gt;='Gastos com Pessoal'!$E$513:$E$522)*(O$3&lt;='Gastos com Pessoal'!$F$513:$F$522)*OFFSET('Encargos e Benefícios'!$D$511,1,MATCH($B54,'Encargos e Benefícios'!$E$511:$AB$511,0),10,1)),0)
+_xlfn.IFNA(SUM((O$3&gt;='Gastos com Pessoal'!$E$7:$E$506)*(O$3&lt;='Gastos com Pessoal'!$F$7:$F$506)*(IF('Gastos com Pessoal'!$G$7:$G$506&lt;=O$3,1,0))*OFFSET('Gastos com Pessoal'!$H$6,1,MATCH(1&amp;$B54,'Gastos com Pessoal'!$I$532:$AJ$532&amp;'Gastos com Pessoal'!$I$6:$AJ$6,0),500,1)),0)
+_xlfn.IFNA(SUM((O$3&gt;='Gastos com Pessoal'!$E$7:$E$506)*(O$3&lt;='Gastos com Pessoal'!$F$7:$F$506)*(IF('Gastos com Pessoal'!$M$7:$M$506&lt;=O$3,1,0))*OFFSET('Gastos com Pessoal'!$H$6,1,MATCH(2&amp;$B54,'Gastos com Pessoal'!$I$532:$AJ$532&amp;'Gastos com Pessoal'!$I$6:$AJ$6,0),500,1)),0)
+_xlfn.IFNA(SUM((O$3&gt;='Gastos com Pessoal'!$E$7:$E$506)*(O$3&lt;='Gastos com Pessoal'!$F$7:$F$506)*(IF('Gastos com Pessoal'!$S$7:$S$506&lt;=O$3,1,0))*OFFSET('Gastos com Pessoal'!$H$6,1,MATCH(3&amp;$B54,'Gastos com Pessoal'!$I$532:$AJ$532&amp;'Gastos com Pessoal'!$I$6:$AJ$6,0),500,1)),0)
+_xlfn.IFNA(SUM((O$3&gt;='Gastos com Pessoal'!$E$7:$E$506)*(O$3&lt;='Gastos com Pessoal'!$F$7:$F$506)*(IF('Gastos com Pessoal'!$Y$7:$Y$506&lt;=O$3,1,0))*OFFSET('Gastos com Pessoal'!$H$6,1,MATCH(4&amp;$B54,'Gastos com Pessoal'!$I$532:$AJ$532&amp;'Gastos com Pessoal'!$I$6:$AJ$6,0),500,1)),0)
+_xlfn.IFNA(SUM((O$3&gt;='Gastos com Pessoal'!$E$7:$E$506)*(O$3&lt;='Gastos com Pessoal'!$F$7:$F$506)*(IF('Gastos com Pessoal'!$AE$7:$AE$506&lt;=O$3,1,0))*OFFSET('Gastos com Pessoal'!$H$6,1,MATCH(5&amp;$B54,'Gastos com Pessoal'!$I$532:$AJ$532&amp;'Gastos com Pessoal'!$I$6:$AJ$6,0),500,1)),0)
+_xlfn.IFNA(SUM((O$3&gt;='Gastos com Pessoal'!$E$513:$E$522)*(O$3&lt;='Gastos com Pessoal'!$F$513:$F$522)*(IF('Gastos com Pessoal'!$G$513:$G$522&lt;=O$3,1,0))*OFFSET('Gastos com Pessoal'!$H$512,1,MATCH(1&amp;$B54,'Gastos com Pessoal'!$I$532:$AJ$532&amp;'Gastos com Pessoal'!$I$512:$AJ$512,0),10,1)),0)
+_xlfn.IFNA(SUM((O$3&gt;='Gastos com Pessoal'!$E$513:$E$522)*(O$3&lt;='Gastos com Pessoal'!$F$513:$F$522)*(IF('Gastos com Pessoal'!$M$513:$M$522&lt;=O$3,1,0))*OFFSET('Gastos com Pessoal'!$H$512,1,MATCH(2&amp;$B54,'Gastos com Pessoal'!$I$532:$AJ$532&amp;'Gastos com Pessoal'!$I$512:$AJ$512,0),10,1)),0)
+_xlfn.IFNA(SUM((O$3&gt;='Gastos com Pessoal'!$E$513:$E$522)*(O$3&lt;='Gastos com Pessoal'!$F$513:$F$522)*(IF('Gastos com Pessoal'!$S$513:$S$522&lt;=O$3,1,0))*OFFSET('Gastos com Pessoal'!$H$512,1,MATCH(3&amp;$B54,'Gastos com Pessoal'!$I$532:$AJ$532&amp;'Gastos com Pessoal'!$I$512:$AJ$512,0),10,1)),0)
+_xlfn.IFNA(SUM((O$3&gt;='Gastos com Pessoal'!$E$513:$E$522)*(O$3&lt;='Gastos com Pessoal'!$F$513:$F$522)*(IF('Gastos com Pessoal'!$Y$513:$Y$522&lt;=O$3,1,0))*OFFSET('Gastos com Pessoal'!$H$512,1,MATCH(4&amp;$B54,'Gastos com Pessoal'!$I$532:$AJ$532&amp;'Gastos com Pessoal'!$I$512:$AJ$512,0),10,1)),0)
+_xlfn.IFNA(SUM((O$3&gt;='Gastos com Pessoal'!$E$513:$E$522)*(O$3&lt;='Gastos com Pessoal'!$F$513:$F$522)*(IF('Gastos com Pessoal'!$AE$513:$AE$522&lt;=O$3,1,0))*OFFSET('Gastos com Pessoal'!$H$512,1,MATCH(5&amp;$B54,'Gastos com Pessoal'!$I$532:$AJ$532&amp;'Gastos com Pessoal'!$I$512:$AJ$512,0),10,1)),0)</f>
        <v>33582</v>
      </c>
      <c r="P54" s="32">
        <f t="array" aca="1" ref="P54" ca="1">_xlfn.IFNA(SUM((P$3&gt;='Gastos com Pessoal'!$E$7:$E$506)*(P$3&lt;='Gastos com Pessoal'!$F$7:$F$506)*OFFSET('Encargos e Benefícios'!$D$5,1,MATCH($B54,'Encargos e Benefícios'!$E$5:$AB$5,0),500,1)),0)
+_xlfn.IFNA(SUM((P$3&gt;='Gastos com Pessoal'!$E$513:$E$522)*(P$3&lt;='Gastos com Pessoal'!$F$513:$F$522)*OFFSET('Encargos e Benefícios'!$D$511,1,MATCH($B54,'Encargos e Benefícios'!$E$511:$AB$511,0),10,1)),0)
+_xlfn.IFNA(SUM((P$3&gt;='Gastos com Pessoal'!$E$7:$E$506)*(P$3&lt;='Gastos com Pessoal'!$F$7:$F$506)*(IF('Gastos com Pessoal'!$G$7:$G$506&lt;=P$3,1,0))*OFFSET('Gastos com Pessoal'!$H$6,1,MATCH(1&amp;$B54,'Gastos com Pessoal'!$I$532:$AJ$532&amp;'Gastos com Pessoal'!$I$6:$AJ$6,0),500,1)),0)
+_xlfn.IFNA(SUM((P$3&gt;='Gastos com Pessoal'!$E$7:$E$506)*(P$3&lt;='Gastos com Pessoal'!$F$7:$F$506)*(IF('Gastos com Pessoal'!$M$7:$M$506&lt;=P$3,1,0))*OFFSET('Gastos com Pessoal'!$H$6,1,MATCH(2&amp;$B54,'Gastos com Pessoal'!$I$532:$AJ$532&amp;'Gastos com Pessoal'!$I$6:$AJ$6,0),500,1)),0)
+_xlfn.IFNA(SUM((P$3&gt;='Gastos com Pessoal'!$E$7:$E$506)*(P$3&lt;='Gastos com Pessoal'!$F$7:$F$506)*(IF('Gastos com Pessoal'!$S$7:$S$506&lt;=P$3,1,0))*OFFSET('Gastos com Pessoal'!$H$6,1,MATCH(3&amp;$B54,'Gastos com Pessoal'!$I$532:$AJ$532&amp;'Gastos com Pessoal'!$I$6:$AJ$6,0),500,1)),0)
+_xlfn.IFNA(SUM((P$3&gt;='Gastos com Pessoal'!$E$7:$E$506)*(P$3&lt;='Gastos com Pessoal'!$F$7:$F$506)*(IF('Gastos com Pessoal'!$Y$7:$Y$506&lt;=P$3,1,0))*OFFSET('Gastos com Pessoal'!$H$6,1,MATCH(4&amp;$B54,'Gastos com Pessoal'!$I$532:$AJ$532&amp;'Gastos com Pessoal'!$I$6:$AJ$6,0),500,1)),0)
+_xlfn.IFNA(SUM((P$3&gt;='Gastos com Pessoal'!$E$7:$E$506)*(P$3&lt;='Gastos com Pessoal'!$F$7:$F$506)*(IF('Gastos com Pessoal'!$AE$7:$AE$506&lt;=P$3,1,0))*OFFSET('Gastos com Pessoal'!$H$6,1,MATCH(5&amp;$B54,'Gastos com Pessoal'!$I$532:$AJ$532&amp;'Gastos com Pessoal'!$I$6:$AJ$6,0),500,1)),0)
+_xlfn.IFNA(SUM((P$3&gt;='Gastos com Pessoal'!$E$513:$E$522)*(P$3&lt;='Gastos com Pessoal'!$F$513:$F$522)*(IF('Gastos com Pessoal'!$G$513:$G$522&lt;=P$3,1,0))*OFFSET('Gastos com Pessoal'!$H$512,1,MATCH(1&amp;$B54,'Gastos com Pessoal'!$I$532:$AJ$532&amp;'Gastos com Pessoal'!$I$512:$AJ$512,0),10,1)),0)
+_xlfn.IFNA(SUM((P$3&gt;='Gastos com Pessoal'!$E$513:$E$522)*(P$3&lt;='Gastos com Pessoal'!$F$513:$F$522)*(IF('Gastos com Pessoal'!$M$513:$M$522&lt;=P$3,1,0))*OFFSET('Gastos com Pessoal'!$H$512,1,MATCH(2&amp;$B54,'Gastos com Pessoal'!$I$532:$AJ$532&amp;'Gastos com Pessoal'!$I$512:$AJ$512,0),10,1)),0)
+_xlfn.IFNA(SUM((P$3&gt;='Gastos com Pessoal'!$E$513:$E$522)*(P$3&lt;='Gastos com Pessoal'!$F$513:$F$522)*(IF('Gastos com Pessoal'!$S$513:$S$522&lt;=P$3,1,0))*OFFSET('Gastos com Pessoal'!$H$512,1,MATCH(3&amp;$B54,'Gastos com Pessoal'!$I$532:$AJ$532&amp;'Gastos com Pessoal'!$I$512:$AJ$512,0),10,1)),0)
+_xlfn.IFNA(SUM((P$3&gt;='Gastos com Pessoal'!$E$513:$E$522)*(P$3&lt;='Gastos com Pessoal'!$F$513:$F$522)*(IF('Gastos com Pessoal'!$Y$513:$Y$522&lt;=P$3,1,0))*OFFSET('Gastos com Pessoal'!$H$512,1,MATCH(4&amp;$B54,'Gastos com Pessoal'!$I$532:$AJ$532&amp;'Gastos com Pessoal'!$I$512:$AJ$512,0),10,1)),0)
+_xlfn.IFNA(SUM((P$3&gt;='Gastos com Pessoal'!$E$513:$E$522)*(P$3&lt;='Gastos com Pessoal'!$F$513:$F$522)*(IF('Gastos com Pessoal'!$AE$513:$AE$522&lt;=P$3,1,0))*OFFSET('Gastos com Pessoal'!$H$512,1,MATCH(5&amp;$B54,'Gastos com Pessoal'!$I$532:$AJ$532&amp;'Gastos com Pessoal'!$I$512:$AJ$512,0),10,1)),0)</f>
        <v>33582</v>
      </c>
      <c r="Q54" s="32">
        <f t="array" aca="1" ref="Q54" ca="1">_xlfn.IFNA(SUM((Q$3&gt;='Gastos com Pessoal'!$E$7:$E$506)*(Q$3&lt;='Gastos com Pessoal'!$F$7:$F$506)*OFFSET('Encargos e Benefícios'!$D$5,1,MATCH($B54,'Encargos e Benefícios'!$E$5:$AB$5,0),500,1)),0)
+_xlfn.IFNA(SUM((Q$3&gt;='Gastos com Pessoal'!$E$513:$E$522)*(Q$3&lt;='Gastos com Pessoal'!$F$513:$F$522)*OFFSET('Encargos e Benefícios'!$D$511,1,MATCH($B54,'Encargos e Benefícios'!$E$511:$AB$511,0),10,1)),0)
+_xlfn.IFNA(SUM((Q$3&gt;='Gastos com Pessoal'!$E$7:$E$506)*(Q$3&lt;='Gastos com Pessoal'!$F$7:$F$506)*(IF('Gastos com Pessoal'!$G$7:$G$506&lt;=Q$3,1,0))*OFFSET('Gastos com Pessoal'!$H$6,1,MATCH(1&amp;$B54,'Gastos com Pessoal'!$I$532:$AJ$532&amp;'Gastos com Pessoal'!$I$6:$AJ$6,0),500,1)),0)
+_xlfn.IFNA(SUM((Q$3&gt;='Gastos com Pessoal'!$E$7:$E$506)*(Q$3&lt;='Gastos com Pessoal'!$F$7:$F$506)*(IF('Gastos com Pessoal'!$M$7:$M$506&lt;=Q$3,1,0))*OFFSET('Gastos com Pessoal'!$H$6,1,MATCH(2&amp;$B54,'Gastos com Pessoal'!$I$532:$AJ$532&amp;'Gastos com Pessoal'!$I$6:$AJ$6,0),500,1)),0)
+_xlfn.IFNA(SUM((Q$3&gt;='Gastos com Pessoal'!$E$7:$E$506)*(Q$3&lt;='Gastos com Pessoal'!$F$7:$F$506)*(IF('Gastos com Pessoal'!$S$7:$S$506&lt;=Q$3,1,0))*OFFSET('Gastos com Pessoal'!$H$6,1,MATCH(3&amp;$B54,'Gastos com Pessoal'!$I$532:$AJ$532&amp;'Gastos com Pessoal'!$I$6:$AJ$6,0),500,1)),0)
+_xlfn.IFNA(SUM((Q$3&gt;='Gastos com Pessoal'!$E$7:$E$506)*(Q$3&lt;='Gastos com Pessoal'!$F$7:$F$506)*(IF('Gastos com Pessoal'!$Y$7:$Y$506&lt;=Q$3,1,0))*OFFSET('Gastos com Pessoal'!$H$6,1,MATCH(4&amp;$B54,'Gastos com Pessoal'!$I$532:$AJ$532&amp;'Gastos com Pessoal'!$I$6:$AJ$6,0),500,1)),0)
+_xlfn.IFNA(SUM((Q$3&gt;='Gastos com Pessoal'!$E$7:$E$506)*(Q$3&lt;='Gastos com Pessoal'!$F$7:$F$506)*(IF('Gastos com Pessoal'!$AE$7:$AE$506&lt;=Q$3,1,0))*OFFSET('Gastos com Pessoal'!$H$6,1,MATCH(5&amp;$B54,'Gastos com Pessoal'!$I$532:$AJ$532&amp;'Gastos com Pessoal'!$I$6:$AJ$6,0),500,1)),0)
+_xlfn.IFNA(SUM((Q$3&gt;='Gastos com Pessoal'!$E$513:$E$522)*(Q$3&lt;='Gastos com Pessoal'!$F$513:$F$522)*(IF('Gastos com Pessoal'!$G$513:$G$522&lt;=Q$3,1,0))*OFFSET('Gastos com Pessoal'!$H$512,1,MATCH(1&amp;$B54,'Gastos com Pessoal'!$I$532:$AJ$532&amp;'Gastos com Pessoal'!$I$512:$AJ$512,0),10,1)),0)
+_xlfn.IFNA(SUM((Q$3&gt;='Gastos com Pessoal'!$E$513:$E$522)*(Q$3&lt;='Gastos com Pessoal'!$F$513:$F$522)*(IF('Gastos com Pessoal'!$M$513:$M$522&lt;=Q$3,1,0))*OFFSET('Gastos com Pessoal'!$H$512,1,MATCH(2&amp;$B54,'Gastos com Pessoal'!$I$532:$AJ$532&amp;'Gastos com Pessoal'!$I$512:$AJ$512,0),10,1)),0)
+_xlfn.IFNA(SUM((Q$3&gt;='Gastos com Pessoal'!$E$513:$E$522)*(Q$3&lt;='Gastos com Pessoal'!$F$513:$F$522)*(IF('Gastos com Pessoal'!$S$513:$S$522&lt;=Q$3,1,0))*OFFSET('Gastos com Pessoal'!$H$512,1,MATCH(3&amp;$B54,'Gastos com Pessoal'!$I$532:$AJ$532&amp;'Gastos com Pessoal'!$I$512:$AJ$512,0),10,1)),0)
+_xlfn.IFNA(SUM((Q$3&gt;='Gastos com Pessoal'!$E$513:$E$522)*(Q$3&lt;='Gastos com Pessoal'!$F$513:$F$522)*(IF('Gastos com Pessoal'!$Y$513:$Y$522&lt;=Q$3,1,0))*OFFSET('Gastos com Pessoal'!$H$512,1,MATCH(4&amp;$B54,'Gastos com Pessoal'!$I$532:$AJ$532&amp;'Gastos com Pessoal'!$I$512:$AJ$512,0),10,1)),0)
+_xlfn.IFNA(SUM((Q$3&gt;='Gastos com Pessoal'!$E$513:$E$522)*(Q$3&lt;='Gastos com Pessoal'!$F$513:$F$522)*(IF('Gastos com Pessoal'!$AE$513:$AE$522&lt;=Q$3,1,0))*OFFSET('Gastos com Pessoal'!$H$512,1,MATCH(5&amp;$B54,'Gastos com Pessoal'!$I$532:$AJ$532&amp;'Gastos com Pessoal'!$I$512:$AJ$512,0),10,1)),0)</f>
        <v>33582</v>
      </c>
      <c r="R54" s="32">
        <f t="array" aca="1" ref="R54" ca="1">_xlfn.IFNA(SUM((R$3&gt;='Gastos com Pessoal'!$E$7:$E$506)*(R$3&lt;='Gastos com Pessoal'!$F$7:$F$506)*OFFSET('Encargos e Benefícios'!$D$5,1,MATCH($B54,'Encargos e Benefícios'!$E$5:$AB$5,0),500,1)),0)
+_xlfn.IFNA(SUM((R$3&gt;='Gastos com Pessoal'!$E$513:$E$522)*(R$3&lt;='Gastos com Pessoal'!$F$513:$F$522)*OFFSET('Encargos e Benefícios'!$D$511,1,MATCH($B54,'Encargos e Benefícios'!$E$511:$AB$511,0),10,1)),0)
+_xlfn.IFNA(SUM((R$3&gt;='Gastos com Pessoal'!$E$7:$E$506)*(R$3&lt;='Gastos com Pessoal'!$F$7:$F$506)*(IF('Gastos com Pessoal'!$G$7:$G$506&lt;=R$3,1,0))*OFFSET('Gastos com Pessoal'!$H$6,1,MATCH(1&amp;$B54,'Gastos com Pessoal'!$I$532:$AJ$532&amp;'Gastos com Pessoal'!$I$6:$AJ$6,0),500,1)),0)
+_xlfn.IFNA(SUM((R$3&gt;='Gastos com Pessoal'!$E$7:$E$506)*(R$3&lt;='Gastos com Pessoal'!$F$7:$F$506)*(IF('Gastos com Pessoal'!$M$7:$M$506&lt;=R$3,1,0))*OFFSET('Gastos com Pessoal'!$H$6,1,MATCH(2&amp;$B54,'Gastos com Pessoal'!$I$532:$AJ$532&amp;'Gastos com Pessoal'!$I$6:$AJ$6,0),500,1)),0)
+_xlfn.IFNA(SUM((R$3&gt;='Gastos com Pessoal'!$E$7:$E$506)*(R$3&lt;='Gastos com Pessoal'!$F$7:$F$506)*(IF('Gastos com Pessoal'!$S$7:$S$506&lt;=R$3,1,0))*OFFSET('Gastos com Pessoal'!$H$6,1,MATCH(3&amp;$B54,'Gastos com Pessoal'!$I$532:$AJ$532&amp;'Gastos com Pessoal'!$I$6:$AJ$6,0),500,1)),0)
+_xlfn.IFNA(SUM((R$3&gt;='Gastos com Pessoal'!$E$7:$E$506)*(R$3&lt;='Gastos com Pessoal'!$F$7:$F$506)*(IF('Gastos com Pessoal'!$Y$7:$Y$506&lt;=R$3,1,0))*OFFSET('Gastos com Pessoal'!$H$6,1,MATCH(4&amp;$B54,'Gastos com Pessoal'!$I$532:$AJ$532&amp;'Gastos com Pessoal'!$I$6:$AJ$6,0),500,1)),0)
+_xlfn.IFNA(SUM((R$3&gt;='Gastos com Pessoal'!$E$7:$E$506)*(R$3&lt;='Gastos com Pessoal'!$F$7:$F$506)*(IF('Gastos com Pessoal'!$AE$7:$AE$506&lt;=R$3,1,0))*OFFSET('Gastos com Pessoal'!$H$6,1,MATCH(5&amp;$B54,'Gastos com Pessoal'!$I$532:$AJ$532&amp;'Gastos com Pessoal'!$I$6:$AJ$6,0),500,1)),0)
+_xlfn.IFNA(SUM((R$3&gt;='Gastos com Pessoal'!$E$513:$E$522)*(R$3&lt;='Gastos com Pessoal'!$F$513:$F$522)*(IF('Gastos com Pessoal'!$G$513:$G$522&lt;=R$3,1,0))*OFFSET('Gastos com Pessoal'!$H$512,1,MATCH(1&amp;$B54,'Gastos com Pessoal'!$I$532:$AJ$532&amp;'Gastos com Pessoal'!$I$512:$AJ$512,0),10,1)),0)
+_xlfn.IFNA(SUM((R$3&gt;='Gastos com Pessoal'!$E$513:$E$522)*(R$3&lt;='Gastos com Pessoal'!$F$513:$F$522)*(IF('Gastos com Pessoal'!$M$513:$M$522&lt;=R$3,1,0))*OFFSET('Gastos com Pessoal'!$H$512,1,MATCH(2&amp;$B54,'Gastos com Pessoal'!$I$532:$AJ$532&amp;'Gastos com Pessoal'!$I$512:$AJ$512,0),10,1)),0)
+_xlfn.IFNA(SUM((R$3&gt;='Gastos com Pessoal'!$E$513:$E$522)*(R$3&lt;='Gastos com Pessoal'!$F$513:$F$522)*(IF('Gastos com Pessoal'!$S$513:$S$522&lt;=R$3,1,0))*OFFSET('Gastos com Pessoal'!$H$512,1,MATCH(3&amp;$B54,'Gastos com Pessoal'!$I$532:$AJ$532&amp;'Gastos com Pessoal'!$I$512:$AJ$512,0),10,1)),0)
+_xlfn.IFNA(SUM((R$3&gt;='Gastos com Pessoal'!$E$513:$E$522)*(R$3&lt;='Gastos com Pessoal'!$F$513:$F$522)*(IF('Gastos com Pessoal'!$Y$513:$Y$522&lt;=R$3,1,0))*OFFSET('Gastos com Pessoal'!$H$512,1,MATCH(4&amp;$B54,'Gastos com Pessoal'!$I$532:$AJ$532&amp;'Gastos com Pessoal'!$I$512:$AJ$512,0),10,1)),0)
+_xlfn.IFNA(SUM((R$3&gt;='Gastos com Pessoal'!$E$513:$E$522)*(R$3&lt;='Gastos com Pessoal'!$F$513:$F$522)*(IF('Gastos com Pessoal'!$AE$513:$AE$522&lt;=R$3,1,0))*OFFSET('Gastos com Pessoal'!$H$512,1,MATCH(5&amp;$B54,'Gastos com Pessoal'!$I$532:$AJ$532&amp;'Gastos com Pessoal'!$I$512:$AJ$512,0),10,1)),0)</f>
        <v>33582</v>
      </c>
      <c r="S54" s="32">
        <f t="array" aca="1" ref="S54" ca="1">_xlfn.IFNA(SUM((S$3&gt;='Gastos com Pessoal'!$E$7:$E$506)*(S$3&lt;='Gastos com Pessoal'!$F$7:$F$506)*OFFSET('Encargos e Benefícios'!$D$5,1,MATCH($B54,'Encargos e Benefícios'!$E$5:$AB$5,0),500,1)),0)
+_xlfn.IFNA(SUM((S$3&gt;='Gastos com Pessoal'!$E$513:$E$522)*(S$3&lt;='Gastos com Pessoal'!$F$513:$F$522)*OFFSET('Encargos e Benefícios'!$D$511,1,MATCH($B54,'Encargos e Benefícios'!$E$511:$AB$511,0),10,1)),0)
+_xlfn.IFNA(SUM((S$3&gt;='Gastos com Pessoal'!$E$7:$E$506)*(S$3&lt;='Gastos com Pessoal'!$F$7:$F$506)*(IF('Gastos com Pessoal'!$G$7:$G$506&lt;=S$3,1,0))*OFFSET('Gastos com Pessoal'!$H$6,1,MATCH(1&amp;$B54,'Gastos com Pessoal'!$I$532:$AJ$532&amp;'Gastos com Pessoal'!$I$6:$AJ$6,0),500,1)),0)
+_xlfn.IFNA(SUM((S$3&gt;='Gastos com Pessoal'!$E$7:$E$506)*(S$3&lt;='Gastos com Pessoal'!$F$7:$F$506)*(IF('Gastos com Pessoal'!$M$7:$M$506&lt;=S$3,1,0))*OFFSET('Gastos com Pessoal'!$H$6,1,MATCH(2&amp;$B54,'Gastos com Pessoal'!$I$532:$AJ$532&amp;'Gastos com Pessoal'!$I$6:$AJ$6,0),500,1)),0)
+_xlfn.IFNA(SUM((S$3&gt;='Gastos com Pessoal'!$E$7:$E$506)*(S$3&lt;='Gastos com Pessoal'!$F$7:$F$506)*(IF('Gastos com Pessoal'!$S$7:$S$506&lt;=S$3,1,0))*OFFSET('Gastos com Pessoal'!$H$6,1,MATCH(3&amp;$B54,'Gastos com Pessoal'!$I$532:$AJ$532&amp;'Gastos com Pessoal'!$I$6:$AJ$6,0),500,1)),0)
+_xlfn.IFNA(SUM((S$3&gt;='Gastos com Pessoal'!$E$7:$E$506)*(S$3&lt;='Gastos com Pessoal'!$F$7:$F$506)*(IF('Gastos com Pessoal'!$Y$7:$Y$506&lt;=S$3,1,0))*OFFSET('Gastos com Pessoal'!$H$6,1,MATCH(4&amp;$B54,'Gastos com Pessoal'!$I$532:$AJ$532&amp;'Gastos com Pessoal'!$I$6:$AJ$6,0),500,1)),0)
+_xlfn.IFNA(SUM((S$3&gt;='Gastos com Pessoal'!$E$7:$E$506)*(S$3&lt;='Gastos com Pessoal'!$F$7:$F$506)*(IF('Gastos com Pessoal'!$AE$7:$AE$506&lt;=S$3,1,0))*OFFSET('Gastos com Pessoal'!$H$6,1,MATCH(5&amp;$B54,'Gastos com Pessoal'!$I$532:$AJ$532&amp;'Gastos com Pessoal'!$I$6:$AJ$6,0),500,1)),0)
+_xlfn.IFNA(SUM((S$3&gt;='Gastos com Pessoal'!$E$513:$E$522)*(S$3&lt;='Gastos com Pessoal'!$F$513:$F$522)*(IF('Gastos com Pessoal'!$G$513:$G$522&lt;=S$3,1,0))*OFFSET('Gastos com Pessoal'!$H$512,1,MATCH(1&amp;$B54,'Gastos com Pessoal'!$I$532:$AJ$532&amp;'Gastos com Pessoal'!$I$512:$AJ$512,0),10,1)),0)
+_xlfn.IFNA(SUM((S$3&gt;='Gastos com Pessoal'!$E$513:$E$522)*(S$3&lt;='Gastos com Pessoal'!$F$513:$F$522)*(IF('Gastos com Pessoal'!$M$513:$M$522&lt;=S$3,1,0))*OFFSET('Gastos com Pessoal'!$H$512,1,MATCH(2&amp;$B54,'Gastos com Pessoal'!$I$532:$AJ$532&amp;'Gastos com Pessoal'!$I$512:$AJ$512,0),10,1)),0)
+_xlfn.IFNA(SUM((S$3&gt;='Gastos com Pessoal'!$E$513:$E$522)*(S$3&lt;='Gastos com Pessoal'!$F$513:$F$522)*(IF('Gastos com Pessoal'!$S$513:$S$522&lt;=S$3,1,0))*OFFSET('Gastos com Pessoal'!$H$512,1,MATCH(3&amp;$B54,'Gastos com Pessoal'!$I$532:$AJ$532&amp;'Gastos com Pessoal'!$I$512:$AJ$512,0),10,1)),0)
+_xlfn.IFNA(SUM((S$3&gt;='Gastos com Pessoal'!$E$513:$E$522)*(S$3&lt;='Gastos com Pessoal'!$F$513:$F$522)*(IF('Gastos com Pessoal'!$Y$513:$Y$522&lt;=S$3,1,0))*OFFSET('Gastos com Pessoal'!$H$512,1,MATCH(4&amp;$B54,'Gastos com Pessoal'!$I$532:$AJ$532&amp;'Gastos com Pessoal'!$I$512:$AJ$512,0),10,1)),0)
+_xlfn.IFNA(SUM((S$3&gt;='Gastos com Pessoal'!$E$513:$E$522)*(S$3&lt;='Gastos com Pessoal'!$F$513:$F$522)*(IF('Gastos com Pessoal'!$AE$513:$AE$522&lt;=S$3,1,0))*OFFSET('Gastos com Pessoal'!$H$512,1,MATCH(5&amp;$B54,'Gastos com Pessoal'!$I$532:$AJ$532&amp;'Gastos com Pessoal'!$I$512:$AJ$512,0),10,1)),0)</f>
        <v>33582</v>
      </c>
      <c r="T54" s="32">
        <f t="array" aca="1" ref="T54" ca="1">_xlfn.IFNA(SUM((T$3&gt;='Gastos com Pessoal'!$E$7:$E$506)*(T$3&lt;='Gastos com Pessoal'!$F$7:$F$506)*OFFSET('Encargos e Benefícios'!$D$5,1,MATCH($B54,'Encargos e Benefícios'!$E$5:$AB$5,0),500,1)),0)
+_xlfn.IFNA(SUM((T$3&gt;='Gastos com Pessoal'!$E$513:$E$522)*(T$3&lt;='Gastos com Pessoal'!$F$513:$F$522)*OFFSET('Encargos e Benefícios'!$D$511,1,MATCH($B54,'Encargos e Benefícios'!$E$511:$AB$511,0),10,1)),0)
+_xlfn.IFNA(SUM((T$3&gt;='Gastos com Pessoal'!$E$7:$E$506)*(T$3&lt;='Gastos com Pessoal'!$F$7:$F$506)*(IF('Gastos com Pessoal'!$G$7:$G$506&lt;=T$3,1,0))*OFFSET('Gastos com Pessoal'!$H$6,1,MATCH(1&amp;$B54,'Gastos com Pessoal'!$I$532:$AJ$532&amp;'Gastos com Pessoal'!$I$6:$AJ$6,0),500,1)),0)
+_xlfn.IFNA(SUM((T$3&gt;='Gastos com Pessoal'!$E$7:$E$506)*(T$3&lt;='Gastos com Pessoal'!$F$7:$F$506)*(IF('Gastos com Pessoal'!$M$7:$M$506&lt;=T$3,1,0))*OFFSET('Gastos com Pessoal'!$H$6,1,MATCH(2&amp;$B54,'Gastos com Pessoal'!$I$532:$AJ$532&amp;'Gastos com Pessoal'!$I$6:$AJ$6,0),500,1)),0)
+_xlfn.IFNA(SUM((T$3&gt;='Gastos com Pessoal'!$E$7:$E$506)*(T$3&lt;='Gastos com Pessoal'!$F$7:$F$506)*(IF('Gastos com Pessoal'!$S$7:$S$506&lt;=T$3,1,0))*OFFSET('Gastos com Pessoal'!$H$6,1,MATCH(3&amp;$B54,'Gastos com Pessoal'!$I$532:$AJ$532&amp;'Gastos com Pessoal'!$I$6:$AJ$6,0),500,1)),0)
+_xlfn.IFNA(SUM((T$3&gt;='Gastos com Pessoal'!$E$7:$E$506)*(T$3&lt;='Gastos com Pessoal'!$F$7:$F$506)*(IF('Gastos com Pessoal'!$Y$7:$Y$506&lt;=T$3,1,0))*OFFSET('Gastos com Pessoal'!$H$6,1,MATCH(4&amp;$B54,'Gastos com Pessoal'!$I$532:$AJ$532&amp;'Gastos com Pessoal'!$I$6:$AJ$6,0),500,1)),0)
+_xlfn.IFNA(SUM((T$3&gt;='Gastos com Pessoal'!$E$7:$E$506)*(T$3&lt;='Gastos com Pessoal'!$F$7:$F$506)*(IF('Gastos com Pessoal'!$AE$7:$AE$506&lt;=T$3,1,0))*OFFSET('Gastos com Pessoal'!$H$6,1,MATCH(5&amp;$B54,'Gastos com Pessoal'!$I$532:$AJ$532&amp;'Gastos com Pessoal'!$I$6:$AJ$6,0),500,1)),0)
+_xlfn.IFNA(SUM((T$3&gt;='Gastos com Pessoal'!$E$513:$E$522)*(T$3&lt;='Gastos com Pessoal'!$F$513:$F$522)*(IF('Gastos com Pessoal'!$G$513:$G$522&lt;=T$3,1,0))*OFFSET('Gastos com Pessoal'!$H$512,1,MATCH(1&amp;$B54,'Gastos com Pessoal'!$I$532:$AJ$532&amp;'Gastos com Pessoal'!$I$512:$AJ$512,0),10,1)),0)
+_xlfn.IFNA(SUM((T$3&gt;='Gastos com Pessoal'!$E$513:$E$522)*(T$3&lt;='Gastos com Pessoal'!$F$513:$F$522)*(IF('Gastos com Pessoal'!$M$513:$M$522&lt;=T$3,1,0))*OFFSET('Gastos com Pessoal'!$H$512,1,MATCH(2&amp;$B54,'Gastos com Pessoal'!$I$532:$AJ$532&amp;'Gastos com Pessoal'!$I$512:$AJ$512,0),10,1)),0)
+_xlfn.IFNA(SUM((T$3&gt;='Gastos com Pessoal'!$E$513:$E$522)*(T$3&lt;='Gastos com Pessoal'!$F$513:$F$522)*(IF('Gastos com Pessoal'!$S$513:$S$522&lt;=T$3,1,0))*OFFSET('Gastos com Pessoal'!$H$512,1,MATCH(3&amp;$B54,'Gastos com Pessoal'!$I$532:$AJ$532&amp;'Gastos com Pessoal'!$I$512:$AJ$512,0),10,1)),0)
+_xlfn.IFNA(SUM((T$3&gt;='Gastos com Pessoal'!$E$513:$E$522)*(T$3&lt;='Gastos com Pessoal'!$F$513:$F$522)*(IF('Gastos com Pessoal'!$Y$513:$Y$522&lt;=T$3,1,0))*OFFSET('Gastos com Pessoal'!$H$512,1,MATCH(4&amp;$B54,'Gastos com Pessoal'!$I$532:$AJ$532&amp;'Gastos com Pessoal'!$I$512:$AJ$512,0),10,1)),0)
+_xlfn.IFNA(SUM((T$3&gt;='Gastos com Pessoal'!$E$513:$E$522)*(T$3&lt;='Gastos com Pessoal'!$F$513:$F$522)*(IF('Gastos com Pessoal'!$AE$513:$AE$522&lt;=T$3,1,0))*OFFSET('Gastos com Pessoal'!$H$512,1,MATCH(5&amp;$B54,'Gastos com Pessoal'!$I$532:$AJ$532&amp;'Gastos com Pessoal'!$I$512:$AJ$512,0),10,1)),0)</f>
        <v>33582</v>
      </c>
      <c r="U54" s="32">
        <f t="array" aca="1" ref="U54" ca="1">_xlfn.IFNA(SUM((U$3&gt;='Gastos com Pessoal'!$E$7:$E$506)*(U$3&lt;='Gastos com Pessoal'!$F$7:$F$506)*OFFSET('Encargos e Benefícios'!$D$5,1,MATCH($B54,'Encargos e Benefícios'!$E$5:$AB$5,0),500,1)),0)
+_xlfn.IFNA(SUM((U$3&gt;='Gastos com Pessoal'!$E$513:$E$522)*(U$3&lt;='Gastos com Pessoal'!$F$513:$F$522)*OFFSET('Encargos e Benefícios'!$D$511,1,MATCH($B54,'Encargos e Benefícios'!$E$511:$AB$511,0),10,1)),0)
+_xlfn.IFNA(SUM((U$3&gt;='Gastos com Pessoal'!$E$7:$E$506)*(U$3&lt;='Gastos com Pessoal'!$F$7:$F$506)*(IF('Gastos com Pessoal'!$G$7:$G$506&lt;=U$3,1,0))*OFFSET('Gastos com Pessoal'!$H$6,1,MATCH(1&amp;$B54,'Gastos com Pessoal'!$I$532:$AJ$532&amp;'Gastos com Pessoal'!$I$6:$AJ$6,0),500,1)),0)
+_xlfn.IFNA(SUM((U$3&gt;='Gastos com Pessoal'!$E$7:$E$506)*(U$3&lt;='Gastos com Pessoal'!$F$7:$F$506)*(IF('Gastos com Pessoal'!$M$7:$M$506&lt;=U$3,1,0))*OFFSET('Gastos com Pessoal'!$H$6,1,MATCH(2&amp;$B54,'Gastos com Pessoal'!$I$532:$AJ$532&amp;'Gastos com Pessoal'!$I$6:$AJ$6,0),500,1)),0)
+_xlfn.IFNA(SUM((U$3&gt;='Gastos com Pessoal'!$E$7:$E$506)*(U$3&lt;='Gastos com Pessoal'!$F$7:$F$506)*(IF('Gastos com Pessoal'!$S$7:$S$506&lt;=U$3,1,0))*OFFSET('Gastos com Pessoal'!$H$6,1,MATCH(3&amp;$B54,'Gastos com Pessoal'!$I$532:$AJ$532&amp;'Gastos com Pessoal'!$I$6:$AJ$6,0),500,1)),0)
+_xlfn.IFNA(SUM((U$3&gt;='Gastos com Pessoal'!$E$7:$E$506)*(U$3&lt;='Gastos com Pessoal'!$F$7:$F$506)*(IF('Gastos com Pessoal'!$Y$7:$Y$506&lt;=U$3,1,0))*OFFSET('Gastos com Pessoal'!$H$6,1,MATCH(4&amp;$B54,'Gastos com Pessoal'!$I$532:$AJ$532&amp;'Gastos com Pessoal'!$I$6:$AJ$6,0),500,1)),0)
+_xlfn.IFNA(SUM((U$3&gt;='Gastos com Pessoal'!$E$7:$E$506)*(U$3&lt;='Gastos com Pessoal'!$F$7:$F$506)*(IF('Gastos com Pessoal'!$AE$7:$AE$506&lt;=U$3,1,0))*OFFSET('Gastos com Pessoal'!$H$6,1,MATCH(5&amp;$B54,'Gastos com Pessoal'!$I$532:$AJ$532&amp;'Gastos com Pessoal'!$I$6:$AJ$6,0),500,1)),0)
+_xlfn.IFNA(SUM((U$3&gt;='Gastos com Pessoal'!$E$513:$E$522)*(U$3&lt;='Gastos com Pessoal'!$F$513:$F$522)*(IF('Gastos com Pessoal'!$G$513:$G$522&lt;=U$3,1,0))*OFFSET('Gastos com Pessoal'!$H$512,1,MATCH(1&amp;$B54,'Gastos com Pessoal'!$I$532:$AJ$532&amp;'Gastos com Pessoal'!$I$512:$AJ$512,0),10,1)),0)
+_xlfn.IFNA(SUM((U$3&gt;='Gastos com Pessoal'!$E$513:$E$522)*(U$3&lt;='Gastos com Pessoal'!$F$513:$F$522)*(IF('Gastos com Pessoal'!$M$513:$M$522&lt;=U$3,1,0))*OFFSET('Gastos com Pessoal'!$H$512,1,MATCH(2&amp;$B54,'Gastos com Pessoal'!$I$532:$AJ$532&amp;'Gastos com Pessoal'!$I$512:$AJ$512,0),10,1)),0)
+_xlfn.IFNA(SUM((U$3&gt;='Gastos com Pessoal'!$E$513:$E$522)*(U$3&lt;='Gastos com Pessoal'!$F$513:$F$522)*(IF('Gastos com Pessoal'!$S$513:$S$522&lt;=U$3,1,0))*OFFSET('Gastos com Pessoal'!$H$512,1,MATCH(3&amp;$B54,'Gastos com Pessoal'!$I$532:$AJ$532&amp;'Gastos com Pessoal'!$I$512:$AJ$512,0),10,1)),0)
+_xlfn.IFNA(SUM((U$3&gt;='Gastos com Pessoal'!$E$513:$E$522)*(U$3&lt;='Gastos com Pessoal'!$F$513:$F$522)*(IF('Gastos com Pessoal'!$Y$513:$Y$522&lt;=U$3,1,0))*OFFSET('Gastos com Pessoal'!$H$512,1,MATCH(4&amp;$B54,'Gastos com Pessoal'!$I$532:$AJ$532&amp;'Gastos com Pessoal'!$I$512:$AJ$512,0),10,1)),0)
+_xlfn.IFNA(SUM((U$3&gt;='Gastos com Pessoal'!$E$513:$E$522)*(U$3&lt;='Gastos com Pessoal'!$F$513:$F$522)*(IF('Gastos com Pessoal'!$AE$513:$AE$522&lt;=U$3,1,0))*OFFSET('Gastos com Pessoal'!$H$512,1,MATCH(5&amp;$B54,'Gastos com Pessoal'!$I$532:$AJ$532&amp;'Gastos com Pessoal'!$I$512:$AJ$512,0),10,1)),0)</f>
        <v>33582</v>
      </c>
      <c r="V54" s="32">
        <f t="array" aca="1" ref="V54" ca="1">_xlfn.IFNA(SUM((V$3&gt;='Gastos com Pessoal'!$E$7:$E$506)*(V$3&lt;='Gastos com Pessoal'!$F$7:$F$506)*OFFSET('Encargos e Benefícios'!$D$5,1,MATCH($B54,'Encargos e Benefícios'!$E$5:$AB$5,0),500,1)),0)
+_xlfn.IFNA(SUM((V$3&gt;='Gastos com Pessoal'!$E$513:$E$522)*(V$3&lt;='Gastos com Pessoal'!$F$513:$F$522)*OFFSET('Encargos e Benefícios'!$D$511,1,MATCH($B54,'Encargos e Benefícios'!$E$511:$AB$511,0),10,1)),0)
+_xlfn.IFNA(SUM((V$3&gt;='Gastos com Pessoal'!$E$7:$E$506)*(V$3&lt;='Gastos com Pessoal'!$F$7:$F$506)*(IF('Gastos com Pessoal'!$G$7:$G$506&lt;=V$3,1,0))*OFFSET('Gastos com Pessoal'!$H$6,1,MATCH(1&amp;$B54,'Gastos com Pessoal'!$I$532:$AJ$532&amp;'Gastos com Pessoal'!$I$6:$AJ$6,0),500,1)),0)
+_xlfn.IFNA(SUM((V$3&gt;='Gastos com Pessoal'!$E$7:$E$506)*(V$3&lt;='Gastos com Pessoal'!$F$7:$F$506)*(IF('Gastos com Pessoal'!$M$7:$M$506&lt;=V$3,1,0))*OFFSET('Gastos com Pessoal'!$H$6,1,MATCH(2&amp;$B54,'Gastos com Pessoal'!$I$532:$AJ$532&amp;'Gastos com Pessoal'!$I$6:$AJ$6,0),500,1)),0)
+_xlfn.IFNA(SUM((V$3&gt;='Gastos com Pessoal'!$E$7:$E$506)*(V$3&lt;='Gastos com Pessoal'!$F$7:$F$506)*(IF('Gastos com Pessoal'!$S$7:$S$506&lt;=V$3,1,0))*OFFSET('Gastos com Pessoal'!$H$6,1,MATCH(3&amp;$B54,'Gastos com Pessoal'!$I$532:$AJ$532&amp;'Gastos com Pessoal'!$I$6:$AJ$6,0),500,1)),0)
+_xlfn.IFNA(SUM((V$3&gt;='Gastos com Pessoal'!$E$7:$E$506)*(V$3&lt;='Gastos com Pessoal'!$F$7:$F$506)*(IF('Gastos com Pessoal'!$Y$7:$Y$506&lt;=V$3,1,0))*OFFSET('Gastos com Pessoal'!$H$6,1,MATCH(4&amp;$B54,'Gastos com Pessoal'!$I$532:$AJ$532&amp;'Gastos com Pessoal'!$I$6:$AJ$6,0),500,1)),0)
+_xlfn.IFNA(SUM((V$3&gt;='Gastos com Pessoal'!$E$7:$E$506)*(V$3&lt;='Gastos com Pessoal'!$F$7:$F$506)*(IF('Gastos com Pessoal'!$AE$7:$AE$506&lt;=V$3,1,0))*OFFSET('Gastos com Pessoal'!$H$6,1,MATCH(5&amp;$B54,'Gastos com Pessoal'!$I$532:$AJ$532&amp;'Gastos com Pessoal'!$I$6:$AJ$6,0),500,1)),0)
+_xlfn.IFNA(SUM((V$3&gt;='Gastos com Pessoal'!$E$513:$E$522)*(V$3&lt;='Gastos com Pessoal'!$F$513:$F$522)*(IF('Gastos com Pessoal'!$G$513:$G$522&lt;=V$3,1,0))*OFFSET('Gastos com Pessoal'!$H$512,1,MATCH(1&amp;$B54,'Gastos com Pessoal'!$I$532:$AJ$532&amp;'Gastos com Pessoal'!$I$512:$AJ$512,0),10,1)),0)
+_xlfn.IFNA(SUM((V$3&gt;='Gastos com Pessoal'!$E$513:$E$522)*(V$3&lt;='Gastos com Pessoal'!$F$513:$F$522)*(IF('Gastos com Pessoal'!$M$513:$M$522&lt;=V$3,1,0))*OFFSET('Gastos com Pessoal'!$H$512,1,MATCH(2&amp;$B54,'Gastos com Pessoal'!$I$532:$AJ$532&amp;'Gastos com Pessoal'!$I$512:$AJ$512,0),10,1)),0)
+_xlfn.IFNA(SUM((V$3&gt;='Gastos com Pessoal'!$E$513:$E$522)*(V$3&lt;='Gastos com Pessoal'!$F$513:$F$522)*(IF('Gastos com Pessoal'!$S$513:$S$522&lt;=V$3,1,0))*OFFSET('Gastos com Pessoal'!$H$512,1,MATCH(3&amp;$B54,'Gastos com Pessoal'!$I$532:$AJ$532&amp;'Gastos com Pessoal'!$I$512:$AJ$512,0),10,1)),0)
+_xlfn.IFNA(SUM((V$3&gt;='Gastos com Pessoal'!$E$513:$E$522)*(V$3&lt;='Gastos com Pessoal'!$F$513:$F$522)*(IF('Gastos com Pessoal'!$Y$513:$Y$522&lt;=V$3,1,0))*OFFSET('Gastos com Pessoal'!$H$512,1,MATCH(4&amp;$B54,'Gastos com Pessoal'!$I$532:$AJ$532&amp;'Gastos com Pessoal'!$I$512:$AJ$512,0),10,1)),0)
+_xlfn.IFNA(SUM((V$3&gt;='Gastos com Pessoal'!$E$513:$E$522)*(V$3&lt;='Gastos com Pessoal'!$F$513:$F$522)*(IF('Gastos com Pessoal'!$AE$513:$AE$522&lt;=V$3,1,0))*OFFSET('Gastos com Pessoal'!$H$512,1,MATCH(5&amp;$B54,'Gastos com Pessoal'!$I$532:$AJ$532&amp;'Gastos com Pessoal'!$I$512:$AJ$512,0),10,1)),0)</f>
        <v>33582</v>
      </c>
      <c r="W54" s="32">
        <f t="array" aca="1" ref="W54" ca="1">_xlfn.IFNA(SUM((W$3&gt;='Gastos com Pessoal'!$E$7:$E$506)*(W$3&lt;='Gastos com Pessoal'!$F$7:$F$506)*OFFSET('Encargos e Benefícios'!$D$5,1,MATCH($B54,'Encargos e Benefícios'!$E$5:$AB$5,0),500,1)),0)
+_xlfn.IFNA(SUM((W$3&gt;='Gastos com Pessoal'!$E$513:$E$522)*(W$3&lt;='Gastos com Pessoal'!$F$513:$F$522)*OFFSET('Encargos e Benefícios'!$D$511,1,MATCH($B54,'Encargos e Benefícios'!$E$511:$AB$511,0),10,1)),0)
+_xlfn.IFNA(SUM((W$3&gt;='Gastos com Pessoal'!$E$7:$E$506)*(W$3&lt;='Gastos com Pessoal'!$F$7:$F$506)*(IF('Gastos com Pessoal'!$G$7:$G$506&lt;=W$3,1,0))*OFFSET('Gastos com Pessoal'!$H$6,1,MATCH(1&amp;$B54,'Gastos com Pessoal'!$I$532:$AJ$532&amp;'Gastos com Pessoal'!$I$6:$AJ$6,0),500,1)),0)
+_xlfn.IFNA(SUM((W$3&gt;='Gastos com Pessoal'!$E$7:$E$506)*(W$3&lt;='Gastos com Pessoal'!$F$7:$F$506)*(IF('Gastos com Pessoal'!$M$7:$M$506&lt;=W$3,1,0))*OFFSET('Gastos com Pessoal'!$H$6,1,MATCH(2&amp;$B54,'Gastos com Pessoal'!$I$532:$AJ$532&amp;'Gastos com Pessoal'!$I$6:$AJ$6,0),500,1)),0)
+_xlfn.IFNA(SUM((W$3&gt;='Gastos com Pessoal'!$E$7:$E$506)*(W$3&lt;='Gastos com Pessoal'!$F$7:$F$506)*(IF('Gastos com Pessoal'!$S$7:$S$506&lt;=W$3,1,0))*OFFSET('Gastos com Pessoal'!$H$6,1,MATCH(3&amp;$B54,'Gastos com Pessoal'!$I$532:$AJ$532&amp;'Gastos com Pessoal'!$I$6:$AJ$6,0),500,1)),0)
+_xlfn.IFNA(SUM((W$3&gt;='Gastos com Pessoal'!$E$7:$E$506)*(W$3&lt;='Gastos com Pessoal'!$F$7:$F$506)*(IF('Gastos com Pessoal'!$Y$7:$Y$506&lt;=W$3,1,0))*OFFSET('Gastos com Pessoal'!$H$6,1,MATCH(4&amp;$B54,'Gastos com Pessoal'!$I$532:$AJ$532&amp;'Gastos com Pessoal'!$I$6:$AJ$6,0),500,1)),0)
+_xlfn.IFNA(SUM((W$3&gt;='Gastos com Pessoal'!$E$7:$E$506)*(W$3&lt;='Gastos com Pessoal'!$F$7:$F$506)*(IF('Gastos com Pessoal'!$AE$7:$AE$506&lt;=W$3,1,0))*OFFSET('Gastos com Pessoal'!$H$6,1,MATCH(5&amp;$B54,'Gastos com Pessoal'!$I$532:$AJ$532&amp;'Gastos com Pessoal'!$I$6:$AJ$6,0),500,1)),0)
+_xlfn.IFNA(SUM((W$3&gt;='Gastos com Pessoal'!$E$513:$E$522)*(W$3&lt;='Gastos com Pessoal'!$F$513:$F$522)*(IF('Gastos com Pessoal'!$G$513:$G$522&lt;=W$3,1,0))*OFFSET('Gastos com Pessoal'!$H$512,1,MATCH(1&amp;$B54,'Gastos com Pessoal'!$I$532:$AJ$532&amp;'Gastos com Pessoal'!$I$512:$AJ$512,0),10,1)),0)
+_xlfn.IFNA(SUM((W$3&gt;='Gastos com Pessoal'!$E$513:$E$522)*(W$3&lt;='Gastos com Pessoal'!$F$513:$F$522)*(IF('Gastos com Pessoal'!$M$513:$M$522&lt;=W$3,1,0))*OFFSET('Gastos com Pessoal'!$H$512,1,MATCH(2&amp;$B54,'Gastos com Pessoal'!$I$532:$AJ$532&amp;'Gastos com Pessoal'!$I$512:$AJ$512,0),10,1)),0)
+_xlfn.IFNA(SUM((W$3&gt;='Gastos com Pessoal'!$E$513:$E$522)*(W$3&lt;='Gastos com Pessoal'!$F$513:$F$522)*(IF('Gastos com Pessoal'!$S$513:$S$522&lt;=W$3,1,0))*OFFSET('Gastos com Pessoal'!$H$512,1,MATCH(3&amp;$B54,'Gastos com Pessoal'!$I$532:$AJ$532&amp;'Gastos com Pessoal'!$I$512:$AJ$512,0),10,1)),0)
+_xlfn.IFNA(SUM((W$3&gt;='Gastos com Pessoal'!$E$513:$E$522)*(W$3&lt;='Gastos com Pessoal'!$F$513:$F$522)*(IF('Gastos com Pessoal'!$Y$513:$Y$522&lt;=W$3,1,0))*OFFSET('Gastos com Pessoal'!$H$512,1,MATCH(4&amp;$B54,'Gastos com Pessoal'!$I$532:$AJ$532&amp;'Gastos com Pessoal'!$I$512:$AJ$512,0),10,1)),0)
+_xlfn.IFNA(SUM((W$3&gt;='Gastos com Pessoal'!$E$513:$E$522)*(W$3&lt;='Gastos com Pessoal'!$F$513:$F$522)*(IF('Gastos com Pessoal'!$AE$513:$AE$522&lt;=W$3,1,0))*OFFSET('Gastos com Pessoal'!$H$512,1,MATCH(5&amp;$B54,'Gastos com Pessoal'!$I$532:$AJ$532&amp;'Gastos com Pessoal'!$I$512:$AJ$512,0),10,1)),0)</f>
        <v>33582</v>
      </c>
      <c r="X54" s="32">
        <f t="array" aca="1" ref="X54" ca="1">_xlfn.IFNA(SUM((X$3&gt;='Gastos com Pessoal'!$E$7:$E$506)*(X$3&lt;='Gastos com Pessoal'!$F$7:$F$506)*OFFSET('Encargos e Benefícios'!$D$5,1,MATCH($B54,'Encargos e Benefícios'!$E$5:$AB$5,0),500,1)),0)
+_xlfn.IFNA(SUM((X$3&gt;='Gastos com Pessoal'!$E$513:$E$522)*(X$3&lt;='Gastos com Pessoal'!$F$513:$F$522)*OFFSET('Encargos e Benefícios'!$D$511,1,MATCH($B54,'Encargos e Benefícios'!$E$511:$AB$511,0),10,1)),0)
+_xlfn.IFNA(SUM((X$3&gt;='Gastos com Pessoal'!$E$7:$E$506)*(X$3&lt;='Gastos com Pessoal'!$F$7:$F$506)*(IF('Gastos com Pessoal'!$G$7:$G$506&lt;=X$3,1,0))*OFFSET('Gastos com Pessoal'!$H$6,1,MATCH(1&amp;$B54,'Gastos com Pessoal'!$I$532:$AJ$532&amp;'Gastos com Pessoal'!$I$6:$AJ$6,0),500,1)),0)
+_xlfn.IFNA(SUM((X$3&gt;='Gastos com Pessoal'!$E$7:$E$506)*(X$3&lt;='Gastos com Pessoal'!$F$7:$F$506)*(IF('Gastos com Pessoal'!$M$7:$M$506&lt;=X$3,1,0))*OFFSET('Gastos com Pessoal'!$H$6,1,MATCH(2&amp;$B54,'Gastos com Pessoal'!$I$532:$AJ$532&amp;'Gastos com Pessoal'!$I$6:$AJ$6,0),500,1)),0)
+_xlfn.IFNA(SUM((X$3&gt;='Gastos com Pessoal'!$E$7:$E$506)*(X$3&lt;='Gastos com Pessoal'!$F$7:$F$506)*(IF('Gastos com Pessoal'!$S$7:$S$506&lt;=X$3,1,0))*OFFSET('Gastos com Pessoal'!$H$6,1,MATCH(3&amp;$B54,'Gastos com Pessoal'!$I$532:$AJ$532&amp;'Gastos com Pessoal'!$I$6:$AJ$6,0),500,1)),0)
+_xlfn.IFNA(SUM((X$3&gt;='Gastos com Pessoal'!$E$7:$E$506)*(X$3&lt;='Gastos com Pessoal'!$F$7:$F$506)*(IF('Gastos com Pessoal'!$Y$7:$Y$506&lt;=X$3,1,0))*OFFSET('Gastos com Pessoal'!$H$6,1,MATCH(4&amp;$B54,'Gastos com Pessoal'!$I$532:$AJ$532&amp;'Gastos com Pessoal'!$I$6:$AJ$6,0),500,1)),0)
+_xlfn.IFNA(SUM((X$3&gt;='Gastos com Pessoal'!$E$7:$E$506)*(X$3&lt;='Gastos com Pessoal'!$F$7:$F$506)*(IF('Gastos com Pessoal'!$AE$7:$AE$506&lt;=X$3,1,0))*OFFSET('Gastos com Pessoal'!$H$6,1,MATCH(5&amp;$B54,'Gastos com Pessoal'!$I$532:$AJ$532&amp;'Gastos com Pessoal'!$I$6:$AJ$6,0),500,1)),0)
+_xlfn.IFNA(SUM((X$3&gt;='Gastos com Pessoal'!$E$513:$E$522)*(X$3&lt;='Gastos com Pessoal'!$F$513:$F$522)*(IF('Gastos com Pessoal'!$G$513:$G$522&lt;=X$3,1,0))*OFFSET('Gastos com Pessoal'!$H$512,1,MATCH(1&amp;$B54,'Gastos com Pessoal'!$I$532:$AJ$532&amp;'Gastos com Pessoal'!$I$512:$AJ$512,0),10,1)),0)
+_xlfn.IFNA(SUM((X$3&gt;='Gastos com Pessoal'!$E$513:$E$522)*(X$3&lt;='Gastos com Pessoal'!$F$513:$F$522)*(IF('Gastos com Pessoal'!$M$513:$M$522&lt;=X$3,1,0))*OFFSET('Gastos com Pessoal'!$H$512,1,MATCH(2&amp;$B54,'Gastos com Pessoal'!$I$532:$AJ$532&amp;'Gastos com Pessoal'!$I$512:$AJ$512,0),10,1)),0)
+_xlfn.IFNA(SUM((X$3&gt;='Gastos com Pessoal'!$E$513:$E$522)*(X$3&lt;='Gastos com Pessoal'!$F$513:$F$522)*(IF('Gastos com Pessoal'!$S$513:$S$522&lt;=X$3,1,0))*OFFSET('Gastos com Pessoal'!$H$512,1,MATCH(3&amp;$B54,'Gastos com Pessoal'!$I$532:$AJ$532&amp;'Gastos com Pessoal'!$I$512:$AJ$512,0),10,1)),0)
+_xlfn.IFNA(SUM((X$3&gt;='Gastos com Pessoal'!$E$513:$E$522)*(X$3&lt;='Gastos com Pessoal'!$F$513:$F$522)*(IF('Gastos com Pessoal'!$Y$513:$Y$522&lt;=X$3,1,0))*OFFSET('Gastos com Pessoal'!$H$512,1,MATCH(4&amp;$B54,'Gastos com Pessoal'!$I$532:$AJ$532&amp;'Gastos com Pessoal'!$I$512:$AJ$512,0),10,1)),0)
+_xlfn.IFNA(SUM((X$3&gt;='Gastos com Pessoal'!$E$513:$E$522)*(X$3&lt;='Gastos com Pessoal'!$F$513:$F$522)*(IF('Gastos com Pessoal'!$AE$513:$AE$522&lt;=X$3,1,0))*OFFSET('Gastos com Pessoal'!$H$512,1,MATCH(5&amp;$B54,'Gastos com Pessoal'!$I$532:$AJ$532&amp;'Gastos com Pessoal'!$I$512:$AJ$512,0),10,1)),0)</f>
        <v>33582</v>
      </c>
      <c r="Y54" s="32">
        <f t="array" aca="1" ref="Y54" ca="1">_xlfn.IFNA(SUM((Y$3&gt;='Gastos com Pessoal'!$E$7:$E$506)*(Y$3&lt;='Gastos com Pessoal'!$F$7:$F$506)*OFFSET('Encargos e Benefícios'!$D$5,1,MATCH($B54,'Encargos e Benefícios'!$E$5:$AB$5,0),500,1)),0)
+_xlfn.IFNA(SUM((Y$3&gt;='Gastos com Pessoal'!$E$513:$E$522)*(Y$3&lt;='Gastos com Pessoal'!$F$513:$F$522)*OFFSET('Encargos e Benefícios'!$D$511,1,MATCH($B54,'Encargos e Benefícios'!$E$511:$AB$511,0),10,1)),0)
+_xlfn.IFNA(SUM((Y$3&gt;='Gastos com Pessoal'!$E$7:$E$506)*(Y$3&lt;='Gastos com Pessoal'!$F$7:$F$506)*(IF('Gastos com Pessoal'!$G$7:$G$506&lt;=Y$3,1,0))*OFFSET('Gastos com Pessoal'!$H$6,1,MATCH(1&amp;$B54,'Gastos com Pessoal'!$I$532:$AJ$532&amp;'Gastos com Pessoal'!$I$6:$AJ$6,0),500,1)),0)
+_xlfn.IFNA(SUM((Y$3&gt;='Gastos com Pessoal'!$E$7:$E$506)*(Y$3&lt;='Gastos com Pessoal'!$F$7:$F$506)*(IF('Gastos com Pessoal'!$M$7:$M$506&lt;=Y$3,1,0))*OFFSET('Gastos com Pessoal'!$H$6,1,MATCH(2&amp;$B54,'Gastos com Pessoal'!$I$532:$AJ$532&amp;'Gastos com Pessoal'!$I$6:$AJ$6,0),500,1)),0)
+_xlfn.IFNA(SUM((Y$3&gt;='Gastos com Pessoal'!$E$7:$E$506)*(Y$3&lt;='Gastos com Pessoal'!$F$7:$F$506)*(IF('Gastos com Pessoal'!$S$7:$S$506&lt;=Y$3,1,0))*OFFSET('Gastos com Pessoal'!$H$6,1,MATCH(3&amp;$B54,'Gastos com Pessoal'!$I$532:$AJ$532&amp;'Gastos com Pessoal'!$I$6:$AJ$6,0),500,1)),0)
+_xlfn.IFNA(SUM((Y$3&gt;='Gastos com Pessoal'!$E$7:$E$506)*(Y$3&lt;='Gastos com Pessoal'!$F$7:$F$506)*(IF('Gastos com Pessoal'!$Y$7:$Y$506&lt;=Y$3,1,0))*OFFSET('Gastos com Pessoal'!$H$6,1,MATCH(4&amp;$B54,'Gastos com Pessoal'!$I$532:$AJ$532&amp;'Gastos com Pessoal'!$I$6:$AJ$6,0),500,1)),0)
+_xlfn.IFNA(SUM((Y$3&gt;='Gastos com Pessoal'!$E$7:$E$506)*(Y$3&lt;='Gastos com Pessoal'!$F$7:$F$506)*(IF('Gastos com Pessoal'!$AE$7:$AE$506&lt;=Y$3,1,0))*OFFSET('Gastos com Pessoal'!$H$6,1,MATCH(5&amp;$B54,'Gastos com Pessoal'!$I$532:$AJ$532&amp;'Gastos com Pessoal'!$I$6:$AJ$6,0),500,1)),0)
+_xlfn.IFNA(SUM((Y$3&gt;='Gastos com Pessoal'!$E$513:$E$522)*(Y$3&lt;='Gastos com Pessoal'!$F$513:$F$522)*(IF('Gastos com Pessoal'!$G$513:$G$522&lt;=Y$3,1,0))*OFFSET('Gastos com Pessoal'!$H$512,1,MATCH(1&amp;$B54,'Gastos com Pessoal'!$I$532:$AJ$532&amp;'Gastos com Pessoal'!$I$512:$AJ$512,0),10,1)),0)
+_xlfn.IFNA(SUM((Y$3&gt;='Gastos com Pessoal'!$E$513:$E$522)*(Y$3&lt;='Gastos com Pessoal'!$F$513:$F$522)*(IF('Gastos com Pessoal'!$M$513:$M$522&lt;=Y$3,1,0))*OFFSET('Gastos com Pessoal'!$H$512,1,MATCH(2&amp;$B54,'Gastos com Pessoal'!$I$532:$AJ$532&amp;'Gastos com Pessoal'!$I$512:$AJ$512,0),10,1)),0)
+_xlfn.IFNA(SUM((Y$3&gt;='Gastos com Pessoal'!$E$513:$E$522)*(Y$3&lt;='Gastos com Pessoal'!$F$513:$F$522)*(IF('Gastos com Pessoal'!$S$513:$S$522&lt;=Y$3,1,0))*OFFSET('Gastos com Pessoal'!$H$512,1,MATCH(3&amp;$B54,'Gastos com Pessoal'!$I$532:$AJ$532&amp;'Gastos com Pessoal'!$I$512:$AJ$512,0),10,1)),0)
+_xlfn.IFNA(SUM((Y$3&gt;='Gastos com Pessoal'!$E$513:$E$522)*(Y$3&lt;='Gastos com Pessoal'!$F$513:$F$522)*(IF('Gastos com Pessoal'!$Y$513:$Y$522&lt;=Y$3,1,0))*OFFSET('Gastos com Pessoal'!$H$512,1,MATCH(4&amp;$B54,'Gastos com Pessoal'!$I$532:$AJ$532&amp;'Gastos com Pessoal'!$I$512:$AJ$512,0),10,1)),0)
+_xlfn.IFNA(SUM((Y$3&gt;='Gastos com Pessoal'!$E$513:$E$522)*(Y$3&lt;='Gastos com Pessoal'!$F$513:$F$522)*(IF('Gastos com Pessoal'!$AE$513:$AE$522&lt;=Y$3,1,0))*OFFSET('Gastos com Pessoal'!$H$512,1,MATCH(5&amp;$B54,'Gastos com Pessoal'!$I$532:$AJ$532&amp;'Gastos com Pessoal'!$I$512:$AJ$512,0),10,1)),0)</f>
        <v>33582</v>
      </c>
      <c r="Z54" s="32">
        <f t="array" aca="1" ref="Z54" ca="1">_xlfn.IFNA(SUM((Z$3&gt;='Gastos com Pessoal'!$E$7:$E$506)*(Z$3&lt;='Gastos com Pessoal'!$F$7:$F$506)*OFFSET('Encargos e Benefícios'!$D$5,1,MATCH($B54,'Encargos e Benefícios'!$E$5:$AB$5,0),500,1)),0)
+_xlfn.IFNA(SUM((Z$3&gt;='Gastos com Pessoal'!$E$513:$E$522)*(Z$3&lt;='Gastos com Pessoal'!$F$513:$F$522)*OFFSET('Encargos e Benefícios'!$D$511,1,MATCH($B54,'Encargos e Benefícios'!$E$511:$AB$511,0),10,1)),0)
+_xlfn.IFNA(SUM((Z$3&gt;='Gastos com Pessoal'!$E$7:$E$506)*(Z$3&lt;='Gastos com Pessoal'!$F$7:$F$506)*(IF('Gastos com Pessoal'!$G$7:$G$506&lt;=Z$3,1,0))*OFFSET('Gastos com Pessoal'!$H$6,1,MATCH(1&amp;$B54,'Gastos com Pessoal'!$I$532:$AJ$532&amp;'Gastos com Pessoal'!$I$6:$AJ$6,0),500,1)),0)
+_xlfn.IFNA(SUM((Z$3&gt;='Gastos com Pessoal'!$E$7:$E$506)*(Z$3&lt;='Gastos com Pessoal'!$F$7:$F$506)*(IF('Gastos com Pessoal'!$M$7:$M$506&lt;=Z$3,1,0))*OFFSET('Gastos com Pessoal'!$H$6,1,MATCH(2&amp;$B54,'Gastos com Pessoal'!$I$532:$AJ$532&amp;'Gastos com Pessoal'!$I$6:$AJ$6,0),500,1)),0)
+_xlfn.IFNA(SUM((Z$3&gt;='Gastos com Pessoal'!$E$7:$E$506)*(Z$3&lt;='Gastos com Pessoal'!$F$7:$F$506)*(IF('Gastos com Pessoal'!$S$7:$S$506&lt;=Z$3,1,0))*OFFSET('Gastos com Pessoal'!$H$6,1,MATCH(3&amp;$B54,'Gastos com Pessoal'!$I$532:$AJ$532&amp;'Gastos com Pessoal'!$I$6:$AJ$6,0),500,1)),0)
+_xlfn.IFNA(SUM((Z$3&gt;='Gastos com Pessoal'!$E$7:$E$506)*(Z$3&lt;='Gastos com Pessoal'!$F$7:$F$506)*(IF('Gastos com Pessoal'!$Y$7:$Y$506&lt;=Z$3,1,0))*OFFSET('Gastos com Pessoal'!$H$6,1,MATCH(4&amp;$B54,'Gastos com Pessoal'!$I$532:$AJ$532&amp;'Gastos com Pessoal'!$I$6:$AJ$6,0),500,1)),0)
+_xlfn.IFNA(SUM((Z$3&gt;='Gastos com Pessoal'!$E$7:$E$506)*(Z$3&lt;='Gastos com Pessoal'!$F$7:$F$506)*(IF('Gastos com Pessoal'!$AE$7:$AE$506&lt;=Z$3,1,0))*OFFSET('Gastos com Pessoal'!$H$6,1,MATCH(5&amp;$B54,'Gastos com Pessoal'!$I$532:$AJ$532&amp;'Gastos com Pessoal'!$I$6:$AJ$6,0),500,1)),0)
+_xlfn.IFNA(SUM((Z$3&gt;='Gastos com Pessoal'!$E$513:$E$522)*(Z$3&lt;='Gastos com Pessoal'!$F$513:$F$522)*(IF('Gastos com Pessoal'!$G$513:$G$522&lt;=Z$3,1,0))*OFFSET('Gastos com Pessoal'!$H$512,1,MATCH(1&amp;$B54,'Gastos com Pessoal'!$I$532:$AJ$532&amp;'Gastos com Pessoal'!$I$512:$AJ$512,0),10,1)),0)
+_xlfn.IFNA(SUM((Z$3&gt;='Gastos com Pessoal'!$E$513:$E$522)*(Z$3&lt;='Gastos com Pessoal'!$F$513:$F$522)*(IF('Gastos com Pessoal'!$M$513:$M$522&lt;=Z$3,1,0))*OFFSET('Gastos com Pessoal'!$H$512,1,MATCH(2&amp;$B54,'Gastos com Pessoal'!$I$532:$AJ$532&amp;'Gastos com Pessoal'!$I$512:$AJ$512,0),10,1)),0)
+_xlfn.IFNA(SUM((Z$3&gt;='Gastos com Pessoal'!$E$513:$E$522)*(Z$3&lt;='Gastos com Pessoal'!$F$513:$F$522)*(IF('Gastos com Pessoal'!$S$513:$S$522&lt;=Z$3,1,0))*OFFSET('Gastos com Pessoal'!$H$512,1,MATCH(3&amp;$B54,'Gastos com Pessoal'!$I$532:$AJ$532&amp;'Gastos com Pessoal'!$I$512:$AJ$512,0),10,1)),0)
+_xlfn.IFNA(SUM((Z$3&gt;='Gastos com Pessoal'!$E$513:$E$522)*(Z$3&lt;='Gastos com Pessoal'!$F$513:$F$522)*(IF('Gastos com Pessoal'!$Y$513:$Y$522&lt;=Z$3,1,0))*OFFSET('Gastos com Pessoal'!$H$512,1,MATCH(4&amp;$B54,'Gastos com Pessoal'!$I$532:$AJ$532&amp;'Gastos com Pessoal'!$I$512:$AJ$512,0),10,1)),0)
+_xlfn.IFNA(SUM((Z$3&gt;='Gastos com Pessoal'!$E$513:$E$522)*(Z$3&lt;='Gastos com Pessoal'!$F$513:$F$522)*(IF('Gastos com Pessoal'!$AE$513:$AE$522&lt;=Z$3,1,0))*OFFSET('Gastos com Pessoal'!$H$512,1,MATCH(5&amp;$B54,'Gastos com Pessoal'!$I$532:$AJ$532&amp;'Gastos com Pessoal'!$I$512:$AJ$512,0),10,1)),0)</f>
        <v>33582</v>
      </c>
      <c r="AA54" s="32">
        <f t="array" aca="1" ref="AA54" ca="1">_xlfn.IFNA(SUM((AA$3&gt;='Gastos com Pessoal'!$E$7:$E$506)*(AA$3&lt;='Gastos com Pessoal'!$F$7:$F$506)*OFFSET('Encargos e Benefícios'!$D$5,1,MATCH($B54,'Encargos e Benefícios'!$E$5:$AB$5,0),500,1)),0)
+_xlfn.IFNA(SUM((AA$3&gt;='Gastos com Pessoal'!$E$513:$E$522)*(AA$3&lt;='Gastos com Pessoal'!$F$513:$F$522)*OFFSET('Encargos e Benefícios'!$D$511,1,MATCH($B54,'Encargos e Benefícios'!$E$511:$AB$511,0),10,1)),0)
+_xlfn.IFNA(SUM((AA$3&gt;='Gastos com Pessoal'!$E$7:$E$506)*(AA$3&lt;='Gastos com Pessoal'!$F$7:$F$506)*(IF('Gastos com Pessoal'!$G$7:$G$506&lt;=AA$3,1,0))*OFFSET('Gastos com Pessoal'!$H$6,1,MATCH(1&amp;$B54,'Gastos com Pessoal'!$I$532:$AJ$532&amp;'Gastos com Pessoal'!$I$6:$AJ$6,0),500,1)),0)
+_xlfn.IFNA(SUM((AA$3&gt;='Gastos com Pessoal'!$E$7:$E$506)*(AA$3&lt;='Gastos com Pessoal'!$F$7:$F$506)*(IF('Gastos com Pessoal'!$M$7:$M$506&lt;=AA$3,1,0))*OFFSET('Gastos com Pessoal'!$H$6,1,MATCH(2&amp;$B54,'Gastos com Pessoal'!$I$532:$AJ$532&amp;'Gastos com Pessoal'!$I$6:$AJ$6,0),500,1)),0)
+_xlfn.IFNA(SUM((AA$3&gt;='Gastos com Pessoal'!$E$7:$E$506)*(AA$3&lt;='Gastos com Pessoal'!$F$7:$F$506)*(IF('Gastos com Pessoal'!$S$7:$S$506&lt;=AA$3,1,0))*OFFSET('Gastos com Pessoal'!$H$6,1,MATCH(3&amp;$B54,'Gastos com Pessoal'!$I$532:$AJ$532&amp;'Gastos com Pessoal'!$I$6:$AJ$6,0),500,1)),0)
+_xlfn.IFNA(SUM((AA$3&gt;='Gastos com Pessoal'!$E$7:$E$506)*(AA$3&lt;='Gastos com Pessoal'!$F$7:$F$506)*(IF('Gastos com Pessoal'!$Y$7:$Y$506&lt;=AA$3,1,0))*OFFSET('Gastos com Pessoal'!$H$6,1,MATCH(4&amp;$B54,'Gastos com Pessoal'!$I$532:$AJ$532&amp;'Gastos com Pessoal'!$I$6:$AJ$6,0),500,1)),0)
+_xlfn.IFNA(SUM((AA$3&gt;='Gastos com Pessoal'!$E$7:$E$506)*(AA$3&lt;='Gastos com Pessoal'!$F$7:$F$506)*(IF('Gastos com Pessoal'!$AE$7:$AE$506&lt;=AA$3,1,0))*OFFSET('Gastos com Pessoal'!$H$6,1,MATCH(5&amp;$B54,'Gastos com Pessoal'!$I$532:$AJ$532&amp;'Gastos com Pessoal'!$I$6:$AJ$6,0),500,1)),0)
+_xlfn.IFNA(SUM((AA$3&gt;='Gastos com Pessoal'!$E$513:$E$522)*(AA$3&lt;='Gastos com Pessoal'!$F$513:$F$522)*(IF('Gastos com Pessoal'!$G$513:$G$522&lt;=AA$3,1,0))*OFFSET('Gastos com Pessoal'!$H$512,1,MATCH(1&amp;$B54,'Gastos com Pessoal'!$I$532:$AJ$532&amp;'Gastos com Pessoal'!$I$512:$AJ$512,0),10,1)),0)
+_xlfn.IFNA(SUM((AA$3&gt;='Gastos com Pessoal'!$E$513:$E$522)*(AA$3&lt;='Gastos com Pessoal'!$F$513:$F$522)*(IF('Gastos com Pessoal'!$M$513:$M$522&lt;=AA$3,1,0))*OFFSET('Gastos com Pessoal'!$H$512,1,MATCH(2&amp;$B54,'Gastos com Pessoal'!$I$532:$AJ$532&amp;'Gastos com Pessoal'!$I$512:$AJ$512,0),10,1)),0)
+_xlfn.IFNA(SUM((AA$3&gt;='Gastos com Pessoal'!$E$513:$E$522)*(AA$3&lt;='Gastos com Pessoal'!$F$513:$F$522)*(IF('Gastos com Pessoal'!$S$513:$S$522&lt;=AA$3,1,0))*OFFSET('Gastos com Pessoal'!$H$512,1,MATCH(3&amp;$B54,'Gastos com Pessoal'!$I$532:$AJ$532&amp;'Gastos com Pessoal'!$I$512:$AJ$512,0),10,1)),0)
+_xlfn.IFNA(SUM((AA$3&gt;='Gastos com Pessoal'!$E$513:$E$522)*(AA$3&lt;='Gastos com Pessoal'!$F$513:$F$522)*(IF('Gastos com Pessoal'!$Y$513:$Y$522&lt;=AA$3,1,0))*OFFSET('Gastos com Pessoal'!$H$512,1,MATCH(4&amp;$B54,'Gastos com Pessoal'!$I$532:$AJ$532&amp;'Gastos com Pessoal'!$I$512:$AJ$512,0),10,1)),0)
+_xlfn.IFNA(SUM((AA$3&gt;='Gastos com Pessoal'!$E$513:$E$522)*(AA$3&lt;='Gastos com Pessoal'!$F$513:$F$522)*(IF('Gastos com Pessoal'!$AE$513:$AE$522&lt;=AA$3,1,0))*OFFSET('Gastos com Pessoal'!$H$512,1,MATCH(5&amp;$B54,'Gastos com Pessoal'!$I$532:$AJ$532&amp;'Gastos com Pessoal'!$I$512:$AJ$512,0),10,1)),0)</f>
        <v>33582</v>
      </c>
      <c r="AB54" s="32">
        <f t="array" aca="1" ref="AB54" ca="1">_xlfn.IFNA(SUM((AB$3&gt;='Gastos com Pessoal'!$E$7:$E$506)*(AB$3&lt;='Gastos com Pessoal'!$F$7:$F$506)*OFFSET('Encargos e Benefícios'!$D$5,1,MATCH($B54,'Encargos e Benefícios'!$E$5:$AB$5,0),500,1)),0)
+_xlfn.IFNA(SUM((AB$3&gt;='Gastos com Pessoal'!$E$513:$E$522)*(AB$3&lt;='Gastos com Pessoal'!$F$513:$F$522)*OFFSET('Encargos e Benefícios'!$D$511,1,MATCH($B54,'Encargos e Benefícios'!$E$511:$AB$511,0),10,1)),0)
+_xlfn.IFNA(SUM((AB$3&gt;='Gastos com Pessoal'!$E$7:$E$506)*(AB$3&lt;='Gastos com Pessoal'!$F$7:$F$506)*(IF('Gastos com Pessoal'!$G$7:$G$506&lt;=AB$3,1,0))*OFFSET('Gastos com Pessoal'!$H$6,1,MATCH(1&amp;$B54,'Gastos com Pessoal'!$I$532:$AJ$532&amp;'Gastos com Pessoal'!$I$6:$AJ$6,0),500,1)),0)
+_xlfn.IFNA(SUM((AB$3&gt;='Gastos com Pessoal'!$E$7:$E$506)*(AB$3&lt;='Gastos com Pessoal'!$F$7:$F$506)*(IF('Gastos com Pessoal'!$M$7:$M$506&lt;=AB$3,1,0))*OFFSET('Gastos com Pessoal'!$H$6,1,MATCH(2&amp;$B54,'Gastos com Pessoal'!$I$532:$AJ$532&amp;'Gastos com Pessoal'!$I$6:$AJ$6,0),500,1)),0)
+_xlfn.IFNA(SUM((AB$3&gt;='Gastos com Pessoal'!$E$7:$E$506)*(AB$3&lt;='Gastos com Pessoal'!$F$7:$F$506)*(IF('Gastos com Pessoal'!$S$7:$S$506&lt;=AB$3,1,0))*OFFSET('Gastos com Pessoal'!$H$6,1,MATCH(3&amp;$B54,'Gastos com Pessoal'!$I$532:$AJ$532&amp;'Gastos com Pessoal'!$I$6:$AJ$6,0),500,1)),0)
+_xlfn.IFNA(SUM((AB$3&gt;='Gastos com Pessoal'!$E$7:$E$506)*(AB$3&lt;='Gastos com Pessoal'!$F$7:$F$506)*(IF('Gastos com Pessoal'!$Y$7:$Y$506&lt;=AB$3,1,0))*OFFSET('Gastos com Pessoal'!$H$6,1,MATCH(4&amp;$B54,'Gastos com Pessoal'!$I$532:$AJ$532&amp;'Gastos com Pessoal'!$I$6:$AJ$6,0),500,1)),0)
+_xlfn.IFNA(SUM((AB$3&gt;='Gastos com Pessoal'!$E$7:$E$506)*(AB$3&lt;='Gastos com Pessoal'!$F$7:$F$506)*(IF('Gastos com Pessoal'!$AE$7:$AE$506&lt;=AB$3,1,0))*OFFSET('Gastos com Pessoal'!$H$6,1,MATCH(5&amp;$B54,'Gastos com Pessoal'!$I$532:$AJ$532&amp;'Gastos com Pessoal'!$I$6:$AJ$6,0),500,1)),0)
+_xlfn.IFNA(SUM((AB$3&gt;='Gastos com Pessoal'!$E$513:$E$522)*(AB$3&lt;='Gastos com Pessoal'!$F$513:$F$522)*(IF('Gastos com Pessoal'!$G$513:$G$522&lt;=AB$3,1,0))*OFFSET('Gastos com Pessoal'!$H$512,1,MATCH(1&amp;$B54,'Gastos com Pessoal'!$I$532:$AJ$532&amp;'Gastos com Pessoal'!$I$512:$AJ$512,0),10,1)),0)
+_xlfn.IFNA(SUM((AB$3&gt;='Gastos com Pessoal'!$E$513:$E$522)*(AB$3&lt;='Gastos com Pessoal'!$F$513:$F$522)*(IF('Gastos com Pessoal'!$M$513:$M$522&lt;=AB$3,1,0))*OFFSET('Gastos com Pessoal'!$H$512,1,MATCH(2&amp;$B54,'Gastos com Pessoal'!$I$532:$AJ$532&amp;'Gastos com Pessoal'!$I$512:$AJ$512,0),10,1)),0)
+_xlfn.IFNA(SUM((AB$3&gt;='Gastos com Pessoal'!$E$513:$E$522)*(AB$3&lt;='Gastos com Pessoal'!$F$513:$F$522)*(IF('Gastos com Pessoal'!$S$513:$S$522&lt;=AB$3,1,0))*OFFSET('Gastos com Pessoal'!$H$512,1,MATCH(3&amp;$B54,'Gastos com Pessoal'!$I$532:$AJ$532&amp;'Gastos com Pessoal'!$I$512:$AJ$512,0),10,1)),0)
+_xlfn.IFNA(SUM((AB$3&gt;='Gastos com Pessoal'!$E$513:$E$522)*(AB$3&lt;='Gastos com Pessoal'!$F$513:$F$522)*(IF('Gastos com Pessoal'!$Y$513:$Y$522&lt;=AB$3,1,0))*OFFSET('Gastos com Pessoal'!$H$512,1,MATCH(4&amp;$B54,'Gastos com Pessoal'!$I$532:$AJ$532&amp;'Gastos com Pessoal'!$I$512:$AJ$512,0),10,1)),0)
+_xlfn.IFNA(SUM((AB$3&gt;='Gastos com Pessoal'!$E$513:$E$522)*(AB$3&lt;='Gastos com Pessoal'!$F$513:$F$522)*(IF('Gastos com Pessoal'!$AE$513:$AE$522&lt;=AB$3,1,0))*OFFSET('Gastos com Pessoal'!$H$512,1,MATCH(5&amp;$B54,'Gastos com Pessoal'!$I$532:$AJ$532&amp;'Gastos com Pessoal'!$I$512:$AJ$512,0),10,1)),0)</f>
        <v>33582</v>
      </c>
      <c r="AC54" s="32">
        <f t="array" aca="1" ref="AC54" ca="1">_xlfn.IFNA(SUM((AC$3&gt;='Gastos com Pessoal'!$E$7:$E$506)*(AC$3&lt;='Gastos com Pessoal'!$F$7:$F$506)*OFFSET('Encargos e Benefícios'!$D$5,1,MATCH($B54,'Encargos e Benefícios'!$E$5:$AB$5,0),500,1)),0)
+_xlfn.IFNA(SUM((AC$3&gt;='Gastos com Pessoal'!$E$513:$E$522)*(AC$3&lt;='Gastos com Pessoal'!$F$513:$F$522)*OFFSET('Encargos e Benefícios'!$D$511,1,MATCH($B54,'Encargos e Benefícios'!$E$511:$AB$511,0),10,1)),0)
+_xlfn.IFNA(SUM((AC$3&gt;='Gastos com Pessoal'!$E$7:$E$506)*(AC$3&lt;='Gastos com Pessoal'!$F$7:$F$506)*(IF('Gastos com Pessoal'!$G$7:$G$506&lt;=AC$3,1,0))*OFFSET('Gastos com Pessoal'!$H$6,1,MATCH(1&amp;$B54,'Gastos com Pessoal'!$I$532:$AJ$532&amp;'Gastos com Pessoal'!$I$6:$AJ$6,0),500,1)),0)
+_xlfn.IFNA(SUM((AC$3&gt;='Gastos com Pessoal'!$E$7:$E$506)*(AC$3&lt;='Gastos com Pessoal'!$F$7:$F$506)*(IF('Gastos com Pessoal'!$M$7:$M$506&lt;=AC$3,1,0))*OFFSET('Gastos com Pessoal'!$H$6,1,MATCH(2&amp;$B54,'Gastos com Pessoal'!$I$532:$AJ$532&amp;'Gastos com Pessoal'!$I$6:$AJ$6,0),500,1)),0)
+_xlfn.IFNA(SUM((AC$3&gt;='Gastos com Pessoal'!$E$7:$E$506)*(AC$3&lt;='Gastos com Pessoal'!$F$7:$F$506)*(IF('Gastos com Pessoal'!$S$7:$S$506&lt;=AC$3,1,0))*OFFSET('Gastos com Pessoal'!$H$6,1,MATCH(3&amp;$B54,'Gastos com Pessoal'!$I$532:$AJ$532&amp;'Gastos com Pessoal'!$I$6:$AJ$6,0),500,1)),0)
+_xlfn.IFNA(SUM((AC$3&gt;='Gastos com Pessoal'!$E$7:$E$506)*(AC$3&lt;='Gastos com Pessoal'!$F$7:$F$506)*(IF('Gastos com Pessoal'!$Y$7:$Y$506&lt;=AC$3,1,0))*OFFSET('Gastos com Pessoal'!$H$6,1,MATCH(4&amp;$B54,'Gastos com Pessoal'!$I$532:$AJ$532&amp;'Gastos com Pessoal'!$I$6:$AJ$6,0),500,1)),0)
+_xlfn.IFNA(SUM((AC$3&gt;='Gastos com Pessoal'!$E$7:$E$506)*(AC$3&lt;='Gastos com Pessoal'!$F$7:$F$506)*(IF('Gastos com Pessoal'!$AE$7:$AE$506&lt;=AC$3,1,0))*OFFSET('Gastos com Pessoal'!$H$6,1,MATCH(5&amp;$B54,'Gastos com Pessoal'!$I$532:$AJ$532&amp;'Gastos com Pessoal'!$I$6:$AJ$6,0),500,1)),0)
+_xlfn.IFNA(SUM((AC$3&gt;='Gastos com Pessoal'!$E$513:$E$522)*(AC$3&lt;='Gastos com Pessoal'!$F$513:$F$522)*(IF('Gastos com Pessoal'!$G$513:$G$522&lt;=AC$3,1,0))*OFFSET('Gastos com Pessoal'!$H$512,1,MATCH(1&amp;$B54,'Gastos com Pessoal'!$I$532:$AJ$532&amp;'Gastos com Pessoal'!$I$512:$AJ$512,0),10,1)),0)
+_xlfn.IFNA(SUM((AC$3&gt;='Gastos com Pessoal'!$E$513:$E$522)*(AC$3&lt;='Gastos com Pessoal'!$F$513:$F$522)*(IF('Gastos com Pessoal'!$M$513:$M$522&lt;=AC$3,1,0))*OFFSET('Gastos com Pessoal'!$H$512,1,MATCH(2&amp;$B54,'Gastos com Pessoal'!$I$532:$AJ$532&amp;'Gastos com Pessoal'!$I$512:$AJ$512,0),10,1)),0)
+_xlfn.IFNA(SUM((AC$3&gt;='Gastos com Pessoal'!$E$513:$E$522)*(AC$3&lt;='Gastos com Pessoal'!$F$513:$F$522)*(IF('Gastos com Pessoal'!$S$513:$S$522&lt;=AC$3,1,0))*OFFSET('Gastos com Pessoal'!$H$512,1,MATCH(3&amp;$B54,'Gastos com Pessoal'!$I$532:$AJ$532&amp;'Gastos com Pessoal'!$I$512:$AJ$512,0),10,1)),0)
+_xlfn.IFNA(SUM((AC$3&gt;='Gastos com Pessoal'!$E$513:$E$522)*(AC$3&lt;='Gastos com Pessoal'!$F$513:$F$522)*(IF('Gastos com Pessoal'!$Y$513:$Y$522&lt;=AC$3,1,0))*OFFSET('Gastos com Pessoal'!$H$512,1,MATCH(4&amp;$B54,'Gastos com Pessoal'!$I$532:$AJ$532&amp;'Gastos com Pessoal'!$I$512:$AJ$512,0),10,1)),0)
+_xlfn.IFNA(SUM((AC$3&gt;='Gastos com Pessoal'!$E$513:$E$522)*(AC$3&lt;='Gastos com Pessoal'!$F$513:$F$522)*(IF('Gastos com Pessoal'!$AE$513:$AE$522&lt;=AC$3,1,0))*OFFSET('Gastos com Pessoal'!$H$512,1,MATCH(5&amp;$B54,'Gastos com Pessoal'!$I$532:$AJ$532&amp;'Gastos com Pessoal'!$I$512:$AJ$512,0),10,1)),0)</f>
        <v>33582</v>
      </c>
      <c r="AD54" s="32">
        <f t="array" aca="1" ref="AD54" ca="1">_xlfn.IFNA(SUM((AD$3&gt;='Gastos com Pessoal'!$E$7:$E$506)*(AD$3&lt;='Gastos com Pessoal'!$F$7:$F$506)*OFFSET('Encargos e Benefícios'!$D$5,1,MATCH($B54,'Encargos e Benefícios'!$E$5:$AB$5,0),500,1)),0)
+_xlfn.IFNA(SUM((AD$3&gt;='Gastos com Pessoal'!$E$513:$E$522)*(AD$3&lt;='Gastos com Pessoal'!$F$513:$F$522)*OFFSET('Encargos e Benefícios'!$D$511,1,MATCH($B54,'Encargos e Benefícios'!$E$511:$AB$511,0),10,1)),0)
+_xlfn.IFNA(SUM((AD$3&gt;='Gastos com Pessoal'!$E$7:$E$506)*(AD$3&lt;='Gastos com Pessoal'!$F$7:$F$506)*(IF('Gastos com Pessoal'!$G$7:$G$506&lt;=AD$3,1,0))*OFFSET('Gastos com Pessoal'!$H$6,1,MATCH(1&amp;$B54,'Gastos com Pessoal'!$I$532:$AJ$532&amp;'Gastos com Pessoal'!$I$6:$AJ$6,0),500,1)),0)
+_xlfn.IFNA(SUM((AD$3&gt;='Gastos com Pessoal'!$E$7:$E$506)*(AD$3&lt;='Gastos com Pessoal'!$F$7:$F$506)*(IF('Gastos com Pessoal'!$M$7:$M$506&lt;=AD$3,1,0))*OFFSET('Gastos com Pessoal'!$H$6,1,MATCH(2&amp;$B54,'Gastos com Pessoal'!$I$532:$AJ$532&amp;'Gastos com Pessoal'!$I$6:$AJ$6,0),500,1)),0)
+_xlfn.IFNA(SUM((AD$3&gt;='Gastos com Pessoal'!$E$7:$E$506)*(AD$3&lt;='Gastos com Pessoal'!$F$7:$F$506)*(IF('Gastos com Pessoal'!$S$7:$S$506&lt;=AD$3,1,0))*OFFSET('Gastos com Pessoal'!$H$6,1,MATCH(3&amp;$B54,'Gastos com Pessoal'!$I$532:$AJ$532&amp;'Gastos com Pessoal'!$I$6:$AJ$6,0),500,1)),0)
+_xlfn.IFNA(SUM((AD$3&gt;='Gastos com Pessoal'!$E$7:$E$506)*(AD$3&lt;='Gastos com Pessoal'!$F$7:$F$506)*(IF('Gastos com Pessoal'!$Y$7:$Y$506&lt;=AD$3,1,0))*OFFSET('Gastos com Pessoal'!$H$6,1,MATCH(4&amp;$B54,'Gastos com Pessoal'!$I$532:$AJ$532&amp;'Gastos com Pessoal'!$I$6:$AJ$6,0),500,1)),0)
+_xlfn.IFNA(SUM((AD$3&gt;='Gastos com Pessoal'!$E$7:$E$506)*(AD$3&lt;='Gastos com Pessoal'!$F$7:$F$506)*(IF('Gastos com Pessoal'!$AE$7:$AE$506&lt;=AD$3,1,0))*OFFSET('Gastos com Pessoal'!$H$6,1,MATCH(5&amp;$B54,'Gastos com Pessoal'!$I$532:$AJ$532&amp;'Gastos com Pessoal'!$I$6:$AJ$6,0),500,1)),0)
+_xlfn.IFNA(SUM((AD$3&gt;='Gastos com Pessoal'!$E$513:$E$522)*(AD$3&lt;='Gastos com Pessoal'!$F$513:$F$522)*(IF('Gastos com Pessoal'!$G$513:$G$522&lt;=AD$3,1,0))*OFFSET('Gastos com Pessoal'!$H$512,1,MATCH(1&amp;$B54,'Gastos com Pessoal'!$I$532:$AJ$532&amp;'Gastos com Pessoal'!$I$512:$AJ$512,0),10,1)),0)
+_xlfn.IFNA(SUM((AD$3&gt;='Gastos com Pessoal'!$E$513:$E$522)*(AD$3&lt;='Gastos com Pessoal'!$F$513:$F$522)*(IF('Gastos com Pessoal'!$M$513:$M$522&lt;=AD$3,1,0))*OFFSET('Gastos com Pessoal'!$H$512,1,MATCH(2&amp;$B54,'Gastos com Pessoal'!$I$532:$AJ$532&amp;'Gastos com Pessoal'!$I$512:$AJ$512,0),10,1)),0)
+_xlfn.IFNA(SUM((AD$3&gt;='Gastos com Pessoal'!$E$513:$E$522)*(AD$3&lt;='Gastos com Pessoal'!$F$513:$F$522)*(IF('Gastos com Pessoal'!$S$513:$S$522&lt;=AD$3,1,0))*OFFSET('Gastos com Pessoal'!$H$512,1,MATCH(3&amp;$B54,'Gastos com Pessoal'!$I$532:$AJ$532&amp;'Gastos com Pessoal'!$I$512:$AJ$512,0),10,1)),0)
+_xlfn.IFNA(SUM((AD$3&gt;='Gastos com Pessoal'!$E$513:$E$522)*(AD$3&lt;='Gastos com Pessoal'!$F$513:$F$522)*(IF('Gastos com Pessoal'!$Y$513:$Y$522&lt;=AD$3,1,0))*OFFSET('Gastos com Pessoal'!$H$512,1,MATCH(4&amp;$B54,'Gastos com Pessoal'!$I$532:$AJ$532&amp;'Gastos com Pessoal'!$I$512:$AJ$512,0),10,1)),0)
+_xlfn.IFNA(SUM((AD$3&gt;='Gastos com Pessoal'!$E$513:$E$522)*(AD$3&lt;='Gastos com Pessoal'!$F$513:$F$522)*(IF('Gastos com Pessoal'!$AE$513:$AE$522&lt;=AD$3,1,0))*OFFSET('Gastos com Pessoal'!$H$512,1,MATCH(5&amp;$B54,'Gastos com Pessoal'!$I$532:$AJ$532&amp;'Gastos com Pessoal'!$I$512:$AJ$512,0),10,1)),0)</f>
        <v>33582</v>
      </c>
      <c r="AE54" s="32">
        <f t="array" aca="1" ref="AE54" ca="1">_xlfn.IFNA(SUM((AE$3&gt;='Gastos com Pessoal'!$E$7:$E$506)*(AE$3&lt;='Gastos com Pessoal'!$F$7:$F$506)*OFFSET('Encargos e Benefícios'!$D$5,1,MATCH($B54,'Encargos e Benefícios'!$E$5:$AB$5,0),500,1)),0)
+_xlfn.IFNA(SUM((AE$3&gt;='Gastos com Pessoal'!$E$513:$E$522)*(AE$3&lt;='Gastos com Pessoal'!$F$513:$F$522)*OFFSET('Encargos e Benefícios'!$D$511,1,MATCH($B54,'Encargos e Benefícios'!$E$511:$AB$511,0),10,1)),0)
+_xlfn.IFNA(SUM((AE$3&gt;='Gastos com Pessoal'!$E$7:$E$506)*(AE$3&lt;='Gastos com Pessoal'!$F$7:$F$506)*(IF('Gastos com Pessoal'!$G$7:$G$506&lt;=AE$3,1,0))*OFFSET('Gastos com Pessoal'!$H$6,1,MATCH(1&amp;$B54,'Gastos com Pessoal'!$I$532:$AJ$532&amp;'Gastos com Pessoal'!$I$6:$AJ$6,0),500,1)),0)
+_xlfn.IFNA(SUM((AE$3&gt;='Gastos com Pessoal'!$E$7:$E$506)*(AE$3&lt;='Gastos com Pessoal'!$F$7:$F$506)*(IF('Gastos com Pessoal'!$M$7:$M$506&lt;=AE$3,1,0))*OFFSET('Gastos com Pessoal'!$H$6,1,MATCH(2&amp;$B54,'Gastos com Pessoal'!$I$532:$AJ$532&amp;'Gastos com Pessoal'!$I$6:$AJ$6,0),500,1)),0)
+_xlfn.IFNA(SUM((AE$3&gt;='Gastos com Pessoal'!$E$7:$E$506)*(AE$3&lt;='Gastos com Pessoal'!$F$7:$F$506)*(IF('Gastos com Pessoal'!$S$7:$S$506&lt;=AE$3,1,0))*OFFSET('Gastos com Pessoal'!$H$6,1,MATCH(3&amp;$B54,'Gastos com Pessoal'!$I$532:$AJ$532&amp;'Gastos com Pessoal'!$I$6:$AJ$6,0),500,1)),0)
+_xlfn.IFNA(SUM((AE$3&gt;='Gastos com Pessoal'!$E$7:$E$506)*(AE$3&lt;='Gastos com Pessoal'!$F$7:$F$506)*(IF('Gastos com Pessoal'!$Y$7:$Y$506&lt;=AE$3,1,0))*OFFSET('Gastos com Pessoal'!$H$6,1,MATCH(4&amp;$B54,'Gastos com Pessoal'!$I$532:$AJ$532&amp;'Gastos com Pessoal'!$I$6:$AJ$6,0),500,1)),0)
+_xlfn.IFNA(SUM((AE$3&gt;='Gastos com Pessoal'!$E$7:$E$506)*(AE$3&lt;='Gastos com Pessoal'!$F$7:$F$506)*(IF('Gastos com Pessoal'!$AE$7:$AE$506&lt;=AE$3,1,0))*OFFSET('Gastos com Pessoal'!$H$6,1,MATCH(5&amp;$B54,'Gastos com Pessoal'!$I$532:$AJ$532&amp;'Gastos com Pessoal'!$I$6:$AJ$6,0),500,1)),0)
+_xlfn.IFNA(SUM((AE$3&gt;='Gastos com Pessoal'!$E$513:$E$522)*(AE$3&lt;='Gastos com Pessoal'!$F$513:$F$522)*(IF('Gastos com Pessoal'!$G$513:$G$522&lt;=AE$3,1,0))*OFFSET('Gastos com Pessoal'!$H$512,1,MATCH(1&amp;$B54,'Gastos com Pessoal'!$I$532:$AJ$532&amp;'Gastos com Pessoal'!$I$512:$AJ$512,0),10,1)),0)
+_xlfn.IFNA(SUM((AE$3&gt;='Gastos com Pessoal'!$E$513:$E$522)*(AE$3&lt;='Gastos com Pessoal'!$F$513:$F$522)*(IF('Gastos com Pessoal'!$M$513:$M$522&lt;=AE$3,1,0))*OFFSET('Gastos com Pessoal'!$H$512,1,MATCH(2&amp;$B54,'Gastos com Pessoal'!$I$532:$AJ$532&amp;'Gastos com Pessoal'!$I$512:$AJ$512,0),10,1)),0)
+_xlfn.IFNA(SUM((AE$3&gt;='Gastos com Pessoal'!$E$513:$E$522)*(AE$3&lt;='Gastos com Pessoal'!$F$513:$F$522)*(IF('Gastos com Pessoal'!$S$513:$S$522&lt;=AE$3,1,0))*OFFSET('Gastos com Pessoal'!$H$512,1,MATCH(3&amp;$B54,'Gastos com Pessoal'!$I$532:$AJ$532&amp;'Gastos com Pessoal'!$I$512:$AJ$512,0),10,1)),0)
+_xlfn.IFNA(SUM((AE$3&gt;='Gastos com Pessoal'!$E$513:$E$522)*(AE$3&lt;='Gastos com Pessoal'!$F$513:$F$522)*(IF('Gastos com Pessoal'!$Y$513:$Y$522&lt;=AE$3,1,0))*OFFSET('Gastos com Pessoal'!$H$512,1,MATCH(4&amp;$B54,'Gastos com Pessoal'!$I$532:$AJ$532&amp;'Gastos com Pessoal'!$I$512:$AJ$512,0),10,1)),0)
+_xlfn.IFNA(SUM((AE$3&gt;='Gastos com Pessoal'!$E$513:$E$522)*(AE$3&lt;='Gastos com Pessoal'!$F$513:$F$522)*(IF('Gastos com Pessoal'!$AE$513:$AE$522&lt;=AE$3,1,0))*OFFSET('Gastos com Pessoal'!$H$512,1,MATCH(5&amp;$B54,'Gastos com Pessoal'!$I$532:$AJ$532&amp;'Gastos com Pessoal'!$I$512:$AJ$512,0),10,1)),0)</f>
        <v>33582</v>
      </c>
      <c r="AF54" s="32">
        <f t="array" aca="1" ref="AF54" ca="1">_xlfn.IFNA(SUM((AF$3&gt;='Gastos com Pessoal'!$E$7:$E$506)*(AF$3&lt;='Gastos com Pessoal'!$F$7:$F$506)*OFFSET('Encargos e Benefícios'!$D$5,1,MATCH($B54,'Encargos e Benefícios'!$E$5:$AB$5,0),500,1)),0)
+_xlfn.IFNA(SUM((AF$3&gt;='Gastos com Pessoal'!$E$513:$E$522)*(AF$3&lt;='Gastos com Pessoal'!$F$513:$F$522)*OFFSET('Encargos e Benefícios'!$D$511,1,MATCH($B54,'Encargos e Benefícios'!$E$511:$AB$511,0),10,1)),0)
+_xlfn.IFNA(SUM((AF$3&gt;='Gastos com Pessoal'!$E$7:$E$506)*(AF$3&lt;='Gastos com Pessoal'!$F$7:$F$506)*(IF('Gastos com Pessoal'!$G$7:$G$506&lt;=AF$3,1,0))*OFFSET('Gastos com Pessoal'!$H$6,1,MATCH(1&amp;$B54,'Gastos com Pessoal'!$I$532:$AJ$532&amp;'Gastos com Pessoal'!$I$6:$AJ$6,0),500,1)),0)
+_xlfn.IFNA(SUM((AF$3&gt;='Gastos com Pessoal'!$E$7:$E$506)*(AF$3&lt;='Gastos com Pessoal'!$F$7:$F$506)*(IF('Gastos com Pessoal'!$M$7:$M$506&lt;=AF$3,1,0))*OFFSET('Gastos com Pessoal'!$H$6,1,MATCH(2&amp;$B54,'Gastos com Pessoal'!$I$532:$AJ$532&amp;'Gastos com Pessoal'!$I$6:$AJ$6,0),500,1)),0)
+_xlfn.IFNA(SUM((AF$3&gt;='Gastos com Pessoal'!$E$7:$E$506)*(AF$3&lt;='Gastos com Pessoal'!$F$7:$F$506)*(IF('Gastos com Pessoal'!$S$7:$S$506&lt;=AF$3,1,0))*OFFSET('Gastos com Pessoal'!$H$6,1,MATCH(3&amp;$B54,'Gastos com Pessoal'!$I$532:$AJ$532&amp;'Gastos com Pessoal'!$I$6:$AJ$6,0),500,1)),0)
+_xlfn.IFNA(SUM((AF$3&gt;='Gastos com Pessoal'!$E$7:$E$506)*(AF$3&lt;='Gastos com Pessoal'!$F$7:$F$506)*(IF('Gastos com Pessoal'!$Y$7:$Y$506&lt;=AF$3,1,0))*OFFSET('Gastos com Pessoal'!$H$6,1,MATCH(4&amp;$B54,'Gastos com Pessoal'!$I$532:$AJ$532&amp;'Gastos com Pessoal'!$I$6:$AJ$6,0),500,1)),0)
+_xlfn.IFNA(SUM((AF$3&gt;='Gastos com Pessoal'!$E$7:$E$506)*(AF$3&lt;='Gastos com Pessoal'!$F$7:$F$506)*(IF('Gastos com Pessoal'!$AE$7:$AE$506&lt;=AF$3,1,0))*OFFSET('Gastos com Pessoal'!$H$6,1,MATCH(5&amp;$B54,'Gastos com Pessoal'!$I$532:$AJ$532&amp;'Gastos com Pessoal'!$I$6:$AJ$6,0),500,1)),0)
+_xlfn.IFNA(SUM((AF$3&gt;='Gastos com Pessoal'!$E$513:$E$522)*(AF$3&lt;='Gastos com Pessoal'!$F$513:$F$522)*(IF('Gastos com Pessoal'!$G$513:$G$522&lt;=AF$3,1,0))*OFFSET('Gastos com Pessoal'!$H$512,1,MATCH(1&amp;$B54,'Gastos com Pessoal'!$I$532:$AJ$532&amp;'Gastos com Pessoal'!$I$512:$AJ$512,0),10,1)),0)
+_xlfn.IFNA(SUM((AF$3&gt;='Gastos com Pessoal'!$E$513:$E$522)*(AF$3&lt;='Gastos com Pessoal'!$F$513:$F$522)*(IF('Gastos com Pessoal'!$M$513:$M$522&lt;=AF$3,1,0))*OFFSET('Gastos com Pessoal'!$H$512,1,MATCH(2&amp;$B54,'Gastos com Pessoal'!$I$532:$AJ$532&amp;'Gastos com Pessoal'!$I$512:$AJ$512,0),10,1)),0)
+_xlfn.IFNA(SUM((AF$3&gt;='Gastos com Pessoal'!$E$513:$E$522)*(AF$3&lt;='Gastos com Pessoal'!$F$513:$F$522)*(IF('Gastos com Pessoal'!$S$513:$S$522&lt;=AF$3,1,0))*OFFSET('Gastos com Pessoal'!$H$512,1,MATCH(3&amp;$B54,'Gastos com Pessoal'!$I$532:$AJ$532&amp;'Gastos com Pessoal'!$I$512:$AJ$512,0),10,1)),0)
+_xlfn.IFNA(SUM((AF$3&gt;='Gastos com Pessoal'!$E$513:$E$522)*(AF$3&lt;='Gastos com Pessoal'!$F$513:$F$522)*(IF('Gastos com Pessoal'!$Y$513:$Y$522&lt;=AF$3,1,0))*OFFSET('Gastos com Pessoal'!$H$512,1,MATCH(4&amp;$B54,'Gastos com Pessoal'!$I$532:$AJ$532&amp;'Gastos com Pessoal'!$I$512:$AJ$512,0),10,1)),0)
+_xlfn.IFNA(SUM((AF$3&gt;='Gastos com Pessoal'!$E$513:$E$522)*(AF$3&lt;='Gastos com Pessoal'!$F$513:$F$522)*(IF('Gastos com Pessoal'!$AE$513:$AE$522&lt;=AF$3,1,0))*OFFSET('Gastos com Pessoal'!$H$512,1,MATCH(5&amp;$B54,'Gastos com Pessoal'!$I$532:$AJ$532&amp;'Gastos com Pessoal'!$I$512:$AJ$512,0),10,1)),0)</f>
        <v>33582</v>
      </c>
      <c r="AG54" s="32">
        <f t="array" aca="1" ref="AG54" ca="1">_xlfn.IFNA(SUM((AG$3&gt;='Gastos com Pessoal'!$E$7:$E$506)*(AG$3&lt;='Gastos com Pessoal'!$F$7:$F$506)*OFFSET('Encargos e Benefícios'!$D$5,1,MATCH($B54,'Encargos e Benefícios'!$E$5:$AB$5,0),500,1)),0)
+_xlfn.IFNA(SUM((AG$3&gt;='Gastos com Pessoal'!$E$513:$E$522)*(AG$3&lt;='Gastos com Pessoal'!$F$513:$F$522)*OFFSET('Encargos e Benefícios'!$D$511,1,MATCH($B54,'Encargos e Benefícios'!$E$511:$AB$511,0),10,1)),0)
+_xlfn.IFNA(SUM((AG$3&gt;='Gastos com Pessoal'!$E$7:$E$506)*(AG$3&lt;='Gastos com Pessoal'!$F$7:$F$506)*(IF('Gastos com Pessoal'!$G$7:$G$506&lt;=AG$3,1,0))*OFFSET('Gastos com Pessoal'!$H$6,1,MATCH(1&amp;$B54,'Gastos com Pessoal'!$I$532:$AJ$532&amp;'Gastos com Pessoal'!$I$6:$AJ$6,0),500,1)),0)
+_xlfn.IFNA(SUM((AG$3&gt;='Gastos com Pessoal'!$E$7:$E$506)*(AG$3&lt;='Gastos com Pessoal'!$F$7:$F$506)*(IF('Gastos com Pessoal'!$M$7:$M$506&lt;=AG$3,1,0))*OFFSET('Gastos com Pessoal'!$H$6,1,MATCH(2&amp;$B54,'Gastos com Pessoal'!$I$532:$AJ$532&amp;'Gastos com Pessoal'!$I$6:$AJ$6,0),500,1)),0)
+_xlfn.IFNA(SUM((AG$3&gt;='Gastos com Pessoal'!$E$7:$E$506)*(AG$3&lt;='Gastos com Pessoal'!$F$7:$F$506)*(IF('Gastos com Pessoal'!$S$7:$S$506&lt;=AG$3,1,0))*OFFSET('Gastos com Pessoal'!$H$6,1,MATCH(3&amp;$B54,'Gastos com Pessoal'!$I$532:$AJ$532&amp;'Gastos com Pessoal'!$I$6:$AJ$6,0),500,1)),0)
+_xlfn.IFNA(SUM((AG$3&gt;='Gastos com Pessoal'!$E$7:$E$506)*(AG$3&lt;='Gastos com Pessoal'!$F$7:$F$506)*(IF('Gastos com Pessoal'!$Y$7:$Y$506&lt;=AG$3,1,0))*OFFSET('Gastos com Pessoal'!$H$6,1,MATCH(4&amp;$B54,'Gastos com Pessoal'!$I$532:$AJ$532&amp;'Gastos com Pessoal'!$I$6:$AJ$6,0),500,1)),0)
+_xlfn.IFNA(SUM((AG$3&gt;='Gastos com Pessoal'!$E$7:$E$506)*(AG$3&lt;='Gastos com Pessoal'!$F$7:$F$506)*(IF('Gastos com Pessoal'!$AE$7:$AE$506&lt;=AG$3,1,0))*OFFSET('Gastos com Pessoal'!$H$6,1,MATCH(5&amp;$B54,'Gastos com Pessoal'!$I$532:$AJ$532&amp;'Gastos com Pessoal'!$I$6:$AJ$6,0),500,1)),0)
+_xlfn.IFNA(SUM((AG$3&gt;='Gastos com Pessoal'!$E$513:$E$522)*(AG$3&lt;='Gastos com Pessoal'!$F$513:$F$522)*(IF('Gastos com Pessoal'!$G$513:$G$522&lt;=AG$3,1,0))*OFFSET('Gastos com Pessoal'!$H$512,1,MATCH(1&amp;$B54,'Gastos com Pessoal'!$I$532:$AJ$532&amp;'Gastos com Pessoal'!$I$512:$AJ$512,0),10,1)),0)
+_xlfn.IFNA(SUM((AG$3&gt;='Gastos com Pessoal'!$E$513:$E$522)*(AG$3&lt;='Gastos com Pessoal'!$F$513:$F$522)*(IF('Gastos com Pessoal'!$M$513:$M$522&lt;=AG$3,1,0))*OFFSET('Gastos com Pessoal'!$H$512,1,MATCH(2&amp;$B54,'Gastos com Pessoal'!$I$532:$AJ$532&amp;'Gastos com Pessoal'!$I$512:$AJ$512,0),10,1)),0)
+_xlfn.IFNA(SUM((AG$3&gt;='Gastos com Pessoal'!$E$513:$E$522)*(AG$3&lt;='Gastos com Pessoal'!$F$513:$F$522)*(IF('Gastos com Pessoal'!$S$513:$S$522&lt;=AG$3,1,0))*OFFSET('Gastos com Pessoal'!$H$512,1,MATCH(3&amp;$B54,'Gastos com Pessoal'!$I$532:$AJ$532&amp;'Gastos com Pessoal'!$I$512:$AJ$512,0),10,1)),0)
+_xlfn.IFNA(SUM((AG$3&gt;='Gastos com Pessoal'!$E$513:$E$522)*(AG$3&lt;='Gastos com Pessoal'!$F$513:$F$522)*(IF('Gastos com Pessoal'!$Y$513:$Y$522&lt;=AG$3,1,0))*OFFSET('Gastos com Pessoal'!$H$512,1,MATCH(4&amp;$B54,'Gastos com Pessoal'!$I$532:$AJ$532&amp;'Gastos com Pessoal'!$I$512:$AJ$512,0),10,1)),0)
+_xlfn.IFNA(SUM((AG$3&gt;='Gastos com Pessoal'!$E$513:$E$522)*(AG$3&lt;='Gastos com Pessoal'!$F$513:$F$522)*(IF('Gastos com Pessoal'!$AE$513:$AE$522&lt;=AG$3,1,0))*OFFSET('Gastos com Pessoal'!$H$512,1,MATCH(5&amp;$B54,'Gastos com Pessoal'!$I$532:$AJ$532&amp;'Gastos com Pessoal'!$I$512:$AJ$512,0),10,1)),0)</f>
        <v>33582</v>
      </c>
      <c r="AH54" s="32">
        <f t="array" aca="1" ref="AH54" ca="1">_xlfn.IFNA(SUM((AH$3&gt;='Gastos com Pessoal'!$E$7:$E$506)*(AH$3&lt;='Gastos com Pessoal'!$F$7:$F$506)*OFFSET('Encargos e Benefícios'!$D$5,1,MATCH($B54,'Encargos e Benefícios'!$E$5:$AB$5,0),500,1)),0)
+_xlfn.IFNA(SUM((AH$3&gt;='Gastos com Pessoal'!$E$513:$E$522)*(AH$3&lt;='Gastos com Pessoal'!$F$513:$F$522)*OFFSET('Encargos e Benefícios'!$D$511,1,MATCH($B54,'Encargos e Benefícios'!$E$511:$AB$511,0),10,1)),0)
+_xlfn.IFNA(SUM((AH$3&gt;='Gastos com Pessoal'!$E$7:$E$506)*(AH$3&lt;='Gastos com Pessoal'!$F$7:$F$506)*(IF('Gastos com Pessoal'!$G$7:$G$506&lt;=AH$3,1,0))*OFFSET('Gastos com Pessoal'!$H$6,1,MATCH(1&amp;$B54,'Gastos com Pessoal'!$I$532:$AJ$532&amp;'Gastos com Pessoal'!$I$6:$AJ$6,0),500,1)),0)
+_xlfn.IFNA(SUM((AH$3&gt;='Gastos com Pessoal'!$E$7:$E$506)*(AH$3&lt;='Gastos com Pessoal'!$F$7:$F$506)*(IF('Gastos com Pessoal'!$M$7:$M$506&lt;=AH$3,1,0))*OFFSET('Gastos com Pessoal'!$H$6,1,MATCH(2&amp;$B54,'Gastos com Pessoal'!$I$532:$AJ$532&amp;'Gastos com Pessoal'!$I$6:$AJ$6,0),500,1)),0)
+_xlfn.IFNA(SUM((AH$3&gt;='Gastos com Pessoal'!$E$7:$E$506)*(AH$3&lt;='Gastos com Pessoal'!$F$7:$F$506)*(IF('Gastos com Pessoal'!$S$7:$S$506&lt;=AH$3,1,0))*OFFSET('Gastos com Pessoal'!$H$6,1,MATCH(3&amp;$B54,'Gastos com Pessoal'!$I$532:$AJ$532&amp;'Gastos com Pessoal'!$I$6:$AJ$6,0),500,1)),0)
+_xlfn.IFNA(SUM((AH$3&gt;='Gastos com Pessoal'!$E$7:$E$506)*(AH$3&lt;='Gastos com Pessoal'!$F$7:$F$506)*(IF('Gastos com Pessoal'!$Y$7:$Y$506&lt;=AH$3,1,0))*OFFSET('Gastos com Pessoal'!$H$6,1,MATCH(4&amp;$B54,'Gastos com Pessoal'!$I$532:$AJ$532&amp;'Gastos com Pessoal'!$I$6:$AJ$6,0),500,1)),0)
+_xlfn.IFNA(SUM((AH$3&gt;='Gastos com Pessoal'!$E$7:$E$506)*(AH$3&lt;='Gastos com Pessoal'!$F$7:$F$506)*(IF('Gastos com Pessoal'!$AE$7:$AE$506&lt;=AH$3,1,0))*OFFSET('Gastos com Pessoal'!$H$6,1,MATCH(5&amp;$B54,'Gastos com Pessoal'!$I$532:$AJ$532&amp;'Gastos com Pessoal'!$I$6:$AJ$6,0),500,1)),0)
+_xlfn.IFNA(SUM((AH$3&gt;='Gastos com Pessoal'!$E$513:$E$522)*(AH$3&lt;='Gastos com Pessoal'!$F$513:$F$522)*(IF('Gastos com Pessoal'!$G$513:$G$522&lt;=AH$3,1,0))*OFFSET('Gastos com Pessoal'!$H$512,1,MATCH(1&amp;$B54,'Gastos com Pessoal'!$I$532:$AJ$532&amp;'Gastos com Pessoal'!$I$512:$AJ$512,0),10,1)),0)
+_xlfn.IFNA(SUM((AH$3&gt;='Gastos com Pessoal'!$E$513:$E$522)*(AH$3&lt;='Gastos com Pessoal'!$F$513:$F$522)*(IF('Gastos com Pessoal'!$M$513:$M$522&lt;=AH$3,1,0))*OFFSET('Gastos com Pessoal'!$H$512,1,MATCH(2&amp;$B54,'Gastos com Pessoal'!$I$532:$AJ$532&amp;'Gastos com Pessoal'!$I$512:$AJ$512,0),10,1)),0)
+_xlfn.IFNA(SUM((AH$3&gt;='Gastos com Pessoal'!$E$513:$E$522)*(AH$3&lt;='Gastos com Pessoal'!$F$513:$F$522)*(IF('Gastos com Pessoal'!$S$513:$S$522&lt;=AH$3,1,0))*OFFSET('Gastos com Pessoal'!$H$512,1,MATCH(3&amp;$B54,'Gastos com Pessoal'!$I$532:$AJ$532&amp;'Gastos com Pessoal'!$I$512:$AJ$512,0),10,1)),0)
+_xlfn.IFNA(SUM((AH$3&gt;='Gastos com Pessoal'!$E$513:$E$522)*(AH$3&lt;='Gastos com Pessoal'!$F$513:$F$522)*(IF('Gastos com Pessoal'!$Y$513:$Y$522&lt;=AH$3,1,0))*OFFSET('Gastos com Pessoal'!$H$512,1,MATCH(4&amp;$B54,'Gastos com Pessoal'!$I$532:$AJ$532&amp;'Gastos com Pessoal'!$I$512:$AJ$512,0),10,1)),0)
+_xlfn.IFNA(SUM((AH$3&gt;='Gastos com Pessoal'!$E$513:$E$522)*(AH$3&lt;='Gastos com Pessoal'!$F$513:$F$522)*(IF('Gastos com Pessoal'!$AE$513:$AE$522&lt;=AH$3,1,0))*OFFSET('Gastos com Pessoal'!$H$512,1,MATCH(5&amp;$B54,'Gastos com Pessoal'!$I$532:$AJ$532&amp;'Gastos com Pessoal'!$I$512:$AJ$512,0),10,1)),0)</f>
        <v>33582</v>
      </c>
      <c r="AI54" s="32">
        <f t="array" aca="1" ref="AI54" ca="1">_xlfn.IFNA(SUM((AI$3&gt;='Gastos com Pessoal'!$E$7:$E$506)*(AI$3&lt;='Gastos com Pessoal'!$F$7:$F$506)*OFFSET('Encargos e Benefícios'!$D$5,1,MATCH($B54,'Encargos e Benefícios'!$E$5:$AB$5,0),500,1)),0)
+_xlfn.IFNA(SUM((AI$3&gt;='Gastos com Pessoal'!$E$513:$E$522)*(AI$3&lt;='Gastos com Pessoal'!$F$513:$F$522)*OFFSET('Encargos e Benefícios'!$D$511,1,MATCH($B54,'Encargos e Benefícios'!$E$511:$AB$511,0),10,1)),0)
+_xlfn.IFNA(SUM((AI$3&gt;='Gastos com Pessoal'!$E$7:$E$506)*(AI$3&lt;='Gastos com Pessoal'!$F$7:$F$506)*(IF('Gastos com Pessoal'!$G$7:$G$506&lt;=AI$3,1,0))*OFFSET('Gastos com Pessoal'!$H$6,1,MATCH(1&amp;$B54,'Gastos com Pessoal'!$I$532:$AJ$532&amp;'Gastos com Pessoal'!$I$6:$AJ$6,0),500,1)),0)
+_xlfn.IFNA(SUM((AI$3&gt;='Gastos com Pessoal'!$E$7:$E$506)*(AI$3&lt;='Gastos com Pessoal'!$F$7:$F$506)*(IF('Gastos com Pessoal'!$M$7:$M$506&lt;=AI$3,1,0))*OFFSET('Gastos com Pessoal'!$H$6,1,MATCH(2&amp;$B54,'Gastos com Pessoal'!$I$532:$AJ$532&amp;'Gastos com Pessoal'!$I$6:$AJ$6,0),500,1)),0)
+_xlfn.IFNA(SUM((AI$3&gt;='Gastos com Pessoal'!$E$7:$E$506)*(AI$3&lt;='Gastos com Pessoal'!$F$7:$F$506)*(IF('Gastos com Pessoal'!$S$7:$S$506&lt;=AI$3,1,0))*OFFSET('Gastos com Pessoal'!$H$6,1,MATCH(3&amp;$B54,'Gastos com Pessoal'!$I$532:$AJ$532&amp;'Gastos com Pessoal'!$I$6:$AJ$6,0),500,1)),0)
+_xlfn.IFNA(SUM((AI$3&gt;='Gastos com Pessoal'!$E$7:$E$506)*(AI$3&lt;='Gastos com Pessoal'!$F$7:$F$506)*(IF('Gastos com Pessoal'!$Y$7:$Y$506&lt;=AI$3,1,0))*OFFSET('Gastos com Pessoal'!$H$6,1,MATCH(4&amp;$B54,'Gastos com Pessoal'!$I$532:$AJ$532&amp;'Gastos com Pessoal'!$I$6:$AJ$6,0),500,1)),0)
+_xlfn.IFNA(SUM((AI$3&gt;='Gastos com Pessoal'!$E$7:$E$506)*(AI$3&lt;='Gastos com Pessoal'!$F$7:$F$506)*(IF('Gastos com Pessoal'!$AE$7:$AE$506&lt;=AI$3,1,0))*OFFSET('Gastos com Pessoal'!$H$6,1,MATCH(5&amp;$B54,'Gastos com Pessoal'!$I$532:$AJ$532&amp;'Gastos com Pessoal'!$I$6:$AJ$6,0),500,1)),0)
+_xlfn.IFNA(SUM((AI$3&gt;='Gastos com Pessoal'!$E$513:$E$522)*(AI$3&lt;='Gastos com Pessoal'!$F$513:$F$522)*(IF('Gastos com Pessoal'!$G$513:$G$522&lt;=AI$3,1,0))*OFFSET('Gastos com Pessoal'!$H$512,1,MATCH(1&amp;$B54,'Gastos com Pessoal'!$I$532:$AJ$532&amp;'Gastos com Pessoal'!$I$512:$AJ$512,0),10,1)),0)
+_xlfn.IFNA(SUM((AI$3&gt;='Gastos com Pessoal'!$E$513:$E$522)*(AI$3&lt;='Gastos com Pessoal'!$F$513:$F$522)*(IF('Gastos com Pessoal'!$M$513:$M$522&lt;=AI$3,1,0))*OFFSET('Gastos com Pessoal'!$H$512,1,MATCH(2&amp;$B54,'Gastos com Pessoal'!$I$532:$AJ$532&amp;'Gastos com Pessoal'!$I$512:$AJ$512,0),10,1)),0)
+_xlfn.IFNA(SUM((AI$3&gt;='Gastos com Pessoal'!$E$513:$E$522)*(AI$3&lt;='Gastos com Pessoal'!$F$513:$F$522)*(IF('Gastos com Pessoal'!$S$513:$S$522&lt;=AI$3,1,0))*OFFSET('Gastos com Pessoal'!$H$512,1,MATCH(3&amp;$B54,'Gastos com Pessoal'!$I$532:$AJ$532&amp;'Gastos com Pessoal'!$I$512:$AJ$512,0),10,1)),0)
+_xlfn.IFNA(SUM((AI$3&gt;='Gastos com Pessoal'!$E$513:$E$522)*(AI$3&lt;='Gastos com Pessoal'!$F$513:$F$522)*(IF('Gastos com Pessoal'!$Y$513:$Y$522&lt;=AI$3,1,0))*OFFSET('Gastos com Pessoal'!$H$512,1,MATCH(4&amp;$B54,'Gastos com Pessoal'!$I$532:$AJ$532&amp;'Gastos com Pessoal'!$I$512:$AJ$512,0),10,1)),0)
+_xlfn.IFNA(SUM((AI$3&gt;='Gastos com Pessoal'!$E$513:$E$522)*(AI$3&lt;='Gastos com Pessoal'!$F$513:$F$522)*(IF('Gastos com Pessoal'!$AE$513:$AE$522&lt;=AI$3,1,0))*OFFSET('Gastos com Pessoal'!$H$512,1,MATCH(5&amp;$B54,'Gastos com Pessoal'!$I$532:$AJ$532&amp;'Gastos com Pessoal'!$I$512:$AJ$512,0),10,1)),0)</f>
        <v>33582</v>
      </c>
      <c r="AJ54" s="32">
        <f t="array" aca="1" ref="AJ54" ca="1">_xlfn.IFNA(SUM((AJ$3&gt;='Gastos com Pessoal'!$E$7:$E$506)*(AJ$3&lt;='Gastos com Pessoal'!$F$7:$F$506)*OFFSET('Encargos e Benefícios'!$D$5,1,MATCH($B54,'Encargos e Benefícios'!$E$5:$AB$5,0),500,1)),0)
+_xlfn.IFNA(SUM((AJ$3&gt;='Gastos com Pessoal'!$E$513:$E$522)*(AJ$3&lt;='Gastos com Pessoal'!$F$513:$F$522)*OFFSET('Encargos e Benefícios'!$D$511,1,MATCH($B54,'Encargos e Benefícios'!$E$511:$AB$511,0),10,1)),0)
+_xlfn.IFNA(SUM((AJ$3&gt;='Gastos com Pessoal'!$E$7:$E$506)*(AJ$3&lt;='Gastos com Pessoal'!$F$7:$F$506)*(IF('Gastos com Pessoal'!$G$7:$G$506&lt;=AJ$3,1,0))*OFFSET('Gastos com Pessoal'!$H$6,1,MATCH(1&amp;$B54,'Gastos com Pessoal'!$I$532:$AJ$532&amp;'Gastos com Pessoal'!$I$6:$AJ$6,0),500,1)),0)
+_xlfn.IFNA(SUM((AJ$3&gt;='Gastos com Pessoal'!$E$7:$E$506)*(AJ$3&lt;='Gastos com Pessoal'!$F$7:$F$506)*(IF('Gastos com Pessoal'!$M$7:$M$506&lt;=AJ$3,1,0))*OFFSET('Gastos com Pessoal'!$H$6,1,MATCH(2&amp;$B54,'Gastos com Pessoal'!$I$532:$AJ$532&amp;'Gastos com Pessoal'!$I$6:$AJ$6,0),500,1)),0)
+_xlfn.IFNA(SUM((AJ$3&gt;='Gastos com Pessoal'!$E$7:$E$506)*(AJ$3&lt;='Gastos com Pessoal'!$F$7:$F$506)*(IF('Gastos com Pessoal'!$S$7:$S$506&lt;=AJ$3,1,0))*OFFSET('Gastos com Pessoal'!$H$6,1,MATCH(3&amp;$B54,'Gastos com Pessoal'!$I$532:$AJ$532&amp;'Gastos com Pessoal'!$I$6:$AJ$6,0),500,1)),0)
+_xlfn.IFNA(SUM((AJ$3&gt;='Gastos com Pessoal'!$E$7:$E$506)*(AJ$3&lt;='Gastos com Pessoal'!$F$7:$F$506)*(IF('Gastos com Pessoal'!$Y$7:$Y$506&lt;=AJ$3,1,0))*OFFSET('Gastos com Pessoal'!$H$6,1,MATCH(4&amp;$B54,'Gastos com Pessoal'!$I$532:$AJ$532&amp;'Gastos com Pessoal'!$I$6:$AJ$6,0),500,1)),0)
+_xlfn.IFNA(SUM((AJ$3&gt;='Gastos com Pessoal'!$E$7:$E$506)*(AJ$3&lt;='Gastos com Pessoal'!$F$7:$F$506)*(IF('Gastos com Pessoal'!$AE$7:$AE$506&lt;=AJ$3,1,0))*OFFSET('Gastos com Pessoal'!$H$6,1,MATCH(5&amp;$B54,'Gastos com Pessoal'!$I$532:$AJ$532&amp;'Gastos com Pessoal'!$I$6:$AJ$6,0),500,1)),0)
+_xlfn.IFNA(SUM((AJ$3&gt;='Gastos com Pessoal'!$E$513:$E$522)*(AJ$3&lt;='Gastos com Pessoal'!$F$513:$F$522)*(IF('Gastos com Pessoal'!$G$513:$G$522&lt;=AJ$3,1,0))*OFFSET('Gastos com Pessoal'!$H$512,1,MATCH(1&amp;$B54,'Gastos com Pessoal'!$I$532:$AJ$532&amp;'Gastos com Pessoal'!$I$512:$AJ$512,0),10,1)),0)
+_xlfn.IFNA(SUM((AJ$3&gt;='Gastos com Pessoal'!$E$513:$E$522)*(AJ$3&lt;='Gastos com Pessoal'!$F$513:$F$522)*(IF('Gastos com Pessoal'!$M$513:$M$522&lt;=AJ$3,1,0))*OFFSET('Gastos com Pessoal'!$H$512,1,MATCH(2&amp;$B54,'Gastos com Pessoal'!$I$532:$AJ$532&amp;'Gastos com Pessoal'!$I$512:$AJ$512,0),10,1)),0)
+_xlfn.IFNA(SUM((AJ$3&gt;='Gastos com Pessoal'!$E$513:$E$522)*(AJ$3&lt;='Gastos com Pessoal'!$F$513:$F$522)*(IF('Gastos com Pessoal'!$S$513:$S$522&lt;=AJ$3,1,0))*OFFSET('Gastos com Pessoal'!$H$512,1,MATCH(3&amp;$B54,'Gastos com Pessoal'!$I$532:$AJ$532&amp;'Gastos com Pessoal'!$I$512:$AJ$512,0),10,1)),0)
+_xlfn.IFNA(SUM((AJ$3&gt;='Gastos com Pessoal'!$E$513:$E$522)*(AJ$3&lt;='Gastos com Pessoal'!$F$513:$F$522)*(IF('Gastos com Pessoal'!$Y$513:$Y$522&lt;=AJ$3,1,0))*OFFSET('Gastos com Pessoal'!$H$512,1,MATCH(4&amp;$B54,'Gastos com Pessoal'!$I$532:$AJ$532&amp;'Gastos com Pessoal'!$I$512:$AJ$512,0),10,1)),0)
+_xlfn.IFNA(SUM((AJ$3&gt;='Gastos com Pessoal'!$E$513:$E$522)*(AJ$3&lt;='Gastos com Pessoal'!$F$513:$F$522)*(IF('Gastos com Pessoal'!$AE$513:$AE$522&lt;=AJ$3,1,0))*OFFSET('Gastos com Pessoal'!$H$512,1,MATCH(5&amp;$B54,'Gastos com Pessoal'!$I$532:$AJ$532&amp;'Gastos com Pessoal'!$I$512:$AJ$512,0),10,1)),0)</f>
        <v>33582</v>
      </c>
      <c r="AK54" s="32">
        <f t="array" aca="1" ref="AK54" ca="1">_xlfn.IFNA(SUM((AK$3&gt;='Gastos com Pessoal'!$E$7:$E$506)*(AK$3&lt;='Gastos com Pessoal'!$F$7:$F$506)*OFFSET('Encargos e Benefícios'!$D$5,1,MATCH($B54,'Encargos e Benefícios'!$E$5:$AB$5,0),500,1)),0)
+_xlfn.IFNA(SUM((AK$3&gt;='Gastos com Pessoal'!$E$513:$E$522)*(AK$3&lt;='Gastos com Pessoal'!$F$513:$F$522)*OFFSET('Encargos e Benefícios'!$D$511,1,MATCH($B54,'Encargos e Benefícios'!$E$511:$AB$511,0),10,1)),0)
+_xlfn.IFNA(SUM((AK$3&gt;='Gastos com Pessoal'!$E$7:$E$506)*(AK$3&lt;='Gastos com Pessoal'!$F$7:$F$506)*(IF('Gastos com Pessoal'!$G$7:$G$506&lt;=AK$3,1,0))*OFFSET('Gastos com Pessoal'!$H$6,1,MATCH(1&amp;$B54,'Gastos com Pessoal'!$I$532:$AJ$532&amp;'Gastos com Pessoal'!$I$6:$AJ$6,0),500,1)),0)
+_xlfn.IFNA(SUM((AK$3&gt;='Gastos com Pessoal'!$E$7:$E$506)*(AK$3&lt;='Gastos com Pessoal'!$F$7:$F$506)*(IF('Gastos com Pessoal'!$M$7:$M$506&lt;=AK$3,1,0))*OFFSET('Gastos com Pessoal'!$H$6,1,MATCH(2&amp;$B54,'Gastos com Pessoal'!$I$532:$AJ$532&amp;'Gastos com Pessoal'!$I$6:$AJ$6,0),500,1)),0)
+_xlfn.IFNA(SUM((AK$3&gt;='Gastos com Pessoal'!$E$7:$E$506)*(AK$3&lt;='Gastos com Pessoal'!$F$7:$F$506)*(IF('Gastos com Pessoal'!$S$7:$S$506&lt;=AK$3,1,0))*OFFSET('Gastos com Pessoal'!$H$6,1,MATCH(3&amp;$B54,'Gastos com Pessoal'!$I$532:$AJ$532&amp;'Gastos com Pessoal'!$I$6:$AJ$6,0),500,1)),0)
+_xlfn.IFNA(SUM((AK$3&gt;='Gastos com Pessoal'!$E$7:$E$506)*(AK$3&lt;='Gastos com Pessoal'!$F$7:$F$506)*(IF('Gastos com Pessoal'!$Y$7:$Y$506&lt;=AK$3,1,0))*OFFSET('Gastos com Pessoal'!$H$6,1,MATCH(4&amp;$B54,'Gastos com Pessoal'!$I$532:$AJ$532&amp;'Gastos com Pessoal'!$I$6:$AJ$6,0),500,1)),0)
+_xlfn.IFNA(SUM((AK$3&gt;='Gastos com Pessoal'!$E$7:$E$506)*(AK$3&lt;='Gastos com Pessoal'!$F$7:$F$506)*(IF('Gastos com Pessoal'!$AE$7:$AE$506&lt;=AK$3,1,0))*OFFSET('Gastos com Pessoal'!$H$6,1,MATCH(5&amp;$B54,'Gastos com Pessoal'!$I$532:$AJ$532&amp;'Gastos com Pessoal'!$I$6:$AJ$6,0),500,1)),0)
+_xlfn.IFNA(SUM((AK$3&gt;='Gastos com Pessoal'!$E$513:$E$522)*(AK$3&lt;='Gastos com Pessoal'!$F$513:$F$522)*(IF('Gastos com Pessoal'!$G$513:$G$522&lt;=AK$3,1,0))*OFFSET('Gastos com Pessoal'!$H$512,1,MATCH(1&amp;$B54,'Gastos com Pessoal'!$I$532:$AJ$532&amp;'Gastos com Pessoal'!$I$512:$AJ$512,0),10,1)),0)
+_xlfn.IFNA(SUM((AK$3&gt;='Gastos com Pessoal'!$E$513:$E$522)*(AK$3&lt;='Gastos com Pessoal'!$F$513:$F$522)*(IF('Gastos com Pessoal'!$M$513:$M$522&lt;=AK$3,1,0))*OFFSET('Gastos com Pessoal'!$H$512,1,MATCH(2&amp;$B54,'Gastos com Pessoal'!$I$532:$AJ$532&amp;'Gastos com Pessoal'!$I$512:$AJ$512,0),10,1)),0)
+_xlfn.IFNA(SUM((AK$3&gt;='Gastos com Pessoal'!$E$513:$E$522)*(AK$3&lt;='Gastos com Pessoal'!$F$513:$F$522)*(IF('Gastos com Pessoal'!$S$513:$S$522&lt;=AK$3,1,0))*OFFSET('Gastos com Pessoal'!$H$512,1,MATCH(3&amp;$B54,'Gastos com Pessoal'!$I$532:$AJ$532&amp;'Gastos com Pessoal'!$I$512:$AJ$512,0),10,1)),0)
+_xlfn.IFNA(SUM((AK$3&gt;='Gastos com Pessoal'!$E$513:$E$522)*(AK$3&lt;='Gastos com Pessoal'!$F$513:$F$522)*(IF('Gastos com Pessoal'!$Y$513:$Y$522&lt;=AK$3,1,0))*OFFSET('Gastos com Pessoal'!$H$512,1,MATCH(4&amp;$B54,'Gastos com Pessoal'!$I$532:$AJ$532&amp;'Gastos com Pessoal'!$I$512:$AJ$512,0),10,1)),0)
+_xlfn.IFNA(SUM((AK$3&gt;='Gastos com Pessoal'!$E$513:$E$522)*(AK$3&lt;='Gastos com Pessoal'!$F$513:$F$522)*(IF('Gastos com Pessoal'!$AE$513:$AE$522&lt;=AK$3,1,0))*OFFSET('Gastos com Pessoal'!$H$512,1,MATCH(5&amp;$B54,'Gastos com Pessoal'!$I$532:$AJ$532&amp;'Gastos com Pessoal'!$I$512:$AJ$512,0),10,1)),0)</f>
        <v>33582</v>
      </c>
      <c r="AL54" s="32">
        <f t="array" aca="1" ref="AL54" ca="1">_xlfn.IFNA(SUM((AL$3&gt;='Gastos com Pessoal'!$E$7:$E$506)*(AL$3&lt;='Gastos com Pessoal'!$F$7:$F$506)*OFFSET('Encargos e Benefícios'!$D$5,1,MATCH($B54,'Encargos e Benefícios'!$E$5:$AB$5,0),500,1)),0)
+_xlfn.IFNA(SUM((AL$3&gt;='Gastos com Pessoal'!$E$513:$E$522)*(AL$3&lt;='Gastos com Pessoal'!$F$513:$F$522)*OFFSET('Encargos e Benefícios'!$D$511,1,MATCH($B54,'Encargos e Benefícios'!$E$511:$AB$511,0),10,1)),0)
+_xlfn.IFNA(SUM((AL$3&gt;='Gastos com Pessoal'!$E$7:$E$506)*(AL$3&lt;='Gastos com Pessoal'!$F$7:$F$506)*(IF('Gastos com Pessoal'!$G$7:$G$506&lt;=AL$3,1,0))*OFFSET('Gastos com Pessoal'!$H$6,1,MATCH(1&amp;$B54,'Gastos com Pessoal'!$I$532:$AJ$532&amp;'Gastos com Pessoal'!$I$6:$AJ$6,0),500,1)),0)
+_xlfn.IFNA(SUM((AL$3&gt;='Gastos com Pessoal'!$E$7:$E$506)*(AL$3&lt;='Gastos com Pessoal'!$F$7:$F$506)*(IF('Gastos com Pessoal'!$M$7:$M$506&lt;=AL$3,1,0))*OFFSET('Gastos com Pessoal'!$H$6,1,MATCH(2&amp;$B54,'Gastos com Pessoal'!$I$532:$AJ$532&amp;'Gastos com Pessoal'!$I$6:$AJ$6,0),500,1)),0)
+_xlfn.IFNA(SUM((AL$3&gt;='Gastos com Pessoal'!$E$7:$E$506)*(AL$3&lt;='Gastos com Pessoal'!$F$7:$F$506)*(IF('Gastos com Pessoal'!$S$7:$S$506&lt;=AL$3,1,0))*OFFSET('Gastos com Pessoal'!$H$6,1,MATCH(3&amp;$B54,'Gastos com Pessoal'!$I$532:$AJ$532&amp;'Gastos com Pessoal'!$I$6:$AJ$6,0),500,1)),0)
+_xlfn.IFNA(SUM((AL$3&gt;='Gastos com Pessoal'!$E$7:$E$506)*(AL$3&lt;='Gastos com Pessoal'!$F$7:$F$506)*(IF('Gastos com Pessoal'!$Y$7:$Y$506&lt;=AL$3,1,0))*OFFSET('Gastos com Pessoal'!$H$6,1,MATCH(4&amp;$B54,'Gastos com Pessoal'!$I$532:$AJ$532&amp;'Gastos com Pessoal'!$I$6:$AJ$6,0),500,1)),0)
+_xlfn.IFNA(SUM((AL$3&gt;='Gastos com Pessoal'!$E$7:$E$506)*(AL$3&lt;='Gastos com Pessoal'!$F$7:$F$506)*(IF('Gastos com Pessoal'!$AE$7:$AE$506&lt;=AL$3,1,0))*OFFSET('Gastos com Pessoal'!$H$6,1,MATCH(5&amp;$B54,'Gastos com Pessoal'!$I$532:$AJ$532&amp;'Gastos com Pessoal'!$I$6:$AJ$6,0),500,1)),0)
+_xlfn.IFNA(SUM((AL$3&gt;='Gastos com Pessoal'!$E$513:$E$522)*(AL$3&lt;='Gastos com Pessoal'!$F$513:$F$522)*(IF('Gastos com Pessoal'!$G$513:$G$522&lt;=AL$3,1,0))*OFFSET('Gastos com Pessoal'!$H$512,1,MATCH(1&amp;$B54,'Gastos com Pessoal'!$I$532:$AJ$532&amp;'Gastos com Pessoal'!$I$512:$AJ$512,0),10,1)),0)
+_xlfn.IFNA(SUM((AL$3&gt;='Gastos com Pessoal'!$E$513:$E$522)*(AL$3&lt;='Gastos com Pessoal'!$F$513:$F$522)*(IF('Gastos com Pessoal'!$M$513:$M$522&lt;=AL$3,1,0))*OFFSET('Gastos com Pessoal'!$H$512,1,MATCH(2&amp;$B54,'Gastos com Pessoal'!$I$532:$AJ$532&amp;'Gastos com Pessoal'!$I$512:$AJ$512,0),10,1)),0)
+_xlfn.IFNA(SUM((AL$3&gt;='Gastos com Pessoal'!$E$513:$E$522)*(AL$3&lt;='Gastos com Pessoal'!$F$513:$F$522)*(IF('Gastos com Pessoal'!$S$513:$S$522&lt;=AL$3,1,0))*OFFSET('Gastos com Pessoal'!$H$512,1,MATCH(3&amp;$B54,'Gastos com Pessoal'!$I$532:$AJ$532&amp;'Gastos com Pessoal'!$I$512:$AJ$512,0),10,1)),0)
+_xlfn.IFNA(SUM((AL$3&gt;='Gastos com Pessoal'!$E$513:$E$522)*(AL$3&lt;='Gastos com Pessoal'!$F$513:$F$522)*(IF('Gastos com Pessoal'!$Y$513:$Y$522&lt;=AL$3,1,0))*OFFSET('Gastos com Pessoal'!$H$512,1,MATCH(4&amp;$B54,'Gastos com Pessoal'!$I$532:$AJ$532&amp;'Gastos com Pessoal'!$I$512:$AJ$512,0),10,1)),0)
+_xlfn.IFNA(SUM((AL$3&gt;='Gastos com Pessoal'!$E$513:$E$522)*(AL$3&lt;='Gastos com Pessoal'!$F$513:$F$522)*(IF('Gastos com Pessoal'!$AE$513:$AE$522&lt;=AL$3,1,0))*OFFSET('Gastos com Pessoal'!$H$512,1,MATCH(5&amp;$B54,'Gastos com Pessoal'!$I$532:$AJ$532&amp;'Gastos com Pessoal'!$I$512:$AJ$512,0),10,1)),0)</f>
        <v>33582</v>
      </c>
      <c r="AM54" s="32">
        <f t="array" aca="1" ref="AM54" ca="1">_xlfn.IFNA(SUM((AM$3&gt;='Gastos com Pessoal'!$E$7:$E$506)*(AM$3&lt;='Gastos com Pessoal'!$F$7:$F$506)*OFFSET('Encargos e Benefícios'!$D$5,1,MATCH($B54,'Encargos e Benefícios'!$E$5:$AB$5,0),500,1)),0)
+_xlfn.IFNA(SUM((AM$3&gt;='Gastos com Pessoal'!$E$513:$E$522)*(AM$3&lt;='Gastos com Pessoal'!$F$513:$F$522)*OFFSET('Encargos e Benefícios'!$D$511,1,MATCH($B54,'Encargos e Benefícios'!$E$511:$AB$511,0),10,1)),0)
+_xlfn.IFNA(SUM((AM$3&gt;='Gastos com Pessoal'!$E$7:$E$506)*(AM$3&lt;='Gastos com Pessoal'!$F$7:$F$506)*(IF('Gastos com Pessoal'!$G$7:$G$506&lt;=AM$3,1,0))*OFFSET('Gastos com Pessoal'!$H$6,1,MATCH(1&amp;$B54,'Gastos com Pessoal'!$I$532:$AJ$532&amp;'Gastos com Pessoal'!$I$6:$AJ$6,0),500,1)),0)
+_xlfn.IFNA(SUM((AM$3&gt;='Gastos com Pessoal'!$E$7:$E$506)*(AM$3&lt;='Gastos com Pessoal'!$F$7:$F$506)*(IF('Gastos com Pessoal'!$M$7:$M$506&lt;=AM$3,1,0))*OFFSET('Gastos com Pessoal'!$H$6,1,MATCH(2&amp;$B54,'Gastos com Pessoal'!$I$532:$AJ$532&amp;'Gastos com Pessoal'!$I$6:$AJ$6,0),500,1)),0)
+_xlfn.IFNA(SUM((AM$3&gt;='Gastos com Pessoal'!$E$7:$E$506)*(AM$3&lt;='Gastos com Pessoal'!$F$7:$F$506)*(IF('Gastos com Pessoal'!$S$7:$S$506&lt;=AM$3,1,0))*OFFSET('Gastos com Pessoal'!$H$6,1,MATCH(3&amp;$B54,'Gastos com Pessoal'!$I$532:$AJ$532&amp;'Gastos com Pessoal'!$I$6:$AJ$6,0),500,1)),0)
+_xlfn.IFNA(SUM((AM$3&gt;='Gastos com Pessoal'!$E$7:$E$506)*(AM$3&lt;='Gastos com Pessoal'!$F$7:$F$506)*(IF('Gastos com Pessoal'!$Y$7:$Y$506&lt;=AM$3,1,0))*OFFSET('Gastos com Pessoal'!$H$6,1,MATCH(4&amp;$B54,'Gastos com Pessoal'!$I$532:$AJ$532&amp;'Gastos com Pessoal'!$I$6:$AJ$6,0),500,1)),0)
+_xlfn.IFNA(SUM((AM$3&gt;='Gastos com Pessoal'!$E$7:$E$506)*(AM$3&lt;='Gastos com Pessoal'!$F$7:$F$506)*(IF('Gastos com Pessoal'!$AE$7:$AE$506&lt;=AM$3,1,0))*OFFSET('Gastos com Pessoal'!$H$6,1,MATCH(5&amp;$B54,'Gastos com Pessoal'!$I$532:$AJ$532&amp;'Gastos com Pessoal'!$I$6:$AJ$6,0),500,1)),0)
+_xlfn.IFNA(SUM((AM$3&gt;='Gastos com Pessoal'!$E$513:$E$522)*(AM$3&lt;='Gastos com Pessoal'!$F$513:$F$522)*(IF('Gastos com Pessoal'!$G$513:$G$522&lt;=AM$3,1,0))*OFFSET('Gastos com Pessoal'!$H$512,1,MATCH(1&amp;$B54,'Gastos com Pessoal'!$I$532:$AJ$532&amp;'Gastos com Pessoal'!$I$512:$AJ$512,0),10,1)),0)
+_xlfn.IFNA(SUM((AM$3&gt;='Gastos com Pessoal'!$E$513:$E$522)*(AM$3&lt;='Gastos com Pessoal'!$F$513:$F$522)*(IF('Gastos com Pessoal'!$M$513:$M$522&lt;=AM$3,1,0))*OFFSET('Gastos com Pessoal'!$H$512,1,MATCH(2&amp;$B54,'Gastos com Pessoal'!$I$532:$AJ$532&amp;'Gastos com Pessoal'!$I$512:$AJ$512,0),10,1)),0)
+_xlfn.IFNA(SUM((AM$3&gt;='Gastos com Pessoal'!$E$513:$E$522)*(AM$3&lt;='Gastos com Pessoal'!$F$513:$F$522)*(IF('Gastos com Pessoal'!$S$513:$S$522&lt;=AM$3,1,0))*OFFSET('Gastos com Pessoal'!$H$512,1,MATCH(3&amp;$B54,'Gastos com Pessoal'!$I$532:$AJ$532&amp;'Gastos com Pessoal'!$I$512:$AJ$512,0),10,1)),0)
+_xlfn.IFNA(SUM((AM$3&gt;='Gastos com Pessoal'!$E$513:$E$522)*(AM$3&lt;='Gastos com Pessoal'!$F$513:$F$522)*(IF('Gastos com Pessoal'!$Y$513:$Y$522&lt;=AM$3,1,0))*OFFSET('Gastos com Pessoal'!$H$512,1,MATCH(4&amp;$B54,'Gastos com Pessoal'!$I$532:$AJ$532&amp;'Gastos com Pessoal'!$I$512:$AJ$512,0),10,1)),0)
+_xlfn.IFNA(SUM((AM$3&gt;='Gastos com Pessoal'!$E$513:$E$522)*(AM$3&lt;='Gastos com Pessoal'!$F$513:$F$522)*(IF('Gastos com Pessoal'!$AE$513:$AE$522&lt;=AM$3,1,0))*OFFSET('Gastos com Pessoal'!$H$512,1,MATCH(5&amp;$B54,'Gastos com Pessoal'!$I$532:$AJ$532&amp;'Gastos com Pessoal'!$I$512:$AJ$512,0),10,1)),0)</f>
        <v>0</v>
      </c>
      <c r="AN54" s="32">
        <f t="array" aca="1" ref="AN54" ca="1">_xlfn.IFNA(SUM((AN$3&gt;='Gastos com Pessoal'!$E$7:$E$506)*(AN$3&lt;='Gastos com Pessoal'!$F$7:$F$506)*OFFSET('Encargos e Benefícios'!$D$5,1,MATCH($B54,'Encargos e Benefícios'!$E$5:$AB$5,0),500,1)),0)
+_xlfn.IFNA(SUM((AN$3&gt;='Gastos com Pessoal'!$E$513:$E$522)*(AN$3&lt;='Gastos com Pessoal'!$F$513:$F$522)*OFFSET('Encargos e Benefícios'!$D$511,1,MATCH($B54,'Encargos e Benefícios'!$E$511:$AB$511,0),10,1)),0)
+_xlfn.IFNA(SUM((AN$3&gt;='Gastos com Pessoal'!$E$7:$E$506)*(AN$3&lt;='Gastos com Pessoal'!$F$7:$F$506)*(IF('Gastos com Pessoal'!$G$7:$G$506&lt;=AN$3,1,0))*OFFSET('Gastos com Pessoal'!$H$6,1,MATCH(1&amp;$B54,'Gastos com Pessoal'!$I$532:$AJ$532&amp;'Gastos com Pessoal'!$I$6:$AJ$6,0),500,1)),0)
+_xlfn.IFNA(SUM((AN$3&gt;='Gastos com Pessoal'!$E$7:$E$506)*(AN$3&lt;='Gastos com Pessoal'!$F$7:$F$506)*(IF('Gastos com Pessoal'!$M$7:$M$506&lt;=AN$3,1,0))*OFFSET('Gastos com Pessoal'!$H$6,1,MATCH(2&amp;$B54,'Gastos com Pessoal'!$I$532:$AJ$532&amp;'Gastos com Pessoal'!$I$6:$AJ$6,0),500,1)),0)
+_xlfn.IFNA(SUM((AN$3&gt;='Gastos com Pessoal'!$E$7:$E$506)*(AN$3&lt;='Gastos com Pessoal'!$F$7:$F$506)*(IF('Gastos com Pessoal'!$S$7:$S$506&lt;=AN$3,1,0))*OFFSET('Gastos com Pessoal'!$H$6,1,MATCH(3&amp;$B54,'Gastos com Pessoal'!$I$532:$AJ$532&amp;'Gastos com Pessoal'!$I$6:$AJ$6,0),500,1)),0)
+_xlfn.IFNA(SUM((AN$3&gt;='Gastos com Pessoal'!$E$7:$E$506)*(AN$3&lt;='Gastos com Pessoal'!$F$7:$F$506)*(IF('Gastos com Pessoal'!$Y$7:$Y$506&lt;=AN$3,1,0))*OFFSET('Gastos com Pessoal'!$H$6,1,MATCH(4&amp;$B54,'Gastos com Pessoal'!$I$532:$AJ$532&amp;'Gastos com Pessoal'!$I$6:$AJ$6,0),500,1)),0)
+_xlfn.IFNA(SUM((AN$3&gt;='Gastos com Pessoal'!$E$7:$E$506)*(AN$3&lt;='Gastos com Pessoal'!$F$7:$F$506)*(IF('Gastos com Pessoal'!$AE$7:$AE$506&lt;=AN$3,1,0))*OFFSET('Gastos com Pessoal'!$H$6,1,MATCH(5&amp;$B54,'Gastos com Pessoal'!$I$532:$AJ$532&amp;'Gastos com Pessoal'!$I$6:$AJ$6,0),500,1)),0)
+_xlfn.IFNA(SUM((AN$3&gt;='Gastos com Pessoal'!$E$513:$E$522)*(AN$3&lt;='Gastos com Pessoal'!$F$513:$F$522)*(IF('Gastos com Pessoal'!$G$513:$G$522&lt;=AN$3,1,0))*OFFSET('Gastos com Pessoal'!$H$512,1,MATCH(1&amp;$B54,'Gastos com Pessoal'!$I$532:$AJ$532&amp;'Gastos com Pessoal'!$I$512:$AJ$512,0),10,1)),0)
+_xlfn.IFNA(SUM((AN$3&gt;='Gastos com Pessoal'!$E$513:$E$522)*(AN$3&lt;='Gastos com Pessoal'!$F$513:$F$522)*(IF('Gastos com Pessoal'!$M$513:$M$522&lt;=AN$3,1,0))*OFFSET('Gastos com Pessoal'!$H$512,1,MATCH(2&amp;$B54,'Gastos com Pessoal'!$I$532:$AJ$532&amp;'Gastos com Pessoal'!$I$512:$AJ$512,0),10,1)),0)
+_xlfn.IFNA(SUM((AN$3&gt;='Gastos com Pessoal'!$E$513:$E$522)*(AN$3&lt;='Gastos com Pessoal'!$F$513:$F$522)*(IF('Gastos com Pessoal'!$S$513:$S$522&lt;=AN$3,1,0))*OFFSET('Gastos com Pessoal'!$H$512,1,MATCH(3&amp;$B54,'Gastos com Pessoal'!$I$532:$AJ$532&amp;'Gastos com Pessoal'!$I$512:$AJ$512,0),10,1)),0)
+_xlfn.IFNA(SUM((AN$3&gt;='Gastos com Pessoal'!$E$513:$E$522)*(AN$3&lt;='Gastos com Pessoal'!$F$513:$F$522)*(IF('Gastos com Pessoal'!$Y$513:$Y$522&lt;=AN$3,1,0))*OFFSET('Gastos com Pessoal'!$H$512,1,MATCH(4&amp;$B54,'Gastos com Pessoal'!$I$532:$AJ$532&amp;'Gastos com Pessoal'!$I$512:$AJ$512,0),10,1)),0)
+_xlfn.IFNA(SUM((AN$3&gt;='Gastos com Pessoal'!$E$513:$E$522)*(AN$3&lt;='Gastos com Pessoal'!$F$513:$F$522)*(IF('Gastos com Pessoal'!$AE$513:$AE$522&lt;=AN$3,1,0))*OFFSET('Gastos com Pessoal'!$H$512,1,MATCH(5&amp;$B54,'Gastos com Pessoal'!$I$532:$AJ$532&amp;'Gastos com Pessoal'!$I$512:$AJ$512,0),10,1)),0)</f>
        <v>0</v>
      </c>
      <c r="AO54" s="32">
        <f t="array" aca="1" ref="AO54" ca="1">_xlfn.IFNA(SUM((AO$3&gt;='Gastos com Pessoal'!$E$7:$E$506)*(AO$3&lt;='Gastos com Pessoal'!$F$7:$F$506)*OFFSET('Encargos e Benefícios'!$D$5,1,MATCH($B54,'Encargos e Benefícios'!$E$5:$AB$5,0),500,1)),0)
+_xlfn.IFNA(SUM((AO$3&gt;='Gastos com Pessoal'!$E$513:$E$522)*(AO$3&lt;='Gastos com Pessoal'!$F$513:$F$522)*OFFSET('Encargos e Benefícios'!$D$511,1,MATCH($B54,'Encargos e Benefícios'!$E$511:$AB$511,0),10,1)),0)
+_xlfn.IFNA(SUM((AO$3&gt;='Gastos com Pessoal'!$E$7:$E$506)*(AO$3&lt;='Gastos com Pessoal'!$F$7:$F$506)*(IF('Gastos com Pessoal'!$G$7:$G$506&lt;=AO$3,1,0))*OFFSET('Gastos com Pessoal'!$H$6,1,MATCH(1&amp;$B54,'Gastos com Pessoal'!$I$532:$AJ$532&amp;'Gastos com Pessoal'!$I$6:$AJ$6,0),500,1)),0)
+_xlfn.IFNA(SUM((AO$3&gt;='Gastos com Pessoal'!$E$7:$E$506)*(AO$3&lt;='Gastos com Pessoal'!$F$7:$F$506)*(IF('Gastos com Pessoal'!$M$7:$M$506&lt;=AO$3,1,0))*OFFSET('Gastos com Pessoal'!$H$6,1,MATCH(2&amp;$B54,'Gastos com Pessoal'!$I$532:$AJ$532&amp;'Gastos com Pessoal'!$I$6:$AJ$6,0),500,1)),0)
+_xlfn.IFNA(SUM((AO$3&gt;='Gastos com Pessoal'!$E$7:$E$506)*(AO$3&lt;='Gastos com Pessoal'!$F$7:$F$506)*(IF('Gastos com Pessoal'!$S$7:$S$506&lt;=AO$3,1,0))*OFFSET('Gastos com Pessoal'!$H$6,1,MATCH(3&amp;$B54,'Gastos com Pessoal'!$I$532:$AJ$532&amp;'Gastos com Pessoal'!$I$6:$AJ$6,0),500,1)),0)
+_xlfn.IFNA(SUM((AO$3&gt;='Gastos com Pessoal'!$E$7:$E$506)*(AO$3&lt;='Gastos com Pessoal'!$F$7:$F$506)*(IF('Gastos com Pessoal'!$Y$7:$Y$506&lt;=AO$3,1,0))*OFFSET('Gastos com Pessoal'!$H$6,1,MATCH(4&amp;$B54,'Gastos com Pessoal'!$I$532:$AJ$532&amp;'Gastos com Pessoal'!$I$6:$AJ$6,0),500,1)),0)
+_xlfn.IFNA(SUM((AO$3&gt;='Gastos com Pessoal'!$E$7:$E$506)*(AO$3&lt;='Gastos com Pessoal'!$F$7:$F$506)*(IF('Gastos com Pessoal'!$AE$7:$AE$506&lt;=AO$3,1,0))*OFFSET('Gastos com Pessoal'!$H$6,1,MATCH(5&amp;$B54,'Gastos com Pessoal'!$I$532:$AJ$532&amp;'Gastos com Pessoal'!$I$6:$AJ$6,0),500,1)),0)
+_xlfn.IFNA(SUM((AO$3&gt;='Gastos com Pessoal'!$E$513:$E$522)*(AO$3&lt;='Gastos com Pessoal'!$F$513:$F$522)*(IF('Gastos com Pessoal'!$G$513:$G$522&lt;=AO$3,1,0))*OFFSET('Gastos com Pessoal'!$H$512,1,MATCH(1&amp;$B54,'Gastos com Pessoal'!$I$532:$AJ$532&amp;'Gastos com Pessoal'!$I$512:$AJ$512,0),10,1)),0)
+_xlfn.IFNA(SUM((AO$3&gt;='Gastos com Pessoal'!$E$513:$E$522)*(AO$3&lt;='Gastos com Pessoal'!$F$513:$F$522)*(IF('Gastos com Pessoal'!$M$513:$M$522&lt;=AO$3,1,0))*OFFSET('Gastos com Pessoal'!$H$512,1,MATCH(2&amp;$B54,'Gastos com Pessoal'!$I$532:$AJ$532&amp;'Gastos com Pessoal'!$I$512:$AJ$512,0),10,1)),0)
+_xlfn.IFNA(SUM((AO$3&gt;='Gastos com Pessoal'!$E$513:$E$522)*(AO$3&lt;='Gastos com Pessoal'!$F$513:$F$522)*(IF('Gastos com Pessoal'!$S$513:$S$522&lt;=AO$3,1,0))*OFFSET('Gastos com Pessoal'!$H$512,1,MATCH(3&amp;$B54,'Gastos com Pessoal'!$I$532:$AJ$532&amp;'Gastos com Pessoal'!$I$512:$AJ$512,0),10,1)),0)
+_xlfn.IFNA(SUM((AO$3&gt;='Gastos com Pessoal'!$E$513:$E$522)*(AO$3&lt;='Gastos com Pessoal'!$F$513:$F$522)*(IF('Gastos com Pessoal'!$Y$513:$Y$522&lt;=AO$3,1,0))*OFFSET('Gastos com Pessoal'!$H$512,1,MATCH(4&amp;$B54,'Gastos com Pessoal'!$I$532:$AJ$532&amp;'Gastos com Pessoal'!$I$512:$AJ$512,0),10,1)),0)
+_xlfn.IFNA(SUM((AO$3&gt;='Gastos com Pessoal'!$E$513:$E$522)*(AO$3&lt;='Gastos com Pessoal'!$F$513:$F$522)*(IF('Gastos com Pessoal'!$AE$513:$AE$522&lt;=AO$3,1,0))*OFFSET('Gastos com Pessoal'!$H$512,1,MATCH(5&amp;$B54,'Gastos com Pessoal'!$I$532:$AJ$532&amp;'Gastos com Pessoal'!$I$512:$AJ$512,0),10,1)),0)</f>
        <v>0</v>
      </c>
      <c r="AP54" s="32">
        <f t="array" aca="1" ref="AP54" ca="1">_xlfn.IFNA(SUM((AP$3&gt;='Gastos com Pessoal'!$E$7:$E$506)*(AP$3&lt;='Gastos com Pessoal'!$F$7:$F$506)*OFFSET('Encargos e Benefícios'!$D$5,1,MATCH($B54,'Encargos e Benefícios'!$E$5:$AB$5,0),500,1)),0)
+_xlfn.IFNA(SUM((AP$3&gt;='Gastos com Pessoal'!$E$513:$E$522)*(AP$3&lt;='Gastos com Pessoal'!$F$513:$F$522)*OFFSET('Encargos e Benefícios'!$D$511,1,MATCH($B54,'Encargos e Benefícios'!$E$511:$AB$511,0),10,1)),0)
+_xlfn.IFNA(SUM((AP$3&gt;='Gastos com Pessoal'!$E$7:$E$506)*(AP$3&lt;='Gastos com Pessoal'!$F$7:$F$506)*(IF('Gastos com Pessoal'!$G$7:$G$506&lt;=AP$3,1,0))*OFFSET('Gastos com Pessoal'!$H$6,1,MATCH(1&amp;$B54,'Gastos com Pessoal'!$I$532:$AJ$532&amp;'Gastos com Pessoal'!$I$6:$AJ$6,0),500,1)),0)
+_xlfn.IFNA(SUM((AP$3&gt;='Gastos com Pessoal'!$E$7:$E$506)*(AP$3&lt;='Gastos com Pessoal'!$F$7:$F$506)*(IF('Gastos com Pessoal'!$M$7:$M$506&lt;=AP$3,1,0))*OFFSET('Gastos com Pessoal'!$H$6,1,MATCH(2&amp;$B54,'Gastos com Pessoal'!$I$532:$AJ$532&amp;'Gastos com Pessoal'!$I$6:$AJ$6,0),500,1)),0)
+_xlfn.IFNA(SUM((AP$3&gt;='Gastos com Pessoal'!$E$7:$E$506)*(AP$3&lt;='Gastos com Pessoal'!$F$7:$F$506)*(IF('Gastos com Pessoal'!$S$7:$S$506&lt;=AP$3,1,0))*OFFSET('Gastos com Pessoal'!$H$6,1,MATCH(3&amp;$B54,'Gastos com Pessoal'!$I$532:$AJ$532&amp;'Gastos com Pessoal'!$I$6:$AJ$6,0),500,1)),0)
+_xlfn.IFNA(SUM((AP$3&gt;='Gastos com Pessoal'!$E$7:$E$506)*(AP$3&lt;='Gastos com Pessoal'!$F$7:$F$506)*(IF('Gastos com Pessoal'!$Y$7:$Y$506&lt;=AP$3,1,0))*OFFSET('Gastos com Pessoal'!$H$6,1,MATCH(4&amp;$B54,'Gastos com Pessoal'!$I$532:$AJ$532&amp;'Gastos com Pessoal'!$I$6:$AJ$6,0),500,1)),0)
+_xlfn.IFNA(SUM((AP$3&gt;='Gastos com Pessoal'!$E$7:$E$506)*(AP$3&lt;='Gastos com Pessoal'!$F$7:$F$506)*(IF('Gastos com Pessoal'!$AE$7:$AE$506&lt;=AP$3,1,0))*OFFSET('Gastos com Pessoal'!$H$6,1,MATCH(5&amp;$B54,'Gastos com Pessoal'!$I$532:$AJ$532&amp;'Gastos com Pessoal'!$I$6:$AJ$6,0),500,1)),0)
+_xlfn.IFNA(SUM((AP$3&gt;='Gastos com Pessoal'!$E$513:$E$522)*(AP$3&lt;='Gastos com Pessoal'!$F$513:$F$522)*(IF('Gastos com Pessoal'!$G$513:$G$522&lt;=AP$3,1,0))*OFFSET('Gastos com Pessoal'!$H$512,1,MATCH(1&amp;$B54,'Gastos com Pessoal'!$I$532:$AJ$532&amp;'Gastos com Pessoal'!$I$512:$AJ$512,0),10,1)),0)
+_xlfn.IFNA(SUM((AP$3&gt;='Gastos com Pessoal'!$E$513:$E$522)*(AP$3&lt;='Gastos com Pessoal'!$F$513:$F$522)*(IF('Gastos com Pessoal'!$M$513:$M$522&lt;=AP$3,1,0))*OFFSET('Gastos com Pessoal'!$H$512,1,MATCH(2&amp;$B54,'Gastos com Pessoal'!$I$532:$AJ$532&amp;'Gastos com Pessoal'!$I$512:$AJ$512,0),10,1)),0)
+_xlfn.IFNA(SUM((AP$3&gt;='Gastos com Pessoal'!$E$513:$E$522)*(AP$3&lt;='Gastos com Pessoal'!$F$513:$F$522)*(IF('Gastos com Pessoal'!$S$513:$S$522&lt;=AP$3,1,0))*OFFSET('Gastos com Pessoal'!$H$512,1,MATCH(3&amp;$B54,'Gastos com Pessoal'!$I$532:$AJ$532&amp;'Gastos com Pessoal'!$I$512:$AJ$512,0),10,1)),0)
+_xlfn.IFNA(SUM((AP$3&gt;='Gastos com Pessoal'!$E$513:$E$522)*(AP$3&lt;='Gastos com Pessoal'!$F$513:$F$522)*(IF('Gastos com Pessoal'!$Y$513:$Y$522&lt;=AP$3,1,0))*OFFSET('Gastos com Pessoal'!$H$512,1,MATCH(4&amp;$B54,'Gastos com Pessoal'!$I$532:$AJ$532&amp;'Gastos com Pessoal'!$I$512:$AJ$512,0),10,1)),0)
+_xlfn.IFNA(SUM((AP$3&gt;='Gastos com Pessoal'!$E$513:$E$522)*(AP$3&lt;='Gastos com Pessoal'!$F$513:$F$522)*(IF('Gastos com Pessoal'!$AE$513:$AE$522&lt;=AP$3,1,0))*OFFSET('Gastos com Pessoal'!$H$512,1,MATCH(5&amp;$B54,'Gastos com Pessoal'!$I$532:$AJ$532&amp;'Gastos com Pessoal'!$I$512:$AJ$512,0),10,1)),0)</f>
        <v>0</v>
      </c>
      <c r="AQ54" s="32">
        <f t="array" aca="1" ref="AQ54" ca="1">_xlfn.IFNA(SUM((AQ$3&gt;='Gastos com Pessoal'!$E$7:$E$506)*(AQ$3&lt;='Gastos com Pessoal'!$F$7:$F$506)*OFFSET('Encargos e Benefícios'!$D$5,1,MATCH($B54,'Encargos e Benefícios'!$E$5:$AB$5,0),500,1)),0)
+_xlfn.IFNA(SUM((AQ$3&gt;='Gastos com Pessoal'!$E$513:$E$522)*(AQ$3&lt;='Gastos com Pessoal'!$F$513:$F$522)*OFFSET('Encargos e Benefícios'!$D$511,1,MATCH($B54,'Encargos e Benefícios'!$E$511:$AB$511,0),10,1)),0)
+_xlfn.IFNA(SUM((AQ$3&gt;='Gastos com Pessoal'!$E$7:$E$506)*(AQ$3&lt;='Gastos com Pessoal'!$F$7:$F$506)*(IF('Gastos com Pessoal'!$G$7:$G$506&lt;=AQ$3,1,0))*OFFSET('Gastos com Pessoal'!$H$6,1,MATCH(1&amp;$B54,'Gastos com Pessoal'!$I$532:$AJ$532&amp;'Gastos com Pessoal'!$I$6:$AJ$6,0),500,1)),0)
+_xlfn.IFNA(SUM((AQ$3&gt;='Gastos com Pessoal'!$E$7:$E$506)*(AQ$3&lt;='Gastos com Pessoal'!$F$7:$F$506)*(IF('Gastos com Pessoal'!$M$7:$M$506&lt;=AQ$3,1,0))*OFFSET('Gastos com Pessoal'!$H$6,1,MATCH(2&amp;$B54,'Gastos com Pessoal'!$I$532:$AJ$532&amp;'Gastos com Pessoal'!$I$6:$AJ$6,0),500,1)),0)
+_xlfn.IFNA(SUM((AQ$3&gt;='Gastos com Pessoal'!$E$7:$E$506)*(AQ$3&lt;='Gastos com Pessoal'!$F$7:$F$506)*(IF('Gastos com Pessoal'!$S$7:$S$506&lt;=AQ$3,1,0))*OFFSET('Gastos com Pessoal'!$H$6,1,MATCH(3&amp;$B54,'Gastos com Pessoal'!$I$532:$AJ$532&amp;'Gastos com Pessoal'!$I$6:$AJ$6,0),500,1)),0)
+_xlfn.IFNA(SUM((AQ$3&gt;='Gastos com Pessoal'!$E$7:$E$506)*(AQ$3&lt;='Gastos com Pessoal'!$F$7:$F$506)*(IF('Gastos com Pessoal'!$Y$7:$Y$506&lt;=AQ$3,1,0))*OFFSET('Gastos com Pessoal'!$H$6,1,MATCH(4&amp;$B54,'Gastos com Pessoal'!$I$532:$AJ$532&amp;'Gastos com Pessoal'!$I$6:$AJ$6,0),500,1)),0)
+_xlfn.IFNA(SUM((AQ$3&gt;='Gastos com Pessoal'!$E$7:$E$506)*(AQ$3&lt;='Gastos com Pessoal'!$F$7:$F$506)*(IF('Gastos com Pessoal'!$AE$7:$AE$506&lt;=AQ$3,1,0))*OFFSET('Gastos com Pessoal'!$H$6,1,MATCH(5&amp;$B54,'Gastos com Pessoal'!$I$532:$AJ$532&amp;'Gastos com Pessoal'!$I$6:$AJ$6,0),500,1)),0)
+_xlfn.IFNA(SUM((AQ$3&gt;='Gastos com Pessoal'!$E$513:$E$522)*(AQ$3&lt;='Gastos com Pessoal'!$F$513:$F$522)*(IF('Gastos com Pessoal'!$G$513:$G$522&lt;=AQ$3,1,0))*OFFSET('Gastos com Pessoal'!$H$512,1,MATCH(1&amp;$B54,'Gastos com Pessoal'!$I$532:$AJ$532&amp;'Gastos com Pessoal'!$I$512:$AJ$512,0),10,1)),0)
+_xlfn.IFNA(SUM((AQ$3&gt;='Gastos com Pessoal'!$E$513:$E$522)*(AQ$3&lt;='Gastos com Pessoal'!$F$513:$F$522)*(IF('Gastos com Pessoal'!$M$513:$M$522&lt;=AQ$3,1,0))*OFFSET('Gastos com Pessoal'!$H$512,1,MATCH(2&amp;$B54,'Gastos com Pessoal'!$I$532:$AJ$532&amp;'Gastos com Pessoal'!$I$512:$AJ$512,0),10,1)),0)
+_xlfn.IFNA(SUM((AQ$3&gt;='Gastos com Pessoal'!$E$513:$E$522)*(AQ$3&lt;='Gastos com Pessoal'!$F$513:$F$522)*(IF('Gastos com Pessoal'!$S$513:$S$522&lt;=AQ$3,1,0))*OFFSET('Gastos com Pessoal'!$H$512,1,MATCH(3&amp;$B54,'Gastos com Pessoal'!$I$532:$AJ$532&amp;'Gastos com Pessoal'!$I$512:$AJ$512,0),10,1)),0)
+_xlfn.IFNA(SUM((AQ$3&gt;='Gastos com Pessoal'!$E$513:$E$522)*(AQ$3&lt;='Gastos com Pessoal'!$F$513:$F$522)*(IF('Gastos com Pessoal'!$Y$513:$Y$522&lt;=AQ$3,1,0))*OFFSET('Gastos com Pessoal'!$H$512,1,MATCH(4&amp;$B54,'Gastos com Pessoal'!$I$532:$AJ$532&amp;'Gastos com Pessoal'!$I$512:$AJ$512,0),10,1)),0)
+_xlfn.IFNA(SUM((AQ$3&gt;='Gastos com Pessoal'!$E$513:$E$522)*(AQ$3&lt;='Gastos com Pessoal'!$F$513:$F$522)*(IF('Gastos com Pessoal'!$AE$513:$AE$522&lt;=AQ$3,1,0))*OFFSET('Gastos com Pessoal'!$H$512,1,MATCH(5&amp;$B54,'Gastos com Pessoal'!$I$532:$AJ$532&amp;'Gastos com Pessoal'!$I$512:$AJ$512,0),10,1)),0)</f>
        <v>0</v>
      </c>
      <c r="AR54" s="32">
        <f t="array" aca="1" ref="AR54" ca="1">_xlfn.IFNA(SUM((AR$3&gt;='Gastos com Pessoal'!$E$7:$E$506)*(AR$3&lt;='Gastos com Pessoal'!$F$7:$F$506)*OFFSET('Encargos e Benefícios'!$D$5,1,MATCH($B54,'Encargos e Benefícios'!$E$5:$AB$5,0),500,1)),0)
+_xlfn.IFNA(SUM((AR$3&gt;='Gastos com Pessoal'!$E$513:$E$522)*(AR$3&lt;='Gastos com Pessoal'!$F$513:$F$522)*OFFSET('Encargos e Benefícios'!$D$511,1,MATCH($B54,'Encargos e Benefícios'!$E$511:$AB$511,0),10,1)),0)
+_xlfn.IFNA(SUM((AR$3&gt;='Gastos com Pessoal'!$E$7:$E$506)*(AR$3&lt;='Gastos com Pessoal'!$F$7:$F$506)*(IF('Gastos com Pessoal'!$G$7:$G$506&lt;=AR$3,1,0))*OFFSET('Gastos com Pessoal'!$H$6,1,MATCH(1&amp;$B54,'Gastos com Pessoal'!$I$532:$AJ$532&amp;'Gastos com Pessoal'!$I$6:$AJ$6,0),500,1)),0)
+_xlfn.IFNA(SUM((AR$3&gt;='Gastos com Pessoal'!$E$7:$E$506)*(AR$3&lt;='Gastos com Pessoal'!$F$7:$F$506)*(IF('Gastos com Pessoal'!$M$7:$M$506&lt;=AR$3,1,0))*OFFSET('Gastos com Pessoal'!$H$6,1,MATCH(2&amp;$B54,'Gastos com Pessoal'!$I$532:$AJ$532&amp;'Gastos com Pessoal'!$I$6:$AJ$6,0),500,1)),0)
+_xlfn.IFNA(SUM((AR$3&gt;='Gastos com Pessoal'!$E$7:$E$506)*(AR$3&lt;='Gastos com Pessoal'!$F$7:$F$506)*(IF('Gastos com Pessoal'!$S$7:$S$506&lt;=AR$3,1,0))*OFFSET('Gastos com Pessoal'!$H$6,1,MATCH(3&amp;$B54,'Gastos com Pessoal'!$I$532:$AJ$532&amp;'Gastos com Pessoal'!$I$6:$AJ$6,0),500,1)),0)
+_xlfn.IFNA(SUM((AR$3&gt;='Gastos com Pessoal'!$E$7:$E$506)*(AR$3&lt;='Gastos com Pessoal'!$F$7:$F$506)*(IF('Gastos com Pessoal'!$Y$7:$Y$506&lt;=AR$3,1,0))*OFFSET('Gastos com Pessoal'!$H$6,1,MATCH(4&amp;$B54,'Gastos com Pessoal'!$I$532:$AJ$532&amp;'Gastos com Pessoal'!$I$6:$AJ$6,0),500,1)),0)
+_xlfn.IFNA(SUM((AR$3&gt;='Gastos com Pessoal'!$E$7:$E$506)*(AR$3&lt;='Gastos com Pessoal'!$F$7:$F$506)*(IF('Gastos com Pessoal'!$AE$7:$AE$506&lt;=AR$3,1,0))*OFFSET('Gastos com Pessoal'!$H$6,1,MATCH(5&amp;$B54,'Gastos com Pessoal'!$I$532:$AJ$532&amp;'Gastos com Pessoal'!$I$6:$AJ$6,0),500,1)),0)
+_xlfn.IFNA(SUM((AR$3&gt;='Gastos com Pessoal'!$E$513:$E$522)*(AR$3&lt;='Gastos com Pessoal'!$F$513:$F$522)*(IF('Gastos com Pessoal'!$G$513:$G$522&lt;=AR$3,1,0))*OFFSET('Gastos com Pessoal'!$H$512,1,MATCH(1&amp;$B54,'Gastos com Pessoal'!$I$532:$AJ$532&amp;'Gastos com Pessoal'!$I$512:$AJ$512,0),10,1)),0)
+_xlfn.IFNA(SUM((AR$3&gt;='Gastos com Pessoal'!$E$513:$E$522)*(AR$3&lt;='Gastos com Pessoal'!$F$513:$F$522)*(IF('Gastos com Pessoal'!$M$513:$M$522&lt;=AR$3,1,0))*OFFSET('Gastos com Pessoal'!$H$512,1,MATCH(2&amp;$B54,'Gastos com Pessoal'!$I$532:$AJ$532&amp;'Gastos com Pessoal'!$I$512:$AJ$512,0),10,1)),0)
+_xlfn.IFNA(SUM((AR$3&gt;='Gastos com Pessoal'!$E$513:$E$522)*(AR$3&lt;='Gastos com Pessoal'!$F$513:$F$522)*(IF('Gastos com Pessoal'!$S$513:$S$522&lt;=AR$3,1,0))*OFFSET('Gastos com Pessoal'!$H$512,1,MATCH(3&amp;$B54,'Gastos com Pessoal'!$I$532:$AJ$532&amp;'Gastos com Pessoal'!$I$512:$AJ$512,0),10,1)),0)
+_xlfn.IFNA(SUM((AR$3&gt;='Gastos com Pessoal'!$E$513:$E$522)*(AR$3&lt;='Gastos com Pessoal'!$F$513:$F$522)*(IF('Gastos com Pessoal'!$Y$513:$Y$522&lt;=AR$3,1,0))*OFFSET('Gastos com Pessoal'!$H$512,1,MATCH(4&amp;$B54,'Gastos com Pessoal'!$I$532:$AJ$532&amp;'Gastos com Pessoal'!$I$512:$AJ$512,0),10,1)),0)
+_xlfn.IFNA(SUM((AR$3&gt;='Gastos com Pessoal'!$E$513:$E$522)*(AR$3&lt;='Gastos com Pessoal'!$F$513:$F$522)*(IF('Gastos com Pessoal'!$AE$513:$AE$522&lt;=AR$3,1,0))*OFFSET('Gastos com Pessoal'!$H$512,1,MATCH(5&amp;$B54,'Gastos com Pessoal'!$I$532:$AJ$532&amp;'Gastos com Pessoal'!$I$512:$AJ$512,0),10,1)),0)</f>
        <v>0</v>
      </c>
      <c r="AS54" s="32">
        <f t="array" aca="1" ref="AS54" ca="1">_xlfn.IFNA(SUM((AS$3&gt;='Gastos com Pessoal'!$E$7:$E$506)*(AS$3&lt;='Gastos com Pessoal'!$F$7:$F$506)*OFFSET('Encargos e Benefícios'!$D$5,1,MATCH($B54,'Encargos e Benefícios'!$E$5:$AB$5,0),500,1)),0)
+_xlfn.IFNA(SUM((AS$3&gt;='Gastos com Pessoal'!$E$513:$E$522)*(AS$3&lt;='Gastos com Pessoal'!$F$513:$F$522)*OFFSET('Encargos e Benefícios'!$D$511,1,MATCH($B54,'Encargos e Benefícios'!$E$511:$AB$511,0),10,1)),0)
+_xlfn.IFNA(SUM((AS$3&gt;='Gastos com Pessoal'!$E$7:$E$506)*(AS$3&lt;='Gastos com Pessoal'!$F$7:$F$506)*(IF('Gastos com Pessoal'!$G$7:$G$506&lt;=AS$3,1,0))*OFFSET('Gastos com Pessoal'!$H$6,1,MATCH(1&amp;$B54,'Gastos com Pessoal'!$I$532:$AJ$532&amp;'Gastos com Pessoal'!$I$6:$AJ$6,0),500,1)),0)
+_xlfn.IFNA(SUM((AS$3&gt;='Gastos com Pessoal'!$E$7:$E$506)*(AS$3&lt;='Gastos com Pessoal'!$F$7:$F$506)*(IF('Gastos com Pessoal'!$M$7:$M$506&lt;=AS$3,1,0))*OFFSET('Gastos com Pessoal'!$H$6,1,MATCH(2&amp;$B54,'Gastos com Pessoal'!$I$532:$AJ$532&amp;'Gastos com Pessoal'!$I$6:$AJ$6,0),500,1)),0)
+_xlfn.IFNA(SUM((AS$3&gt;='Gastos com Pessoal'!$E$7:$E$506)*(AS$3&lt;='Gastos com Pessoal'!$F$7:$F$506)*(IF('Gastos com Pessoal'!$S$7:$S$506&lt;=AS$3,1,0))*OFFSET('Gastos com Pessoal'!$H$6,1,MATCH(3&amp;$B54,'Gastos com Pessoal'!$I$532:$AJ$532&amp;'Gastos com Pessoal'!$I$6:$AJ$6,0),500,1)),0)
+_xlfn.IFNA(SUM((AS$3&gt;='Gastos com Pessoal'!$E$7:$E$506)*(AS$3&lt;='Gastos com Pessoal'!$F$7:$F$506)*(IF('Gastos com Pessoal'!$Y$7:$Y$506&lt;=AS$3,1,0))*OFFSET('Gastos com Pessoal'!$H$6,1,MATCH(4&amp;$B54,'Gastos com Pessoal'!$I$532:$AJ$532&amp;'Gastos com Pessoal'!$I$6:$AJ$6,0),500,1)),0)
+_xlfn.IFNA(SUM((AS$3&gt;='Gastos com Pessoal'!$E$7:$E$506)*(AS$3&lt;='Gastos com Pessoal'!$F$7:$F$506)*(IF('Gastos com Pessoal'!$AE$7:$AE$506&lt;=AS$3,1,0))*OFFSET('Gastos com Pessoal'!$H$6,1,MATCH(5&amp;$B54,'Gastos com Pessoal'!$I$532:$AJ$532&amp;'Gastos com Pessoal'!$I$6:$AJ$6,0),500,1)),0)
+_xlfn.IFNA(SUM((AS$3&gt;='Gastos com Pessoal'!$E$513:$E$522)*(AS$3&lt;='Gastos com Pessoal'!$F$513:$F$522)*(IF('Gastos com Pessoal'!$G$513:$G$522&lt;=AS$3,1,0))*OFFSET('Gastos com Pessoal'!$H$512,1,MATCH(1&amp;$B54,'Gastos com Pessoal'!$I$532:$AJ$532&amp;'Gastos com Pessoal'!$I$512:$AJ$512,0),10,1)),0)
+_xlfn.IFNA(SUM((AS$3&gt;='Gastos com Pessoal'!$E$513:$E$522)*(AS$3&lt;='Gastos com Pessoal'!$F$513:$F$522)*(IF('Gastos com Pessoal'!$M$513:$M$522&lt;=AS$3,1,0))*OFFSET('Gastos com Pessoal'!$H$512,1,MATCH(2&amp;$B54,'Gastos com Pessoal'!$I$532:$AJ$532&amp;'Gastos com Pessoal'!$I$512:$AJ$512,0),10,1)),0)
+_xlfn.IFNA(SUM((AS$3&gt;='Gastos com Pessoal'!$E$513:$E$522)*(AS$3&lt;='Gastos com Pessoal'!$F$513:$F$522)*(IF('Gastos com Pessoal'!$S$513:$S$522&lt;=AS$3,1,0))*OFFSET('Gastos com Pessoal'!$H$512,1,MATCH(3&amp;$B54,'Gastos com Pessoal'!$I$532:$AJ$532&amp;'Gastos com Pessoal'!$I$512:$AJ$512,0),10,1)),0)
+_xlfn.IFNA(SUM((AS$3&gt;='Gastos com Pessoal'!$E$513:$E$522)*(AS$3&lt;='Gastos com Pessoal'!$F$513:$F$522)*(IF('Gastos com Pessoal'!$Y$513:$Y$522&lt;=AS$3,1,0))*OFFSET('Gastos com Pessoal'!$H$512,1,MATCH(4&amp;$B54,'Gastos com Pessoal'!$I$532:$AJ$532&amp;'Gastos com Pessoal'!$I$512:$AJ$512,0),10,1)),0)
+_xlfn.IFNA(SUM((AS$3&gt;='Gastos com Pessoal'!$E$513:$E$522)*(AS$3&lt;='Gastos com Pessoal'!$F$513:$F$522)*(IF('Gastos com Pessoal'!$AE$513:$AE$522&lt;=AS$3,1,0))*OFFSET('Gastos com Pessoal'!$H$512,1,MATCH(5&amp;$B54,'Gastos com Pessoal'!$I$532:$AJ$532&amp;'Gastos com Pessoal'!$I$512:$AJ$512,0),10,1)),0)</f>
        <v>0</v>
      </c>
      <c r="AT54" s="32">
        <f t="array" aca="1" ref="AT54" ca="1">_xlfn.IFNA(SUM((AT$3&gt;='Gastos com Pessoal'!$E$7:$E$506)*(AT$3&lt;='Gastos com Pessoal'!$F$7:$F$506)*OFFSET('Encargos e Benefícios'!$D$5,1,MATCH($B54,'Encargos e Benefícios'!$E$5:$AB$5,0),500,1)),0)
+_xlfn.IFNA(SUM((AT$3&gt;='Gastos com Pessoal'!$E$513:$E$522)*(AT$3&lt;='Gastos com Pessoal'!$F$513:$F$522)*OFFSET('Encargos e Benefícios'!$D$511,1,MATCH($B54,'Encargos e Benefícios'!$E$511:$AB$511,0),10,1)),0)
+_xlfn.IFNA(SUM((AT$3&gt;='Gastos com Pessoal'!$E$7:$E$506)*(AT$3&lt;='Gastos com Pessoal'!$F$7:$F$506)*(IF('Gastos com Pessoal'!$G$7:$G$506&lt;=AT$3,1,0))*OFFSET('Gastos com Pessoal'!$H$6,1,MATCH(1&amp;$B54,'Gastos com Pessoal'!$I$532:$AJ$532&amp;'Gastos com Pessoal'!$I$6:$AJ$6,0),500,1)),0)
+_xlfn.IFNA(SUM((AT$3&gt;='Gastos com Pessoal'!$E$7:$E$506)*(AT$3&lt;='Gastos com Pessoal'!$F$7:$F$506)*(IF('Gastos com Pessoal'!$M$7:$M$506&lt;=AT$3,1,0))*OFFSET('Gastos com Pessoal'!$H$6,1,MATCH(2&amp;$B54,'Gastos com Pessoal'!$I$532:$AJ$532&amp;'Gastos com Pessoal'!$I$6:$AJ$6,0),500,1)),0)
+_xlfn.IFNA(SUM((AT$3&gt;='Gastos com Pessoal'!$E$7:$E$506)*(AT$3&lt;='Gastos com Pessoal'!$F$7:$F$506)*(IF('Gastos com Pessoal'!$S$7:$S$506&lt;=AT$3,1,0))*OFFSET('Gastos com Pessoal'!$H$6,1,MATCH(3&amp;$B54,'Gastos com Pessoal'!$I$532:$AJ$532&amp;'Gastos com Pessoal'!$I$6:$AJ$6,0),500,1)),0)
+_xlfn.IFNA(SUM((AT$3&gt;='Gastos com Pessoal'!$E$7:$E$506)*(AT$3&lt;='Gastos com Pessoal'!$F$7:$F$506)*(IF('Gastos com Pessoal'!$Y$7:$Y$506&lt;=AT$3,1,0))*OFFSET('Gastos com Pessoal'!$H$6,1,MATCH(4&amp;$B54,'Gastos com Pessoal'!$I$532:$AJ$532&amp;'Gastos com Pessoal'!$I$6:$AJ$6,0),500,1)),0)
+_xlfn.IFNA(SUM((AT$3&gt;='Gastos com Pessoal'!$E$7:$E$506)*(AT$3&lt;='Gastos com Pessoal'!$F$7:$F$506)*(IF('Gastos com Pessoal'!$AE$7:$AE$506&lt;=AT$3,1,0))*OFFSET('Gastos com Pessoal'!$H$6,1,MATCH(5&amp;$B54,'Gastos com Pessoal'!$I$532:$AJ$532&amp;'Gastos com Pessoal'!$I$6:$AJ$6,0),500,1)),0)
+_xlfn.IFNA(SUM((AT$3&gt;='Gastos com Pessoal'!$E$513:$E$522)*(AT$3&lt;='Gastos com Pessoal'!$F$513:$F$522)*(IF('Gastos com Pessoal'!$G$513:$G$522&lt;=AT$3,1,0))*OFFSET('Gastos com Pessoal'!$H$512,1,MATCH(1&amp;$B54,'Gastos com Pessoal'!$I$532:$AJ$532&amp;'Gastos com Pessoal'!$I$512:$AJ$512,0),10,1)),0)
+_xlfn.IFNA(SUM((AT$3&gt;='Gastos com Pessoal'!$E$513:$E$522)*(AT$3&lt;='Gastos com Pessoal'!$F$513:$F$522)*(IF('Gastos com Pessoal'!$M$513:$M$522&lt;=AT$3,1,0))*OFFSET('Gastos com Pessoal'!$H$512,1,MATCH(2&amp;$B54,'Gastos com Pessoal'!$I$532:$AJ$532&amp;'Gastos com Pessoal'!$I$512:$AJ$512,0),10,1)),0)
+_xlfn.IFNA(SUM((AT$3&gt;='Gastos com Pessoal'!$E$513:$E$522)*(AT$3&lt;='Gastos com Pessoal'!$F$513:$F$522)*(IF('Gastos com Pessoal'!$S$513:$S$522&lt;=AT$3,1,0))*OFFSET('Gastos com Pessoal'!$H$512,1,MATCH(3&amp;$B54,'Gastos com Pessoal'!$I$532:$AJ$532&amp;'Gastos com Pessoal'!$I$512:$AJ$512,0),10,1)),0)
+_xlfn.IFNA(SUM((AT$3&gt;='Gastos com Pessoal'!$E$513:$E$522)*(AT$3&lt;='Gastos com Pessoal'!$F$513:$F$522)*(IF('Gastos com Pessoal'!$Y$513:$Y$522&lt;=AT$3,1,0))*OFFSET('Gastos com Pessoal'!$H$512,1,MATCH(4&amp;$B54,'Gastos com Pessoal'!$I$532:$AJ$532&amp;'Gastos com Pessoal'!$I$512:$AJ$512,0),10,1)),0)
+_xlfn.IFNA(SUM((AT$3&gt;='Gastos com Pessoal'!$E$513:$E$522)*(AT$3&lt;='Gastos com Pessoal'!$F$513:$F$522)*(IF('Gastos com Pessoal'!$AE$513:$AE$522&lt;=AT$3,1,0))*OFFSET('Gastos com Pessoal'!$H$512,1,MATCH(5&amp;$B54,'Gastos com Pessoal'!$I$532:$AJ$532&amp;'Gastos com Pessoal'!$I$512:$AJ$512,0),10,1)),0)</f>
        <v>0</v>
      </c>
      <c r="AU54" s="32">
        <f t="array" aca="1" ref="AU54" ca="1">_xlfn.IFNA(SUM((AU$3&gt;='Gastos com Pessoal'!$E$7:$E$506)*(AU$3&lt;='Gastos com Pessoal'!$F$7:$F$506)*OFFSET('Encargos e Benefícios'!$D$5,1,MATCH($B54,'Encargos e Benefícios'!$E$5:$AB$5,0),500,1)),0)
+_xlfn.IFNA(SUM((AU$3&gt;='Gastos com Pessoal'!$E$513:$E$522)*(AU$3&lt;='Gastos com Pessoal'!$F$513:$F$522)*OFFSET('Encargos e Benefícios'!$D$511,1,MATCH($B54,'Encargos e Benefícios'!$E$511:$AB$511,0),10,1)),0)
+_xlfn.IFNA(SUM((AU$3&gt;='Gastos com Pessoal'!$E$7:$E$506)*(AU$3&lt;='Gastos com Pessoal'!$F$7:$F$506)*(IF('Gastos com Pessoal'!$G$7:$G$506&lt;=AU$3,1,0))*OFFSET('Gastos com Pessoal'!$H$6,1,MATCH(1&amp;$B54,'Gastos com Pessoal'!$I$532:$AJ$532&amp;'Gastos com Pessoal'!$I$6:$AJ$6,0),500,1)),0)
+_xlfn.IFNA(SUM((AU$3&gt;='Gastos com Pessoal'!$E$7:$E$506)*(AU$3&lt;='Gastos com Pessoal'!$F$7:$F$506)*(IF('Gastos com Pessoal'!$M$7:$M$506&lt;=AU$3,1,0))*OFFSET('Gastos com Pessoal'!$H$6,1,MATCH(2&amp;$B54,'Gastos com Pessoal'!$I$532:$AJ$532&amp;'Gastos com Pessoal'!$I$6:$AJ$6,0),500,1)),0)
+_xlfn.IFNA(SUM((AU$3&gt;='Gastos com Pessoal'!$E$7:$E$506)*(AU$3&lt;='Gastos com Pessoal'!$F$7:$F$506)*(IF('Gastos com Pessoal'!$S$7:$S$506&lt;=AU$3,1,0))*OFFSET('Gastos com Pessoal'!$H$6,1,MATCH(3&amp;$B54,'Gastos com Pessoal'!$I$532:$AJ$532&amp;'Gastos com Pessoal'!$I$6:$AJ$6,0),500,1)),0)
+_xlfn.IFNA(SUM((AU$3&gt;='Gastos com Pessoal'!$E$7:$E$506)*(AU$3&lt;='Gastos com Pessoal'!$F$7:$F$506)*(IF('Gastos com Pessoal'!$Y$7:$Y$506&lt;=AU$3,1,0))*OFFSET('Gastos com Pessoal'!$H$6,1,MATCH(4&amp;$B54,'Gastos com Pessoal'!$I$532:$AJ$532&amp;'Gastos com Pessoal'!$I$6:$AJ$6,0),500,1)),0)
+_xlfn.IFNA(SUM((AU$3&gt;='Gastos com Pessoal'!$E$7:$E$506)*(AU$3&lt;='Gastos com Pessoal'!$F$7:$F$506)*(IF('Gastos com Pessoal'!$AE$7:$AE$506&lt;=AU$3,1,0))*OFFSET('Gastos com Pessoal'!$H$6,1,MATCH(5&amp;$B54,'Gastos com Pessoal'!$I$532:$AJ$532&amp;'Gastos com Pessoal'!$I$6:$AJ$6,0),500,1)),0)
+_xlfn.IFNA(SUM((AU$3&gt;='Gastos com Pessoal'!$E$513:$E$522)*(AU$3&lt;='Gastos com Pessoal'!$F$513:$F$522)*(IF('Gastos com Pessoal'!$G$513:$G$522&lt;=AU$3,1,0))*OFFSET('Gastos com Pessoal'!$H$512,1,MATCH(1&amp;$B54,'Gastos com Pessoal'!$I$532:$AJ$532&amp;'Gastos com Pessoal'!$I$512:$AJ$512,0),10,1)),0)
+_xlfn.IFNA(SUM((AU$3&gt;='Gastos com Pessoal'!$E$513:$E$522)*(AU$3&lt;='Gastos com Pessoal'!$F$513:$F$522)*(IF('Gastos com Pessoal'!$M$513:$M$522&lt;=AU$3,1,0))*OFFSET('Gastos com Pessoal'!$H$512,1,MATCH(2&amp;$B54,'Gastos com Pessoal'!$I$532:$AJ$532&amp;'Gastos com Pessoal'!$I$512:$AJ$512,0),10,1)),0)
+_xlfn.IFNA(SUM((AU$3&gt;='Gastos com Pessoal'!$E$513:$E$522)*(AU$3&lt;='Gastos com Pessoal'!$F$513:$F$522)*(IF('Gastos com Pessoal'!$S$513:$S$522&lt;=AU$3,1,0))*OFFSET('Gastos com Pessoal'!$H$512,1,MATCH(3&amp;$B54,'Gastos com Pessoal'!$I$532:$AJ$532&amp;'Gastos com Pessoal'!$I$512:$AJ$512,0),10,1)),0)
+_xlfn.IFNA(SUM((AU$3&gt;='Gastos com Pessoal'!$E$513:$E$522)*(AU$3&lt;='Gastos com Pessoal'!$F$513:$F$522)*(IF('Gastos com Pessoal'!$Y$513:$Y$522&lt;=AU$3,1,0))*OFFSET('Gastos com Pessoal'!$H$512,1,MATCH(4&amp;$B54,'Gastos com Pessoal'!$I$532:$AJ$532&amp;'Gastos com Pessoal'!$I$512:$AJ$512,0),10,1)),0)
+_xlfn.IFNA(SUM((AU$3&gt;='Gastos com Pessoal'!$E$513:$E$522)*(AU$3&lt;='Gastos com Pessoal'!$F$513:$F$522)*(IF('Gastos com Pessoal'!$AE$513:$AE$522&lt;=AU$3,1,0))*OFFSET('Gastos com Pessoal'!$H$512,1,MATCH(5&amp;$B54,'Gastos com Pessoal'!$I$532:$AJ$532&amp;'Gastos com Pessoal'!$I$512:$AJ$512,0),10,1)),0)</f>
        <v>0</v>
      </c>
      <c r="AV54" s="32">
        <f t="array" aca="1" ref="AV54" ca="1">_xlfn.IFNA(SUM((AV$3&gt;='Gastos com Pessoal'!$E$7:$E$506)*(AV$3&lt;='Gastos com Pessoal'!$F$7:$F$506)*OFFSET('Encargos e Benefícios'!$D$5,1,MATCH($B54,'Encargos e Benefícios'!$E$5:$AB$5,0),500,1)),0)
+_xlfn.IFNA(SUM((AV$3&gt;='Gastos com Pessoal'!$E$513:$E$522)*(AV$3&lt;='Gastos com Pessoal'!$F$513:$F$522)*OFFSET('Encargos e Benefícios'!$D$511,1,MATCH($B54,'Encargos e Benefícios'!$E$511:$AB$511,0),10,1)),0)
+_xlfn.IFNA(SUM((AV$3&gt;='Gastos com Pessoal'!$E$7:$E$506)*(AV$3&lt;='Gastos com Pessoal'!$F$7:$F$506)*(IF('Gastos com Pessoal'!$G$7:$G$506&lt;=AV$3,1,0))*OFFSET('Gastos com Pessoal'!$H$6,1,MATCH(1&amp;$B54,'Gastos com Pessoal'!$I$532:$AJ$532&amp;'Gastos com Pessoal'!$I$6:$AJ$6,0),500,1)),0)
+_xlfn.IFNA(SUM((AV$3&gt;='Gastos com Pessoal'!$E$7:$E$506)*(AV$3&lt;='Gastos com Pessoal'!$F$7:$F$506)*(IF('Gastos com Pessoal'!$M$7:$M$506&lt;=AV$3,1,0))*OFFSET('Gastos com Pessoal'!$H$6,1,MATCH(2&amp;$B54,'Gastos com Pessoal'!$I$532:$AJ$532&amp;'Gastos com Pessoal'!$I$6:$AJ$6,0),500,1)),0)
+_xlfn.IFNA(SUM((AV$3&gt;='Gastos com Pessoal'!$E$7:$E$506)*(AV$3&lt;='Gastos com Pessoal'!$F$7:$F$506)*(IF('Gastos com Pessoal'!$S$7:$S$506&lt;=AV$3,1,0))*OFFSET('Gastos com Pessoal'!$H$6,1,MATCH(3&amp;$B54,'Gastos com Pessoal'!$I$532:$AJ$532&amp;'Gastos com Pessoal'!$I$6:$AJ$6,0),500,1)),0)
+_xlfn.IFNA(SUM((AV$3&gt;='Gastos com Pessoal'!$E$7:$E$506)*(AV$3&lt;='Gastos com Pessoal'!$F$7:$F$506)*(IF('Gastos com Pessoal'!$Y$7:$Y$506&lt;=AV$3,1,0))*OFFSET('Gastos com Pessoal'!$H$6,1,MATCH(4&amp;$B54,'Gastos com Pessoal'!$I$532:$AJ$532&amp;'Gastos com Pessoal'!$I$6:$AJ$6,0),500,1)),0)
+_xlfn.IFNA(SUM((AV$3&gt;='Gastos com Pessoal'!$E$7:$E$506)*(AV$3&lt;='Gastos com Pessoal'!$F$7:$F$506)*(IF('Gastos com Pessoal'!$AE$7:$AE$506&lt;=AV$3,1,0))*OFFSET('Gastos com Pessoal'!$H$6,1,MATCH(5&amp;$B54,'Gastos com Pessoal'!$I$532:$AJ$532&amp;'Gastos com Pessoal'!$I$6:$AJ$6,0),500,1)),0)
+_xlfn.IFNA(SUM((AV$3&gt;='Gastos com Pessoal'!$E$513:$E$522)*(AV$3&lt;='Gastos com Pessoal'!$F$513:$F$522)*(IF('Gastos com Pessoal'!$G$513:$G$522&lt;=AV$3,1,0))*OFFSET('Gastos com Pessoal'!$H$512,1,MATCH(1&amp;$B54,'Gastos com Pessoal'!$I$532:$AJ$532&amp;'Gastos com Pessoal'!$I$512:$AJ$512,0),10,1)),0)
+_xlfn.IFNA(SUM((AV$3&gt;='Gastos com Pessoal'!$E$513:$E$522)*(AV$3&lt;='Gastos com Pessoal'!$F$513:$F$522)*(IF('Gastos com Pessoal'!$M$513:$M$522&lt;=AV$3,1,0))*OFFSET('Gastos com Pessoal'!$H$512,1,MATCH(2&amp;$B54,'Gastos com Pessoal'!$I$532:$AJ$532&amp;'Gastos com Pessoal'!$I$512:$AJ$512,0),10,1)),0)
+_xlfn.IFNA(SUM((AV$3&gt;='Gastos com Pessoal'!$E$513:$E$522)*(AV$3&lt;='Gastos com Pessoal'!$F$513:$F$522)*(IF('Gastos com Pessoal'!$S$513:$S$522&lt;=AV$3,1,0))*OFFSET('Gastos com Pessoal'!$H$512,1,MATCH(3&amp;$B54,'Gastos com Pessoal'!$I$532:$AJ$532&amp;'Gastos com Pessoal'!$I$512:$AJ$512,0),10,1)),0)
+_xlfn.IFNA(SUM((AV$3&gt;='Gastos com Pessoal'!$E$513:$E$522)*(AV$3&lt;='Gastos com Pessoal'!$F$513:$F$522)*(IF('Gastos com Pessoal'!$Y$513:$Y$522&lt;=AV$3,1,0))*OFFSET('Gastos com Pessoal'!$H$512,1,MATCH(4&amp;$B54,'Gastos com Pessoal'!$I$532:$AJ$532&amp;'Gastos com Pessoal'!$I$512:$AJ$512,0),10,1)),0)
+_xlfn.IFNA(SUM((AV$3&gt;='Gastos com Pessoal'!$E$513:$E$522)*(AV$3&lt;='Gastos com Pessoal'!$F$513:$F$522)*(IF('Gastos com Pessoal'!$AE$513:$AE$522&lt;=AV$3,1,0))*OFFSET('Gastos com Pessoal'!$H$512,1,MATCH(5&amp;$B54,'Gastos com Pessoal'!$I$532:$AJ$532&amp;'Gastos com Pessoal'!$I$512:$AJ$512,0),10,1)),0)</f>
        <v>0</v>
      </c>
      <c r="AW54" s="32">
        <f t="array" aca="1" ref="AW54" ca="1">_xlfn.IFNA(SUM((AW$3&gt;='Gastos com Pessoal'!$E$7:$E$506)*(AW$3&lt;='Gastos com Pessoal'!$F$7:$F$506)*OFFSET('Encargos e Benefícios'!$D$5,1,MATCH($B54,'Encargos e Benefícios'!$E$5:$AB$5,0),500,1)),0)
+_xlfn.IFNA(SUM((AW$3&gt;='Gastos com Pessoal'!$E$513:$E$522)*(AW$3&lt;='Gastos com Pessoal'!$F$513:$F$522)*OFFSET('Encargos e Benefícios'!$D$511,1,MATCH($B54,'Encargos e Benefícios'!$E$511:$AB$511,0),10,1)),0)
+_xlfn.IFNA(SUM((AW$3&gt;='Gastos com Pessoal'!$E$7:$E$506)*(AW$3&lt;='Gastos com Pessoal'!$F$7:$F$506)*(IF('Gastos com Pessoal'!$G$7:$G$506&lt;=AW$3,1,0))*OFFSET('Gastos com Pessoal'!$H$6,1,MATCH(1&amp;$B54,'Gastos com Pessoal'!$I$532:$AJ$532&amp;'Gastos com Pessoal'!$I$6:$AJ$6,0),500,1)),0)
+_xlfn.IFNA(SUM((AW$3&gt;='Gastos com Pessoal'!$E$7:$E$506)*(AW$3&lt;='Gastos com Pessoal'!$F$7:$F$506)*(IF('Gastos com Pessoal'!$M$7:$M$506&lt;=AW$3,1,0))*OFFSET('Gastos com Pessoal'!$H$6,1,MATCH(2&amp;$B54,'Gastos com Pessoal'!$I$532:$AJ$532&amp;'Gastos com Pessoal'!$I$6:$AJ$6,0),500,1)),0)
+_xlfn.IFNA(SUM((AW$3&gt;='Gastos com Pessoal'!$E$7:$E$506)*(AW$3&lt;='Gastos com Pessoal'!$F$7:$F$506)*(IF('Gastos com Pessoal'!$S$7:$S$506&lt;=AW$3,1,0))*OFFSET('Gastos com Pessoal'!$H$6,1,MATCH(3&amp;$B54,'Gastos com Pessoal'!$I$532:$AJ$532&amp;'Gastos com Pessoal'!$I$6:$AJ$6,0),500,1)),0)
+_xlfn.IFNA(SUM((AW$3&gt;='Gastos com Pessoal'!$E$7:$E$506)*(AW$3&lt;='Gastos com Pessoal'!$F$7:$F$506)*(IF('Gastos com Pessoal'!$Y$7:$Y$506&lt;=AW$3,1,0))*OFFSET('Gastos com Pessoal'!$H$6,1,MATCH(4&amp;$B54,'Gastos com Pessoal'!$I$532:$AJ$532&amp;'Gastos com Pessoal'!$I$6:$AJ$6,0),500,1)),0)
+_xlfn.IFNA(SUM((AW$3&gt;='Gastos com Pessoal'!$E$7:$E$506)*(AW$3&lt;='Gastos com Pessoal'!$F$7:$F$506)*(IF('Gastos com Pessoal'!$AE$7:$AE$506&lt;=AW$3,1,0))*OFFSET('Gastos com Pessoal'!$H$6,1,MATCH(5&amp;$B54,'Gastos com Pessoal'!$I$532:$AJ$532&amp;'Gastos com Pessoal'!$I$6:$AJ$6,0),500,1)),0)
+_xlfn.IFNA(SUM((AW$3&gt;='Gastos com Pessoal'!$E$513:$E$522)*(AW$3&lt;='Gastos com Pessoal'!$F$513:$F$522)*(IF('Gastos com Pessoal'!$G$513:$G$522&lt;=AW$3,1,0))*OFFSET('Gastos com Pessoal'!$H$512,1,MATCH(1&amp;$B54,'Gastos com Pessoal'!$I$532:$AJ$532&amp;'Gastos com Pessoal'!$I$512:$AJ$512,0),10,1)),0)
+_xlfn.IFNA(SUM((AW$3&gt;='Gastos com Pessoal'!$E$513:$E$522)*(AW$3&lt;='Gastos com Pessoal'!$F$513:$F$522)*(IF('Gastos com Pessoal'!$M$513:$M$522&lt;=AW$3,1,0))*OFFSET('Gastos com Pessoal'!$H$512,1,MATCH(2&amp;$B54,'Gastos com Pessoal'!$I$532:$AJ$532&amp;'Gastos com Pessoal'!$I$512:$AJ$512,0),10,1)),0)
+_xlfn.IFNA(SUM((AW$3&gt;='Gastos com Pessoal'!$E$513:$E$522)*(AW$3&lt;='Gastos com Pessoal'!$F$513:$F$522)*(IF('Gastos com Pessoal'!$S$513:$S$522&lt;=AW$3,1,0))*OFFSET('Gastos com Pessoal'!$H$512,1,MATCH(3&amp;$B54,'Gastos com Pessoal'!$I$532:$AJ$532&amp;'Gastos com Pessoal'!$I$512:$AJ$512,0),10,1)),0)
+_xlfn.IFNA(SUM((AW$3&gt;='Gastos com Pessoal'!$E$513:$E$522)*(AW$3&lt;='Gastos com Pessoal'!$F$513:$F$522)*(IF('Gastos com Pessoal'!$Y$513:$Y$522&lt;=AW$3,1,0))*OFFSET('Gastos com Pessoal'!$H$512,1,MATCH(4&amp;$B54,'Gastos com Pessoal'!$I$532:$AJ$532&amp;'Gastos com Pessoal'!$I$512:$AJ$512,0),10,1)),0)
+_xlfn.IFNA(SUM((AW$3&gt;='Gastos com Pessoal'!$E$513:$E$522)*(AW$3&lt;='Gastos com Pessoal'!$F$513:$F$522)*(IF('Gastos com Pessoal'!$AE$513:$AE$522&lt;=AW$3,1,0))*OFFSET('Gastos com Pessoal'!$H$512,1,MATCH(5&amp;$B54,'Gastos com Pessoal'!$I$532:$AJ$532&amp;'Gastos com Pessoal'!$I$512:$AJ$512,0),10,1)),0)</f>
        <v>0</v>
      </c>
      <c r="AX54" s="32">
        <f t="array" aca="1" ref="AX54" ca="1">_xlfn.IFNA(SUM((AX$3&gt;='Gastos com Pessoal'!$E$7:$E$506)*(AX$3&lt;='Gastos com Pessoal'!$F$7:$F$506)*OFFSET('Encargos e Benefícios'!$D$5,1,MATCH($B54,'Encargos e Benefícios'!$E$5:$AB$5,0),500,1)),0)
+_xlfn.IFNA(SUM((AX$3&gt;='Gastos com Pessoal'!$E$513:$E$522)*(AX$3&lt;='Gastos com Pessoal'!$F$513:$F$522)*OFFSET('Encargos e Benefícios'!$D$511,1,MATCH($B54,'Encargos e Benefícios'!$E$511:$AB$511,0),10,1)),0)
+_xlfn.IFNA(SUM((AX$3&gt;='Gastos com Pessoal'!$E$7:$E$506)*(AX$3&lt;='Gastos com Pessoal'!$F$7:$F$506)*(IF('Gastos com Pessoal'!$G$7:$G$506&lt;=AX$3,1,0))*OFFSET('Gastos com Pessoal'!$H$6,1,MATCH(1&amp;$B54,'Gastos com Pessoal'!$I$532:$AJ$532&amp;'Gastos com Pessoal'!$I$6:$AJ$6,0),500,1)),0)
+_xlfn.IFNA(SUM((AX$3&gt;='Gastos com Pessoal'!$E$7:$E$506)*(AX$3&lt;='Gastos com Pessoal'!$F$7:$F$506)*(IF('Gastos com Pessoal'!$M$7:$M$506&lt;=AX$3,1,0))*OFFSET('Gastos com Pessoal'!$H$6,1,MATCH(2&amp;$B54,'Gastos com Pessoal'!$I$532:$AJ$532&amp;'Gastos com Pessoal'!$I$6:$AJ$6,0),500,1)),0)
+_xlfn.IFNA(SUM((AX$3&gt;='Gastos com Pessoal'!$E$7:$E$506)*(AX$3&lt;='Gastos com Pessoal'!$F$7:$F$506)*(IF('Gastos com Pessoal'!$S$7:$S$506&lt;=AX$3,1,0))*OFFSET('Gastos com Pessoal'!$H$6,1,MATCH(3&amp;$B54,'Gastos com Pessoal'!$I$532:$AJ$532&amp;'Gastos com Pessoal'!$I$6:$AJ$6,0),500,1)),0)
+_xlfn.IFNA(SUM((AX$3&gt;='Gastos com Pessoal'!$E$7:$E$506)*(AX$3&lt;='Gastos com Pessoal'!$F$7:$F$506)*(IF('Gastos com Pessoal'!$Y$7:$Y$506&lt;=AX$3,1,0))*OFFSET('Gastos com Pessoal'!$H$6,1,MATCH(4&amp;$B54,'Gastos com Pessoal'!$I$532:$AJ$532&amp;'Gastos com Pessoal'!$I$6:$AJ$6,0),500,1)),0)
+_xlfn.IFNA(SUM((AX$3&gt;='Gastos com Pessoal'!$E$7:$E$506)*(AX$3&lt;='Gastos com Pessoal'!$F$7:$F$506)*(IF('Gastos com Pessoal'!$AE$7:$AE$506&lt;=AX$3,1,0))*OFFSET('Gastos com Pessoal'!$H$6,1,MATCH(5&amp;$B54,'Gastos com Pessoal'!$I$532:$AJ$532&amp;'Gastos com Pessoal'!$I$6:$AJ$6,0),500,1)),0)
+_xlfn.IFNA(SUM((AX$3&gt;='Gastos com Pessoal'!$E$513:$E$522)*(AX$3&lt;='Gastos com Pessoal'!$F$513:$F$522)*(IF('Gastos com Pessoal'!$G$513:$G$522&lt;=AX$3,1,0))*OFFSET('Gastos com Pessoal'!$H$512,1,MATCH(1&amp;$B54,'Gastos com Pessoal'!$I$532:$AJ$532&amp;'Gastos com Pessoal'!$I$512:$AJ$512,0),10,1)),0)
+_xlfn.IFNA(SUM((AX$3&gt;='Gastos com Pessoal'!$E$513:$E$522)*(AX$3&lt;='Gastos com Pessoal'!$F$513:$F$522)*(IF('Gastos com Pessoal'!$M$513:$M$522&lt;=AX$3,1,0))*OFFSET('Gastos com Pessoal'!$H$512,1,MATCH(2&amp;$B54,'Gastos com Pessoal'!$I$532:$AJ$532&amp;'Gastos com Pessoal'!$I$512:$AJ$512,0),10,1)),0)
+_xlfn.IFNA(SUM((AX$3&gt;='Gastos com Pessoal'!$E$513:$E$522)*(AX$3&lt;='Gastos com Pessoal'!$F$513:$F$522)*(IF('Gastos com Pessoal'!$S$513:$S$522&lt;=AX$3,1,0))*OFFSET('Gastos com Pessoal'!$H$512,1,MATCH(3&amp;$B54,'Gastos com Pessoal'!$I$532:$AJ$532&amp;'Gastos com Pessoal'!$I$512:$AJ$512,0),10,1)),0)
+_xlfn.IFNA(SUM((AX$3&gt;='Gastos com Pessoal'!$E$513:$E$522)*(AX$3&lt;='Gastos com Pessoal'!$F$513:$F$522)*(IF('Gastos com Pessoal'!$Y$513:$Y$522&lt;=AX$3,1,0))*OFFSET('Gastos com Pessoal'!$H$512,1,MATCH(4&amp;$B54,'Gastos com Pessoal'!$I$532:$AJ$532&amp;'Gastos com Pessoal'!$I$512:$AJ$512,0),10,1)),0)
+_xlfn.IFNA(SUM((AX$3&gt;='Gastos com Pessoal'!$E$513:$E$522)*(AX$3&lt;='Gastos com Pessoal'!$F$513:$F$522)*(IF('Gastos com Pessoal'!$AE$513:$AE$522&lt;=AX$3,1,0))*OFFSET('Gastos com Pessoal'!$H$512,1,MATCH(5&amp;$B54,'Gastos com Pessoal'!$I$532:$AJ$532&amp;'Gastos com Pessoal'!$I$512:$AJ$512,0),10,1)),0)</f>
        <v>0</v>
      </c>
      <c r="AY54" s="32">
        <f t="array" aca="1" ref="AY54" ca="1">_xlfn.IFNA(SUM((AY$3&gt;='Gastos com Pessoal'!$E$7:$E$506)*(AY$3&lt;='Gastos com Pessoal'!$F$7:$F$506)*OFFSET('Encargos e Benefícios'!$D$5,1,MATCH($B54,'Encargos e Benefícios'!$E$5:$AB$5,0),500,1)),0)
+_xlfn.IFNA(SUM((AY$3&gt;='Gastos com Pessoal'!$E$513:$E$522)*(AY$3&lt;='Gastos com Pessoal'!$F$513:$F$522)*OFFSET('Encargos e Benefícios'!$D$511,1,MATCH($B54,'Encargos e Benefícios'!$E$511:$AB$511,0),10,1)),0)
+_xlfn.IFNA(SUM((AY$3&gt;='Gastos com Pessoal'!$E$7:$E$506)*(AY$3&lt;='Gastos com Pessoal'!$F$7:$F$506)*(IF('Gastos com Pessoal'!$G$7:$G$506&lt;=AY$3,1,0))*OFFSET('Gastos com Pessoal'!$H$6,1,MATCH(1&amp;$B54,'Gastos com Pessoal'!$I$532:$AJ$532&amp;'Gastos com Pessoal'!$I$6:$AJ$6,0),500,1)),0)
+_xlfn.IFNA(SUM((AY$3&gt;='Gastos com Pessoal'!$E$7:$E$506)*(AY$3&lt;='Gastos com Pessoal'!$F$7:$F$506)*(IF('Gastos com Pessoal'!$M$7:$M$506&lt;=AY$3,1,0))*OFFSET('Gastos com Pessoal'!$H$6,1,MATCH(2&amp;$B54,'Gastos com Pessoal'!$I$532:$AJ$532&amp;'Gastos com Pessoal'!$I$6:$AJ$6,0),500,1)),0)
+_xlfn.IFNA(SUM((AY$3&gt;='Gastos com Pessoal'!$E$7:$E$506)*(AY$3&lt;='Gastos com Pessoal'!$F$7:$F$506)*(IF('Gastos com Pessoal'!$S$7:$S$506&lt;=AY$3,1,0))*OFFSET('Gastos com Pessoal'!$H$6,1,MATCH(3&amp;$B54,'Gastos com Pessoal'!$I$532:$AJ$532&amp;'Gastos com Pessoal'!$I$6:$AJ$6,0),500,1)),0)
+_xlfn.IFNA(SUM((AY$3&gt;='Gastos com Pessoal'!$E$7:$E$506)*(AY$3&lt;='Gastos com Pessoal'!$F$7:$F$506)*(IF('Gastos com Pessoal'!$Y$7:$Y$506&lt;=AY$3,1,0))*OFFSET('Gastos com Pessoal'!$H$6,1,MATCH(4&amp;$B54,'Gastos com Pessoal'!$I$532:$AJ$532&amp;'Gastos com Pessoal'!$I$6:$AJ$6,0),500,1)),0)
+_xlfn.IFNA(SUM((AY$3&gt;='Gastos com Pessoal'!$E$7:$E$506)*(AY$3&lt;='Gastos com Pessoal'!$F$7:$F$506)*(IF('Gastos com Pessoal'!$AE$7:$AE$506&lt;=AY$3,1,0))*OFFSET('Gastos com Pessoal'!$H$6,1,MATCH(5&amp;$B54,'Gastos com Pessoal'!$I$532:$AJ$532&amp;'Gastos com Pessoal'!$I$6:$AJ$6,0),500,1)),0)
+_xlfn.IFNA(SUM((AY$3&gt;='Gastos com Pessoal'!$E$513:$E$522)*(AY$3&lt;='Gastos com Pessoal'!$F$513:$F$522)*(IF('Gastos com Pessoal'!$G$513:$G$522&lt;=AY$3,1,0))*OFFSET('Gastos com Pessoal'!$H$512,1,MATCH(1&amp;$B54,'Gastos com Pessoal'!$I$532:$AJ$532&amp;'Gastos com Pessoal'!$I$512:$AJ$512,0),10,1)),0)
+_xlfn.IFNA(SUM((AY$3&gt;='Gastos com Pessoal'!$E$513:$E$522)*(AY$3&lt;='Gastos com Pessoal'!$F$513:$F$522)*(IF('Gastos com Pessoal'!$M$513:$M$522&lt;=AY$3,1,0))*OFFSET('Gastos com Pessoal'!$H$512,1,MATCH(2&amp;$B54,'Gastos com Pessoal'!$I$532:$AJ$532&amp;'Gastos com Pessoal'!$I$512:$AJ$512,0),10,1)),0)
+_xlfn.IFNA(SUM((AY$3&gt;='Gastos com Pessoal'!$E$513:$E$522)*(AY$3&lt;='Gastos com Pessoal'!$F$513:$F$522)*(IF('Gastos com Pessoal'!$S$513:$S$522&lt;=AY$3,1,0))*OFFSET('Gastos com Pessoal'!$H$512,1,MATCH(3&amp;$B54,'Gastos com Pessoal'!$I$532:$AJ$532&amp;'Gastos com Pessoal'!$I$512:$AJ$512,0),10,1)),0)
+_xlfn.IFNA(SUM((AY$3&gt;='Gastos com Pessoal'!$E$513:$E$522)*(AY$3&lt;='Gastos com Pessoal'!$F$513:$F$522)*(IF('Gastos com Pessoal'!$Y$513:$Y$522&lt;=AY$3,1,0))*OFFSET('Gastos com Pessoal'!$H$512,1,MATCH(4&amp;$B54,'Gastos com Pessoal'!$I$532:$AJ$532&amp;'Gastos com Pessoal'!$I$512:$AJ$512,0),10,1)),0)
+_xlfn.IFNA(SUM((AY$3&gt;='Gastos com Pessoal'!$E$513:$E$522)*(AY$3&lt;='Gastos com Pessoal'!$F$513:$F$522)*(IF('Gastos com Pessoal'!$AE$513:$AE$522&lt;=AY$3,1,0))*OFFSET('Gastos com Pessoal'!$H$512,1,MATCH(5&amp;$B54,'Gastos com Pessoal'!$I$532:$AJ$532&amp;'Gastos com Pessoal'!$I$512:$AJ$512,0),10,1)),0)</f>
        <v>0</v>
      </c>
      <c r="AZ54" s="32">
        <f t="array" aca="1" ref="AZ54" ca="1">_xlfn.IFNA(SUM((AZ$3&gt;='Gastos com Pessoal'!$E$7:$E$506)*(AZ$3&lt;='Gastos com Pessoal'!$F$7:$F$506)*OFFSET('Encargos e Benefícios'!$D$5,1,MATCH($B54,'Encargos e Benefícios'!$E$5:$AB$5,0),500,1)),0)
+_xlfn.IFNA(SUM((AZ$3&gt;='Gastos com Pessoal'!$E$513:$E$522)*(AZ$3&lt;='Gastos com Pessoal'!$F$513:$F$522)*OFFSET('Encargos e Benefícios'!$D$511,1,MATCH($B54,'Encargos e Benefícios'!$E$511:$AB$511,0),10,1)),0)
+_xlfn.IFNA(SUM((AZ$3&gt;='Gastos com Pessoal'!$E$7:$E$506)*(AZ$3&lt;='Gastos com Pessoal'!$F$7:$F$506)*(IF('Gastos com Pessoal'!$G$7:$G$506&lt;=AZ$3,1,0))*OFFSET('Gastos com Pessoal'!$H$6,1,MATCH(1&amp;$B54,'Gastos com Pessoal'!$I$532:$AJ$532&amp;'Gastos com Pessoal'!$I$6:$AJ$6,0),500,1)),0)
+_xlfn.IFNA(SUM((AZ$3&gt;='Gastos com Pessoal'!$E$7:$E$506)*(AZ$3&lt;='Gastos com Pessoal'!$F$7:$F$506)*(IF('Gastos com Pessoal'!$M$7:$M$506&lt;=AZ$3,1,0))*OFFSET('Gastos com Pessoal'!$H$6,1,MATCH(2&amp;$B54,'Gastos com Pessoal'!$I$532:$AJ$532&amp;'Gastos com Pessoal'!$I$6:$AJ$6,0),500,1)),0)
+_xlfn.IFNA(SUM((AZ$3&gt;='Gastos com Pessoal'!$E$7:$E$506)*(AZ$3&lt;='Gastos com Pessoal'!$F$7:$F$506)*(IF('Gastos com Pessoal'!$S$7:$S$506&lt;=AZ$3,1,0))*OFFSET('Gastos com Pessoal'!$H$6,1,MATCH(3&amp;$B54,'Gastos com Pessoal'!$I$532:$AJ$532&amp;'Gastos com Pessoal'!$I$6:$AJ$6,0),500,1)),0)
+_xlfn.IFNA(SUM((AZ$3&gt;='Gastos com Pessoal'!$E$7:$E$506)*(AZ$3&lt;='Gastos com Pessoal'!$F$7:$F$506)*(IF('Gastos com Pessoal'!$Y$7:$Y$506&lt;=AZ$3,1,0))*OFFSET('Gastos com Pessoal'!$H$6,1,MATCH(4&amp;$B54,'Gastos com Pessoal'!$I$532:$AJ$532&amp;'Gastos com Pessoal'!$I$6:$AJ$6,0),500,1)),0)
+_xlfn.IFNA(SUM((AZ$3&gt;='Gastos com Pessoal'!$E$7:$E$506)*(AZ$3&lt;='Gastos com Pessoal'!$F$7:$F$506)*(IF('Gastos com Pessoal'!$AE$7:$AE$506&lt;=AZ$3,1,0))*OFFSET('Gastos com Pessoal'!$H$6,1,MATCH(5&amp;$B54,'Gastos com Pessoal'!$I$532:$AJ$532&amp;'Gastos com Pessoal'!$I$6:$AJ$6,0),500,1)),0)
+_xlfn.IFNA(SUM((AZ$3&gt;='Gastos com Pessoal'!$E$513:$E$522)*(AZ$3&lt;='Gastos com Pessoal'!$F$513:$F$522)*(IF('Gastos com Pessoal'!$G$513:$G$522&lt;=AZ$3,1,0))*OFFSET('Gastos com Pessoal'!$H$512,1,MATCH(1&amp;$B54,'Gastos com Pessoal'!$I$532:$AJ$532&amp;'Gastos com Pessoal'!$I$512:$AJ$512,0),10,1)),0)
+_xlfn.IFNA(SUM((AZ$3&gt;='Gastos com Pessoal'!$E$513:$E$522)*(AZ$3&lt;='Gastos com Pessoal'!$F$513:$F$522)*(IF('Gastos com Pessoal'!$M$513:$M$522&lt;=AZ$3,1,0))*OFFSET('Gastos com Pessoal'!$H$512,1,MATCH(2&amp;$B54,'Gastos com Pessoal'!$I$532:$AJ$532&amp;'Gastos com Pessoal'!$I$512:$AJ$512,0),10,1)),0)
+_xlfn.IFNA(SUM((AZ$3&gt;='Gastos com Pessoal'!$E$513:$E$522)*(AZ$3&lt;='Gastos com Pessoal'!$F$513:$F$522)*(IF('Gastos com Pessoal'!$S$513:$S$522&lt;=AZ$3,1,0))*OFFSET('Gastos com Pessoal'!$H$512,1,MATCH(3&amp;$B54,'Gastos com Pessoal'!$I$532:$AJ$532&amp;'Gastos com Pessoal'!$I$512:$AJ$512,0),10,1)),0)
+_xlfn.IFNA(SUM((AZ$3&gt;='Gastos com Pessoal'!$E$513:$E$522)*(AZ$3&lt;='Gastos com Pessoal'!$F$513:$F$522)*(IF('Gastos com Pessoal'!$Y$513:$Y$522&lt;=AZ$3,1,0))*OFFSET('Gastos com Pessoal'!$H$512,1,MATCH(4&amp;$B54,'Gastos com Pessoal'!$I$532:$AJ$532&amp;'Gastos com Pessoal'!$I$512:$AJ$512,0),10,1)),0)
+_xlfn.IFNA(SUM((AZ$3&gt;='Gastos com Pessoal'!$E$513:$E$522)*(AZ$3&lt;='Gastos com Pessoal'!$F$513:$F$522)*(IF('Gastos com Pessoal'!$AE$513:$AE$522&lt;=AZ$3,1,0))*OFFSET('Gastos com Pessoal'!$H$512,1,MATCH(5&amp;$B54,'Gastos com Pessoal'!$I$532:$AJ$532&amp;'Gastos com Pessoal'!$I$512:$AJ$512,0),10,1)),0)</f>
        <v>0</v>
      </c>
      <c r="BA54" s="32">
        <f t="array" aca="1" ref="BA54" ca="1">_xlfn.IFNA(SUM((BA$3&gt;='Gastos com Pessoal'!$E$7:$E$506)*(BA$3&lt;='Gastos com Pessoal'!$F$7:$F$506)*OFFSET('Encargos e Benefícios'!$D$5,1,MATCH($B54,'Encargos e Benefícios'!$E$5:$AB$5,0),500,1)),0)
+_xlfn.IFNA(SUM((BA$3&gt;='Gastos com Pessoal'!$E$513:$E$522)*(BA$3&lt;='Gastos com Pessoal'!$F$513:$F$522)*OFFSET('Encargos e Benefícios'!$D$511,1,MATCH($B54,'Encargos e Benefícios'!$E$511:$AB$511,0),10,1)),0)
+_xlfn.IFNA(SUM((BA$3&gt;='Gastos com Pessoal'!$E$7:$E$506)*(BA$3&lt;='Gastos com Pessoal'!$F$7:$F$506)*(IF('Gastos com Pessoal'!$G$7:$G$506&lt;=BA$3,1,0))*OFFSET('Gastos com Pessoal'!$H$6,1,MATCH(1&amp;$B54,'Gastos com Pessoal'!$I$532:$AJ$532&amp;'Gastos com Pessoal'!$I$6:$AJ$6,0),500,1)),0)
+_xlfn.IFNA(SUM((BA$3&gt;='Gastos com Pessoal'!$E$7:$E$506)*(BA$3&lt;='Gastos com Pessoal'!$F$7:$F$506)*(IF('Gastos com Pessoal'!$M$7:$M$506&lt;=BA$3,1,0))*OFFSET('Gastos com Pessoal'!$H$6,1,MATCH(2&amp;$B54,'Gastos com Pessoal'!$I$532:$AJ$532&amp;'Gastos com Pessoal'!$I$6:$AJ$6,0),500,1)),0)
+_xlfn.IFNA(SUM((BA$3&gt;='Gastos com Pessoal'!$E$7:$E$506)*(BA$3&lt;='Gastos com Pessoal'!$F$7:$F$506)*(IF('Gastos com Pessoal'!$S$7:$S$506&lt;=BA$3,1,0))*OFFSET('Gastos com Pessoal'!$H$6,1,MATCH(3&amp;$B54,'Gastos com Pessoal'!$I$532:$AJ$532&amp;'Gastos com Pessoal'!$I$6:$AJ$6,0),500,1)),0)
+_xlfn.IFNA(SUM((BA$3&gt;='Gastos com Pessoal'!$E$7:$E$506)*(BA$3&lt;='Gastos com Pessoal'!$F$7:$F$506)*(IF('Gastos com Pessoal'!$Y$7:$Y$506&lt;=BA$3,1,0))*OFFSET('Gastos com Pessoal'!$H$6,1,MATCH(4&amp;$B54,'Gastos com Pessoal'!$I$532:$AJ$532&amp;'Gastos com Pessoal'!$I$6:$AJ$6,0),500,1)),0)
+_xlfn.IFNA(SUM((BA$3&gt;='Gastos com Pessoal'!$E$7:$E$506)*(BA$3&lt;='Gastos com Pessoal'!$F$7:$F$506)*(IF('Gastos com Pessoal'!$AE$7:$AE$506&lt;=BA$3,1,0))*OFFSET('Gastos com Pessoal'!$H$6,1,MATCH(5&amp;$B54,'Gastos com Pessoal'!$I$532:$AJ$532&amp;'Gastos com Pessoal'!$I$6:$AJ$6,0),500,1)),0)
+_xlfn.IFNA(SUM((BA$3&gt;='Gastos com Pessoal'!$E$513:$E$522)*(BA$3&lt;='Gastos com Pessoal'!$F$513:$F$522)*(IF('Gastos com Pessoal'!$G$513:$G$522&lt;=BA$3,1,0))*OFFSET('Gastos com Pessoal'!$H$512,1,MATCH(1&amp;$B54,'Gastos com Pessoal'!$I$532:$AJ$532&amp;'Gastos com Pessoal'!$I$512:$AJ$512,0),10,1)),0)
+_xlfn.IFNA(SUM((BA$3&gt;='Gastos com Pessoal'!$E$513:$E$522)*(BA$3&lt;='Gastos com Pessoal'!$F$513:$F$522)*(IF('Gastos com Pessoal'!$M$513:$M$522&lt;=BA$3,1,0))*OFFSET('Gastos com Pessoal'!$H$512,1,MATCH(2&amp;$B54,'Gastos com Pessoal'!$I$532:$AJ$532&amp;'Gastos com Pessoal'!$I$512:$AJ$512,0),10,1)),0)
+_xlfn.IFNA(SUM((BA$3&gt;='Gastos com Pessoal'!$E$513:$E$522)*(BA$3&lt;='Gastos com Pessoal'!$F$513:$F$522)*(IF('Gastos com Pessoal'!$S$513:$S$522&lt;=BA$3,1,0))*OFFSET('Gastos com Pessoal'!$H$512,1,MATCH(3&amp;$B54,'Gastos com Pessoal'!$I$532:$AJ$532&amp;'Gastos com Pessoal'!$I$512:$AJ$512,0),10,1)),0)
+_xlfn.IFNA(SUM((BA$3&gt;='Gastos com Pessoal'!$E$513:$E$522)*(BA$3&lt;='Gastos com Pessoal'!$F$513:$F$522)*(IF('Gastos com Pessoal'!$Y$513:$Y$522&lt;=BA$3,1,0))*OFFSET('Gastos com Pessoal'!$H$512,1,MATCH(4&amp;$B54,'Gastos com Pessoal'!$I$532:$AJ$532&amp;'Gastos com Pessoal'!$I$512:$AJ$512,0),10,1)),0)
+_xlfn.IFNA(SUM((BA$3&gt;='Gastos com Pessoal'!$E$513:$E$522)*(BA$3&lt;='Gastos com Pessoal'!$F$513:$F$522)*(IF('Gastos com Pessoal'!$AE$513:$AE$522&lt;=BA$3,1,0))*OFFSET('Gastos com Pessoal'!$H$512,1,MATCH(5&amp;$B54,'Gastos com Pessoal'!$I$532:$AJ$532&amp;'Gastos com Pessoal'!$I$512:$AJ$512,0),10,1)),0)</f>
        <v>0</v>
      </c>
      <c r="BB54" s="32">
        <f t="array" aca="1" ref="BB54" ca="1">_xlfn.IFNA(SUM((BB$3&gt;='Gastos com Pessoal'!$E$7:$E$506)*(BB$3&lt;='Gastos com Pessoal'!$F$7:$F$506)*OFFSET('Encargos e Benefícios'!$D$5,1,MATCH($B54,'Encargos e Benefícios'!$E$5:$AB$5,0),500,1)),0)
+_xlfn.IFNA(SUM((BB$3&gt;='Gastos com Pessoal'!$E$513:$E$522)*(BB$3&lt;='Gastos com Pessoal'!$F$513:$F$522)*OFFSET('Encargos e Benefícios'!$D$511,1,MATCH($B54,'Encargos e Benefícios'!$E$511:$AB$511,0),10,1)),0)
+_xlfn.IFNA(SUM((BB$3&gt;='Gastos com Pessoal'!$E$7:$E$506)*(BB$3&lt;='Gastos com Pessoal'!$F$7:$F$506)*(IF('Gastos com Pessoal'!$G$7:$G$506&lt;=BB$3,1,0))*OFFSET('Gastos com Pessoal'!$H$6,1,MATCH(1&amp;$B54,'Gastos com Pessoal'!$I$532:$AJ$532&amp;'Gastos com Pessoal'!$I$6:$AJ$6,0),500,1)),0)
+_xlfn.IFNA(SUM((BB$3&gt;='Gastos com Pessoal'!$E$7:$E$506)*(BB$3&lt;='Gastos com Pessoal'!$F$7:$F$506)*(IF('Gastos com Pessoal'!$M$7:$M$506&lt;=BB$3,1,0))*OFFSET('Gastos com Pessoal'!$H$6,1,MATCH(2&amp;$B54,'Gastos com Pessoal'!$I$532:$AJ$532&amp;'Gastos com Pessoal'!$I$6:$AJ$6,0),500,1)),0)
+_xlfn.IFNA(SUM((BB$3&gt;='Gastos com Pessoal'!$E$7:$E$506)*(BB$3&lt;='Gastos com Pessoal'!$F$7:$F$506)*(IF('Gastos com Pessoal'!$S$7:$S$506&lt;=BB$3,1,0))*OFFSET('Gastos com Pessoal'!$H$6,1,MATCH(3&amp;$B54,'Gastos com Pessoal'!$I$532:$AJ$532&amp;'Gastos com Pessoal'!$I$6:$AJ$6,0),500,1)),0)
+_xlfn.IFNA(SUM((BB$3&gt;='Gastos com Pessoal'!$E$7:$E$506)*(BB$3&lt;='Gastos com Pessoal'!$F$7:$F$506)*(IF('Gastos com Pessoal'!$Y$7:$Y$506&lt;=BB$3,1,0))*OFFSET('Gastos com Pessoal'!$H$6,1,MATCH(4&amp;$B54,'Gastos com Pessoal'!$I$532:$AJ$532&amp;'Gastos com Pessoal'!$I$6:$AJ$6,0),500,1)),0)
+_xlfn.IFNA(SUM((BB$3&gt;='Gastos com Pessoal'!$E$7:$E$506)*(BB$3&lt;='Gastos com Pessoal'!$F$7:$F$506)*(IF('Gastos com Pessoal'!$AE$7:$AE$506&lt;=BB$3,1,0))*OFFSET('Gastos com Pessoal'!$H$6,1,MATCH(5&amp;$B54,'Gastos com Pessoal'!$I$532:$AJ$532&amp;'Gastos com Pessoal'!$I$6:$AJ$6,0),500,1)),0)
+_xlfn.IFNA(SUM((BB$3&gt;='Gastos com Pessoal'!$E$513:$E$522)*(BB$3&lt;='Gastos com Pessoal'!$F$513:$F$522)*(IF('Gastos com Pessoal'!$G$513:$G$522&lt;=BB$3,1,0))*OFFSET('Gastos com Pessoal'!$H$512,1,MATCH(1&amp;$B54,'Gastos com Pessoal'!$I$532:$AJ$532&amp;'Gastos com Pessoal'!$I$512:$AJ$512,0),10,1)),0)
+_xlfn.IFNA(SUM((BB$3&gt;='Gastos com Pessoal'!$E$513:$E$522)*(BB$3&lt;='Gastos com Pessoal'!$F$513:$F$522)*(IF('Gastos com Pessoal'!$M$513:$M$522&lt;=BB$3,1,0))*OFFSET('Gastos com Pessoal'!$H$512,1,MATCH(2&amp;$B54,'Gastos com Pessoal'!$I$532:$AJ$532&amp;'Gastos com Pessoal'!$I$512:$AJ$512,0),10,1)),0)
+_xlfn.IFNA(SUM((BB$3&gt;='Gastos com Pessoal'!$E$513:$E$522)*(BB$3&lt;='Gastos com Pessoal'!$F$513:$F$522)*(IF('Gastos com Pessoal'!$S$513:$S$522&lt;=BB$3,1,0))*OFFSET('Gastos com Pessoal'!$H$512,1,MATCH(3&amp;$B54,'Gastos com Pessoal'!$I$532:$AJ$532&amp;'Gastos com Pessoal'!$I$512:$AJ$512,0),10,1)),0)
+_xlfn.IFNA(SUM((BB$3&gt;='Gastos com Pessoal'!$E$513:$E$522)*(BB$3&lt;='Gastos com Pessoal'!$F$513:$F$522)*(IF('Gastos com Pessoal'!$Y$513:$Y$522&lt;=BB$3,1,0))*OFFSET('Gastos com Pessoal'!$H$512,1,MATCH(4&amp;$B54,'Gastos com Pessoal'!$I$532:$AJ$532&amp;'Gastos com Pessoal'!$I$512:$AJ$512,0),10,1)),0)
+_xlfn.IFNA(SUM((BB$3&gt;='Gastos com Pessoal'!$E$513:$E$522)*(BB$3&lt;='Gastos com Pessoal'!$F$513:$F$522)*(IF('Gastos com Pessoal'!$AE$513:$AE$522&lt;=BB$3,1,0))*OFFSET('Gastos com Pessoal'!$H$512,1,MATCH(5&amp;$B54,'Gastos com Pessoal'!$I$532:$AJ$532&amp;'Gastos com Pessoal'!$I$512:$AJ$512,0),10,1)),0)</f>
        <v>0</v>
      </c>
      <c r="BC54" s="32">
        <f t="array" aca="1" ref="BC54" ca="1">_xlfn.IFNA(SUM((BC$3&gt;='Gastos com Pessoal'!$E$7:$E$506)*(BC$3&lt;='Gastos com Pessoal'!$F$7:$F$506)*OFFSET('Encargos e Benefícios'!$D$5,1,MATCH($B54,'Encargos e Benefícios'!$E$5:$AB$5,0),500,1)),0)
+_xlfn.IFNA(SUM((BC$3&gt;='Gastos com Pessoal'!$E$513:$E$522)*(BC$3&lt;='Gastos com Pessoal'!$F$513:$F$522)*OFFSET('Encargos e Benefícios'!$D$511,1,MATCH($B54,'Encargos e Benefícios'!$E$511:$AB$511,0),10,1)),0)
+_xlfn.IFNA(SUM((BC$3&gt;='Gastos com Pessoal'!$E$7:$E$506)*(BC$3&lt;='Gastos com Pessoal'!$F$7:$F$506)*(IF('Gastos com Pessoal'!$G$7:$G$506&lt;=BC$3,1,0))*OFFSET('Gastos com Pessoal'!$H$6,1,MATCH(1&amp;$B54,'Gastos com Pessoal'!$I$532:$AJ$532&amp;'Gastos com Pessoal'!$I$6:$AJ$6,0),500,1)),0)
+_xlfn.IFNA(SUM((BC$3&gt;='Gastos com Pessoal'!$E$7:$E$506)*(BC$3&lt;='Gastos com Pessoal'!$F$7:$F$506)*(IF('Gastos com Pessoal'!$M$7:$M$506&lt;=BC$3,1,0))*OFFSET('Gastos com Pessoal'!$H$6,1,MATCH(2&amp;$B54,'Gastos com Pessoal'!$I$532:$AJ$532&amp;'Gastos com Pessoal'!$I$6:$AJ$6,0),500,1)),0)
+_xlfn.IFNA(SUM((BC$3&gt;='Gastos com Pessoal'!$E$7:$E$506)*(BC$3&lt;='Gastos com Pessoal'!$F$7:$F$506)*(IF('Gastos com Pessoal'!$S$7:$S$506&lt;=BC$3,1,0))*OFFSET('Gastos com Pessoal'!$H$6,1,MATCH(3&amp;$B54,'Gastos com Pessoal'!$I$532:$AJ$532&amp;'Gastos com Pessoal'!$I$6:$AJ$6,0),500,1)),0)
+_xlfn.IFNA(SUM((BC$3&gt;='Gastos com Pessoal'!$E$7:$E$506)*(BC$3&lt;='Gastos com Pessoal'!$F$7:$F$506)*(IF('Gastos com Pessoal'!$Y$7:$Y$506&lt;=BC$3,1,0))*OFFSET('Gastos com Pessoal'!$H$6,1,MATCH(4&amp;$B54,'Gastos com Pessoal'!$I$532:$AJ$532&amp;'Gastos com Pessoal'!$I$6:$AJ$6,0),500,1)),0)
+_xlfn.IFNA(SUM((BC$3&gt;='Gastos com Pessoal'!$E$7:$E$506)*(BC$3&lt;='Gastos com Pessoal'!$F$7:$F$506)*(IF('Gastos com Pessoal'!$AE$7:$AE$506&lt;=BC$3,1,0))*OFFSET('Gastos com Pessoal'!$H$6,1,MATCH(5&amp;$B54,'Gastos com Pessoal'!$I$532:$AJ$532&amp;'Gastos com Pessoal'!$I$6:$AJ$6,0),500,1)),0)
+_xlfn.IFNA(SUM((BC$3&gt;='Gastos com Pessoal'!$E$513:$E$522)*(BC$3&lt;='Gastos com Pessoal'!$F$513:$F$522)*(IF('Gastos com Pessoal'!$G$513:$G$522&lt;=BC$3,1,0))*OFFSET('Gastos com Pessoal'!$H$512,1,MATCH(1&amp;$B54,'Gastos com Pessoal'!$I$532:$AJ$532&amp;'Gastos com Pessoal'!$I$512:$AJ$512,0),10,1)),0)
+_xlfn.IFNA(SUM((BC$3&gt;='Gastos com Pessoal'!$E$513:$E$522)*(BC$3&lt;='Gastos com Pessoal'!$F$513:$F$522)*(IF('Gastos com Pessoal'!$M$513:$M$522&lt;=BC$3,1,0))*OFFSET('Gastos com Pessoal'!$H$512,1,MATCH(2&amp;$B54,'Gastos com Pessoal'!$I$532:$AJ$532&amp;'Gastos com Pessoal'!$I$512:$AJ$512,0),10,1)),0)
+_xlfn.IFNA(SUM((BC$3&gt;='Gastos com Pessoal'!$E$513:$E$522)*(BC$3&lt;='Gastos com Pessoal'!$F$513:$F$522)*(IF('Gastos com Pessoal'!$S$513:$S$522&lt;=BC$3,1,0))*OFFSET('Gastos com Pessoal'!$H$512,1,MATCH(3&amp;$B54,'Gastos com Pessoal'!$I$532:$AJ$532&amp;'Gastos com Pessoal'!$I$512:$AJ$512,0),10,1)),0)
+_xlfn.IFNA(SUM((BC$3&gt;='Gastos com Pessoal'!$E$513:$E$522)*(BC$3&lt;='Gastos com Pessoal'!$F$513:$F$522)*(IF('Gastos com Pessoal'!$Y$513:$Y$522&lt;=BC$3,1,0))*OFFSET('Gastos com Pessoal'!$H$512,1,MATCH(4&amp;$B54,'Gastos com Pessoal'!$I$532:$AJ$532&amp;'Gastos com Pessoal'!$I$512:$AJ$512,0),10,1)),0)
+_xlfn.IFNA(SUM((BC$3&gt;='Gastos com Pessoal'!$E$513:$E$522)*(BC$3&lt;='Gastos com Pessoal'!$F$513:$F$522)*(IF('Gastos com Pessoal'!$AE$513:$AE$522&lt;=BC$3,1,0))*OFFSET('Gastos com Pessoal'!$H$512,1,MATCH(5&amp;$B54,'Gastos com Pessoal'!$I$532:$AJ$532&amp;'Gastos com Pessoal'!$I$512:$AJ$512,0),10,1)),0)</f>
        <v>0</v>
      </c>
      <c r="BD54" s="32">
        <f t="array" aca="1" ref="BD54" ca="1">_xlfn.IFNA(SUM((BD$3&gt;='Gastos com Pessoal'!$E$7:$E$506)*(BD$3&lt;='Gastos com Pessoal'!$F$7:$F$506)*OFFSET('Encargos e Benefícios'!$D$5,1,MATCH($B54,'Encargos e Benefícios'!$E$5:$AB$5,0),500,1)),0)
+_xlfn.IFNA(SUM((BD$3&gt;='Gastos com Pessoal'!$E$513:$E$522)*(BD$3&lt;='Gastos com Pessoal'!$F$513:$F$522)*OFFSET('Encargos e Benefícios'!$D$511,1,MATCH($B54,'Encargos e Benefícios'!$E$511:$AB$511,0),10,1)),0)
+_xlfn.IFNA(SUM((BD$3&gt;='Gastos com Pessoal'!$E$7:$E$506)*(BD$3&lt;='Gastos com Pessoal'!$F$7:$F$506)*(IF('Gastos com Pessoal'!$G$7:$G$506&lt;=BD$3,1,0))*OFFSET('Gastos com Pessoal'!$H$6,1,MATCH(1&amp;$B54,'Gastos com Pessoal'!$I$532:$AJ$532&amp;'Gastos com Pessoal'!$I$6:$AJ$6,0),500,1)),0)
+_xlfn.IFNA(SUM((BD$3&gt;='Gastos com Pessoal'!$E$7:$E$506)*(BD$3&lt;='Gastos com Pessoal'!$F$7:$F$506)*(IF('Gastos com Pessoal'!$M$7:$M$506&lt;=BD$3,1,0))*OFFSET('Gastos com Pessoal'!$H$6,1,MATCH(2&amp;$B54,'Gastos com Pessoal'!$I$532:$AJ$532&amp;'Gastos com Pessoal'!$I$6:$AJ$6,0),500,1)),0)
+_xlfn.IFNA(SUM((BD$3&gt;='Gastos com Pessoal'!$E$7:$E$506)*(BD$3&lt;='Gastos com Pessoal'!$F$7:$F$506)*(IF('Gastos com Pessoal'!$S$7:$S$506&lt;=BD$3,1,0))*OFFSET('Gastos com Pessoal'!$H$6,1,MATCH(3&amp;$B54,'Gastos com Pessoal'!$I$532:$AJ$532&amp;'Gastos com Pessoal'!$I$6:$AJ$6,0),500,1)),0)
+_xlfn.IFNA(SUM((BD$3&gt;='Gastos com Pessoal'!$E$7:$E$506)*(BD$3&lt;='Gastos com Pessoal'!$F$7:$F$506)*(IF('Gastos com Pessoal'!$Y$7:$Y$506&lt;=BD$3,1,0))*OFFSET('Gastos com Pessoal'!$H$6,1,MATCH(4&amp;$B54,'Gastos com Pessoal'!$I$532:$AJ$532&amp;'Gastos com Pessoal'!$I$6:$AJ$6,0),500,1)),0)
+_xlfn.IFNA(SUM((BD$3&gt;='Gastos com Pessoal'!$E$7:$E$506)*(BD$3&lt;='Gastos com Pessoal'!$F$7:$F$506)*(IF('Gastos com Pessoal'!$AE$7:$AE$506&lt;=BD$3,1,0))*OFFSET('Gastos com Pessoal'!$H$6,1,MATCH(5&amp;$B54,'Gastos com Pessoal'!$I$532:$AJ$532&amp;'Gastos com Pessoal'!$I$6:$AJ$6,0),500,1)),0)
+_xlfn.IFNA(SUM((BD$3&gt;='Gastos com Pessoal'!$E$513:$E$522)*(BD$3&lt;='Gastos com Pessoal'!$F$513:$F$522)*(IF('Gastos com Pessoal'!$G$513:$G$522&lt;=BD$3,1,0))*OFFSET('Gastos com Pessoal'!$H$512,1,MATCH(1&amp;$B54,'Gastos com Pessoal'!$I$532:$AJ$532&amp;'Gastos com Pessoal'!$I$512:$AJ$512,0),10,1)),0)
+_xlfn.IFNA(SUM((BD$3&gt;='Gastos com Pessoal'!$E$513:$E$522)*(BD$3&lt;='Gastos com Pessoal'!$F$513:$F$522)*(IF('Gastos com Pessoal'!$M$513:$M$522&lt;=BD$3,1,0))*OFFSET('Gastos com Pessoal'!$H$512,1,MATCH(2&amp;$B54,'Gastos com Pessoal'!$I$532:$AJ$532&amp;'Gastos com Pessoal'!$I$512:$AJ$512,0),10,1)),0)
+_xlfn.IFNA(SUM((BD$3&gt;='Gastos com Pessoal'!$E$513:$E$522)*(BD$3&lt;='Gastos com Pessoal'!$F$513:$F$522)*(IF('Gastos com Pessoal'!$S$513:$S$522&lt;=BD$3,1,0))*OFFSET('Gastos com Pessoal'!$H$512,1,MATCH(3&amp;$B54,'Gastos com Pessoal'!$I$532:$AJ$532&amp;'Gastos com Pessoal'!$I$512:$AJ$512,0),10,1)),0)
+_xlfn.IFNA(SUM((BD$3&gt;='Gastos com Pessoal'!$E$513:$E$522)*(BD$3&lt;='Gastos com Pessoal'!$F$513:$F$522)*(IF('Gastos com Pessoal'!$Y$513:$Y$522&lt;=BD$3,1,0))*OFFSET('Gastos com Pessoal'!$H$512,1,MATCH(4&amp;$B54,'Gastos com Pessoal'!$I$532:$AJ$532&amp;'Gastos com Pessoal'!$I$512:$AJ$512,0),10,1)),0)
+_xlfn.IFNA(SUM((BD$3&gt;='Gastos com Pessoal'!$E$513:$E$522)*(BD$3&lt;='Gastos com Pessoal'!$F$513:$F$522)*(IF('Gastos com Pessoal'!$AE$513:$AE$522&lt;=BD$3,1,0))*OFFSET('Gastos com Pessoal'!$H$512,1,MATCH(5&amp;$B54,'Gastos com Pessoal'!$I$532:$AJ$532&amp;'Gastos com Pessoal'!$I$512:$AJ$512,0),10,1)),0)</f>
        <v>0</v>
      </c>
      <c r="BE54" s="32">
        <f t="array" aca="1" ref="BE54" ca="1">_xlfn.IFNA(SUM((BE$3&gt;='Gastos com Pessoal'!$E$7:$E$506)*(BE$3&lt;='Gastos com Pessoal'!$F$7:$F$506)*OFFSET('Encargos e Benefícios'!$D$5,1,MATCH($B54,'Encargos e Benefícios'!$E$5:$AB$5,0),500,1)),0)
+_xlfn.IFNA(SUM((BE$3&gt;='Gastos com Pessoal'!$E$513:$E$522)*(BE$3&lt;='Gastos com Pessoal'!$F$513:$F$522)*OFFSET('Encargos e Benefícios'!$D$511,1,MATCH($B54,'Encargos e Benefícios'!$E$511:$AB$511,0),10,1)),0)
+_xlfn.IFNA(SUM((BE$3&gt;='Gastos com Pessoal'!$E$7:$E$506)*(BE$3&lt;='Gastos com Pessoal'!$F$7:$F$506)*(IF('Gastos com Pessoal'!$G$7:$G$506&lt;=BE$3,1,0))*OFFSET('Gastos com Pessoal'!$H$6,1,MATCH(1&amp;$B54,'Gastos com Pessoal'!$I$532:$AJ$532&amp;'Gastos com Pessoal'!$I$6:$AJ$6,0),500,1)),0)
+_xlfn.IFNA(SUM((BE$3&gt;='Gastos com Pessoal'!$E$7:$E$506)*(BE$3&lt;='Gastos com Pessoal'!$F$7:$F$506)*(IF('Gastos com Pessoal'!$M$7:$M$506&lt;=BE$3,1,0))*OFFSET('Gastos com Pessoal'!$H$6,1,MATCH(2&amp;$B54,'Gastos com Pessoal'!$I$532:$AJ$532&amp;'Gastos com Pessoal'!$I$6:$AJ$6,0),500,1)),0)
+_xlfn.IFNA(SUM((BE$3&gt;='Gastos com Pessoal'!$E$7:$E$506)*(BE$3&lt;='Gastos com Pessoal'!$F$7:$F$506)*(IF('Gastos com Pessoal'!$S$7:$S$506&lt;=BE$3,1,0))*OFFSET('Gastos com Pessoal'!$H$6,1,MATCH(3&amp;$B54,'Gastos com Pessoal'!$I$532:$AJ$532&amp;'Gastos com Pessoal'!$I$6:$AJ$6,0),500,1)),0)
+_xlfn.IFNA(SUM((BE$3&gt;='Gastos com Pessoal'!$E$7:$E$506)*(BE$3&lt;='Gastos com Pessoal'!$F$7:$F$506)*(IF('Gastos com Pessoal'!$Y$7:$Y$506&lt;=BE$3,1,0))*OFFSET('Gastos com Pessoal'!$H$6,1,MATCH(4&amp;$B54,'Gastos com Pessoal'!$I$532:$AJ$532&amp;'Gastos com Pessoal'!$I$6:$AJ$6,0),500,1)),0)
+_xlfn.IFNA(SUM((BE$3&gt;='Gastos com Pessoal'!$E$7:$E$506)*(BE$3&lt;='Gastos com Pessoal'!$F$7:$F$506)*(IF('Gastos com Pessoal'!$AE$7:$AE$506&lt;=BE$3,1,0))*OFFSET('Gastos com Pessoal'!$H$6,1,MATCH(5&amp;$B54,'Gastos com Pessoal'!$I$532:$AJ$532&amp;'Gastos com Pessoal'!$I$6:$AJ$6,0),500,1)),0)
+_xlfn.IFNA(SUM((BE$3&gt;='Gastos com Pessoal'!$E$513:$E$522)*(BE$3&lt;='Gastos com Pessoal'!$F$513:$F$522)*(IF('Gastos com Pessoal'!$G$513:$G$522&lt;=BE$3,1,0))*OFFSET('Gastos com Pessoal'!$H$512,1,MATCH(1&amp;$B54,'Gastos com Pessoal'!$I$532:$AJ$532&amp;'Gastos com Pessoal'!$I$512:$AJ$512,0),10,1)),0)
+_xlfn.IFNA(SUM((BE$3&gt;='Gastos com Pessoal'!$E$513:$E$522)*(BE$3&lt;='Gastos com Pessoal'!$F$513:$F$522)*(IF('Gastos com Pessoal'!$M$513:$M$522&lt;=BE$3,1,0))*OFFSET('Gastos com Pessoal'!$H$512,1,MATCH(2&amp;$B54,'Gastos com Pessoal'!$I$532:$AJ$532&amp;'Gastos com Pessoal'!$I$512:$AJ$512,0),10,1)),0)
+_xlfn.IFNA(SUM((BE$3&gt;='Gastos com Pessoal'!$E$513:$E$522)*(BE$3&lt;='Gastos com Pessoal'!$F$513:$F$522)*(IF('Gastos com Pessoal'!$S$513:$S$522&lt;=BE$3,1,0))*OFFSET('Gastos com Pessoal'!$H$512,1,MATCH(3&amp;$B54,'Gastos com Pessoal'!$I$532:$AJ$532&amp;'Gastos com Pessoal'!$I$512:$AJ$512,0),10,1)),0)
+_xlfn.IFNA(SUM((BE$3&gt;='Gastos com Pessoal'!$E$513:$E$522)*(BE$3&lt;='Gastos com Pessoal'!$F$513:$F$522)*(IF('Gastos com Pessoal'!$Y$513:$Y$522&lt;=BE$3,1,0))*OFFSET('Gastos com Pessoal'!$H$512,1,MATCH(4&amp;$B54,'Gastos com Pessoal'!$I$532:$AJ$532&amp;'Gastos com Pessoal'!$I$512:$AJ$512,0),10,1)),0)
+_xlfn.IFNA(SUM((BE$3&gt;='Gastos com Pessoal'!$E$513:$E$522)*(BE$3&lt;='Gastos com Pessoal'!$F$513:$F$522)*(IF('Gastos com Pessoal'!$AE$513:$AE$522&lt;=BE$3,1,0))*OFFSET('Gastos com Pessoal'!$H$512,1,MATCH(5&amp;$B54,'Gastos com Pessoal'!$I$532:$AJ$532&amp;'Gastos com Pessoal'!$I$512:$AJ$512,0),10,1)),0)</f>
        <v>0</v>
      </c>
      <c r="BF54" s="32">
        <f t="array" aca="1" ref="BF54" ca="1">_xlfn.IFNA(SUM((BF$3&gt;='Gastos com Pessoal'!$E$7:$E$506)*(BF$3&lt;='Gastos com Pessoal'!$F$7:$F$506)*OFFSET('Encargos e Benefícios'!$D$5,1,MATCH($B54,'Encargos e Benefícios'!$E$5:$AB$5,0),500,1)),0)
+_xlfn.IFNA(SUM((BF$3&gt;='Gastos com Pessoal'!$E$513:$E$522)*(BF$3&lt;='Gastos com Pessoal'!$F$513:$F$522)*OFFSET('Encargos e Benefícios'!$D$511,1,MATCH($B54,'Encargos e Benefícios'!$E$511:$AB$511,0),10,1)),0)
+_xlfn.IFNA(SUM((BF$3&gt;='Gastos com Pessoal'!$E$7:$E$506)*(BF$3&lt;='Gastos com Pessoal'!$F$7:$F$506)*(IF('Gastos com Pessoal'!$G$7:$G$506&lt;=BF$3,1,0))*OFFSET('Gastos com Pessoal'!$H$6,1,MATCH(1&amp;$B54,'Gastos com Pessoal'!$I$532:$AJ$532&amp;'Gastos com Pessoal'!$I$6:$AJ$6,0),500,1)),0)
+_xlfn.IFNA(SUM((BF$3&gt;='Gastos com Pessoal'!$E$7:$E$506)*(BF$3&lt;='Gastos com Pessoal'!$F$7:$F$506)*(IF('Gastos com Pessoal'!$M$7:$M$506&lt;=BF$3,1,0))*OFFSET('Gastos com Pessoal'!$H$6,1,MATCH(2&amp;$B54,'Gastos com Pessoal'!$I$532:$AJ$532&amp;'Gastos com Pessoal'!$I$6:$AJ$6,0),500,1)),0)
+_xlfn.IFNA(SUM((BF$3&gt;='Gastos com Pessoal'!$E$7:$E$506)*(BF$3&lt;='Gastos com Pessoal'!$F$7:$F$506)*(IF('Gastos com Pessoal'!$S$7:$S$506&lt;=BF$3,1,0))*OFFSET('Gastos com Pessoal'!$H$6,1,MATCH(3&amp;$B54,'Gastos com Pessoal'!$I$532:$AJ$532&amp;'Gastos com Pessoal'!$I$6:$AJ$6,0),500,1)),0)
+_xlfn.IFNA(SUM((BF$3&gt;='Gastos com Pessoal'!$E$7:$E$506)*(BF$3&lt;='Gastos com Pessoal'!$F$7:$F$506)*(IF('Gastos com Pessoal'!$Y$7:$Y$506&lt;=BF$3,1,0))*OFFSET('Gastos com Pessoal'!$H$6,1,MATCH(4&amp;$B54,'Gastos com Pessoal'!$I$532:$AJ$532&amp;'Gastos com Pessoal'!$I$6:$AJ$6,0),500,1)),0)
+_xlfn.IFNA(SUM((BF$3&gt;='Gastos com Pessoal'!$E$7:$E$506)*(BF$3&lt;='Gastos com Pessoal'!$F$7:$F$506)*(IF('Gastos com Pessoal'!$AE$7:$AE$506&lt;=BF$3,1,0))*OFFSET('Gastos com Pessoal'!$H$6,1,MATCH(5&amp;$B54,'Gastos com Pessoal'!$I$532:$AJ$532&amp;'Gastos com Pessoal'!$I$6:$AJ$6,0),500,1)),0)
+_xlfn.IFNA(SUM((BF$3&gt;='Gastos com Pessoal'!$E$513:$E$522)*(BF$3&lt;='Gastos com Pessoal'!$F$513:$F$522)*(IF('Gastos com Pessoal'!$G$513:$G$522&lt;=BF$3,1,0))*OFFSET('Gastos com Pessoal'!$H$512,1,MATCH(1&amp;$B54,'Gastos com Pessoal'!$I$532:$AJ$532&amp;'Gastos com Pessoal'!$I$512:$AJ$512,0),10,1)),0)
+_xlfn.IFNA(SUM((BF$3&gt;='Gastos com Pessoal'!$E$513:$E$522)*(BF$3&lt;='Gastos com Pessoal'!$F$513:$F$522)*(IF('Gastos com Pessoal'!$M$513:$M$522&lt;=BF$3,1,0))*OFFSET('Gastos com Pessoal'!$H$512,1,MATCH(2&amp;$B54,'Gastos com Pessoal'!$I$532:$AJ$532&amp;'Gastos com Pessoal'!$I$512:$AJ$512,0),10,1)),0)
+_xlfn.IFNA(SUM((BF$3&gt;='Gastos com Pessoal'!$E$513:$E$522)*(BF$3&lt;='Gastos com Pessoal'!$F$513:$F$522)*(IF('Gastos com Pessoal'!$S$513:$S$522&lt;=BF$3,1,0))*OFFSET('Gastos com Pessoal'!$H$512,1,MATCH(3&amp;$B54,'Gastos com Pessoal'!$I$532:$AJ$532&amp;'Gastos com Pessoal'!$I$512:$AJ$512,0),10,1)),0)
+_xlfn.IFNA(SUM((BF$3&gt;='Gastos com Pessoal'!$E$513:$E$522)*(BF$3&lt;='Gastos com Pessoal'!$F$513:$F$522)*(IF('Gastos com Pessoal'!$Y$513:$Y$522&lt;=BF$3,1,0))*OFFSET('Gastos com Pessoal'!$H$512,1,MATCH(4&amp;$B54,'Gastos com Pessoal'!$I$532:$AJ$532&amp;'Gastos com Pessoal'!$I$512:$AJ$512,0),10,1)),0)
+_xlfn.IFNA(SUM((BF$3&gt;='Gastos com Pessoal'!$E$513:$E$522)*(BF$3&lt;='Gastos com Pessoal'!$F$513:$F$522)*(IF('Gastos com Pessoal'!$AE$513:$AE$522&lt;=BF$3,1,0))*OFFSET('Gastos com Pessoal'!$H$512,1,MATCH(5&amp;$B54,'Gastos com Pessoal'!$I$532:$AJ$532&amp;'Gastos com Pessoal'!$I$512:$AJ$512,0),10,1)),0)</f>
        <v>0</v>
      </c>
      <c r="BG54" s="32">
        <f t="array" aca="1" ref="BG54" ca="1">_xlfn.IFNA(SUM((BG$3&gt;='Gastos com Pessoal'!$E$7:$E$506)*(BG$3&lt;='Gastos com Pessoal'!$F$7:$F$506)*OFFSET('Encargos e Benefícios'!$D$5,1,MATCH($B54,'Encargos e Benefícios'!$E$5:$AB$5,0),500,1)),0)
+_xlfn.IFNA(SUM((BG$3&gt;='Gastos com Pessoal'!$E$513:$E$522)*(BG$3&lt;='Gastos com Pessoal'!$F$513:$F$522)*OFFSET('Encargos e Benefícios'!$D$511,1,MATCH($B54,'Encargos e Benefícios'!$E$511:$AB$511,0),10,1)),0)
+_xlfn.IFNA(SUM((BG$3&gt;='Gastos com Pessoal'!$E$7:$E$506)*(BG$3&lt;='Gastos com Pessoal'!$F$7:$F$506)*(IF('Gastos com Pessoal'!$G$7:$G$506&lt;=BG$3,1,0))*OFFSET('Gastos com Pessoal'!$H$6,1,MATCH(1&amp;$B54,'Gastos com Pessoal'!$I$532:$AJ$532&amp;'Gastos com Pessoal'!$I$6:$AJ$6,0),500,1)),0)
+_xlfn.IFNA(SUM((BG$3&gt;='Gastos com Pessoal'!$E$7:$E$506)*(BG$3&lt;='Gastos com Pessoal'!$F$7:$F$506)*(IF('Gastos com Pessoal'!$M$7:$M$506&lt;=BG$3,1,0))*OFFSET('Gastos com Pessoal'!$H$6,1,MATCH(2&amp;$B54,'Gastos com Pessoal'!$I$532:$AJ$532&amp;'Gastos com Pessoal'!$I$6:$AJ$6,0),500,1)),0)
+_xlfn.IFNA(SUM((BG$3&gt;='Gastos com Pessoal'!$E$7:$E$506)*(BG$3&lt;='Gastos com Pessoal'!$F$7:$F$506)*(IF('Gastos com Pessoal'!$S$7:$S$506&lt;=BG$3,1,0))*OFFSET('Gastos com Pessoal'!$H$6,1,MATCH(3&amp;$B54,'Gastos com Pessoal'!$I$532:$AJ$532&amp;'Gastos com Pessoal'!$I$6:$AJ$6,0),500,1)),0)
+_xlfn.IFNA(SUM((BG$3&gt;='Gastos com Pessoal'!$E$7:$E$506)*(BG$3&lt;='Gastos com Pessoal'!$F$7:$F$506)*(IF('Gastos com Pessoal'!$Y$7:$Y$506&lt;=BG$3,1,0))*OFFSET('Gastos com Pessoal'!$H$6,1,MATCH(4&amp;$B54,'Gastos com Pessoal'!$I$532:$AJ$532&amp;'Gastos com Pessoal'!$I$6:$AJ$6,0),500,1)),0)
+_xlfn.IFNA(SUM((BG$3&gt;='Gastos com Pessoal'!$E$7:$E$506)*(BG$3&lt;='Gastos com Pessoal'!$F$7:$F$506)*(IF('Gastos com Pessoal'!$AE$7:$AE$506&lt;=BG$3,1,0))*OFFSET('Gastos com Pessoal'!$H$6,1,MATCH(5&amp;$B54,'Gastos com Pessoal'!$I$532:$AJ$532&amp;'Gastos com Pessoal'!$I$6:$AJ$6,0),500,1)),0)
+_xlfn.IFNA(SUM((BG$3&gt;='Gastos com Pessoal'!$E$513:$E$522)*(BG$3&lt;='Gastos com Pessoal'!$F$513:$F$522)*(IF('Gastos com Pessoal'!$G$513:$G$522&lt;=BG$3,1,0))*OFFSET('Gastos com Pessoal'!$H$512,1,MATCH(1&amp;$B54,'Gastos com Pessoal'!$I$532:$AJ$532&amp;'Gastos com Pessoal'!$I$512:$AJ$512,0),10,1)),0)
+_xlfn.IFNA(SUM((BG$3&gt;='Gastos com Pessoal'!$E$513:$E$522)*(BG$3&lt;='Gastos com Pessoal'!$F$513:$F$522)*(IF('Gastos com Pessoal'!$M$513:$M$522&lt;=BG$3,1,0))*OFFSET('Gastos com Pessoal'!$H$512,1,MATCH(2&amp;$B54,'Gastos com Pessoal'!$I$532:$AJ$532&amp;'Gastos com Pessoal'!$I$512:$AJ$512,0),10,1)),0)
+_xlfn.IFNA(SUM((BG$3&gt;='Gastos com Pessoal'!$E$513:$E$522)*(BG$3&lt;='Gastos com Pessoal'!$F$513:$F$522)*(IF('Gastos com Pessoal'!$S$513:$S$522&lt;=BG$3,1,0))*OFFSET('Gastos com Pessoal'!$H$512,1,MATCH(3&amp;$B54,'Gastos com Pessoal'!$I$532:$AJ$532&amp;'Gastos com Pessoal'!$I$512:$AJ$512,0),10,1)),0)
+_xlfn.IFNA(SUM((BG$3&gt;='Gastos com Pessoal'!$E$513:$E$522)*(BG$3&lt;='Gastos com Pessoal'!$F$513:$F$522)*(IF('Gastos com Pessoal'!$Y$513:$Y$522&lt;=BG$3,1,0))*OFFSET('Gastos com Pessoal'!$H$512,1,MATCH(4&amp;$B54,'Gastos com Pessoal'!$I$532:$AJ$532&amp;'Gastos com Pessoal'!$I$512:$AJ$512,0),10,1)),0)
+_xlfn.IFNA(SUM((BG$3&gt;='Gastos com Pessoal'!$E$513:$E$522)*(BG$3&lt;='Gastos com Pessoal'!$F$513:$F$522)*(IF('Gastos com Pessoal'!$AE$513:$AE$522&lt;=BG$3,1,0))*OFFSET('Gastos com Pessoal'!$H$512,1,MATCH(5&amp;$B54,'Gastos com Pessoal'!$I$532:$AJ$532&amp;'Gastos com Pessoal'!$I$512:$AJ$512,0),10,1)),0)</f>
        <v>0</v>
      </c>
      <c r="BH54" s="32">
        <f t="array" aca="1" ref="BH54" ca="1">_xlfn.IFNA(SUM((BH$3&gt;='Gastos com Pessoal'!$E$7:$E$506)*(BH$3&lt;='Gastos com Pessoal'!$F$7:$F$506)*OFFSET('Encargos e Benefícios'!$D$5,1,MATCH($B54,'Encargos e Benefícios'!$E$5:$AB$5,0),500,1)),0)
+_xlfn.IFNA(SUM((BH$3&gt;='Gastos com Pessoal'!$E$513:$E$522)*(BH$3&lt;='Gastos com Pessoal'!$F$513:$F$522)*OFFSET('Encargos e Benefícios'!$D$511,1,MATCH($B54,'Encargos e Benefícios'!$E$511:$AB$511,0),10,1)),0)
+_xlfn.IFNA(SUM((BH$3&gt;='Gastos com Pessoal'!$E$7:$E$506)*(BH$3&lt;='Gastos com Pessoal'!$F$7:$F$506)*(IF('Gastos com Pessoal'!$G$7:$G$506&lt;=BH$3,1,0))*OFFSET('Gastos com Pessoal'!$H$6,1,MATCH(1&amp;$B54,'Gastos com Pessoal'!$I$532:$AJ$532&amp;'Gastos com Pessoal'!$I$6:$AJ$6,0),500,1)),0)
+_xlfn.IFNA(SUM((BH$3&gt;='Gastos com Pessoal'!$E$7:$E$506)*(BH$3&lt;='Gastos com Pessoal'!$F$7:$F$506)*(IF('Gastos com Pessoal'!$M$7:$M$506&lt;=BH$3,1,0))*OFFSET('Gastos com Pessoal'!$H$6,1,MATCH(2&amp;$B54,'Gastos com Pessoal'!$I$532:$AJ$532&amp;'Gastos com Pessoal'!$I$6:$AJ$6,0),500,1)),0)
+_xlfn.IFNA(SUM((BH$3&gt;='Gastos com Pessoal'!$E$7:$E$506)*(BH$3&lt;='Gastos com Pessoal'!$F$7:$F$506)*(IF('Gastos com Pessoal'!$S$7:$S$506&lt;=BH$3,1,0))*OFFSET('Gastos com Pessoal'!$H$6,1,MATCH(3&amp;$B54,'Gastos com Pessoal'!$I$532:$AJ$532&amp;'Gastos com Pessoal'!$I$6:$AJ$6,0),500,1)),0)
+_xlfn.IFNA(SUM((BH$3&gt;='Gastos com Pessoal'!$E$7:$E$506)*(BH$3&lt;='Gastos com Pessoal'!$F$7:$F$506)*(IF('Gastos com Pessoal'!$Y$7:$Y$506&lt;=BH$3,1,0))*OFFSET('Gastos com Pessoal'!$H$6,1,MATCH(4&amp;$B54,'Gastos com Pessoal'!$I$532:$AJ$532&amp;'Gastos com Pessoal'!$I$6:$AJ$6,0),500,1)),0)
+_xlfn.IFNA(SUM((BH$3&gt;='Gastos com Pessoal'!$E$7:$E$506)*(BH$3&lt;='Gastos com Pessoal'!$F$7:$F$506)*(IF('Gastos com Pessoal'!$AE$7:$AE$506&lt;=BH$3,1,0))*OFFSET('Gastos com Pessoal'!$H$6,1,MATCH(5&amp;$B54,'Gastos com Pessoal'!$I$532:$AJ$532&amp;'Gastos com Pessoal'!$I$6:$AJ$6,0),500,1)),0)
+_xlfn.IFNA(SUM((BH$3&gt;='Gastos com Pessoal'!$E$513:$E$522)*(BH$3&lt;='Gastos com Pessoal'!$F$513:$F$522)*(IF('Gastos com Pessoal'!$G$513:$G$522&lt;=BH$3,1,0))*OFFSET('Gastos com Pessoal'!$H$512,1,MATCH(1&amp;$B54,'Gastos com Pessoal'!$I$532:$AJ$532&amp;'Gastos com Pessoal'!$I$512:$AJ$512,0),10,1)),0)
+_xlfn.IFNA(SUM((BH$3&gt;='Gastos com Pessoal'!$E$513:$E$522)*(BH$3&lt;='Gastos com Pessoal'!$F$513:$F$522)*(IF('Gastos com Pessoal'!$M$513:$M$522&lt;=BH$3,1,0))*OFFSET('Gastos com Pessoal'!$H$512,1,MATCH(2&amp;$B54,'Gastos com Pessoal'!$I$532:$AJ$532&amp;'Gastos com Pessoal'!$I$512:$AJ$512,0),10,1)),0)
+_xlfn.IFNA(SUM((BH$3&gt;='Gastos com Pessoal'!$E$513:$E$522)*(BH$3&lt;='Gastos com Pessoal'!$F$513:$F$522)*(IF('Gastos com Pessoal'!$S$513:$S$522&lt;=BH$3,1,0))*OFFSET('Gastos com Pessoal'!$H$512,1,MATCH(3&amp;$B54,'Gastos com Pessoal'!$I$532:$AJ$532&amp;'Gastos com Pessoal'!$I$512:$AJ$512,0),10,1)),0)
+_xlfn.IFNA(SUM((BH$3&gt;='Gastos com Pessoal'!$E$513:$E$522)*(BH$3&lt;='Gastos com Pessoal'!$F$513:$F$522)*(IF('Gastos com Pessoal'!$Y$513:$Y$522&lt;=BH$3,1,0))*OFFSET('Gastos com Pessoal'!$H$512,1,MATCH(4&amp;$B54,'Gastos com Pessoal'!$I$532:$AJ$532&amp;'Gastos com Pessoal'!$I$512:$AJ$512,0),10,1)),0)
+_xlfn.IFNA(SUM((BH$3&gt;='Gastos com Pessoal'!$E$513:$E$522)*(BH$3&lt;='Gastos com Pessoal'!$F$513:$F$522)*(IF('Gastos com Pessoal'!$AE$513:$AE$522&lt;=BH$3,1,0))*OFFSET('Gastos com Pessoal'!$H$512,1,MATCH(5&amp;$B54,'Gastos com Pessoal'!$I$532:$AJ$532&amp;'Gastos com Pessoal'!$I$512:$AJ$512,0),10,1)),0)</f>
        <v>0</v>
      </c>
      <c r="BI54" s="32">
        <f t="array" aca="1" ref="BI54" ca="1">_xlfn.IFNA(SUM((BI$3&gt;='Gastos com Pessoal'!$E$7:$E$506)*(BI$3&lt;='Gastos com Pessoal'!$F$7:$F$506)*OFFSET('Encargos e Benefícios'!$D$5,1,MATCH($B54,'Encargos e Benefícios'!$E$5:$AB$5,0),500,1)),0)
+_xlfn.IFNA(SUM((BI$3&gt;='Gastos com Pessoal'!$E$513:$E$522)*(BI$3&lt;='Gastos com Pessoal'!$F$513:$F$522)*OFFSET('Encargos e Benefícios'!$D$511,1,MATCH($B54,'Encargos e Benefícios'!$E$511:$AB$511,0),10,1)),0)
+_xlfn.IFNA(SUM((BI$3&gt;='Gastos com Pessoal'!$E$7:$E$506)*(BI$3&lt;='Gastos com Pessoal'!$F$7:$F$506)*(IF('Gastos com Pessoal'!$G$7:$G$506&lt;=BI$3,1,0))*OFFSET('Gastos com Pessoal'!$H$6,1,MATCH(1&amp;$B54,'Gastos com Pessoal'!$I$532:$AJ$532&amp;'Gastos com Pessoal'!$I$6:$AJ$6,0),500,1)),0)
+_xlfn.IFNA(SUM((BI$3&gt;='Gastos com Pessoal'!$E$7:$E$506)*(BI$3&lt;='Gastos com Pessoal'!$F$7:$F$506)*(IF('Gastos com Pessoal'!$M$7:$M$506&lt;=BI$3,1,0))*OFFSET('Gastos com Pessoal'!$H$6,1,MATCH(2&amp;$B54,'Gastos com Pessoal'!$I$532:$AJ$532&amp;'Gastos com Pessoal'!$I$6:$AJ$6,0),500,1)),0)
+_xlfn.IFNA(SUM((BI$3&gt;='Gastos com Pessoal'!$E$7:$E$506)*(BI$3&lt;='Gastos com Pessoal'!$F$7:$F$506)*(IF('Gastos com Pessoal'!$S$7:$S$506&lt;=BI$3,1,0))*OFFSET('Gastos com Pessoal'!$H$6,1,MATCH(3&amp;$B54,'Gastos com Pessoal'!$I$532:$AJ$532&amp;'Gastos com Pessoal'!$I$6:$AJ$6,0),500,1)),0)
+_xlfn.IFNA(SUM((BI$3&gt;='Gastos com Pessoal'!$E$7:$E$506)*(BI$3&lt;='Gastos com Pessoal'!$F$7:$F$506)*(IF('Gastos com Pessoal'!$Y$7:$Y$506&lt;=BI$3,1,0))*OFFSET('Gastos com Pessoal'!$H$6,1,MATCH(4&amp;$B54,'Gastos com Pessoal'!$I$532:$AJ$532&amp;'Gastos com Pessoal'!$I$6:$AJ$6,0),500,1)),0)
+_xlfn.IFNA(SUM((BI$3&gt;='Gastos com Pessoal'!$E$7:$E$506)*(BI$3&lt;='Gastos com Pessoal'!$F$7:$F$506)*(IF('Gastos com Pessoal'!$AE$7:$AE$506&lt;=BI$3,1,0))*OFFSET('Gastos com Pessoal'!$H$6,1,MATCH(5&amp;$B54,'Gastos com Pessoal'!$I$532:$AJ$532&amp;'Gastos com Pessoal'!$I$6:$AJ$6,0),500,1)),0)
+_xlfn.IFNA(SUM((BI$3&gt;='Gastos com Pessoal'!$E$513:$E$522)*(BI$3&lt;='Gastos com Pessoal'!$F$513:$F$522)*(IF('Gastos com Pessoal'!$G$513:$G$522&lt;=BI$3,1,0))*OFFSET('Gastos com Pessoal'!$H$512,1,MATCH(1&amp;$B54,'Gastos com Pessoal'!$I$532:$AJ$532&amp;'Gastos com Pessoal'!$I$512:$AJ$512,0),10,1)),0)
+_xlfn.IFNA(SUM((BI$3&gt;='Gastos com Pessoal'!$E$513:$E$522)*(BI$3&lt;='Gastos com Pessoal'!$F$513:$F$522)*(IF('Gastos com Pessoal'!$M$513:$M$522&lt;=BI$3,1,0))*OFFSET('Gastos com Pessoal'!$H$512,1,MATCH(2&amp;$B54,'Gastos com Pessoal'!$I$532:$AJ$532&amp;'Gastos com Pessoal'!$I$512:$AJ$512,0),10,1)),0)
+_xlfn.IFNA(SUM((BI$3&gt;='Gastos com Pessoal'!$E$513:$E$522)*(BI$3&lt;='Gastos com Pessoal'!$F$513:$F$522)*(IF('Gastos com Pessoal'!$S$513:$S$522&lt;=BI$3,1,0))*OFFSET('Gastos com Pessoal'!$H$512,1,MATCH(3&amp;$B54,'Gastos com Pessoal'!$I$532:$AJ$532&amp;'Gastos com Pessoal'!$I$512:$AJ$512,0),10,1)),0)
+_xlfn.IFNA(SUM((BI$3&gt;='Gastos com Pessoal'!$E$513:$E$522)*(BI$3&lt;='Gastos com Pessoal'!$F$513:$F$522)*(IF('Gastos com Pessoal'!$Y$513:$Y$522&lt;=BI$3,1,0))*OFFSET('Gastos com Pessoal'!$H$512,1,MATCH(4&amp;$B54,'Gastos com Pessoal'!$I$532:$AJ$532&amp;'Gastos com Pessoal'!$I$512:$AJ$512,0),10,1)),0)
+_xlfn.IFNA(SUM((BI$3&gt;='Gastos com Pessoal'!$E$513:$E$522)*(BI$3&lt;='Gastos com Pessoal'!$F$513:$F$522)*(IF('Gastos com Pessoal'!$AE$513:$AE$522&lt;=BI$3,1,0))*OFFSET('Gastos com Pessoal'!$H$512,1,MATCH(5&amp;$B54,'Gastos com Pessoal'!$I$532:$AJ$532&amp;'Gastos com Pessoal'!$I$512:$AJ$512,0),10,1)),0)</f>
        <v>0</v>
      </c>
      <c r="BJ54" s="32">
        <f t="array" aca="1" ref="BJ54" ca="1">_xlfn.IFNA(SUM((BJ$3&gt;='Gastos com Pessoal'!$E$7:$E$506)*(BJ$3&lt;='Gastos com Pessoal'!$F$7:$F$506)*OFFSET('Encargos e Benefícios'!$D$5,1,MATCH($B54,'Encargos e Benefícios'!$E$5:$AB$5,0),500,1)),0)
+_xlfn.IFNA(SUM((BJ$3&gt;='Gastos com Pessoal'!$E$513:$E$522)*(BJ$3&lt;='Gastos com Pessoal'!$F$513:$F$522)*OFFSET('Encargos e Benefícios'!$D$511,1,MATCH($B54,'Encargos e Benefícios'!$E$511:$AB$511,0),10,1)),0)
+_xlfn.IFNA(SUM((BJ$3&gt;='Gastos com Pessoal'!$E$7:$E$506)*(BJ$3&lt;='Gastos com Pessoal'!$F$7:$F$506)*(IF('Gastos com Pessoal'!$G$7:$G$506&lt;=BJ$3,1,0))*OFFSET('Gastos com Pessoal'!$H$6,1,MATCH(1&amp;$B54,'Gastos com Pessoal'!$I$532:$AJ$532&amp;'Gastos com Pessoal'!$I$6:$AJ$6,0),500,1)),0)
+_xlfn.IFNA(SUM((BJ$3&gt;='Gastos com Pessoal'!$E$7:$E$506)*(BJ$3&lt;='Gastos com Pessoal'!$F$7:$F$506)*(IF('Gastos com Pessoal'!$M$7:$M$506&lt;=BJ$3,1,0))*OFFSET('Gastos com Pessoal'!$H$6,1,MATCH(2&amp;$B54,'Gastos com Pessoal'!$I$532:$AJ$532&amp;'Gastos com Pessoal'!$I$6:$AJ$6,0),500,1)),0)
+_xlfn.IFNA(SUM((BJ$3&gt;='Gastos com Pessoal'!$E$7:$E$506)*(BJ$3&lt;='Gastos com Pessoal'!$F$7:$F$506)*(IF('Gastos com Pessoal'!$S$7:$S$506&lt;=BJ$3,1,0))*OFFSET('Gastos com Pessoal'!$H$6,1,MATCH(3&amp;$B54,'Gastos com Pessoal'!$I$532:$AJ$532&amp;'Gastos com Pessoal'!$I$6:$AJ$6,0),500,1)),0)
+_xlfn.IFNA(SUM((BJ$3&gt;='Gastos com Pessoal'!$E$7:$E$506)*(BJ$3&lt;='Gastos com Pessoal'!$F$7:$F$506)*(IF('Gastos com Pessoal'!$Y$7:$Y$506&lt;=BJ$3,1,0))*OFFSET('Gastos com Pessoal'!$H$6,1,MATCH(4&amp;$B54,'Gastos com Pessoal'!$I$532:$AJ$532&amp;'Gastos com Pessoal'!$I$6:$AJ$6,0),500,1)),0)
+_xlfn.IFNA(SUM((BJ$3&gt;='Gastos com Pessoal'!$E$7:$E$506)*(BJ$3&lt;='Gastos com Pessoal'!$F$7:$F$506)*(IF('Gastos com Pessoal'!$AE$7:$AE$506&lt;=BJ$3,1,0))*OFFSET('Gastos com Pessoal'!$H$6,1,MATCH(5&amp;$B54,'Gastos com Pessoal'!$I$532:$AJ$532&amp;'Gastos com Pessoal'!$I$6:$AJ$6,0),500,1)),0)
+_xlfn.IFNA(SUM((BJ$3&gt;='Gastos com Pessoal'!$E$513:$E$522)*(BJ$3&lt;='Gastos com Pessoal'!$F$513:$F$522)*(IF('Gastos com Pessoal'!$G$513:$G$522&lt;=BJ$3,1,0))*OFFSET('Gastos com Pessoal'!$H$512,1,MATCH(1&amp;$B54,'Gastos com Pessoal'!$I$532:$AJ$532&amp;'Gastos com Pessoal'!$I$512:$AJ$512,0),10,1)),0)
+_xlfn.IFNA(SUM((BJ$3&gt;='Gastos com Pessoal'!$E$513:$E$522)*(BJ$3&lt;='Gastos com Pessoal'!$F$513:$F$522)*(IF('Gastos com Pessoal'!$M$513:$M$522&lt;=BJ$3,1,0))*OFFSET('Gastos com Pessoal'!$H$512,1,MATCH(2&amp;$B54,'Gastos com Pessoal'!$I$532:$AJ$532&amp;'Gastos com Pessoal'!$I$512:$AJ$512,0),10,1)),0)
+_xlfn.IFNA(SUM((BJ$3&gt;='Gastos com Pessoal'!$E$513:$E$522)*(BJ$3&lt;='Gastos com Pessoal'!$F$513:$F$522)*(IF('Gastos com Pessoal'!$S$513:$S$522&lt;=BJ$3,1,0))*OFFSET('Gastos com Pessoal'!$H$512,1,MATCH(3&amp;$B54,'Gastos com Pessoal'!$I$532:$AJ$532&amp;'Gastos com Pessoal'!$I$512:$AJ$512,0),10,1)),0)
+_xlfn.IFNA(SUM((BJ$3&gt;='Gastos com Pessoal'!$E$513:$E$522)*(BJ$3&lt;='Gastos com Pessoal'!$F$513:$F$522)*(IF('Gastos com Pessoal'!$Y$513:$Y$522&lt;=BJ$3,1,0))*OFFSET('Gastos com Pessoal'!$H$512,1,MATCH(4&amp;$B54,'Gastos com Pessoal'!$I$532:$AJ$532&amp;'Gastos com Pessoal'!$I$512:$AJ$512,0),10,1)),0)
+_xlfn.IFNA(SUM((BJ$3&gt;='Gastos com Pessoal'!$E$513:$E$522)*(BJ$3&lt;='Gastos com Pessoal'!$F$513:$F$522)*(IF('Gastos com Pessoal'!$AE$513:$AE$522&lt;=BJ$3,1,0))*OFFSET('Gastos com Pessoal'!$H$512,1,MATCH(5&amp;$B54,'Gastos com Pessoal'!$I$532:$AJ$532&amp;'Gastos com Pessoal'!$I$512:$AJ$512,0),10,1)),0)</f>
        <v>0</v>
      </c>
      <c r="BK54" s="71">
        <f t="shared" ca="1" si="22"/>
        <v>1208952</v>
      </c>
      <c r="BL54" s="76">
        <f t="shared" ca="1" si="21"/>
        <v>3.2975355716147667E-3</v>
      </c>
    </row>
    <row r="55" spans="1:64" s="49" customFormat="1" ht="23.25" customHeight="1" x14ac:dyDescent="0.2">
      <c r="A55" s="18" t="s">
        <v>183</v>
      </c>
      <c r="B55" s="12" t="s">
        <v>184</v>
      </c>
      <c r="C55" s="32">
        <f t="array" aca="1" ref="C55" ca="1">_xlfn.IFNA(SUM((C$3&gt;='Gastos com Pessoal'!$E$7:$E$506)*(C$3&lt;='Gastos com Pessoal'!$F$7:$F$506)*OFFSET('Encargos e Benefícios'!$D$5,1,MATCH($B55,'Encargos e Benefícios'!$E$5:$AB$5,0),500,1)),0)
+_xlfn.IFNA(SUM((C$3&gt;='Gastos com Pessoal'!$E$513:$E$522)*(C$3&lt;='Gastos com Pessoal'!$F$513:$F$522)*OFFSET('Encargos e Benefícios'!$D$511,1,MATCH($B55,'Encargos e Benefícios'!$E$511:$AB$511,0),10,1)),0)
+_xlfn.IFNA(SUM((C$3&gt;='Gastos com Pessoal'!$E$7:$E$506)*(C$3&lt;='Gastos com Pessoal'!$F$7:$F$506)*(IF('Gastos com Pessoal'!$G$7:$G$506&lt;=C$3,1,0))*OFFSET('Gastos com Pessoal'!$H$6,1,MATCH(1&amp;$B55,'Gastos com Pessoal'!$I$532:$AJ$532&amp;'Gastos com Pessoal'!$I$6:$AJ$6,0),500,1)),0)
+_xlfn.IFNA(SUM((C$3&gt;='Gastos com Pessoal'!$E$7:$E$506)*(C$3&lt;='Gastos com Pessoal'!$F$7:$F$506)*(IF('Gastos com Pessoal'!$M$7:$M$506&lt;=C$3,1,0))*OFFSET('Gastos com Pessoal'!$H$6,1,MATCH(2&amp;$B55,'Gastos com Pessoal'!$I$532:$AJ$532&amp;'Gastos com Pessoal'!$I$6:$AJ$6,0),500,1)),0)
+_xlfn.IFNA(SUM((C$3&gt;='Gastos com Pessoal'!$E$7:$E$506)*(C$3&lt;='Gastos com Pessoal'!$F$7:$F$506)*(IF('Gastos com Pessoal'!$S$7:$S$506&lt;=C$3,1,0))*OFFSET('Gastos com Pessoal'!$H$6,1,MATCH(3&amp;$B55,'Gastos com Pessoal'!$I$532:$AJ$532&amp;'Gastos com Pessoal'!$I$6:$AJ$6,0),500,1)),0)
+_xlfn.IFNA(SUM((C$3&gt;='Gastos com Pessoal'!$E$7:$E$506)*(C$3&lt;='Gastos com Pessoal'!$F$7:$F$506)*(IF('Gastos com Pessoal'!$Y$7:$Y$506&lt;=C$3,1,0))*OFFSET('Gastos com Pessoal'!$H$6,1,MATCH(4&amp;$B55,'Gastos com Pessoal'!$I$532:$AJ$532&amp;'Gastos com Pessoal'!$I$6:$AJ$6,0),500,1)),0)
+_xlfn.IFNA(SUM((C$3&gt;='Gastos com Pessoal'!$E$7:$E$506)*(C$3&lt;='Gastos com Pessoal'!$F$7:$F$506)*(IF('Gastos com Pessoal'!$AE$7:$AE$506&lt;=C$3,1,0))*OFFSET('Gastos com Pessoal'!$H$6,1,MATCH(5&amp;$B55,'Gastos com Pessoal'!$I$532:$AJ$532&amp;'Gastos com Pessoal'!$I$6:$AJ$6,0),500,1)),0)
+_xlfn.IFNA(SUM((C$3&gt;='Gastos com Pessoal'!$E$513:$E$522)*(C$3&lt;='Gastos com Pessoal'!$F$513:$F$522)*(IF('Gastos com Pessoal'!$G$513:$G$522&lt;=C$3,1,0))*OFFSET('Gastos com Pessoal'!$H$512,1,MATCH(1&amp;$B55,'Gastos com Pessoal'!$I$532:$AJ$532&amp;'Gastos com Pessoal'!$I$512:$AJ$512,0),10,1)),0)
+_xlfn.IFNA(SUM((C$3&gt;='Gastos com Pessoal'!$E$513:$E$522)*(C$3&lt;='Gastos com Pessoal'!$F$513:$F$522)*(IF('Gastos com Pessoal'!$M$513:$M$522&lt;=C$3,1,0))*OFFSET('Gastos com Pessoal'!$H$512,1,MATCH(2&amp;$B55,'Gastos com Pessoal'!$I$532:$AJ$532&amp;'Gastos com Pessoal'!$I$512:$AJ$512,0),10,1)),0)
+_xlfn.IFNA(SUM((C$3&gt;='Gastos com Pessoal'!$E$513:$E$522)*(C$3&lt;='Gastos com Pessoal'!$F$513:$F$522)*(IF('Gastos com Pessoal'!$S$513:$S$522&lt;=C$3,1,0))*OFFSET('Gastos com Pessoal'!$H$512,1,MATCH(3&amp;$B55,'Gastos com Pessoal'!$I$532:$AJ$532&amp;'Gastos com Pessoal'!$I$512:$AJ$512,0),10,1)),0)
+_xlfn.IFNA(SUM((C$3&gt;='Gastos com Pessoal'!$E$513:$E$522)*(C$3&lt;='Gastos com Pessoal'!$F$513:$F$522)*(IF('Gastos com Pessoal'!$Y$513:$Y$522&lt;=C$3,1,0))*OFFSET('Gastos com Pessoal'!$H$512,1,MATCH(4&amp;$B55,'Gastos com Pessoal'!$I$532:$AJ$532&amp;'Gastos com Pessoal'!$I$512:$AJ$512,0),10,1)),0)
+_xlfn.IFNA(SUM((C$3&gt;='Gastos com Pessoal'!$E$513:$E$522)*(C$3&lt;='Gastos com Pessoal'!$F$513:$F$522)*(IF('Gastos com Pessoal'!$AE$513:$AE$522&lt;=C$3,1,0))*OFFSET('Gastos com Pessoal'!$H$512,1,MATCH(5&amp;$B55,'Gastos com Pessoal'!$I$532:$AJ$532&amp;'Gastos com Pessoal'!$I$512:$AJ$512,0),10,1)),0)</f>
        <v>0</v>
      </c>
      <c r="D55" s="32">
        <f t="array" aca="1" ref="D55" ca="1">_xlfn.IFNA(SUM((D$3&gt;='Gastos com Pessoal'!$E$7:$E$506)*(D$3&lt;='Gastos com Pessoal'!$F$7:$F$506)*OFFSET('Encargos e Benefícios'!$D$5,1,MATCH($B55,'Encargos e Benefícios'!$E$5:$AB$5,0),500,1)),0)
+_xlfn.IFNA(SUM((D$3&gt;='Gastos com Pessoal'!$E$513:$E$522)*(D$3&lt;='Gastos com Pessoal'!$F$513:$F$522)*OFFSET('Encargos e Benefícios'!$D$511,1,MATCH($B55,'Encargos e Benefícios'!$E$511:$AB$511,0),10,1)),0)
+_xlfn.IFNA(SUM((D$3&gt;='Gastos com Pessoal'!$E$7:$E$506)*(D$3&lt;='Gastos com Pessoal'!$F$7:$F$506)*(IF('Gastos com Pessoal'!$G$7:$G$506&lt;=D$3,1,0))*OFFSET('Gastos com Pessoal'!$H$6,1,MATCH(1&amp;$B55,'Gastos com Pessoal'!$I$532:$AJ$532&amp;'Gastos com Pessoal'!$I$6:$AJ$6,0),500,1)),0)
+_xlfn.IFNA(SUM((D$3&gt;='Gastos com Pessoal'!$E$7:$E$506)*(D$3&lt;='Gastos com Pessoal'!$F$7:$F$506)*(IF('Gastos com Pessoal'!$M$7:$M$506&lt;=D$3,1,0))*OFFSET('Gastos com Pessoal'!$H$6,1,MATCH(2&amp;$B55,'Gastos com Pessoal'!$I$532:$AJ$532&amp;'Gastos com Pessoal'!$I$6:$AJ$6,0),500,1)),0)
+_xlfn.IFNA(SUM((D$3&gt;='Gastos com Pessoal'!$E$7:$E$506)*(D$3&lt;='Gastos com Pessoal'!$F$7:$F$506)*(IF('Gastos com Pessoal'!$S$7:$S$506&lt;=D$3,1,0))*OFFSET('Gastos com Pessoal'!$H$6,1,MATCH(3&amp;$B55,'Gastos com Pessoal'!$I$532:$AJ$532&amp;'Gastos com Pessoal'!$I$6:$AJ$6,0),500,1)),0)
+_xlfn.IFNA(SUM((D$3&gt;='Gastos com Pessoal'!$E$7:$E$506)*(D$3&lt;='Gastos com Pessoal'!$F$7:$F$506)*(IF('Gastos com Pessoal'!$Y$7:$Y$506&lt;=D$3,1,0))*OFFSET('Gastos com Pessoal'!$H$6,1,MATCH(4&amp;$B55,'Gastos com Pessoal'!$I$532:$AJ$532&amp;'Gastos com Pessoal'!$I$6:$AJ$6,0),500,1)),0)
+_xlfn.IFNA(SUM((D$3&gt;='Gastos com Pessoal'!$E$7:$E$506)*(D$3&lt;='Gastos com Pessoal'!$F$7:$F$506)*(IF('Gastos com Pessoal'!$AE$7:$AE$506&lt;=D$3,1,0))*OFFSET('Gastos com Pessoal'!$H$6,1,MATCH(5&amp;$B55,'Gastos com Pessoal'!$I$532:$AJ$532&amp;'Gastos com Pessoal'!$I$6:$AJ$6,0),500,1)),0)
+_xlfn.IFNA(SUM((D$3&gt;='Gastos com Pessoal'!$E$513:$E$522)*(D$3&lt;='Gastos com Pessoal'!$F$513:$F$522)*(IF('Gastos com Pessoal'!$G$513:$G$522&lt;=D$3,1,0))*OFFSET('Gastos com Pessoal'!$H$512,1,MATCH(1&amp;$B55,'Gastos com Pessoal'!$I$532:$AJ$532&amp;'Gastos com Pessoal'!$I$512:$AJ$512,0),10,1)),0)
+_xlfn.IFNA(SUM((D$3&gt;='Gastos com Pessoal'!$E$513:$E$522)*(D$3&lt;='Gastos com Pessoal'!$F$513:$F$522)*(IF('Gastos com Pessoal'!$M$513:$M$522&lt;=D$3,1,0))*OFFSET('Gastos com Pessoal'!$H$512,1,MATCH(2&amp;$B55,'Gastos com Pessoal'!$I$532:$AJ$532&amp;'Gastos com Pessoal'!$I$512:$AJ$512,0),10,1)),0)
+_xlfn.IFNA(SUM((D$3&gt;='Gastos com Pessoal'!$E$513:$E$522)*(D$3&lt;='Gastos com Pessoal'!$F$513:$F$522)*(IF('Gastos com Pessoal'!$S$513:$S$522&lt;=D$3,1,0))*OFFSET('Gastos com Pessoal'!$H$512,1,MATCH(3&amp;$B55,'Gastos com Pessoal'!$I$532:$AJ$532&amp;'Gastos com Pessoal'!$I$512:$AJ$512,0),10,1)),0)
+_xlfn.IFNA(SUM((D$3&gt;='Gastos com Pessoal'!$E$513:$E$522)*(D$3&lt;='Gastos com Pessoal'!$F$513:$F$522)*(IF('Gastos com Pessoal'!$Y$513:$Y$522&lt;=D$3,1,0))*OFFSET('Gastos com Pessoal'!$H$512,1,MATCH(4&amp;$B55,'Gastos com Pessoal'!$I$532:$AJ$532&amp;'Gastos com Pessoal'!$I$512:$AJ$512,0),10,1)),0)
+_xlfn.IFNA(SUM((D$3&gt;='Gastos com Pessoal'!$E$513:$E$522)*(D$3&lt;='Gastos com Pessoal'!$F$513:$F$522)*(IF('Gastos com Pessoal'!$AE$513:$AE$522&lt;=D$3,1,0))*OFFSET('Gastos com Pessoal'!$H$512,1,MATCH(5&amp;$B55,'Gastos com Pessoal'!$I$532:$AJ$532&amp;'Gastos com Pessoal'!$I$512:$AJ$512,0),10,1)),0)</f>
        <v>0</v>
      </c>
      <c r="E55" s="32">
        <f t="array" aca="1" ref="E55" ca="1">_xlfn.IFNA(SUM((E$3&gt;='Gastos com Pessoal'!$E$7:$E$506)*(E$3&lt;='Gastos com Pessoal'!$F$7:$F$506)*OFFSET('Encargos e Benefícios'!$D$5,1,MATCH($B55,'Encargos e Benefícios'!$E$5:$AB$5,0),500,1)),0)
+_xlfn.IFNA(SUM((E$3&gt;='Gastos com Pessoal'!$E$513:$E$522)*(E$3&lt;='Gastos com Pessoal'!$F$513:$F$522)*OFFSET('Encargos e Benefícios'!$D$511,1,MATCH($B55,'Encargos e Benefícios'!$E$511:$AB$511,0),10,1)),0)
+_xlfn.IFNA(SUM((E$3&gt;='Gastos com Pessoal'!$E$7:$E$506)*(E$3&lt;='Gastos com Pessoal'!$F$7:$F$506)*(IF('Gastos com Pessoal'!$G$7:$G$506&lt;=E$3,1,0))*OFFSET('Gastos com Pessoal'!$H$6,1,MATCH(1&amp;$B55,'Gastos com Pessoal'!$I$532:$AJ$532&amp;'Gastos com Pessoal'!$I$6:$AJ$6,0),500,1)),0)
+_xlfn.IFNA(SUM((E$3&gt;='Gastos com Pessoal'!$E$7:$E$506)*(E$3&lt;='Gastos com Pessoal'!$F$7:$F$506)*(IF('Gastos com Pessoal'!$M$7:$M$506&lt;=E$3,1,0))*OFFSET('Gastos com Pessoal'!$H$6,1,MATCH(2&amp;$B55,'Gastos com Pessoal'!$I$532:$AJ$532&amp;'Gastos com Pessoal'!$I$6:$AJ$6,0),500,1)),0)
+_xlfn.IFNA(SUM((E$3&gt;='Gastos com Pessoal'!$E$7:$E$506)*(E$3&lt;='Gastos com Pessoal'!$F$7:$F$506)*(IF('Gastos com Pessoal'!$S$7:$S$506&lt;=E$3,1,0))*OFFSET('Gastos com Pessoal'!$H$6,1,MATCH(3&amp;$B55,'Gastos com Pessoal'!$I$532:$AJ$532&amp;'Gastos com Pessoal'!$I$6:$AJ$6,0),500,1)),0)
+_xlfn.IFNA(SUM((E$3&gt;='Gastos com Pessoal'!$E$7:$E$506)*(E$3&lt;='Gastos com Pessoal'!$F$7:$F$506)*(IF('Gastos com Pessoal'!$Y$7:$Y$506&lt;=E$3,1,0))*OFFSET('Gastos com Pessoal'!$H$6,1,MATCH(4&amp;$B55,'Gastos com Pessoal'!$I$532:$AJ$532&amp;'Gastos com Pessoal'!$I$6:$AJ$6,0),500,1)),0)
+_xlfn.IFNA(SUM((E$3&gt;='Gastos com Pessoal'!$E$7:$E$506)*(E$3&lt;='Gastos com Pessoal'!$F$7:$F$506)*(IF('Gastos com Pessoal'!$AE$7:$AE$506&lt;=E$3,1,0))*OFFSET('Gastos com Pessoal'!$H$6,1,MATCH(5&amp;$B55,'Gastos com Pessoal'!$I$532:$AJ$532&amp;'Gastos com Pessoal'!$I$6:$AJ$6,0),500,1)),0)
+_xlfn.IFNA(SUM((E$3&gt;='Gastos com Pessoal'!$E$513:$E$522)*(E$3&lt;='Gastos com Pessoal'!$F$513:$F$522)*(IF('Gastos com Pessoal'!$G$513:$G$522&lt;=E$3,1,0))*OFFSET('Gastos com Pessoal'!$H$512,1,MATCH(1&amp;$B55,'Gastos com Pessoal'!$I$532:$AJ$532&amp;'Gastos com Pessoal'!$I$512:$AJ$512,0),10,1)),0)
+_xlfn.IFNA(SUM((E$3&gt;='Gastos com Pessoal'!$E$513:$E$522)*(E$3&lt;='Gastos com Pessoal'!$F$513:$F$522)*(IF('Gastos com Pessoal'!$M$513:$M$522&lt;=E$3,1,0))*OFFSET('Gastos com Pessoal'!$H$512,1,MATCH(2&amp;$B55,'Gastos com Pessoal'!$I$532:$AJ$532&amp;'Gastos com Pessoal'!$I$512:$AJ$512,0),10,1)),0)
+_xlfn.IFNA(SUM((E$3&gt;='Gastos com Pessoal'!$E$513:$E$522)*(E$3&lt;='Gastos com Pessoal'!$F$513:$F$522)*(IF('Gastos com Pessoal'!$S$513:$S$522&lt;=E$3,1,0))*OFFSET('Gastos com Pessoal'!$H$512,1,MATCH(3&amp;$B55,'Gastos com Pessoal'!$I$532:$AJ$532&amp;'Gastos com Pessoal'!$I$512:$AJ$512,0),10,1)),0)
+_xlfn.IFNA(SUM((E$3&gt;='Gastos com Pessoal'!$E$513:$E$522)*(E$3&lt;='Gastos com Pessoal'!$F$513:$F$522)*(IF('Gastos com Pessoal'!$Y$513:$Y$522&lt;=E$3,1,0))*OFFSET('Gastos com Pessoal'!$H$512,1,MATCH(4&amp;$B55,'Gastos com Pessoal'!$I$532:$AJ$532&amp;'Gastos com Pessoal'!$I$512:$AJ$512,0),10,1)),0)
+_xlfn.IFNA(SUM((E$3&gt;='Gastos com Pessoal'!$E$513:$E$522)*(E$3&lt;='Gastos com Pessoal'!$F$513:$F$522)*(IF('Gastos com Pessoal'!$AE$513:$AE$522&lt;=E$3,1,0))*OFFSET('Gastos com Pessoal'!$H$512,1,MATCH(5&amp;$B55,'Gastos com Pessoal'!$I$532:$AJ$532&amp;'Gastos com Pessoal'!$I$512:$AJ$512,0),10,1)),0)</f>
        <v>0</v>
      </c>
      <c r="F55" s="32">
        <f t="array" aca="1" ref="F55" ca="1">_xlfn.IFNA(SUM((F$3&gt;='Gastos com Pessoal'!$E$7:$E$506)*(F$3&lt;='Gastos com Pessoal'!$F$7:$F$506)*OFFSET('Encargos e Benefícios'!$D$5,1,MATCH($B55,'Encargos e Benefícios'!$E$5:$AB$5,0),500,1)),0)
+_xlfn.IFNA(SUM((F$3&gt;='Gastos com Pessoal'!$E$513:$E$522)*(F$3&lt;='Gastos com Pessoal'!$F$513:$F$522)*OFFSET('Encargos e Benefícios'!$D$511,1,MATCH($B55,'Encargos e Benefícios'!$E$511:$AB$511,0),10,1)),0)
+_xlfn.IFNA(SUM((F$3&gt;='Gastos com Pessoal'!$E$7:$E$506)*(F$3&lt;='Gastos com Pessoal'!$F$7:$F$506)*(IF('Gastos com Pessoal'!$G$7:$G$506&lt;=F$3,1,0))*OFFSET('Gastos com Pessoal'!$H$6,1,MATCH(1&amp;$B55,'Gastos com Pessoal'!$I$532:$AJ$532&amp;'Gastos com Pessoal'!$I$6:$AJ$6,0),500,1)),0)
+_xlfn.IFNA(SUM((F$3&gt;='Gastos com Pessoal'!$E$7:$E$506)*(F$3&lt;='Gastos com Pessoal'!$F$7:$F$506)*(IF('Gastos com Pessoal'!$M$7:$M$506&lt;=F$3,1,0))*OFFSET('Gastos com Pessoal'!$H$6,1,MATCH(2&amp;$B55,'Gastos com Pessoal'!$I$532:$AJ$532&amp;'Gastos com Pessoal'!$I$6:$AJ$6,0),500,1)),0)
+_xlfn.IFNA(SUM((F$3&gt;='Gastos com Pessoal'!$E$7:$E$506)*(F$3&lt;='Gastos com Pessoal'!$F$7:$F$506)*(IF('Gastos com Pessoal'!$S$7:$S$506&lt;=F$3,1,0))*OFFSET('Gastos com Pessoal'!$H$6,1,MATCH(3&amp;$B55,'Gastos com Pessoal'!$I$532:$AJ$532&amp;'Gastos com Pessoal'!$I$6:$AJ$6,0),500,1)),0)
+_xlfn.IFNA(SUM((F$3&gt;='Gastos com Pessoal'!$E$7:$E$506)*(F$3&lt;='Gastos com Pessoal'!$F$7:$F$506)*(IF('Gastos com Pessoal'!$Y$7:$Y$506&lt;=F$3,1,0))*OFFSET('Gastos com Pessoal'!$H$6,1,MATCH(4&amp;$B55,'Gastos com Pessoal'!$I$532:$AJ$532&amp;'Gastos com Pessoal'!$I$6:$AJ$6,0),500,1)),0)
+_xlfn.IFNA(SUM((F$3&gt;='Gastos com Pessoal'!$E$7:$E$506)*(F$3&lt;='Gastos com Pessoal'!$F$7:$F$506)*(IF('Gastos com Pessoal'!$AE$7:$AE$506&lt;=F$3,1,0))*OFFSET('Gastos com Pessoal'!$H$6,1,MATCH(5&amp;$B55,'Gastos com Pessoal'!$I$532:$AJ$532&amp;'Gastos com Pessoal'!$I$6:$AJ$6,0),500,1)),0)
+_xlfn.IFNA(SUM((F$3&gt;='Gastos com Pessoal'!$E$513:$E$522)*(F$3&lt;='Gastos com Pessoal'!$F$513:$F$522)*(IF('Gastos com Pessoal'!$G$513:$G$522&lt;=F$3,1,0))*OFFSET('Gastos com Pessoal'!$H$512,1,MATCH(1&amp;$B55,'Gastos com Pessoal'!$I$532:$AJ$532&amp;'Gastos com Pessoal'!$I$512:$AJ$512,0),10,1)),0)
+_xlfn.IFNA(SUM((F$3&gt;='Gastos com Pessoal'!$E$513:$E$522)*(F$3&lt;='Gastos com Pessoal'!$F$513:$F$522)*(IF('Gastos com Pessoal'!$M$513:$M$522&lt;=F$3,1,0))*OFFSET('Gastos com Pessoal'!$H$512,1,MATCH(2&amp;$B55,'Gastos com Pessoal'!$I$532:$AJ$532&amp;'Gastos com Pessoal'!$I$512:$AJ$512,0),10,1)),0)
+_xlfn.IFNA(SUM((F$3&gt;='Gastos com Pessoal'!$E$513:$E$522)*(F$3&lt;='Gastos com Pessoal'!$F$513:$F$522)*(IF('Gastos com Pessoal'!$S$513:$S$522&lt;=F$3,1,0))*OFFSET('Gastos com Pessoal'!$H$512,1,MATCH(3&amp;$B55,'Gastos com Pessoal'!$I$532:$AJ$532&amp;'Gastos com Pessoal'!$I$512:$AJ$512,0),10,1)),0)
+_xlfn.IFNA(SUM((F$3&gt;='Gastos com Pessoal'!$E$513:$E$522)*(F$3&lt;='Gastos com Pessoal'!$F$513:$F$522)*(IF('Gastos com Pessoal'!$Y$513:$Y$522&lt;=F$3,1,0))*OFFSET('Gastos com Pessoal'!$H$512,1,MATCH(4&amp;$B55,'Gastos com Pessoal'!$I$532:$AJ$532&amp;'Gastos com Pessoal'!$I$512:$AJ$512,0),10,1)),0)
+_xlfn.IFNA(SUM((F$3&gt;='Gastos com Pessoal'!$E$513:$E$522)*(F$3&lt;='Gastos com Pessoal'!$F$513:$F$522)*(IF('Gastos com Pessoal'!$AE$513:$AE$522&lt;=F$3,1,0))*OFFSET('Gastos com Pessoal'!$H$512,1,MATCH(5&amp;$B55,'Gastos com Pessoal'!$I$532:$AJ$532&amp;'Gastos com Pessoal'!$I$512:$AJ$512,0),10,1)),0)</f>
        <v>0</v>
      </c>
      <c r="G55" s="32">
        <f t="array" aca="1" ref="G55" ca="1">_xlfn.IFNA(SUM((G$3&gt;='Gastos com Pessoal'!$E$7:$E$506)*(G$3&lt;='Gastos com Pessoal'!$F$7:$F$506)*OFFSET('Encargos e Benefícios'!$D$5,1,MATCH($B55,'Encargos e Benefícios'!$E$5:$AB$5,0),500,1)),0)
+_xlfn.IFNA(SUM((G$3&gt;='Gastos com Pessoal'!$E$513:$E$522)*(G$3&lt;='Gastos com Pessoal'!$F$513:$F$522)*OFFSET('Encargos e Benefícios'!$D$511,1,MATCH($B55,'Encargos e Benefícios'!$E$511:$AB$511,0),10,1)),0)
+_xlfn.IFNA(SUM((G$3&gt;='Gastos com Pessoal'!$E$7:$E$506)*(G$3&lt;='Gastos com Pessoal'!$F$7:$F$506)*(IF('Gastos com Pessoal'!$G$7:$G$506&lt;=G$3,1,0))*OFFSET('Gastos com Pessoal'!$H$6,1,MATCH(1&amp;$B55,'Gastos com Pessoal'!$I$532:$AJ$532&amp;'Gastos com Pessoal'!$I$6:$AJ$6,0),500,1)),0)
+_xlfn.IFNA(SUM((G$3&gt;='Gastos com Pessoal'!$E$7:$E$506)*(G$3&lt;='Gastos com Pessoal'!$F$7:$F$506)*(IF('Gastos com Pessoal'!$M$7:$M$506&lt;=G$3,1,0))*OFFSET('Gastos com Pessoal'!$H$6,1,MATCH(2&amp;$B55,'Gastos com Pessoal'!$I$532:$AJ$532&amp;'Gastos com Pessoal'!$I$6:$AJ$6,0),500,1)),0)
+_xlfn.IFNA(SUM((G$3&gt;='Gastos com Pessoal'!$E$7:$E$506)*(G$3&lt;='Gastos com Pessoal'!$F$7:$F$506)*(IF('Gastos com Pessoal'!$S$7:$S$506&lt;=G$3,1,0))*OFFSET('Gastos com Pessoal'!$H$6,1,MATCH(3&amp;$B55,'Gastos com Pessoal'!$I$532:$AJ$532&amp;'Gastos com Pessoal'!$I$6:$AJ$6,0),500,1)),0)
+_xlfn.IFNA(SUM((G$3&gt;='Gastos com Pessoal'!$E$7:$E$506)*(G$3&lt;='Gastos com Pessoal'!$F$7:$F$506)*(IF('Gastos com Pessoal'!$Y$7:$Y$506&lt;=G$3,1,0))*OFFSET('Gastos com Pessoal'!$H$6,1,MATCH(4&amp;$B55,'Gastos com Pessoal'!$I$532:$AJ$532&amp;'Gastos com Pessoal'!$I$6:$AJ$6,0),500,1)),0)
+_xlfn.IFNA(SUM((G$3&gt;='Gastos com Pessoal'!$E$7:$E$506)*(G$3&lt;='Gastos com Pessoal'!$F$7:$F$506)*(IF('Gastos com Pessoal'!$AE$7:$AE$506&lt;=G$3,1,0))*OFFSET('Gastos com Pessoal'!$H$6,1,MATCH(5&amp;$B55,'Gastos com Pessoal'!$I$532:$AJ$532&amp;'Gastos com Pessoal'!$I$6:$AJ$6,0),500,1)),0)
+_xlfn.IFNA(SUM((G$3&gt;='Gastos com Pessoal'!$E$513:$E$522)*(G$3&lt;='Gastos com Pessoal'!$F$513:$F$522)*(IF('Gastos com Pessoal'!$G$513:$G$522&lt;=G$3,1,0))*OFFSET('Gastos com Pessoal'!$H$512,1,MATCH(1&amp;$B55,'Gastos com Pessoal'!$I$532:$AJ$532&amp;'Gastos com Pessoal'!$I$512:$AJ$512,0),10,1)),0)
+_xlfn.IFNA(SUM((G$3&gt;='Gastos com Pessoal'!$E$513:$E$522)*(G$3&lt;='Gastos com Pessoal'!$F$513:$F$522)*(IF('Gastos com Pessoal'!$M$513:$M$522&lt;=G$3,1,0))*OFFSET('Gastos com Pessoal'!$H$512,1,MATCH(2&amp;$B55,'Gastos com Pessoal'!$I$532:$AJ$532&amp;'Gastos com Pessoal'!$I$512:$AJ$512,0),10,1)),0)
+_xlfn.IFNA(SUM((G$3&gt;='Gastos com Pessoal'!$E$513:$E$522)*(G$3&lt;='Gastos com Pessoal'!$F$513:$F$522)*(IF('Gastos com Pessoal'!$S$513:$S$522&lt;=G$3,1,0))*OFFSET('Gastos com Pessoal'!$H$512,1,MATCH(3&amp;$B55,'Gastos com Pessoal'!$I$532:$AJ$532&amp;'Gastos com Pessoal'!$I$512:$AJ$512,0),10,1)),0)
+_xlfn.IFNA(SUM((G$3&gt;='Gastos com Pessoal'!$E$513:$E$522)*(G$3&lt;='Gastos com Pessoal'!$F$513:$F$522)*(IF('Gastos com Pessoal'!$Y$513:$Y$522&lt;=G$3,1,0))*OFFSET('Gastos com Pessoal'!$H$512,1,MATCH(4&amp;$B55,'Gastos com Pessoal'!$I$532:$AJ$532&amp;'Gastos com Pessoal'!$I$512:$AJ$512,0),10,1)),0)
+_xlfn.IFNA(SUM((G$3&gt;='Gastos com Pessoal'!$E$513:$E$522)*(G$3&lt;='Gastos com Pessoal'!$F$513:$F$522)*(IF('Gastos com Pessoal'!$AE$513:$AE$522&lt;=G$3,1,0))*OFFSET('Gastos com Pessoal'!$H$512,1,MATCH(5&amp;$B55,'Gastos com Pessoal'!$I$532:$AJ$532&amp;'Gastos com Pessoal'!$I$512:$AJ$512,0),10,1)),0)</f>
        <v>0</v>
      </c>
      <c r="H55" s="32">
        <f t="array" aca="1" ref="H55" ca="1">_xlfn.IFNA(SUM((H$3&gt;='Gastos com Pessoal'!$E$7:$E$506)*(H$3&lt;='Gastos com Pessoal'!$F$7:$F$506)*OFFSET('Encargos e Benefícios'!$D$5,1,MATCH($B55,'Encargos e Benefícios'!$E$5:$AB$5,0),500,1)),0)
+_xlfn.IFNA(SUM((H$3&gt;='Gastos com Pessoal'!$E$513:$E$522)*(H$3&lt;='Gastos com Pessoal'!$F$513:$F$522)*OFFSET('Encargos e Benefícios'!$D$511,1,MATCH($B55,'Encargos e Benefícios'!$E$511:$AB$511,0),10,1)),0)
+_xlfn.IFNA(SUM((H$3&gt;='Gastos com Pessoal'!$E$7:$E$506)*(H$3&lt;='Gastos com Pessoal'!$F$7:$F$506)*(IF('Gastos com Pessoal'!$G$7:$G$506&lt;=H$3,1,0))*OFFSET('Gastos com Pessoal'!$H$6,1,MATCH(1&amp;$B55,'Gastos com Pessoal'!$I$532:$AJ$532&amp;'Gastos com Pessoal'!$I$6:$AJ$6,0),500,1)),0)
+_xlfn.IFNA(SUM((H$3&gt;='Gastos com Pessoal'!$E$7:$E$506)*(H$3&lt;='Gastos com Pessoal'!$F$7:$F$506)*(IF('Gastos com Pessoal'!$M$7:$M$506&lt;=H$3,1,0))*OFFSET('Gastos com Pessoal'!$H$6,1,MATCH(2&amp;$B55,'Gastos com Pessoal'!$I$532:$AJ$532&amp;'Gastos com Pessoal'!$I$6:$AJ$6,0),500,1)),0)
+_xlfn.IFNA(SUM((H$3&gt;='Gastos com Pessoal'!$E$7:$E$506)*(H$3&lt;='Gastos com Pessoal'!$F$7:$F$506)*(IF('Gastos com Pessoal'!$S$7:$S$506&lt;=H$3,1,0))*OFFSET('Gastos com Pessoal'!$H$6,1,MATCH(3&amp;$B55,'Gastos com Pessoal'!$I$532:$AJ$532&amp;'Gastos com Pessoal'!$I$6:$AJ$6,0),500,1)),0)
+_xlfn.IFNA(SUM((H$3&gt;='Gastos com Pessoal'!$E$7:$E$506)*(H$3&lt;='Gastos com Pessoal'!$F$7:$F$506)*(IF('Gastos com Pessoal'!$Y$7:$Y$506&lt;=H$3,1,0))*OFFSET('Gastos com Pessoal'!$H$6,1,MATCH(4&amp;$B55,'Gastos com Pessoal'!$I$532:$AJ$532&amp;'Gastos com Pessoal'!$I$6:$AJ$6,0),500,1)),0)
+_xlfn.IFNA(SUM((H$3&gt;='Gastos com Pessoal'!$E$7:$E$506)*(H$3&lt;='Gastos com Pessoal'!$F$7:$F$506)*(IF('Gastos com Pessoal'!$AE$7:$AE$506&lt;=H$3,1,0))*OFFSET('Gastos com Pessoal'!$H$6,1,MATCH(5&amp;$B55,'Gastos com Pessoal'!$I$532:$AJ$532&amp;'Gastos com Pessoal'!$I$6:$AJ$6,0),500,1)),0)
+_xlfn.IFNA(SUM((H$3&gt;='Gastos com Pessoal'!$E$513:$E$522)*(H$3&lt;='Gastos com Pessoal'!$F$513:$F$522)*(IF('Gastos com Pessoal'!$G$513:$G$522&lt;=H$3,1,0))*OFFSET('Gastos com Pessoal'!$H$512,1,MATCH(1&amp;$B55,'Gastos com Pessoal'!$I$532:$AJ$532&amp;'Gastos com Pessoal'!$I$512:$AJ$512,0),10,1)),0)
+_xlfn.IFNA(SUM((H$3&gt;='Gastos com Pessoal'!$E$513:$E$522)*(H$3&lt;='Gastos com Pessoal'!$F$513:$F$522)*(IF('Gastos com Pessoal'!$M$513:$M$522&lt;=H$3,1,0))*OFFSET('Gastos com Pessoal'!$H$512,1,MATCH(2&amp;$B55,'Gastos com Pessoal'!$I$532:$AJ$532&amp;'Gastos com Pessoal'!$I$512:$AJ$512,0),10,1)),0)
+_xlfn.IFNA(SUM((H$3&gt;='Gastos com Pessoal'!$E$513:$E$522)*(H$3&lt;='Gastos com Pessoal'!$F$513:$F$522)*(IF('Gastos com Pessoal'!$S$513:$S$522&lt;=H$3,1,0))*OFFSET('Gastos com Pessoal'!$H$512,1,MATCH(3&amp;$B55,'Gastos com Pessoal'!$I$532:$AJ$532&amp;'Gastos com Pessoal'!$I$512:$AJ$512,0),10,1)),0)
+_xlfn.IFNA(SUM((H$3&gt;='Gastos com Pessoal'!$E$513:$E$522)*(H$3&lt;='Gastos com Pessoal'!$F$513:$F$522)*(IF('Gastos com Pessoal'!$Y$513:$Y$522&lt;=H$3,1,0))*OFFSET('Gastos com Pessoal'!$H$512,1,MATCH(4&amp;$B55,'Gastos com Pessoal'!$I$532:$AJ$532&amp;'Gastos com Pessoal'!$I$512:$AJ$512,0),10,1)),0)
+_xlfn.IFNA(SUM((H$3&gt;='Gastos com Pessoal'!$E$513:$E$522)*(H$3&lt;='Gastos com Pessoal'!$F$513:$F$522)*(IF('Gastos com Pessoal'!$AE$513:$AE$522&lt;=H$3,1,0))*OFFSET('Gastos com Pessoal'!$H$512,1,MATCH(5&amp;$B55,'Gastos com Pessoal'!$I$532:$AJ$532&amp;'Gastos com Pessoal'!$I$512:$AJ$512,0),10,1)),0)</f>
        <v>0</v>
      </c>
      <c r="I55" s="32">
        <f t="array" aca="1" ref="I55" ca="1">_xlfn.IFNA(SUM((I$3&gt;='Gastos com Pessoal'!$E$7:$E$506)*(I$3&lt;='Gastos com Pessoal'!$F$7:$F$506)*OFFSET('Encargos e Benefícios'!$D$5,1,MATCH($B55,'Encargos e Benefícios'!$E$5:$AB$5,0),500,1)),0)
+_xlfn.IFNA(SUM((I$3&gt;='Gastos com Pessoal'!$E$513:$E$522)*(I$3&lt;='Gastos com Pessoal'!$F$513:$F$522)*OFFSET('Encargos e Benefícios'!$D$511,1,MATCH($B55,'Encargos e Benefícios'!$E$511:$AB$511,0),10,1)),0)
+_xlfn.IFNA(SUM((I$3&gt;='Gastos com Pessoal'!$E$7:$E$506)*(I$3&lt;='Gastos com Pessoal'!$F$7:$F$506)*(IF('Gastos com Pessoal'!$G$7:$G$506&lt;=I$3,1,0))*OFFSET('Gastos com Pessoal'!$H$6,1,MATCH(1&amp;$B55,'Gastos com Pessoal'!$I$532:$AJ$532&amp;'Gastos com Pessoal'!$I$6:$AJ$6,0),500,1)),0)
+_xlfn.IFNA(SUM((I$3&gt;='Gastos com Pessoal'!$E$7:$E$506)*(I$3&lt;='Gastos com Pessoal'!$F$7:$F$506)*(IF('Gastos com Pessoal'!$M$7:$M$506&lt;=I$3,1,0))*OFFSET('Gastos com Pessoal'!$H$6,1,MATCH(2&amp;$B55,'Gastos com Pessoal'!$I$532:$AJ$532&amp;'Gastos com Pessoal'!$I$6:$AJ$6,0),500,1)),0)
+_xlfn.IFNA(SUM((I$3&gt;='Gastos com Pessoal'!$E$7:$E$506)*(I$3&lt;='Gastos com Pessoal'!$F$7:$F$506)*(IF('Gastos com Pessoal'!$S$7:$S$506&lt;=I$3,1,0))*OFFSET('Gastos com Pessoal'!$H$6,1,MATCH(3&amp;$B55,'Gastos com Pessoal'!$I$532:$AJ$532&amp;'Gastos com Pessoal'!$I$6:$AJ$6,0),500,1)),0)
+_xlfn.IFNA(SUM((I$3&gt;='Gastos com Pessoal'!$E$7:$E$506)*(I$3&lt;='Gastos com Pessoal'!$F$7:$F$506)*(IF('Gastos com Pessoal'!$Y$7:$Y$506&lt;=I$3,1,0))*OFFSET('Gastos com Pessoal'!$H$6,1,MATCH(4&amp;$B55,'Gastos com Pessoal'!$I$532:$AJ$532&amp;'Gastos com Pessoal'!$I$6:$AJ$6,0),500,1)),0)
+_xlfn.IFNA(SUM((I$3&gt;='Gastos com Pessoal'!$E$7:$E$506)*(I$3&lt;='Gastos com Pessoal'!$F$7:$F$506)*(IF('Gastos com Pessoal'!$AE$7:$AE$506&lt;=I$3,1,0))*OFFSET('Gastos com Pessoal'!$H$6,1,MATCH(5&amp;$B55,'Gastos com Pessoal'!$I$532:$AJ$532&amp;'Gastos com Pessoal'!$I$6:$AJ$6,0),500,1)),0)
+_xlfn.IFNA(SUM((I$3&gt;='Gastos com Pessoal'!$E$513:$E$522)*(I$3&lt;='Gastos com Pessoal'!$F$513:$F$522)*(IF('Gastos com Pessoal'!$G$513:$G$522&lt;=I$3,1,0))*OFFSET('Gastos com Pessoal'!$H$512,1,MATCH(1&amp;$B55,'Gastos com Pessoal'!$I$532:$AJ$532&amp;'Gastos com Pessoal'!$I$512:$AJ$512,0),10,1)),0)
+_xlfn.IFNA(SUM((I$3&gt;='Gastos com Pessoal'!$E$513:$E$522)*(I$3&lt;='Gastos com Pessoal'!$F$513:$F$522)*(IF('Gastos com Pessoal'!$M$513:$M$522&lt;=I$3,1,0))*OFFSET('Gastos com Pessoal'!$H$512,1,MATCH(2&amp;$B55,'Gastos com Pessoal'!$I$532:$AJ$532&amp;'Gastos com Pessoal'!$I$512:$AJ$512,0),10,1)),0)
+_xlfn.IFNA(SUM((I$3&gt;='Gastos com Pessoal'!$E$513:$E$522)*(I$3&lt;='Gastos com Pessoal'!$F$513:$F$522)*(IF('Gastos com Pessoal'!$S$513:$S$522&lt;=I$3,1,0))*OFFSET('Gastos com Pessoal'!$H$512,1,MATCH(3&amp;$B55,'Gastos com Pessoal'!$I$532:$AJ$532&amp;'Gastos com Pessoal'!$I$512:$AJ$512,0),10,1)),0)
+_xlfn.IFNA(SUM((I$3&gt;='Gastos com Pessoal'!$E$513:$E$522)*(I$3&lt;='Gastos com Pessoal'!$F$513:$F$522)*(IF('Gastos com Pessoal'!$Y$513:$Y$522&lt;=I$3,1,0))*OFFSET('Gastos com Pessoal'!$H$512,1,MATCH(4&amp;$B55,'Gastos com Pessoal'!$I$532:$AJ$532&amp;'Gastos com Pessoal'!$I$512:$AJ$512,0),10,1)),0)
+_xlfn.IFNA(SUM((I$3&gt;='Gastos com Pessoal'!$E$513:$E$522)*(I$3&lt;='Gastos com Pessoal'!$F$513:$F$522)*(IF('Gastos com Pessoal'!$AE$513:$AE$522&lt;=I$3,1,0))*OFFSET('Gastos com Pessoal'!$H$512,1,MATCH(5&amp;$B55,'Gastos com Pessoal'!$I$532:$AJ$532&amp;'Gastos com Pessoal'!$I$512:$AJ$512,0),10,1)),0)</f>
        <v>0</v>
      </c>
      <c r="J55" s="32">
        <f t="array" aca="1" ref="J55" ca="1">_xlfn.IFNA(SUM((J$3&gt;='Gastos com Pessoal'!$E$7:$E$506)*(J$3&lt;='Gastos com Pessoal'!$F$7:$F$506)*OFFSET('Encargos e Benefícios'!$D$5,1,MATCH($B55,'Encargos e Benefícios'!$E$5:$AB$5,0),500,1)),0)
+_xlfn.IFNA(SUM((J$3&gt;='Gastos com Pessoal'!$E$513:$E$522)*(J$3&lt;='Gastos com Pessoal'!$F$513:$F$522)*OFFSET('Encargos e Benefícios'!$D$511,1,MATCH($B55,'Encargos e Benefícios'!$E$511:$AB$511,0),10,1)),0)
+_xlfn.IFNA(SUM((J$3&gt;='Gastos com Pessoal'!$E$7:$E$506)*(J$3&lt;='Gastos com Pessoal'!$F$7:$F$506)*(IF('Gastos com Pessoal'!$G$7:$G$506&lt;=J$3,1,0))*OFFSET('Gastos com Pessoal'!$H$6,1,MATCH(1&amp;$B55,'Gastos com Pessoal'!$I$532:$AJ$532&amp;'Gastos com Pessoal'!$I$6:$AJ$6,0),500,1)),0)
+_xlfn.IFNA(SUM((J$3&gt;='Gastos com Pessoal'!$E$7:$E$506)*(J$3&lt;='Gastos com Pessoal'!$F$7:$F$506)*(IF('Gastos com Pessoal'!$M$7:$M$506&lt;=J$3,1,0))*OFFSET('Gastos com Pessoal'!$H$6,1,MATCH(2&amp;$B55,'Gastos com Pessoal'!$I$532:$AJ$532&amp;'Gastos com Pessoal'!$I$6:$AJ$6,0),500,1)),0)
+_xlfn.IFNA(SUM((J$3&gt;='Gastos com Pessoal'!$E$7:$E$506)*(J$3&lt;='Gastos com Pessoal'!$F$7:$F$506)*(IF('Gastos com Pessoal'!$S$7:$S$506&lt;=J$3,1,0))*OFFSET('Gastos com Pessoal'!$H$6,1,MATCH(3&amp;$B55,'Gastos com Pessoal'!$I$532:$AJ$532&amp;'Gastos com Pessoal'!$I$6:$AJ$6,0),500,1)),0)
+_xlfn.IFNA(SUM((J$3&gt;='Gastos com Pessoal'!$E$7:$E$506)*(J$3&lt;='Gastos com Pessoal'!$F$7:$F$506)*(IF('Gastos com Pessoal'!$Y$7:$Y$506&lt;=J$3,1,0))*OFFSET('Gastos com Pessoal'!$H$6,1,MATCH(4&amp;$B55,'Gastos com Pessoal'!$I$532:$AJ$532&amp;'Gastos com Pessoal'!$I$6:$AJ$6,0),500,1)),0)
+_xlfn.IFNA(SUM((J$3&gt;='Gastos com Pessoal'!$E$7:$E$506)*(J$3&lt;='Gastos com Pessoal'!$F$7:$F$506)*(IF('Gastos com Pessoal'!$AE$7:$AE$506&lt;=J$3,1,0))*OFFSET('Gastos com Pessoal'!$H$6,1,MATCH(5&amp;$B55,'Gastos com Pessoal'!$I$532:$AJ$532&amp;'Gastos com Pessoal'!$I$6:$AJ$6,0),500,1)),0)
+_xlfn.IFNA(SUM((J$3&gt;='Gastos com Pessoal'!$E$513:$E$522)*(J$3&lt;='Gastos com Pessoal'!$F$513:$F$522)*(IF('Gastos com Pessoal'!$G$513:$G$522&lt;=J$3,1,0))*OFFSET('Gastos com Pessoal'!$H$512,1,MATCH(1&amp;$B55,'Gastos com Pessoal'!$I$532:$AJ$532&amp;'Gastos com Pessoal'!$I$512:$AJ$512,0),10,1)),0)
+_xlfn.IFNA(SUM((J$3&gt;='Gastos com Pessoal'!$E$513:$E$522)*(J$3&lt;='Gastos com Pessoal'!$F$513:$F$522)*(IF('Gastos com Pessoal'!$M$513:$M$522&lt;=J$3,1,0))*OFFSET('Gastos com Pessoal'!$H$512,1,MATCH(2&amp;$B55,'Gastos com Pessoal'!$I$532:$AJ$532&amp;'Gastos com Pessoal'!$I$512:$AJ$512,0),10,1)),0)
+_xlfn.IFNA(SUM((J$3&gt;='Gastos com Pessoal'!$E$513:$E$522)*(J$3&lt;='Gastos com Pessoal'!$F$513:$F$522)*(IF('Gastos com Pessoal'!$S$513:$S$522&lt;=J$3,1,0))*OFFSET('Gastos com Pessoal'!$H$512,1,MATCH(3&amp;$B55,'Gastos com Pessoal'!$I$532:$AJ$532&amp;'Gastos com Pessoal'!$I$512:$AJ$512,0),10,1)),0)
+_xlfn.IFNA(SUM((J$3&gt;='Gastos com Pessoal'!$E$513:$E$522)*(J$3&lt;='Gastos com Pessoal'!$F$513:$F$522)*(IF('Gastos com Pessoal'!$Y$513:$Y$522&lt;=J$3,1,0))*OFFSET('Gastos com Pessoal'!$H$512,1,MATCH(4&amp;$B55,'Gastos com Pessoal'!$I$532:$AJ$532&amp;'Gastos com Pessoal'!$I$512:$AJ$512,0),10,1)),0)
+_xlfn.IFNA(SUM((J$3&gt;='Gastos com Pessoal'!$E$513:$E$522)*(J$3&lt;='Gastos com Pessoal'!$F$513:$F$522)*(IF('Gastos com Pessoal'!$AE$513:$AE$522&lt;=J$3,1,0))*OFFSET('Gastos com Pessoal'!$H$512,1,MATCH(5&amp;$B55,'Gastos com Pessoal'!$I$532:$AJ$532&amp;'Gastos com Pessoal'!$I$512:$AJ$512,0),10,1)),0)</f>
        <v>0</v>
      </c>
      <c r="K55" s="32">
        <f t="array" aca="1" ref="K55" ca="1">_xlfn.IFNA(SUM((K$3&gt;='Gastos com Pessoal'!$E$7:$E$506)*(K$3&lt;='Gastos com Pessoal'!$F$7:$F$506)*OFFSET('Encargos e Benefícios'!$D$5,1,MATCH($B55,'Encargos e Benefícios'!$E$5:$AB$5,0),500,1)),0)
+_xlfn.IFNA(SUM((K$3&gt;='Gastos com Pessoal'!$E$513:$E$522)*(K$3&lt;='Gastos com Pessoal'!$F$513:$F$522)*OFFSET('Encargos e Benefícios'!$D$511,1,MATCH($B55,'Encargos e Benefícios'!$E$511:$AB$511,0),10,1)),0)
+_xlfn.IFNA(SUM((K$3&gt;='Gastos com Pessoal'!$E$7:$E$506)*(K$3&lt;='Gastos com Pessoal'!$F$7:$F$506)*(IF('Gastos com Pessoal'!$G$7:$G$506&lt;=K$3,1,0))*OFFSET('Gastos com Pessoal'!$H$6,1,MATCH(1&amp;$B55,'Gastos com Pessoal'!$I$532:$AJ$532&amp;'Gastos com Pessoal'!$I$6:$AJ$6,0),500,1)),0)
+_xlfn.IFNA(SUM((K$3&gt;='Gastos com Pessoal'!$E$7:$E$506)*(K$3&lt;='Gastos com Pessoal'!$F$7:$F$506)*(IF('Gastos com Pessoal'!$M$7:$M$506&lt;=K$3,1,0))*OFFSET('Gastos com Pessoal'!$H$6,1,MATCH(2&amp;$B55,'Gastos com Pessoal'!$I$532:$AJ$532&amp;'Gastos com Pessoal'!$I$6:$AJ$6,0),500,1)),0)
+_xlfn.IFNA(SUM((K$3&gt;='Gastos com Pessoal'!$E$7:$E$506)*(K$3&lt;='Gastos com Pessoal'!$F$7:$F$506)*(IF('Gastos com Pessoal'!$S$7:$S$506&lt;=K$3,1,0))*OFFSET('Gastos com Pessoal'!$H$6,1,MATCH(3&amp;$B55,'Gastos com Pessoal'!$I$532:$AJ$532&amp;'Gastos com Pessoal'!$I$6:$AJ$6,0),500,1)),0)
+_xlfn.IFNA(SUM((K$3&gt;='Gastos com Pessoal'!$E$7:$E$506)*(K$3&lt;='Gastos com Pessoal'!$F$7:$F$506)*(IF('Gastos com Pessoal'!$Y$7:$Y$506&lt;=K$3,1,0))*OFFSET('Gastos com Pessoal'!$H$6,1,MATCH(4&amp;$B55,'Gastos com Pessoal'!$I$532:$AJ$532&amp;'Gastos com Pessoal'!$I$6:$AJ$6,0),500,1)),0)
+_xlfn.IFNA(SUM((K$3&gt;='Gastos com Pessoal'!$E$7:$E$506)*(K$3&lt;='Gastos com Pessoal'!$F$7:$F$506)*(IF('Gastos com Pessoal'!$AE$7:$AE$506&lt;=K$3,1,0))*OFFSET('Gastos com Pessoal'!$H$6,1,MATCH(5&amp;$B55,'Gastos com Pessoal'!$I$532:$AJ$532&amp;'Gastos com Pessoal'!$I$6:$AJ$6,0),500,1)),0)
+_xlfn.IFNA(SUM((K$3&gt;='Gastos com Pessoal'!$E$513:$E$522)*(K$3&lt;='Gastos com Pessoal'!$F$513:$F$522)*(IF('Gastos com Pessoal'!$G$513:$G$522&lt;=K$3,1,0))*OFFSET('Gastos com Pessoal'!$H$512,1,MATCH(1&amp;$B55,'Gastos com Pessoal'!$I$532:$AJ$532&amp;'Gastos com Pessoal'!$I$512:$AJ$512,0),10,1)),0)
+_xlfn.IFNA(SUM((K$3&gt;='Gastos com Pessoal'!$E$513:$E$522)*(K$3&lt;='Gastos com Pessoal'!$F$513:$F$522)*(IF('Gastos com Pessoal'!$M$513:$M$522&lt;=K$3,1,0))*OFFSET('Gastos com Pessoal'!$H$512,1,MATCH(2&amp;$B55,'Gastos com Pessoal'!$I$532:$AJ$532&amp;'Gastos com Pessoal'!$I$512:$AJ$512,0),10,1)),0)
+_xlfn.IFNA(SUM((K$3&gt;='Gastos com Pessoal'!$E$513:$E$522)*(K$3&lt;='Gastos com Pessoal'!$F$513:$F$522)*(IF('Gastos com Pessoal'!$S$513:$S$522&lt;=K$3,1,0))*OFFSET('Gastos com Pessoal'!$H$512,1,MATCH(3&amp;$B55,'Gastos com Pessoal'!$I$532:$AJ$532&amp;'Gastos com Pessoal'!$I$512:$AJ$512,0),10,1)),0)
+_xlfn.IFNA(SUM((K$3&gt;='Gastos com Pessoal'!$E$513:$E$522)*(K$3&lt;='Gastos com Pessoal'!$F$513:$F$522)*(IF('Gastos com Pessoal'!$Y$513:$Y$522&lt;=K$3,1,0))*OFFSET('Gastos com Pessoal'!$H$512,1,MATCH(4&amp;$B55,'Gastos com Pessoal'!$I$532:$AJ$532&amp;'Gastos com Pessoal'!$I$512:$AJ$512,0),10,1)),0)
+_xlfn.IFNA(SUM((K$3&gt;='Gastos com Pessoal'!$E$513:$E$522)*(K$3&lt;='Gastos com Pessoal'!$F$513:$F$522)*(IF('Gastos com Pessoal'!$AE$513:$AE$522&lt;=K$3,1,0))*OFFSET('Gastos com Pessoal'!$H$512,1,MATCH(5&amp;$B55,'Gastos com Pessoal'!$I$532:$AJ$532&amp;'Gastos com Pessoal'!$I$512:$AJ$512,0),10,1)),0)</f>
        <v>0</v>
      </c>
      <c r="L55" s="32">
        <f t="array" aca="1" ref="L55" ca="1">_xlfn.IFNA(SUM((L$3&gt;='Gastos com Pessoal'!$E$7:$E$506)*(L$3&lt;='Gastos com Pessoal'!$F$7:$F$506)*OFFSET('Encargos e Benefícios'!$D$5,1,MATCH($B55,'Encargos e Benefícios'!$E$5:$AB$5,0),500,1)),0)
+_xlfn.IFNA(SUM((L$3&gt;='Gastos com Pessoal'!$E$513:$E$522)*(L$3&lt;='Gastos com Pessoal'!$F$513:$F$522)*OFFSET('Encargos e Benefícios'!$D$511,1,MATCH($B55,'Encargos e Benefícios'!$E$511:$AB$511,0),10,1)),0)
+_xlfn.IFNA(SUM((L$3&gt;='Gastos com Pessoal'!$E$7:$E$506)*(L$3&lt;='Gastos com Pessoal'!$F$7:$F$506)*(IF('Gastos com Pessoal'!$G$7:$G$506&lt;=L$3,1,0))*OFFSET('Gastos com Pessoal'!$H$6,1,MATCH(1&amp;$B55,'Gastos com Pessoal'!$I$532:$AJ$532&amp;'Gastos com Pessoal'!$I$6:$AJ$6,0),500,1)),0)
+_xlfn.IFNA(SUM((L$3&gt;='Gastos com Pessoal'!$E$7:$E$506)*(L$3&lt;='Gastos com Pessoal'!$F$7:$F$506)*(IF('Gastos com Pessoal'!$M$7:$M$506&lt;=L$3,1,0))*OFFSET('Gastos com Pessoal'!$H$6,1,MATCH(2&amp;$B55,'Gastos com Pessoal'!$I$532:$AJ$532&amp;'Gastos com Pessoal'!$I$6:$AJ$6,0),500,1)),0)
+_xlfn.IFNA(SUM((L$3&gt;='Gastos com Pessoal'!$E$7:$E$506)*(L$3&lt;='Gastos com Pessoal'!$F$7:$F$506)*(IF('Gastos com Pessoal'!$S$7:$S$506&lt;=L$3,1,0))*OFFSET('Gastos com Pessoal'!$H$6,1,MATCH(3&amp;$B55,'Gastos com Pessoal'!$I$532:$AJ$532&amp;'Gastos com Pessoal'!$I$6:$AJ$6,0),500,1)),0)
+_xlfn.IFNA(SUM((L$3&gt;='Gastos com Pessoal'!$E$7:$E$506)*(L$3&lt;='Gastos com Pessoal'!$F$7:$F$506)*(IF('Gastos com Pessoal'!$Y$7:$Y$506&lt;=L$3,1,0))*OFFSET('Gastos com Pessoal'!$H$6,1,MATCH(4&amp;$B55,'Gastos com Pessoal'!$I$532:$AJ$532&amp;'Gastos com Pessoal'!$I$6:$AJ$6,0),500,1)),0)
+_xlfn.IFNA(SUM((L$3&gt;='Gastos com Pessoal'!$E$7:$E$506)*(L$3&lt;='Gastos com Pessoal'!$F$7:$F$506)*(IF('Gastos com Pessoal'!$AE$7:$AE$506&lt;=L$3,1,0))*OFFSET('Gastos com Pessoal'!$H$6,1,MATCH(5&amp;$B55,'Gastos com Pessoal'!$I$532:$AJ$532&amp;'Gastos com Pessoal'!$I$6:$AJ$6,0),500,1)),0)
+_xlfn.IFNA(SUM((L$3&gt;='Gastos com Pessoal'!$E$513:$E$522)*(L$3&lt;='Gastos com Pessoal'!$F$513:$F$522)*(IF('Gastos com Pessoal'!$G$513:$G$522&lt;=L$3,1,0))*OFFSET('Gastos com Pessoal'!$H$512,1,MATCH(1&amp;$B55,'Gastos com Pessoal'!$I$532:$AJ$532&amp;'Gastos com Pessoal'!$I$512:$AJ$512,0),10,1)),0)
+_xlfn.IFNA(SUM((L$3&gt;='Gastos com Pessoal'!$E$513:$E$522)*(L$3&lt;='Gastos com Pessoal'!$F$513:$F$522)*(IF('Gastos com Pessoal'!$M$513:$M$522&lt;=L$3,1,0))*OFFSET('Gastos com Pessoal'!$H$512,1,MATCH(2&amp;$B55,'Gastos com Pessoal'!$I$532:$AJ$532&amp;'Gastos com Pessoal'!$I$512:$AJ$512,0),10,1)),0)
+_xlfn.IFNA(SUM((L$3&gt;='Gastos com Pessoal'!$E$513:$E$522)*(L$3&lt;='Gastos com Pessoal'!$F$513:$F$522)*(IF('Gastos com Pessoal'!$S$513:$S$522&lt;=L$3,1,0))*OFFSET('Gastos com Pessoal'!$H$512,1,MATCH(3&amp;$B55,'Gastos com Pessoal'!$I$532:$AJ$532&amp;'Gastos com Pessoal'!$I$512:$AJ$512,0),10,1)),0)
+_xlfn.IFNA(SUM((L$3&gt;='Gastos com Pessoal'!$E$513:$E$522)*(L$3&lt;='Gastos com Pessoal'!$F$513:$F$522)*(IF('Gastos com Pessoal'!$Y$513:$Y$522&lt;=L$3,1,0))*OFFSET('Gastos com Pessoal'!$H$512,1,MATCH(4&amp;$B55,'Gastos com Pessoal'!$I$532:$AJ$532&amp;'Gastos com Pessoal'!$I$512:$AJ$512,0),10,1)),0)
+_xlfn.IFNA(SUM((L$3&gt;='Gastos com Pessoal'!$E$513:$E$522)*(L$3&lt;='Gastos com Pessoal'!$F$513:$F$522)*(IF('Gastos com Pessoal'!$AE$513:$AE$522&lt;=L$3,1,0))*OFFSET('Gastos com Pessoal'!$H$512,1,MATCH(5&amp;$B55,'Gastos com Pessoal'!$I$532:$AJ$532&amp;'Gastos com Pessoal'!$I$512:$AJ$512,0),10,1)),0)</f>
        <v>0</v>
      </c>
      <c r="M55" s="32">
        <f t="array" aca="1" ref="M55" ca="1">_xlfn.IFNA(SUM((M$3&gt;='Gastos com Pessoal'!$E$7:$E$506)*(M$3&lt;='Gastos com Pessoal'!$F$7:$F$506)*OFFSET('Encargos e Benefícios'!$D$5,1,MATCH($B55,'Encargos e Benefícios'!$E$5:$AB$5,0),500,1)),0)
+_xlfn.IFNA(SUM((M$3&gt;='Gastos com Pessoal'!$E$513:$E$522)*(M$3&lt;='Gastos com Pessoal'!$F$513:$F$522)*OFFSET('Encargos e Benefícios'!$D$511,1,MATCH($B55,'Encargos e Benefícios'!$E$511:$AB$511,0),10,1)),0)
+_xlfn.IFNA(SUM((M$3&gt;='Gastos com Pessoal'!$E$7:$E$506)*(M$3&lt;='Gastos com Pessoal'!$F$7:$F$506)*(IF('Gastos com Pessoal'!$G$7:$G$506&lt;=M$3,1,0))*OFFSET('Gastos com Pessoal'!$H$6,1,MATCH(1&amp;$B55,'Gastos com Pessoal'!$I$532:$AJ$532&amp;'Gastos com Pessoal'!$I$6:$AJ$6,0),500,1)),0)
+_xlfn.IFNA(SUM((M$3&gt;='Gastos com Pessoal'!$E$7:$E$506)*(M$3&lt;='Gastos com Pessoal'!$F$7:$F$506)*(IF('Gastos com Pessoal'!$M$7:$M$506&lt;=M$3,1,0))*OFFSET('Gastos com Pessoal'!$H$6,1,MATCH(2&amp;$B55,'Gastos com Pessoal'!$I$532:$AJ$532&amp;'Gastos com Pessoal'!$I$6:$AJ$6,0),500,1)),0)
+_xlfn.IFNA(SUM((M$3&gt;='Gastos com Pessoal'!$E$7:$E$506)*(M$3&lt;='Gastos com Pessoal'!$F$7:$F$506)*(IF('Gastos com Pessoal'!$S$7:$S$506&lt;=M$3,1,0))*OFFSET('Gastos com Pessoal'!$H$6,1,MATCH(3&amp;$B55,'Gastos com Pessoal'!$I$532:$AJ$532&amp;'Gastos com Pessoal'!$I$6:$AJ$6,0),500,1)),0)
+_xlfn.IFNA(SUM((M$3&gt;='Gastos com Pessoal'!$E$7:$E$506)*(M$3&lt;='Gastos com Pessoal'!$F$7:$F$506)*(IF('Gastos com Pessoal'!$Y$7:$Y$506&lt;=M$3,1,0))*OFFSET('Gastos com Pessoal'!$H$6,1,MATCH(4&amp;$B55,'Gastos com Pessoal'!$I$532:$AJ$532&amp;'Gastos com Pessoal'!$I$6:$AJ$6,0),500,1)),0)
+_xlfn.IFNA(SUM((M$3&gt;='Gastos com Pessoal'!$E$7:$E$506)*(M$3&lt;='Gastos com Pessoal'!$F$7:$F$506)*(IF('Gastos com Pessoal'!$AE$7:$AE$506&lt;=M$3,1,0))*OFFSET('Gastos com Pessoal'!$H$6,1,MATCH(5&amp;$B55,'Gastos com Pessoal'!$I$532:$AJ$532&amp;'Gastos com Pessoal'!$I$6:$AJ$6,0),500,1)),0)
+_xlfn.IFNA(SUM((M$3&gt;='Gastos com Pessoal'!$E$513:$E$522)*(M$3&lt;='Gastos com Pessoal'!$F$513:$F$522)*(IF('Gastos com Pessoal'!$G$513:$G$522&lt;=M$3,1,0))*OFFSET('Gastos com Pessoal'!$H$512,1,MATCH(1&amp;$B55,'Gastos com Pessoal'!$I$532:$AJ$532&amp;'Gastos com Pessoal'!$I$512:$AJ$512,0),10,1)),0)
+_xlfn.IFNA(SUM((M$3&gt;='Gastos com Pessoal'!$E$513:$E$522)*(M$3&lt;='Gastos com Pessoal'!$F$513:$F$522)*(IF('Gastos com Pessoal'!$M$513:$M$522&lt;=M$3,1,0))*OFFSET('Gastos com Pessoal'!$H$512,1,MATCH(2&amp;$B55,'Gastos com Pessoal'!$I$532:$AJ$532&amp;'Gastos com Pessoal'!$I$512:$AJ$512,0),10,1)),0)
+_xlfn.IFNA(SUM((M$3&gt;='Gastos com Pessoal'!$E$513:$E$522)*(M$3&lt;='Gastos com Pessoal'!$F$513:$F$522)*(IF('Gastos com Pessoal'!$S$513:$S$522&lt;=M$3,1,0))*OFFSET('Gastos com Pessoal'!$H$512,1,MATCH(3&amp;$B55,'Gastos com Pessoal'!$I$532:$AJ$532&amp;'Gastos com Pessoal'!$I$512:$AJ$512,0),10,1)),0)
+_xlfn.IFNA(SUM((M$3&gt;='Gastos com Pessoal'!$E$513:$E$522)*(M$3&lt;='Gastos com Pessoal'!$F$513:$F$522)*(IF('Gastos com Pessoal'!$Y$513:$Y$522&lt;=M$3,1,0))*OFFSET('Gastos com Pessoal'!$H$512,1,MATCH(4&amp;$B55,'Gastos com Pessoal'!$I$532:$AJ$532&amp;'Gastos com Pessoal'!$I$512:$AJ$512,0),10,1)),0)
+_xlfn.IFNA(SUM((M$3&gt;='Gastos com Pessoal'!$E$513:$E$522)*(M$3&lt;='Gastos com Pessoal'!$F$513:$F$522)*(IF('Gastos com Pessoal'!$AE$513:$AE$522&lt;=M$3,1,0))*OFFSET('Gastos com Pessoal'!$H$512,1,MATCH(5&amp;$B55,'Gastos com Pessoal'!$I$532:$AJ$532&amp;'Gastos com Pessoal'!$I$512:$AJ$512,0),10,1)),0)</f>
        <v>0</v>
      </c>
      <c r="N55" s="32">
        <f t="array" aca="1" ref="N55" ca="1">_xlfn.IFNA(SUM((N$3&gt;='Gastos com Pessoal'!$E$7:$E$506)*(N$3&lt;='Gastos com Pessoal'!$F$7:$F$506)*OFFSET('Encargos e Benefícios'!$D$5,1,MATCH($B55,'Encargos e Benefícios'!$E$5:$AB$5,0),500,1)),0)
+_xlfn.IFNA(SUM((N$3&gt;='Gastos com Pessoal'!$E$513:$E$522)*(N$3&lt;='Gastos com Pessoal'!$F$513:$F$522)*OFFSET('Encargos e Benefícios'!$D$511,1,MATCH($B55,'Encargos e Benefícios'!$E$511:$AB$511,0),10,1)),0)
+_xlfn.IFNA(SUM((N$3&gt;='Gastos com Pessoal'!$E$7:$E$506)*(N$3&lt;='Gastos com Pessoal'!$F$7:$F$506)*(IF('Gastos com Pessoal'!$G$7:$G$506&lt;=N$3,1,0))*OFFSET('Gastos com Pessoal'!$H$6,1,MATCH(1&amp;$B55,'Gastos com Pessoal'!$I$532:$AJ$532&amp;'Gastos com Pessoal'!$I$6:$AJ$6,0),500,1)),0)
+_xlfn.IFNA(SUM((N$3&gt;='Gastos com Pessoal'!$E$7:$E$506)*(N$3&lt;='Gastos com Pessoal'!$F$7:$F$506)*(IF('Gastos com Pessoal'!$M$7:$M$506&lt;=N$3,1,0))*OFFSET('Gastos com Pessoal'!$H$6,1,MATCH(2&amp;$B55,'Gastos com Pessoal'!$I$532:$AJ$532&amp;'Gastos com Pessoal'!$I$6:$AJ$6,0),500,1)),0)
+_xlfn.IFNA(SUM((N$3&gt;='Gastos com Pessoal'!$E$7:$E$506)*(N$3&lt;='Gastos com Pessoal'!$F$7:$F$506)*(IF('Gastos com Pessoal'!$S$7:$S$506&lt;=N$3,1,0))*OFFSET('Gastos com Pessoal'!$H$6,1,MATCH(3&amp;$B55,'Gastos com Pessoal'!$I$532:$AJ$532&amp;'Gastos com Pessoal'!$I$6:$AJ$6,0),500,1)),0)
+_xlfn.IFNA(SUM((N$3&gt;='Gastos com Pessoal'!$E$7:$E$506)*(N$3&lt;='Gastos com Pessoal'!$F$7:$F$506)*(IF('Gastos com Pessoal'!$Y$7:$Y$506&lt;=N$3,1,0))*OFFSET('Gastos com Pessoal'!$H$6,1,MATCH(4&amp;$B55,'Gastos com Pessoal'!$I$532:$AJ$532&amp;'Gastos com Pessoal'!$I$6:$AJ$6,0),500,1)),0)
+_xlfn.IFNA(SUM((N$3&gt;='Gastos com Pessoal'!$E$7:$E$506)*(N$3&lt;='Gastos com Pessoal'!$F$7:$F$506)*(IF('Gastos com Pessoal'!$AE$7:$AE$506&lt;=N$3,1,0))*OFFSET('Gastos com Pessoal'!$H$6,1,MATCH(5&amp;$B55,'Gastos com Pessoal'!$I$532:$AJ$532&amp;'Gastos com Pessoal'!$I$6:$AJ$6,0),500,1)),0)
+_xlfn.IFNA(SUM((N$3&gt;='Gastos com Pessoal'!$E$513:$E$522)*(N$3&lt;='Gastos com Pessoal'!$F$513:$F$522)*(IF('Gastos com Pessoal'!$G$513:$G$522&lt;=N$3,1,0))*OFFSET('Gastos com Pessoal'!$H$512,1,MATCH(1&amp;$B55,'Gastos com Pessoal'!$I$532:$AJ$532&amp;'Gastos com Pessoal'!$I$512:$AJ$512,0),10,1)),0)
+_xlfn.IFNA(SUM((N$3&gt;='Gastos com Pessoal'!$E$513:$E$522)*(N$3&lt;='Gastos com Pessoal'!$F$513:$F$522)*(IF('Gastos com Pessoal'!$M$513:$M$522&lt;=N$3,1,0))*OFFSET('Gastos com Pessoal'!$H$512,1,MATCH(2&amp;$B55,'Gastos com Pessoal'!$I$532:$AJ$532&amp;'Gastos com Pessoal'!$I$512:$AJ$512,0),10,1)),0)
+_xlfn.IFNA(SUM((N$3&gt;='Gastos com Pessoal'!$E$513:$E$522)*(N$3&lt;='Gastos com Pessoal'!$F$513:$F$522)*(IF('Gastos com Pessoal'!$S$513:$S$522&lt;=N$3,1,0))*OFFSET('Gastos com Pessoal'!$H$512,1,MATCH(3&amp;$B55,'Gastos com Pessoal'!$I$532:$AJ$532&amp;'Gastos com Pessoal'!$I$512:$AJ$512,0),10,1)),0)
+_xlfn.IFNA(SUM((N$3&gt;='Gastos com Pessoal'!$E$513:$E$522)*(N$3&lt;='Gastos com Pessoal'!$F$513:$F$522)*(IF('Gastos com Pessoal'!$Y$513:$Y$522&lt;=N$3,1,0))*OFFSET('Gastos com Pessoal'!$H$512,1,MATCH(4&amp;$B55,'Gastos com Pessoal'!$I$532:$AJ$532&amp;'Gastos com Pessoal'!$I$512:$AJ$512,0),10,1)),0)
+_xlfn.IFNA(SUM((N$3&gt;='Gastos com Pessoal'!$E$513:$E$522)*(N$3&lt;='Gastos com Pessoal'!$F$513:$F$522)*(IF('Gastos com Pessoal'!$AE$513:$AE$522&lt;=N$3,1,0))*OFFSET('Gastos com Pessoal'!$H$512,1,MATCH(5&amp;$B55,'Gastos com Pessoal'!$I$532:$AJ$532&amp;'Gastos com Pessoal'!$I$512:$AJ$512,0),10,1)),0)</f>
        <v>0</v>
      </c>
      <c r="O55" s="32">
        <f t="array" aca="1" ref="O55" ca="1">_xlfn.IFNA(SUM((O$3&gt;='Gastos com Pessoal'!$E$7:$E$506)*(O$3&lt;='Gastos com Pessoal'!$F$7:$F$506)*OFFSET('Encargos e Benefícios'!$D$5,1,MATCH($B55,'Encargos e Benefícios'!$E$5:$AB$5,0),500,1)),0)
+_xlfn.IFNA(SUM((O$3&gt;='Gastos com Pessoal'!$E$513:$E$522)*(O$3&lt;='Gastos com Pessoal'!$F$513:$F$522)*OFFSET('Encargos e Benefícios'!$D$511,1,MATCH($B55,'Encargos e Benefícios'!$E$511:$AB$511,0),10,1)),0)
+_xlfn.IFNA(SUM((O$3&gt;='Gastos com Pessoal'!$E$7:$E$506)*(O$3&lt;='Gastos com Pessoal'!$F$7:$F$506)*(IF('Gastos com Pessoal'!$G$7:$G$506&lt;=O$3,1,0))*OFFSET('Gastos com Pessoal'!$H$6,1,MATCH(1&amp;$B55,'Gastos com Pessoal'!$I$532:$AJ$532&amp;'Gastos com Pessoal'!$I$6:$AJ$6,0),500,1)),0)
+_xlfn.IFNA(SUM((O$3&gt;='Gastos com Pessoal'!$E$7:$E$506)*(O$3&lt;='Gastos com Pessoal'!$F$7:$F$506)*(IF('Gastos com Pessoal'!$M$7:$M$506&lt;=O$3,1,0))*OFFSET('Gastos com Pessoal'!$H$6,1,MATCH(2&amp;$B55,'Gastos com Pessoal'!$I$532:$AJ$532&amp;'Gastos com Pessoal'!$I$6:$AJ$6,0),500,1)),0)
+_xlfn.IFNA(SUM((O$3&gt;='Gastos com Pessoal'!$E$7:$E$506)*(O$3&lt;='Gastos com Pessoal'!$F$7:$F$506)*(IF('Gastos com Pessoal'!$S$7:$S$506&lt;=O$3,1,0))*OFFSET('Gastos com Pessoal'!$H$6,1,MATCH(3&amp;$B55,'Gastos com Pessoal'!$I$532:$AJ$532&amp;'Gastos com Pessoal'!$I$6:$AJ$6,0),500,1)),0)
+_xlfn.IFNA(SUM((O$3&gt;='Gastos com Pessoal'!$E$7:$E$506)*(O$3&lt;='Gastos com Pessoal'!$F$7:$F$506)*(IF('Gastos com Pessoal'!$Y$7:$Y$506&lt;=O$3,1,0))*OFFSET('Gastos com Pessoal'!$H$6,1,MATCH(4&amp;$B55,'Gastos com Pessoal'!$I$532:$AJ$532&amp;'Gastos com Pessoal'!$I$6:$AJ$6,0),500,1)),0)
+_xlfn.IFNA(SUM((O$3&gt;='Gastos com Pessoal'!$E$7:$E$506)*(O$3&lt;='Gastos com Pessoal'!$F$7:$F$506)*(IF('Gastos com Pessoal'!$AE$7:$AE$506&lt;=O$3,1,0))*OFFSET('Gastos com Pessoal'!$H$6,1,MATCH(5&amp;$B55,'Gastos com Pessoal'!$I$532:$AJ$532&amp;'Gastos com Pessoal'!$I$6:$AJ$6,0),500,1)),0)
+_xlfn.IFNA(SUM((O$3&gt;='Gastos com Pessoal'!$E$513:$E$522)*(O$3&lt;='Gastos com Pessoal'!$F$513:$F$522)*(IF('Gastos com Pessoal'!$G$513:$G$522&lt;=O$3,1,0))*OFFSET('Gastos com Pessoal'!$H$512,1,MATCH(1&amp;$B55,'Gastos com Pessoal'!$I$532:$AJ$532&amp;'Gastos com Pessoal'!$I$512:$AJ$512,0),10,1)),0)
+_xlfn.IFNA(SUM((O$3&gt;='Gastos com Pessoal'!$E$513:$E$522)*(O$3&lt;='Gastos com Pessoal'!$F$513:$F$522)*(IF('Gastos com Pessoal'!$M$513:$M$522&lt;=O$3,1,0))*OFFSET('Gastos com Pessoal'!$H$512,1,MATCH(2&amp;$B55,'Gastos com Pessoal'!$I$532:$AJ$532&amp;'Gastos com Pessoal'!$I$512:$AJ$512,0),10,1)),0)
+_xlfn.IFNA(SUM((O$3&gt;='Gastos com Pessoal'!$E$513:$E$522)*(O$3&lt;='Gastos com Pessoal'!$F$513:$F$522)*(IF('Gastos com Pessoal'!$S$513:$S$522&lt;=O$3,1,0))*OFFSET('Gastos com Pessoal'!$H$512,1,MATCH(3&amp;$B55,'Gastos com Pessoal'!$I$532:$AJ$532&amp;'Gastos com Pessoal'!$I$512:$AJ$512,0),10,1)),0)
+_xlfn.IFNA(SUM((O$3&gt;='Gastos com Pessoal'!$E$513:$E$522)*(O$3&lt;='Gastos com Pessoal'!$F$513:$F$522)*(IF('Gastos com Pessoal'!$Y$513:$Y$522&lt;=O$3,1,0))*OFFSET('Gastos com Pessoal'!$H$512,1,MATCH(4&amp;$B55,'Gastos com Pessoal'!$I$532:$AJ$532&amp;'Gastos com Pessoal'!$I$512:$AJ$512,0),10,1)),0)
+_xlfn.IFNA(SUM((O$3&gt;='Gastos com Pessoal'!$E$513:$E$522)*(O$3&lt;='Gastos com Pessoal'!$F$513:$F$522)*(IF('Gastos com Pessoal'!$AE$513:$AE$522&lt;=O$3,1,0))*OFFSET('Gastos com Pessoal'!$H$512,1,MATCH(5&amp;$B55,'Gastos com Pessoal'!$I$532:$AJ$532&amp;'Gastos com Pessoal'!$I$512:$AJ$512,0),10,1)),0)</f>
        <v>0</v>
      </c>
      <c r="P55" s="32">
        <f t="array" aca="1" ref="P55" ca="1">_xlfn.IFNA(SUM((P$3&gt;='Gastos com Pessoal'!$E$7:$E$506)*(P$3&lt;='Gastos com Pessoal'!$F$7:$F$506)*OFFSET('Encargos e Benefícios'!$D$5,1,MATCH($B55,'Encargos e Benefícios'!$E$5:$AB$5,0),500,1)),0)
+_xlfn.IFNA(SUM((P$3&gt;='Gastos com Pessoal'!$E$513:$E$522)*(P$3&lt;='Gastos com Pessoal'!$F$513:$F$522)*OFFSET('Encargos e Benefícios'!$D$511,1,MATCH($B55,'Encargos e Benefícios'!$E$511:$AB$511,0),10,1)),0)
+_xlfn.IFNA(SUM((P$3&gt;='Gastos com Pessoal'!$E$7:$E$506)*(P$3&lt;='Gastos com Pessoal'!$F$7:$F$506)*(IF('Gastos com Pessoal'!$G$7:$G$506&lt;=P$3,1,0))*OFFSET('Gastos com Pessoal'!$H$6,1,MATCH(1&amp;$B55,'Gastos com Pessoal'!$I$532:$AJ$532&amp;'Gastos com Pessoal'!$I$6:$AJ$6,0),500,1)),0)
+_xlfn.IFNA(SUM((P$3&gt;='Gastos com Pessoal'!$E$7:$E$506)*(P$3&lt;='Gastos com Pessoal'!$F$7:$F$506)*(IF('Gastos com Pessoal'!$M$7:$M$506&lt;=P$3,1,0))*OFFSET('Gastos com Pessoal'!$H$6,1,MATCH(2&amp;$B55,'Gastos com Pessoal'!$I$532:$AJ$532&amp;'Gastos com Pessoal'!$I$6:$AJ$6,0),500,1)),0)
+_xlfn.IFNA(SUM((P$3&gt;='Gastos com Pessoal'!$E$7:$E$506)*(P$3&lt;='Gastos com Pessoal'!$F$7:$F$506)*(IF('Gastos com Pessoal'!$S$7:$S$506&lt;=P$3,1,0))*OFFSET('Gastos com Pessoal'!$H$6,1,MATCH(3&amp;$B55,'Gastos com Pessoal'!$I$532:$AJ$532&amp;'Gastos com Pessoal'!$I$6:$AJ$6,0),500,1)),0)
+_xlfn.IFNA(SUM((P$3&gt;='Gastos com Pessoal'!$E$7:$E$506)*(P$3&lt;='Gastos com Pessoal'!$F$7:$F$506)*(IF('Gastos com Pessoal'!$Y$7:$Y$506&lt;=P$3,1,0))*OFFSET('Gastos com Pessoal'!$H$6,1,MATCH(4&amp;$B55,'Gastos com Pessoal'!$I$532:$AJ$532&amp;'Gastos com Pessoal'!$I$6:$AJ$6,0),500,1)),0)
+_xlfn.IFNA(SUM((P$3&gt;='Gastos com Pessoal'!$E$7:$E$506)*(P$3&lt;='Gastos com Pessoal'!$F$7:$F$506)*(IF('Gastos com Pessoal'!$AE$7:$AE$506&lt;=P$3,1,0))*OFFSET('Gastos com Pessoal'!$H$6,1,MATCH(5&amp;$B55,'Gastos com Pessoal'!$I$532:$AJ$532&amp;'Gastos com Pessoal'!$I$6:$AJ$6,0),500,1)),0)
+_xlfn.IFNA(SUM((P$3&gt;='Gastos com Pessoal'!$E$513:$E$522)*(P$3&lt;='Gastos com Pessoal'!$F$513:$F$522)*(IF('Gastos com Pessoal'!$G$513:$G$522&lt;=P$3,1,0))*OFFSET('Gastos com Pessoal'!$H$512,1,MATCH(1&amp;$B55,'Gastos com Pessoal'!$I$532:$AJ$532&amp;'Gastos com Pessoal'!$I$512:$AJ$512,0),10,1)),0)
+_xlfn.IFNA(SUM((P$3&gt;='Gastos com Pessoal'!$E$513:$E$522)*(P$3&lt;='Gastos com Pessoal'!$F$513:$F$522)*(IF('Gastos com Pessoal'!$M$513:$M$522&lt;=P$3,1,0))*OFFSET('Gastos com Pessoal'!$H$512,1,MATCH(2&amp;$B55,'Gastos com Pessoal'!$I$532:$AJ$532&amp;'Gastos com Pessoal'!$I$512:$AJ$512,0),10,1)),0)
+_xlfn.IFNA(SUM((P$3&gt;='Gastos com Pessoal'!$E$513:$E$522)*(P$3&lt;='Gastos com Pessoal'!$F$513:$F$522)*(IF('Gastos com Pessoal'!$S$513:$S$522&lt;=P$3,1,0))*OFFSET('Gastos com Pessoal'!$H$512,1,MATCH(3&amp;$B55,'Gastos com Pessoal'!$I$532:$AJ$532&amp;'Gastos com Pessoal'!$I$512:$AJ$512,0),10,1)),0)
+_xlfn.IFNA(SUM((P$3&gt;='Gastos com Pessoal'!$E$513:$E$522)*(P$3&lt;='Gastos com Pessoal'!$F$513:$F$522)*(IF('Gastos com Pessoal'!$Y$513:$Y$522&lt;=P$3,1,0))*OFFSET('Gastos com Pessoal'!$H$512,1,MATCH(4&amp;$B55,'Gastos com Pessoal'!$I$532:$AJ$532&amp;'Gastos com Pessoal'!$I$512:$AJ$512,0),10,1)),0)
+_xlfn.IFNA(SUM((P$3&gt;='Gastos com Pessoal'!$E$513:$E$522)*(P$3&lt;='Gastos com Pessoal'!$F$513:$F$522)*(IF('Gastos com Pessoal'!$AE$513:$AE$522&lt;=P$3,1,0))*OFFSET('Gastos com Pessoal'!$H$512,1,MATCH(5&amp;$B55,'Gastos com Pessoal'!$I$532:$AJ$532&amp;'Gastos com Pessoal'!$I$512:$AJ$512,0),10,1)),0)</f>
        <v>0</v>
      </c>
      <c r="Q55" s="32">
        <f t="array" aca="1" ref="Q55" ca="1">_xlfn.IFNA(SUM((Q$3&gt;='Gastos com Pessoal'!$E$7:$E$506)*(Q$3&lt;='Gastos com Pessoal'!$F$7:$F$506)*OFFSET('Encargos e Benefícios'!$D$5,1,MATCH($B55,'Encargos e Benefícios'!$E$5:$AB$5,0),500,1)),0)
+_xlfn.IFNA(SUM((Q$3&gt;='Gastos com Pessoal'!$E$513:$E$522)*(Q$3&lt;='Gastos com Pessoal'!$F$513:$F$522)*OFFSET('Encargos e Benefícios'!$D$511,1,MATCH($B55,'Encargos e Benefícios'!$E$511:$AB$511,0),10,1)),0)
+_xlfn.IFNA(SUM((Q$3&gt;='Gastos com Pessoal'!$E$7:$E$506)*(Q$3&lt;='Gastos com Pessoal'!$F$7:$F$506)*(IF('Gastos com Pessoal'!$G$7:$G$506&lt;=Q$3,1,0))*OFFSET('Gastos com Pessoal'!$H$6,1,MATCH(1&amp;$B55,'Gastos com Pessoal'!$I$532:$AJ$532&amp;'Gastos com Pessoal'!$I$6:$AJ$6,0),500,1)),0)
+_xlfn.IFNA(SUM((Q$3&gt;='Gastos com Pessoal'!$E$7:$E$506)*(Q$3&lt;='Gastos com Pessoal'!$F$7:$F$506)*(IF('Gastos com Pessoal'!$M$7:$M$506&lt;=Q$3,1,0))*OFFSET('Gastos com Pessoal'!$H$6,1,MATCH(2&amp;$B55,'Gastos com Pessoal'!$I$532:$AJ$532&amp;'Gastos com Pessoal'!$I$6:$AJ$6,0),500,1)),0)
+_xlfn.IFNA(SUM((Q$3&gt;='Gastos com Pessoal'!$E$7:$E$506)*(Q$3&lt;='Gastos com Pessoal'!$F$7:$F$506)*(IF('Gastos com Pessoal'!$S$7:$S$506&lt;=Q$3,1,0))*OFFSET('Gastos com Pessoal'!$H$6,1,MATCH(3&amp;$B55,'Gastos com Pessoal'!$I$532:$AJ$532&amp;'Gastos com Pessoal'!$I$6:$AJ$6,0),500,1)),0)
+_xlfn.IFNA(SUM((Q$3&gt;='Gastos com Pessoal'!$E$7:$E$506)*(Q$3&lt;='Gastos com Pessoal'!$F$7:$F$506)*(IF('Gastos com Pessoal'!$Y$7:$Y$506&lt;=Q$3,1,0))*OFFSET('Gastos com Pessoal'!$H$6,1,MATCH(4&amp;$B55,'Gastos com Pessoal'!$I$532:$AJ$532&amp;'Gastos com Pessoal'!$I$6:$AJ$6,0),500,1)),0)
+_xlfn.IFNA(SUM((Q$3&gt;='Gastos com Pessoal'!$E$7:$E$506)*(Q$3&lt;='Gastos com Pessoal'!$F$7:$F$506)*(IF('Gastos com Pessoal'!$AE$7:$AE$506&lt;=Q$3,1,0))*OFFSET('Gastos com Pessoal'!$H$6,1,MATCH(5&amp;$B55,'Gastos com Pessoal'!$I$532:$AJ$532&amp;'Gastos com Pessoal'!$I$6:$AJ$6,0),500,1)),0)
+_xlfn.IFNA(SUM((Q$3&gt;='Gastos com Pessoal'!$E$513:$E$522)*(Q$3&lt;='Gastos com Pessoal'!$F$513:$F$522)*(IF('Gastos com Pessoal'!$G$513:$G$522&lt;=Q$3,1,0))*OFFSET('Gastos com Pessoal'!$H$512,1,MATCH(1&amp;$B55,'Gastos com Pessoal'!$I$532:$AJ$532&amp;'Gastos com Pessoal'!$I$512:$AJ$512,0),10,1)),0)
+_xlfn.IFNA(SUM((Q$3&gt;='Gastos com Pessoal'!$E$513:$E$522)*(Q$3&lt;='Gastos com Pessoal'!$F$513:$F$522)*(IF('Gastos com Pessoal'!$M$513:$M$522&lt;=Q$3,1,0))*OFFSET('Gastos com Pessoal'!$H$512,1,MATCH(2&amp;$B55,'Gastos com Pessoal'!$I$532:$AJ$532&amp;'Gastos com Pessoal'!$I$512:$AJ$512,0),10,1)),0)
+_xlfn.IFNA(SUM((Q$3&gt;='Gastos com Pessoal'!$E$513:$E$522)*(Q$3&lt;='Gastos com Pessoal'!$F$513:$F$522)*(IF('Gastos com Pessoal'!$S$513:$S$522&lt;=Q$3,1,0))*OFFSET('Gastos com Pessoal'!$H$512,1,MATCH(3&amp;$B55,'Gastos com Pessoal'!$I$532:$AJ$532&amp;'Gastos com Pessoal'!$I$512:$AJ$512,0),10,1)),0)
+_xlfn.IFNA(SUM((Q$3&gt;='Gastos com Pessoal'!$E$513:$E$522)*(Q$3&lt;='Gastos com Pessoal'!$F$513:$F$522)*(IF('Gastos com Pessoal'!$Y$513:$Y$522&lt;=Q$3,1,0))*OFFSET('Gastos com Pessoal'!$H$512,1,MATCH(4&amp;$B55,'Gastos com Pessoal'!$I$532:$AJ$532&amp;'Gastos com Pessoal'!$I$512:$AJ$512,0),10,1)),0)
+_xlfn.IFNA(SUM((Q$3&gt;='Gastos com Pessoal'!$E$513:$E$522)*(Q$3&lt;='Gastos com Pessoal'!$F$513:$F$522)*(IF('Gastos com Pessoal'!$AE$513:$AE$522&lt;=Q$3,1,0))*OFFSET('Gastos com Pessoal'!$H$512,1,MATCH(5&amp;$B55,'Gastos com Pessoal'!$I$532:$AJ$532&amp;'Gastos com Pessoal'!$I$512:$AJ$512,0),10,1)),0)</f>
        <v>0</v>
      </c>
      <c r="R55" s="32">
        <f t="array" aca="1" ref="R55" ca="1">_xlfn.IFNA(SUM((R$3&gt;='Gastos com Pessoal'!$E$7:$E$506)*(R$3&lt;='Gastos com Pessoal'!$F$7:$F$506)*OFFSET('Encargos e Benefícios'!$D$5,1,MATCH($B55,'Encargos e Benefícios'!$E$5:$AB$5,0),500,1)),0)
+_xlfn.IFNA(SUM((R$3&gt;='Gastos com Pessoal'!$E$513:$E$522)*(R$3&lt;='Gastos com Pessoal'!$F$513:$F$522)*OFFSET('Encargos e Benefícios'!$D$511,1,MATCH($B55,'Encargos e Benefícios'!$E$511:$AB$511,0),10,1)),0)
+_xlfn.IFNA(SUM((R$3&gt;='Gastos com Pessoal'!$E$7:$E$506)*(R$3&lt;='Gastos com Pessoal'!$F$7:$F$506)*(IF('Gastos com Pessoal'!$G$7:$G$506&lt;=R$3,1,0))*OFFSET('Gastos com Pessoal'!$H$6,1,MATCH(1&amp;$B55,'Gastos com Pessoal'!$I$532:$AJ$532&amp;'Gastos com Pessoal'!$I$6:$AJ$6,0),500,1)),0)
+_xlfn.IFNA(SUM((R$3&gt;='Gastos com Pessoal'!$E$7:$E$506)*(R$3&lt;='Gastos com Pessoal'!$F$7:$F$506)*(IF('Gastos com Pessoal'!$M$7:$M$506&lt;=R$3,1,0))*OFFSET('Gastos com Pessoal'!$H$6,1,MATCH(2&amp;$B55,'Gastos com Pessoal'!$I$532:$AJ$532&amp;'Gastos com Pessoal'!$I$6:$AJ$6,0),500,1)),0)
+_xlfn.IFNA(SUM((R$3&gt;='Gastos com Pessoal'!$E$7:$E$506)*(R$3&lt;='Gastos com Pessoal'!$F$7:$F$506)*(IF('Gastos com Pessoal'!$S$7:$S$506&lt;=R$3,1,0))*OFFSET('Gastos com Pessoal'!$H$6,1,MATCH(3&amp;$B55,'Gastos com Pessoal'!$I$532:$AJ$532&amp;'Gastos com Pessoal'!$I$6:$AJ$6,0),500,1)),0)
+_xlfn.IFNA(SUM((R$3&gt;='Gastos com Pessoal'!$E$7:$E$506)*(R$3&lt;='Gastos com Pessoal'!$F$7:$F$506)*(IF('Gastos com Pessoal'!$Y$7:$Y$506&lt;=R$3,1,0))*OFFSET('Gastos com Pessoal'!$H$6,1,MATCH(4&amp;$B55,'Gastos com Pessoal'!$I$532:$AJ$532&amp;'Gastos com Pessoal'!$I$6:$AJ$6,0),500,1)),0)
+_xlfn.IFNA(SUM((R$3&gt;='Gastos com Pessoal'!$E$7:$E$506)*(R$3&lt;='Gastos com Pessoal'!$F$7:$F$506)*(IF('Gastos com Pessoal'!$AE$7:$AE$506&lt;=R$3,1,0))*OFFSET('Gastos com Pessoal'!$H$6,1,MATCH(5&amp;$B55,'Gastos com Pessoal'!$I$532:$AJ$532&amp;'Gastos com Pessoal'!$I$6:$AJ$6,0),500,1)),0)
+_xlfn.IFNA(SUM((R$3&gt;='Gastos com Pessoal'!$E$513:$E$522)*(R$3&lt;='Gastos com Pessoal'!$F$513:$F$522)*(IF('Gastos com Pessoal'!$G$513:$G$522&lt;=R$3,1,0))*OFFSET('Gastos com Pessoal'!$H$512,1,MATCH(1&amp;$B55,'Gastos com Pessoal'!$I$532:$AJ$532&amp;'Gastos com Pessoal'!$I$512:$AJ$512,0),10,1)),0)
+_xlfn.IFNA(SUM((R$3&gt;='Gastos com Pessoal'!$E$513:$E$522)*(R$3&lt;='Gastos com Pessoal'!$F$513:$F$522)*(IF('Gastos com Pessoal'!$M$513:$M$522&lt;=R$3,1,0))*OFFSET('Gastos com Pessoal'!$H$512,1,MATCH(2&amp;$B55,'Gastos com Pessoal'!$I$532:$AJ$532&amp;'Gastos com Pessoal'!$I$512:$AJ$512,0),10,1)),0)
+_xlfn.IFNA(SUM((R$3&gt;='Gastos com Pessoal'!$E$513:$E$522)*(R$3&lt;='Gastos com Pessoal'!$F$513:$F$522)*(IF('Gastos com Pessoal'!$S$513:$S$522&lt;=R$3,1,0))*OFFSET('Gastos com Pessoal'!$H$512,1,MATCH(3&amp;$B55,'Gastos com Pessoal'!$I$532:$AJ$532&amp;'Gastos com Pessoal'!$I$512:$AJ$512,0),10,1)),0)
+_xlfn.IFNA(SUM((R$3&gt;='Gastos com Pessoal'!$E$513:$E$522)*(R$3&lt;='Gastos com Pessoal'!$F$513:$F$522)*(IF('Gastos com Pessoal'!$Y$513:$Y$522&lt;=R$3,1,0))*OFFSET('Gastos com Pessoal'!$H$512,1,MATCH(4&amp;$B55,'Gastos com Pessoal'!$I$532:$AJ$532&amp;'Gastos com Pessoal'!$I$512:$AJ$512,0),10,1)),0)
+_xlfn.IFNA(SUM((R$3&gt;='Gastos com Pessoal'!$E$513:$E$522)*(R$3&lt;='Gastos com Pessoal'!$F$513:$F$522)*(IF('Gastos com Pessoal'!$AE$513:$AE$522&lt;=R$3,1,0))*OFFSET('Gastos com Pessoal'!$H$512,1,MATCH(5&amp;$B55,'Gastos com Pessoal'!$I$532:$AJ$532&amp;'Gastos com Pessoal'!$I$512:$AJ$512,0),10,1)),0)</f>
        <v>0</v>
      </c>
      <c r="S55" s="32">
        <f t="array" aca="1" ref="S55" ca="1">_xlfn.IFNA(SUM((S$3&gt;='Gastos com Pessoal'!$E$7:$E$506)*(S$3&lt;='Gastos com Pessoal'!$F$7:$F$506)*OFFSET('Encargos e Benefícios'!$D$5,1,MATCH($B55,'Encargos e Benefícios'!$E$5:$AB$5,0),500,1)),0)
+_xlfn.IFNA(SUM((S$3&gt;='Gastos com Pessoal'!$E$513:$E$522)*(S$3&lt;='Gastos com Pessoal'!$F$513:$F$522)*OFFSET('Encargos e Benefícios'!$D$511,1,MATCH($B55,'Encargos e Benefícios'!$E$511:$AB$511,0),10,1)),0)
+_xlfn.IFNA(SUM((S$3&gt;='Gastos com Pessoal'!$E$7:$E$506)*(S$3&lt;='Gastos com Pessoal'!$F$7:$F$506)*(IF('Gastos com Pessoal'!$G$7:$G$506&lt;=S$3,1,0))*OFFSET('Gastos com Pessoal'!$H$6,1,MATCH(1&amp;$B55,'Gastos com Pessoal'!$I$532:$AJ$532&amp;'Gastos com Pessoal'!$I$6:$AJ$6,0),500,1)),0)
+_xlfn.IFNA(SUM((S$3&gt;='Gastos com Pessoal'!$E$7:$E$506)*(S$3&lt;='Gastos com Pessoal'!$F$7:$F$506)*(IF('Gastos com Pessoal'!$M$7:$M$506&lt;=S$3,1,0))*OFFSET('Gastos com Pessoal'!$H$6,1,MATCH(2&amp;$B55,'Gastos com Pessoal'!$I$532:$AJ$532&amp;'Gastos com Pessoal'!$I$6:$AJ$6,0),500,1)),0)
+_xlfn.IFNA(SUM((S$3&gt;='Gastos com Pessoal'!$E$7:$E$506)*(S$3&lt;='Gastos com Pessoal'!$F$7:$F$506)*(IF('Gastos com Pessoal'!$S$7:$S$506&lt;=S$3,1,0))*OFFSET('Gastos com Pessoal'!$H$6,1,MATCH(3&amp;$B55,'Gastos com Pessoal'!$I$532:$AJ$532&amp;'Gastos com Pessoal'!$I$6:$AJ$6,0),500,1)),0)
+_xlfn.IFNA(SUM((S$3&gt;='Gastos com Pessoal'!$E$7:$E$506)*(S$3&lt;='Gastos com Pessoal'!$F$7:$F$506)*(IF('Gastos com Pessoal'!$Y$7:$Y$506&lt;=S$3,1,0))*OFFSET('Gastos com Pessoal'!$H$6,1,MATCH(4&amp;$B55,'Gastos com Pessoal'!$I$532:$AJ$532&amp;'Gastos com Pessoal'!$I$6:$AJ$6,0),500,1)),0)
+_xlfn.IFNA(SUM((S$3&gt;='Gastos com Pessoal'!$E$7:$E$506)*(S$3&lt;='Gastos com Pessoal'!$F$7:$F$506)*(IF('Gastos com Pessoal'!$AE$7:$AE$506&lt;=S$3,1,0))*OFFSET('Gastos com Pessoal'!$H$6,1,MATCH(5&amp;$B55,'Gastos com Pessoal'!$I$532:$AJ$532&amp;'Gastos com Pessoal'!$I$6:$AJ$6,0),500,1)),0)
+_xlfn.IFNA(SUM((S$3&gt;='Gastos com Pessoal'!$E$513:$E$522)*(S$3&lt;='Gastos com Pessoal'!$F$513:$F$522)*(IF('Gastos com Pessoal'!$G$513:$G$522&lt;=S$3,1,0))*OFFSET('Gastos com Pessoal'!$H$512,1,MATCH(1&amp;$B55,'Gastos com Pessoal'!$I$532:$AJ$532&amp;'Gastos com Pessoal'!$I$512:$AJ$512,0),10,1)),0)
+_xlfn.IFNA(SUM((S$3&gt;='Gastos com Pessoal'!$E$513:$E$522)*(S$3&lt;='Gastos com Pessoal'!$F$513:$F$522)*(IF('Gastos com Pessoal'!$M$513:$M$522&lt;=S$3,1,0))*OFFSET('Gastos com Pessoal'!$H$512,1,MATCH(2&amp;$B55,'Gastos com Pessoal'!$I$532:$AJ$532&amp;'Gastos com Pessoal'!$I$512:$AJ$512,0),10,1)),0)
+_xlfn.IFNA(SUM((S$3&gt;='Gastos com Pessoal'!$E$513:$E$522)*(S$3&lt;='Gastos com Pessoal'!$F$513:$F$522)*(IF('Gastos com Pessoal'!$S$513:$S$522&lt;=S$3,1,0))*OFFSET('Gastos com Pessoal'!$H$512,1,MATCH(3&amp;$B55,'Gastos com Pessoal'!$I$532:$AJ$532&amp;'Gastos com Pessoal'!$I$512:$AJ$512,0),10,1)),0)
+_xlfn.IFNA(SUM((S$3&gt;='Gastos com Pessoal'!$E$513:$E$522)*(S$3&lt;='Gastos com Pessoal'!$F$513:$F$522)*(IF('Gastos com Pessoal'!$Y$513:$Y$522&lt;=S$3,1,0))*OFFSET('Gastos com Pessoal'!$H$512,1,MATCH(4&amp;$B55,'Gastos com Pessoal'!$I$532:$AJ$532&amp;'Gastos com Pessoal'!$I$512:$AJ$512,0),10,1)),0)
+_xlfn.IFNA(SUM((S$3&gt;='Gastos com Pessoal'!$E$513:$E$522)*(S$3&lt;='Gastos com Pessoal'!$F$513:$F$522)*(IF('Gastos com Pessoal'!$AE$513:$AE$522&lt;=S$3,1,0))*OFFSET('Gastos com Pessoal'!$H$512,1,MATCH(5&amp;$B55,'Gastos com Pessoal'!$I$532:$AJ$532&amp;'Gastos com Pessoal'!$I$512:$AJ$512,0),10,1)),0)</f>
        <v>0</v>
      </c>
      <c r="T55" s="32">
        <f t="array" aca="1" ref="T55" ca="1">_xlfn.IFNA(SUM((T$3&gt;='Gastos com Pessoal'!$E$7:$E$506)*(T$3&lt;='Gastos com Pessoal'!$F$7:$F$506)*OFFSET('Encargos e Benefícios'!$D$5,1,MATCH($B55,'Encargos e Benefícios'!$E$5:$AB$5,0),500,1)),0)
+_xlfn.IFNA(SUM((T$3&gt;='Gastos com Pessoal'!$E$513:$E$522)*(T$3&lt;='Gastos com Pessoal'!$F$513:$F$522)*OFFSET('Encargos e Benefícios'!$D$511,1,MATCH($B55,'Encargos e Benefícios'!$E$511:$AB$511,0),10,1)),0)
+_xlfn.IFNA(SUM((T$3&gt;='Gastos com Pessoal'!$E$7:$E$506)*(T$3&lt;='Gastos com Pessoal'!$F$7:$F$506)*(IF('Gastos com Pessoal'!$G$7:$G$506&lt;=T$3,1,0))*OFFSET('Gastos com Pessoal'!$H$6,1,MATCH(1&amp;$B55,'Gastos com Pessoal'!$I$532:$AJ$532&amp;'Gastos com Pessoal'!$I$6:$AJ$6,0),500,1)),0)
+_xlfn.IFNA(SUM((T$3&gt;='Gastos com Pessoal'!$E$7:$E$506)*(T$3&lt;='Gastos com Pessoal'!$F$7:$F$506)*(IF('Gastos com Pessoal'!$M$7:$M$506&lt;=T$3,1,0))*OFFSET('Gastos com Pessoal'!$H$6,1,MATCH(2&amp;$B55,'Gastos com Pessoal'!$I$532:$AJ$532&amp;'Gastos com Pessoal'!$I$6:$AJ$6,0),500,1)),0)
+_xlfn.IFNA(SUM((T$3&gt;='Gastos com Pessoal'!$E$7:$E$506)*(T$3&lt;='Gastos com Pessoal'!$F$7:$F$506)*(IF('Gastos com Pessoal'!$S$7:$S$506&lt;=T$3,1,0))*OFFSET('Gastos com Pessoal'!$H$6,1,MATCH(3&amp;$B55,'Gastos com Pessoal'!$I$532:$AJ$532&amp;'Gastos com Pessoal'!$I$6:$AJ$6,0),500,1)),0)
+_xlfn.IFNA(SUM((T$3&gt;='Gastos com Pessoal'!$E$7:$E$506)*(T$3&lt;='Gastos com Pessoal'!$F$7:$F$506)*(IF('Gastos com Pessoal'!$Y$7:$Y$506&lt;=T$3,1,0))*OFFSET('Gastos com Pessoal'!$H$6,1,MATCH(4&amp;$B55,'Gastos com Pessoal'!$I$532:$AJ$532&amp;'Gastos com Pessoal'!$I$6:$AJ$6,0),500,1)),0)
+_xlfn.IFNA(SUM((T$3&gt;='Gastos com Pessoal'!$E$7:$E$506)*(T$3&lt;='Gastos com Pessoal'!$F$7:$F$506)*(IF('Gastos com Pessoal'!$AE$7:$AE$506&lt;=T$3,1,0))*OFFSET('Gastos com Pessoal'!$H$6,1,MATCH(5&amp;$B55,'Gastos com Pessoal'!$I$532:$AJ$532&amp;'Gastos com Pessoal'!$I$6:$AJ$6,0),500,1)),0)
+_xlfn.IFNA(SUM((T$3&gt;='Gastos com Pessoal'!$E$513:$E$522)*(T$3&lt;='Gastos com Pessoal'!$F$513:$F$522)*(IF('Gastos com Pessoal'!$G$513:$G$522&lt;=T$3,1,0))*OFFSET('Gastos com Pessoal'!$H$512,1,MATCH(1&amp;$B55,'Gastos com Pessoal'!$I$532:$AJ$532&amp;'Gastos com Pessoal'!$I$512:$AJ$512,0),10,1)),0)
+_xlfn.IFNA(SUM((T$3&gt;='Gastos com Pessoal'!$E$513:$E$522)*(T$3&lt;='Gastos com Pessoal'!$F$513:$F$522)*(IF('Gastos com Pessoal'!$M$513:$M$522&lt;=T$3,1,0))*OFFSET('Gastos com Pessoal'!$H$512,1,MATCH(2&amp;$B55,'Gastos com Pessoal'!$I$532:$AJ$532&amp;'Gastos com Pessoal'!$I$512:$AJ$512,0),10,1)),0)
+_xlfn.IFNA(SUM((T$3&gt;='Gastos com Pessoal'!$E$513:$E$522)*(T$3&lt;='Gastos com Pessoal'!$F$513:$F$522)*(IF('Gastos com Pessoal'!$S$513:$S$522&lt;=T$3,1,0))*OFFSET('Gastos com Pessoal'!$H$512,1,MATCH(3&amp;$B55,'Gastos com Pessoal'!$I$532:$AJ$532&amp;'Gastos com Pessoal'!$I$512:$AJ$512,0),10,1)),0)
+_xlfn.IFNA(SUM((T$3&gt;='Gastos com Pessoal'!$E$513:$E$522)*(T$3&lt;='Gastos com Pessoal'!$F$513:$F$522)*(IF('Gastos com Pessoal'!$Y$513:$Y$522&lt;=T$3,1,0))*OFFSET('Gastos com Pessoal'!$H$512,1,MATCH(4&amp;$B55,'Gastos com Pessoal'!$I$532:$AJ$532&amp;'Gastos com Pessoal'!$I$512:$AJ$512,0),10,1)),0)
+_xlfn.IFNA(SUM((T$3&gt;='Gastos com Pessoal'!$E$513:$E$522)*(T$3&lt;='Gastos com Pessoal'!$F$513:$F$522)*(IF('Gastos com Pessoal'!$AE$513:$AE$522&lt;=T$3,1,0))*OFFSET('Gastos com Pessoal'!$H$512,1,MATCH(5&amp;$B55,'Gastos com Pessoal'!$I$532:$AJ$532&amp;'Gastos com Pessoal'!$I$512:$AJ$512,0),10,1)),0)</f>
        <v>0</v>
      </c>
      <c r="U55" s="32">
        <f t="array" aca="1" ref="U55" ca="1">_xlfn.IFNA(SUM((U$3&gt;='Gastos com Pessoal'!$E$7:$E$506)*(U$3&lt;='Gastos com Pessoal'!$F$7:$F$506)*OFFSET('Encargos e Benefícios'!$D$5,1,MATCH($B55,'Encargos e Benefícios'!$E$5:$AB$5,0),500,1)),0)
+_xlfn.IFNA(SUM((U$3&gt;='Gastos com Pessoal'!$E$513:$E$522)*(U$3&lt;='Gastos com Pessoal'!$F$513:$F$522)*OFFSET('Encargos e Benefícios'!$D$511,1,MATCH($B55,'Encargos e Benefícios'!$E$511:$AB$511,0),10,1)),0)
+_xlfn.IFNA(SUM((U$3&gt;='Gastos com Pessoal'!$E$7:$E$506)*(U$3&lt;='Gastos com Pessoal'!$F$7:$F$506)*(IF('Gastos com Pessoal'!$G$7:$G$506&lt;=U$3,1,0))*OFFSET('Gastos com Pessoal'!$H$6,1,MATCH(1&amp;$B55,'Gastos com Pessoal'!$I$532:$AJ$532&amp;'Gastos com Pessoal'!$I$6:$AJ$6,0),500,1)),0)
+_xlfn.IFNA(SUM((U$3&gt;='Gastos com Pessoal'!$E$7:$E$506)*(U$3&lt;='Gastos com Pessoal'!$F$7:$F$506)*(IF('Gastos com Pessoal'!$M$7:$M$506&lt;=U$3,1,0))*OFFSET('Gastos com Pessoal'!$H$6,1,MATCH(2&amp;$B55,'Gastos com Pessoal'!$I$532:$AJ$532&amp;'Gastos com Pessoal'!$I$6:$AJ$6,0),500,1)),0)
+_xlfn.IFNA(SUM((U$3&gt;='Gastos com Pessoal'!$E$7:$E$506)*(U$3&lt;='Gastos com Pessoal'!$F$7:$F$506)*(IF('Gastos com Pessoal'!$S$7:$S$506&lt;=U$3,1,0))*OFFSET('Gastos com Pessoal'!$H$6,1,MATCH(3&amp;$B55,'Gastos com Pessoal'!$I$532:$AJ$532&amp;'Gastos com Pessoal'!$I$6:$AJ$6,0),500,1)),0)
+_xlfn.IFNA(SUM((U$3&gt;='Gastos com Pessoal'!$E$7:$E$506)*(U$3&lt;='Gastos com Pessoal'!$F$7:$F$506)*(IF('Gastos com Pessoal'!$Y$7:$Y$506&lt;=U$3,1,0))*OFFSET('Gastos com Pessoal'!$H$6,1,MATCH(4&amp;$B55,'Gastos com Pessoal'!$I$532:$AJ$532&amp;'Gastos com Pessoal'!$I$6:$AJ$6,0),500,1)),0)
+_xlfn.IFNA(SUM((U$3&gt;='Gastos com Pessoal'!$E$7:$E$506)*(U$3&lt;='Gastos com Pessoal'!$F$7:$F$506)*(IF('Gastos com Pessoal'!$AE$7:$AE$506&lt;=U$3,1,0))*OFFSET('Gastos com Pessoal'!$H$6,1,MATCH(5&amp;$B55,'Gastos com Pessoal'!$I$532:$AJ$532&amp;'Gastos com Pessoal'!$I$6:$AJ$6,0),500,1)),0)
+_xlfn.IFNA(SUM((U$3&gt;='Gastos com Pessoal'!$E$513:$E$522)*(U$3&lt;='Gastos com Pessoal'!$F$513:$F$522)*(IF('Gastos com Pessoal'!$G$513:$G$522&lt;=U$3,1,0))*OFFSET('Gastos com Pessoal'!$H$512,1,MATCH(1&amp;$B55,'Gastos com Pessoal'!$I$532:$AJ$532&amp;'Gastos com Pessoal'!$I$512:$AJ$512,0),10,1)),0)
+_xlfn.IFNA(SUM((U$3&gt;='Gastos com Pessoal'!$E$513:$E$522)*(U$3&lt;='Gastos com Pessoal'!$F$513:$F$522)*(IF('Gastos com Pessoal'!$M$513:$M$522&lt;=U$3,1,0))*OFFSET('Gastos com Pessoal'!$H$512,1,MATCH(2&amp;$B55,'Gastos com Pessoal'!$I$532:$AJ$532&amp;'Gastos com Pessoal'!$I$512:$AJ$512,0),10,1)),0)
+_xlfn.IFNA(SUM((U$3&gt;='Gastos com Pessoal'!$E$513:$E$522)*(U$3&lt;='Gastos com Pessoal'!$F$513:$F$522)*(IF('Gastos com Pessoal'!$S$513:$S$522&lt;=U$3,1,0))*OFFSET('Gastos com Pessoal'!$H$512,1,MATCH(3&amp;$B55,'Gastos com Pessoal'!$I$532:$AJ$532&amp;'Gastos com Pessoal'!$I$512:$AJ$512,0),10,1)),0)
+_xlfn.IFNA(SUM((U$3&gt;='Gastos com Pessoal'!$E$513:$E$522)*(U$3&lt;='Gastos com Pessoal'!$F$513:$F$522)*(IF('Gastos com Pessoal'!$Y$513:$Y$522&lt;=U$3,1,0))*OFFSET('Gastos com Pessoal'!$H$512,1,MATCH(4&amp;$B55,'Gastos com Pessoal'!$I$532:$AJ$532&amp;'Gastos com Pessoal'!$I$512:$AJ$512,0),10,1)),0)
+_xlfn.IFNA(SUM((U$3&gt;='Gastos com Pessoal'!$E$513:$E$522)*(U$3&lt;='Gastos com Pessoal'!$F$513:$F$522)*(IF('Gastos com Pessoal'!$AE$513:$AE$522&lt;=U$3,1,0))*OFFSET('Gastos com Pessoal'!$H$512,1,MATCH(5&amp;$B55,'Gastos com Pessoal'!$I$532:$AJ$532&amp;'Gastos com Pessoal'!$I$512:$AJ$512,0),10,1)),0)</f>
        <v>0</v>
      </c>
      <c r="V55" s="32">
        <f t="array" aca="1" ref="V55" ca="1">_xlfn.IFNA(SUM((V$3&gt;='Gastos com Pessoal'!$E$7:$E$506)*(V$3&lt;='Gastos com Pessoal'!$F$7:$F$506)*OFFSET('Encargos e Benefícios'!$D$5,1,MATCH($B55,'Encargos e Benefícios'!$E$5:$AB$5,0),500,1)),0)
+_xlfn.IFNA(SUM((V$3&gt;='Gastos com Pessoal'!$E$513:$E$522)*(V$3&lt;='Gastos com Pessoal'!$F$513:$F$522)*OFFSET('Encargos e Benefícios'!$D$511,1,MATCH($B55,'Encargos e Benefícios'!$E$511:$AB$511,0),10,1)),0)
+_xlfn.IFNA(SUM((V$3&gt;='Gastos com Pessoal'!$E$7:$E$506)*(V$3&lt;='Gastos com Pessoal'!$F$7:$F$506)*(IF('Gastos com Pessoal'!$G$7:$G$506&lt;=V$3,1,0))*OFFSET('Gastos com Pessoal'!$H$6,1,MATCH(1&amp;$B55,'Gastos com Pessoal'!$I$532:$AJ$532&amp;'Gastos com Pessoal'!$I$6:$AJ$6,0),500,1)),0)
+_xlfn.IFNA(SUM((V$3&gt;='Gastos com Pessoal'!$E$7:$E$506)*(V$3&lt;='Gastos com Pessoal'!$F$7:$F$506)*(IF('Gastos com Pessoal'!$M$7:$M$506&lt;=V$3,1,0))*OFFSET('Gastos com Pessoal'!$H$6,1,MATCH(2&amp;$B55,'Gastos com Pessoal'!$I$532:$AJ$532&amp;'Gastos com Pessoal'!$I$6:$AJ$6,0),500,1)),0)
+_xlfn.IFNA(SUM((V$3&gt;='Gastos com Pessoal'!$E$7:$E$506)*(V$3&lt;='Gastos com Pessoal'!$F$7:$F$506)*(IF('Gastos com Pessoal'!$S$7:$S$506&lt;=V$3,1,0))*OFFSET('Gastos com Pessoal'!$H$6,1,MATCH(3&amp;$B55,'Gastos com Pessoal'!$I$532:$AJ$532&amp;'Gastos com Pessoal'!$I$6:$AJ$6,0),500,1)),0)
+_xlfn.IFNA(SUM((V$3&gt;='Gastos com Pessoal'!$E$7:$E$506)*(V$3&lt;='Gastos com Pessoal'!$F$7:$F$506)*(IF('Gastos com Pessoal'!$Y$7:$Y$506&lt;=V$3,1,0))*OFFSET('Gastos com Pessoal'!$H$6,1,MATCH(4&amp;$B55,'Gastos com Pessoal'!$I$532:$AJ$532&amp;'Gastos com Pessoal'!$I$6:$AJ$6,0),500,1)),0)
+_xlfn.IFNA(SUM((V$3&gt;='Gastos com Pessoal'!$E$7:$E$506)*(V$3&lt;='Gastos com Pessoal'!$F$7:$F$506)*(IF('Gastos com Pessoal'!$AE$7:$AE$506&lt;=V$3,1,0))*OFFSET('Gastos com Pessoal'!$H$6,1,MATCH(5&amp;$B55,'Gastos com Pessoal'!$I$532:$AJ$532&amp;'Gastos com Pessoal'!$I$6:$AJ$6,0),500,1)),0)
+_xlfn.IFNA(SUM((V$3&gt;='Gastos com Pessoal'!$E$513:$E$522)*(V$3&lt;='Gastos com Pessoal'!$F$513:$F$522)*(IF('Gastos com Pessoal'!$G$513:$G$522&lt;=V$3,1,0))*OFFSET('Gastos com Pessoal'!$H$512,1,MATCH(1&amp;$B55,'Gastos com Pessoal'!$I$532:$AJ$532&amp;'Gastos com Pessoal'!$I$512:$AJ$512,0),10,1)),0)
+_xlfn.IFNA(SUM((V$3&gt;='Gastos com Pessoal'!$E$513:$E$522)*(V$3&lt;='Gastos com Pessoal'!$F$513:$F$522)*(IF('Gastos com Pessoal'!$M$513:$M$522&lt;=V$3,1,0))*OFFSET('Gastos com Pessoal'!$H$512,1,MATCH(2&amp;$B55,'Gastos com Pessoal'!$I$532:$AJ$532&amp;'Gastos com Pessoal'!$I$512:$AJ$512,0),10,1)),0)
+_xlfn.IFNA(SUM((V$3&gt;='Gastos com Pessoal'!$E$513:$E$522)*(V$3&lt;='Gastos com Pessoal'!$F$513:$F$522)*(IF('Gastos com Pessoal'!$S$513:$S$522&lt;=V$3,1,0))*OFFSET('Gastos com Pessoal'!$H$512,1,MATCH(3&amp;$B55,'Gastos com Pessoal'!$I$532:$AJ$532&amp;'Gastos com Pessoal'!$I$512:$AJ$512,0),10,1)),0)
+_xlfn.IFNA(SUM((V$3&gt;='Gastos com Pessoal'!$E$513:$E$522)*(V$3&lt;='Gastos com Pessoal'!$F$513:$F$522)*(IF('Gastos com Pessoal'!$Y$513:$Y$522&lt;=V$3,1,0))*OFFSET('Gastos com Pessoal'!$H$512,1,MATCH(4&amp;$B55,'Gastos com Pessoal'!$I$532:$AJ$532&amp;'Gastos com Pessoal'!$I$512:$AJ$512,0),10,1)),0)
+_xlfn.IFNA(SUM((V$3&gt;='Gastos com Pessoal'!$E$513:$E$522)*(V$3&lt;='Gastos com Pessoal'!$F$513:$F$522)*(IF('Gastos com Pessoal'!$AE$513:$AE$522&lt;=V$3,1,0))*OFFSET('Gastos com Pessoal'!$H$512,1,MATCH(5&amp;$B55,'Gastos com Pessoal'!$I$532:$AJ$532&amp;'Gastos com Pessoal'!$I$512:$AJ$512,0),10,1)),0)</f>
        <v>0</v>
      </c>
      <c r="W55" s="32">
        <f t="array" aca="1" ref="W55" ca="1">_xlfn.IFNA(SUM((W$3&gt;='Gastos com Pessoal'!$E$7:$E$506)*(W$3&lt;='Gastos com Pessoal'!$F$7:$F$506)*OFFSET('Encargos e Benefícios'!$D$5,1,MATCH($B55,'Encargos e Benefícios'!$E$5:$AB$5,0),500,1)),0)
+_xlfn.IFNA(SUM((W$3&gt;='Gastos com Pessoal'!$E$513:$E$522)*(W$3&lt;='Gastos com Pessoal'!$F$513:$F$522)*OFFSET('Encargos e Benefícios'!$D$511,1,MATCH($B55,'Encargos e Benefícios'!$E$511:$AB$511,0),10,1)),0)
+_xlfn.IFNA(SUM((W$3&gt;='Gastos com Pessoal'!$E$7:$E$506)*(W$3&lt;='Gastos com Pessoal'!$F$7:$F$506)*(IF('Gastos com Pessoal'!$G$7:$G$506&lt;=W$3,1,0))*OFFSET('Gastos com Pessoal'!$H$6,1,MATCH(1&amp;$B55,'Gastos com Pessoal'!$I$532:$AJ$532&amp;'Gastos com Pessoal'!$I$6:$AJ$6,0),500,1)),0)
+_xlfn.IFNA(SUM((W$3&gt;='Gastos com Pessoal'!$E$7:$E$506)*(W$3&lt;='Gastos com Pessoal'!$F$7:$F$506)*(IF('Gastos com Pessoal'!$M$7:$M$506&lt;=W$3,1,0))*OFFSET('Gastos com Pessoal'!$H$6,1,MATCH(2&amp;$B55,'Gastos com Pessoal'!$I$532:$AJ$532&amp;'Gastos com Pessoal'!$I$6:$AJ$6,0),500,1)),0)
+_xlfn.IFNA(SUM((W$3&gt;='Gastos com Pessoal'!$E$7:$E$506)*(W$3&lt;='Gastos com Pessoal'!$F$7:$F$506)*(IF('Gastos com Pessoal'!$S$7:$S$506&lt;=W$3,1,0))*OFFSET('Gastos com Pessoal'!$H$6,1,MATCH(3&amp;$B55,'Gastos com Pessoal'!$I$532:$AJ$532&amp;'Gastos com Pessoal'!$I$6:$AJ$6,0),500,1)),0)
+_xlfn.IFNA(SUM((W$3&gt;='Gastos com Pessoal'!$E$7:$E$506)*(W$3&lt;='Gastos com Pessoal'!$F$7:$F$506)*(IF('Gastos com Pessoal'!$Y$7:$Y$506&lt;=W$3,1,0))*OFFSET('Gastos com Pessoal'!$H$6,1,MATCH(4&amp;$B55,'Gastos com Pessoal'!$I$532:$AJ$532&amp;'Gastos com Pessoal'!$I$6:$AJ$6,0),500,1)),0)
+_xlfn.IFNA(SUM((W$3&gt;='Gastos com Pessoal'!$E$7:$E$506)*(W$3&lt;='Gastos com Pessoal'!$F$7:$F$506)*(IF('Gastos com Pessoal'!$AE$7:$AE$506&lt;=W$3,1,0))*OFFSET('Gastos com Pessoal'!$H$6,1,MATCH(5&amp;$B55,'Gastos com Pessoal'!$I$532:$AJ$532&amp;'Gastos com Pessoal'!$I$6:$AJ$6,0),500,1)),0)
+_xlfn.IFNA(SUM((W$3&gt;='Gastos com Pessoal'!$E$513:$E$522)*(W$3&lt;='Gastos com Pessoal'!$F$513:$F$522)*(IF('Gastos com Pessoal'!$G$513:$G$522&lt;=W$3,1,0))*OFFSET('Gastos com Pessoal'!$H$512,1,MATCH(1&amp;$B55,'Gastos com Pessoal'!$I$532:$AJ$532&amp;'Gastos com Pessoal'!$I$512:$AJ$512,0),10,1)),0)
+_xlfn.IFNA(SUM((W$3&gt;='Gastos com Pessoal'!$E$513:$E$522)*(W$3&lt;='Gastos com Pessoal'!$F$513:$F$522)*(IF('Gastos com Pessoal'!$M$513:$M$522&lt;=W$3,1,0))*OFFSET('Gastos com Pessoal'!$H$512,1,MATCH(2&amp;$B55,'Gastos com Pessoal'!$I$532:$AJ$532&amp;'Gastos com Pessoal'!$I$512:$AJ$512,0),10,1)),0)
+_xlfn.IFNA(SUM((W$3&gt;='Gastos com Pessoal'!$E$513:$E$522)*(W$3&lt;='Gastos com Pessoal'!$F$513:$F$522)*(IF('Gastos com Pessoal'!$S$513:$S$522&lt;=W$3,1,0))*OFFSET('Gastos com Pessoal'!$H$512,1,MATCH(3&amp;$B55,'Gastos com Pessoal'!$I$532:$AJ$532&amp;'Gastos com Pessoal'!$I$512:$AJ$512,0),10,1)),0)
+_xlfn.IFNA(SUM((W$3&gt;='Gastos com Pessoal'!$E$513:$E$522)*(W$3&lt;='Gastos com Pessoal'!$F$513:$F$522)*(IF('Gastos com Pessoal'!$Y$513:$Y$522&lt;=W$3,1,0))*OFFSET('Gastos com Pessoal'!$H$512,1,MATCH(4&amp;$B55,'Gastos com Pessoal'!$I$532:$AJ$532&amp;'Gastos com Pessoal'!$I$512:$AJ$512,0),10,1)),0)
+_xlfn.IFNA(SUM((W$3&gt;='Gastos com Pessoal'!$E$513:$E$522)*(W$3&lt;='Gastos com Pessoal'!$F$513:$F$522)*(IF('Gastos com Pessoal'!$AE$513:$AE$522&lt;=W$3,1,0))*OFFSET('Gastos com Pessoal'!$H$512,1,MATCH(5&amp;$B55,'Gastos com Pessoal'!$I$532:$AJ$532&amp;'Gastos com Pessoal'!$I$512:$AJ$512,0),10,1)),0)</f>
        <v>0</v>
      </c>
      <c r="X55" s="32">
        <f t="array" aca="1" ref="X55" ca="1">_xlfn.IFNA(SUM((X$3&gt;='Gastos com Pessoal'!$E$7:$E$506)*(X$3&lt;='Gastos com Pessoal'!$F$7:$F$506)*OFFSET('Encargos e Benefícios'!$D$5,1,MATCH($B55,'Encargos e Benefícios'!$E$5:$AB$5,0),500,1)),0)
+_xlfn.IFNA(SUM((X$3&gt;='Gastos com Pessoal'!$E$513:$E$522)*(X$3&lt;='Gastos com Pessoal'!$F$513:$F$522)*OFFSET('Encargos e Benefícios'!$D$511,1,MATCH($B55,'Encargos e Benefícios'!$E$511:$AB$511,0),10,1)),0)
+_xlfn.IFNA(SUM((X$3&gt;='Gastos com Pessoal'!$E$7:$E$506)*(X$3&lt;='Gastos com Pessoal'!$F$7:$F$506)*(IF('Gastos com Pessoal'!$G$7:$G$506&lt;=X$3,1,0))*OFFSET('Gastos com Pessoal'!$H$6,1,MATCH(1&amp;$B55,'Gastos com Pessoal'!$I$532:$AJ$532&amp;'Gastos com Pessoal'!$I$6:$AJ$6,0),500,1)),0)
+_xlfn.IFNA(SUM((X$3&gt;='Gastos com Pessoal'!$E$7:$E$506)*(X$3&lt;='Gastos com Pessoal'!$F$7:$F$506)*(IF('Gastos com Pessoal'!$M$7:$M$506&lt;=X$3,1,0))*OFFSET('Gastos com Pessoal'!$H$6,1,MATCH(2&amp;$B55,'Gastos com Pessoal'!$I$532:$AJ$532&amp;'Gastos com Pessoal'!$I$6:$AJ$6,0),500,1)),0)
+_xlfn.IFNA(SUM((X$3&gt;='Gastos com Pessoal'!$E$7:$E$506)*(X$3&lt;='Gastos com Pessoal'!$F$7:$F$506)*(IF('Gastos com Pessoal'!$S$7:$S$506&lt;=X$3,1,0))*OFFSET('Gastos com Pessoal'!$H$6,1,MATCH(3&amp;$B55,'Gastos com Pessoal'!$I$532:$AJ$532&amp;'Gastos com Pessoal'!$I$6:$AJ$6,0),500,1)),0)
+_xlfn.IFNA(SUM((X$3&gt;='Gastos com Pessoal'!$E$7:$E$506)*(X$3&lt;='Gastos com Pessoal'!$F$7:$F$506)*(IF('Gastos com Pessoal'!$Y$7:$Y$506&lt;=X$3,1,0))*OFFSET('Gastos com Pessoal'!$H$6,1,MATCH(4&amp;$B55,'Gastos com Pessoal'!$I$532:$AJ$532&amp;'Gastos com Pessoal'!$I$6:$AJ$6,0),500,1)),0)
+_xlfn.IFNA(SUM((X$3&gt;='Gastos com Pessoal'!$E$7:$E$506)*(X$3&lt;='Gastos com Pessoal'!$F$7:$F$506)*(IF('Gastos com Pessoal'!$AE$7:$AE$506&lt;=X$3,1,0))*OFFSET('Gastos com Pessoal'!$H$6,1,MATCH(5&amp;$B55,'Gastos com Pessoal'!$I$532:$AJ$532&amp;'Gastos com Pessoal'!$I$6:$AJ$6,0),500,1)),0)
+_xlfn.IFNA(SUM((X$3&gt;='Gastos com Pessoal'!$E$513:$E$522)*(X$3&lt;='Gastos com Pessoal'!$F$513:$F$522)*(IF('Gastos com Pessoal'!$G$513:$G$522&lt;=X$3,1,0))*OFFSET('Gastos com Pessoal'!$H$512,1,MATCH(1&amp;$B55,'Gastos com Pessoal'!$I$532:$AJ$532&amp;'Gastos com Pessoal'!$I$512:$AJ$512,0),10,1)),0)
+_xlfn.IFNA(SUM((X$3&gt;='Gastos com Pessoal'!$E$513:$E$522)*(X$3&lt;='Gastos com Pessoal'!$F$513:$F$522)*(IF('Gastos com Pessoal'!$M$513:$M$522&lt;=X$3,1,0))*OFFSET('Gastos com Pessoal'!$H$512,1,MATCH(2&amp;$B55,'Gastos com Pessoal'!$I$532:$AJ$532&amp;'Gastos com Pessoal'!$I$512:$AJ$512,0),10,1)),0)
+_xlfn.IFNA(SUM((X$3&gt;='Gastos com Pessoal'!$E$513:$E$522)*(X$3&lt;='Gastos com Pessoal'!$F$513:$F$522)*(IF('Gastos com Pessoal'!$S$513:$S$522&lt;=X$3,1,0))*OFFSET('Gastos com Pessoal'!$H$512,1,MATCH(3&amp;$B55,'Gastos com Pessoal'!$I$532:$AJ$532&amp;'Gastos com Pessoal'!$I$512:$AJ$512,0),10,1)),0)
+_xlfn.IFNA(SUM((X$3&gt;='Gastos com Pessoal'!$E$513:$E$522)*(X$3&lt;='Gastos com Pessoal'!$F$513:$F$522)*(IF('Gastos com Pessoal'!$Y$513:$Y$522&lt;=X$3,1,0))*OFFSET('Gastos com Pessoal'!$H$512,1,MATCH(4&amp;$B55,'Gastos com Pessoal'!$I$532:$AJ$532&amp;'Gastos com Pessoal'!$I$512:$AJ$512,0),10,1)),0)
+_xlfn.IFNA(SUM((X$3&gt;='Gastos com Pessoal'!$E$513:$E$522)*(X$3&lt;='Gastos com Pessoal'!$F$513:$F$522)*(IF('Gastos com Pessoal'!$AE$513:$AE$522&lt;=X$3,1,0))*OFFSET('Gastos com Pessoal'!$H$512,1,MATCH(5&amp;$B55,'Gastos com Pessoal'!$I$532:$AJ$532&amp;'Gastos com Pessoal'!$I$512:$AJ$512,0),10,1)),0)</f>
        <v>0</v>
      </c>
      <c r="Y55" s="32">
        <f t="array" aca="1" ref="Y55" ca="1">_xlfn.IFNA(SUM((Y$3&gt;='Gastos com Pessoal'!$E$7:$E$506)*(Y$3&lt;='Gastos com Pessoal'!$F$7:$F$506)*OFFSET('Encargos e Benefícios'!$D$5,1,MATCH($B55,'Encargos e Benefícios'!$E$5:$AB$5,0),500,1)),0)
+_xlfn.IFNA(SUM((Y$3&gt;='Gastos com Pessoal'!$E$513:$E$522)*(Y$3&lt;='Gastos com Pessoal'!$F$513:$F$522)*OFFSET('Encargos e Benefícios'!$D$511,1,MATCH($B55,'Encargos e Benefícios'!$E$511:$AB$511,0),10,1)),0)
+_xlfn.IFNA(SUM((Y$3&gt;='Gastos com Pessoal'!$E$7:$E$506)*(Y$3&lt;='Gastos com Pessoal'!$F$7:$F$506)*(IF('Gastos com Pessoal'!$G$7:$G$506&lt;=Y$3,1,0))*OFFSET('Gastos com Pessoal'!$H$6,1,MATCH(1&amp;$B55,'Gastos com Pessoal'!$I$532:$AJ$532&amp;'Gastos com Pessoal'!$I$6:$AJ$6,0),500,1)),0)
+_xlfn.IFNA(SUM((Y$3&gt;='Gastos com Pessoal'!$E$7:$E$506)*(Y$3&lt;='Gastos com Pessoal'!$F$7:$F$506)*(IF('Gastos com Pessoal'!$M$7:$M$506&lt;=Y$3,1,0))*OFFSET('Gastos com Pessoal'!$H$6,1,MATCH(2&amp;$B55,'Gastos com Pessoal'!$I$532:$AJ$532&amp;'Gastos com Pessoal'!$I$6:$AJ$6,0),500,1)),0)
+_xlfn.IFNA(SUM((Y$3&gt;='Gastos com Pessoal'!$E$7:$E$506)*(Y$3&lt;='Gastos com Pessoal'!$F$7:$F$506)*(IF('Gastos com Pessoal'!$S$7:$S$506&lt;=Y$3,1,0))*OFFSET('Gastos com Pessoal'!$H$6,1,MATCH(3&amp;$B55,'Gastos com Pessoal'!$I$532:$AJ$532&amp;'Gastos com Pessoal'!$I$6:$AJ$6,0),500,1)),0)
+_xlfn.IFNA(SUM((Y$3&gt;='Gastos com Pessoal'!$E$7:$E$506)*(Y$3&lt;='Gastos com Pessoal'!$F$7:$F$506)*(IF('Gastos com Pessoal'!$Y$7:$Y$506&lt;=Y$3,1,0))*OFFSET('Gastos com Pessoal'!$H$6,1,MATCH(4&amp;$B55,'Gastos com Pessoal'!$I$532:$AJ$532&amp;'Gastos com Pessoal'!$I$6:$AJ$6,0),500,1)),0)
+_xlfn.IFNA(SUM((Y$3&gt;='Gastos com Pessoal'!$E$7:$E$506)*(Y$3&lt;='Gastos com Pessoal'!$F$7:$F$506)*(IF('Gastos com Pessoal'!$AE$7:$AE$506&lt;=Y$3,1,0))*OFFSET('Gastos com Pessoal'!$H$6,1,MATCH(5&amp;$B55,'Gastos com Pessoal'!$I$532:$AJ$532&amp;'Gastos com Pessoal'!$I$6:$AJ$6,0),500,1)),0)
+_xlfn.IFNA(SUM((Y$3&gt;='Gastos com Pessoal'!$E$513:$E$522)*(Y$3&lt;='Gastos com Pessoal'!$F$513:$F$522)*(IF('Gastos com Pessoal'!$G$513:$G$522&lt;=Y$3,1,0))*OFFSET('Gastos com Pessoal'!$H$512,1,MATCH(1&amp;$B55,'Gastos com Pessoal'!$I$532:$AJ$532&amp;'Gastos com Pessoal'!$I$512:$AJ$512,0),10,1)),0)
+_xlfn.IFNA(SUM((Y$3&gt;='Gastos com Pessoal'!$E$513:$E$522)*(Y$3&lt;='Gastos com Pessoal'!$F$513:$F$522)*(IF('Gastos com Pessoal'!$M$513:$M$522&lt;=Y$3,1,0))*OFFSET('Gastos com Pessoal'!$H$512,1,MATCH(2&amp;$B55,'Gastos com Pessoal'!$I$532:$AJ$532&amp;'Gastos com Pessoal'!$I$512:$AJ$512,0),10,1)),0)
+_xlfn.IFNA(SUM((Y$3&gt;='Gastos com Pessoal'!$E$513:$E$522)*(Y$3&lt;='Gastos com Pessoal'!$F$513:$F$522)*(IF('Gastos com Pessoal'!$S$513:$S$522&lt;=Y$3,1,0))*OFFSET('Gastos com Pessoal'!$H$512,1,MATCH(3&amp;$B55,'Gastos com Pessoal'!$I$532:$AJ$532&amp;'Gastos com Pessoal'!$I$512:$AJ$512,0),10,1)),0)
+_xlfn.IFNA(SUM((Y$3&gt;='Gastos com Pessoal'!$E$513:$E$522)*(Y$3&lt;='Gastos com Pessoal'!$F$513:$F$522)*(IF('Gastos com Pessoal'!$Y$513:$Y$522&lt;=Y$3,1,0))*OFFSET('Gastos com Pessoal'!$H$512,1,MATCH(4&amp;$B55,'Gastos com Pessoal'!$I$532:$AJ$532&amp;'Gastos com Pessoal'!$I$512:$AJ$512,0),10,1)),0)
+_xlfn.IFNA(SUM((Y$3&gt;='Gastos com Pessoal'!$E$513:$E$522)*(Y$3&lt;='Gastos com Pessoal'!$F$513:$F$522)*(IF('Gastos com Pessoal'!$AE$513:$AE$522&lt;=Y$3,1,0))*OFFSET('Gastos com Pessoal'!$H$512,1,MATCH(5&amp;$B55,'Gastos com Pessoal'!$I$532:$AJ$532&amp;'Gastos com Pessoal'!$I$512:$AJ$512,0),10,1)),0)</f>
        <v>0</v>
      </c>
      <c r="Z55" s="32">
        <f t="array" aca="1" ref="Z55" ca="1">_xlfn.IFNA(SUM((Z$3&gt;='Gastos com Pessoal'!$E$7:$E$506)*(Z$3&lt;='Gastos com Pessoal'!$F$7:$F$506)*OFFSET('Encargos e Benefícios'!$D$5,1,MATCH($B55,'Encargos e Benefícios'!$E$5:$AB$5,0),500,1)),0)
+_xlfn.IFNA(SUM((Z$3&gt;='Gastos com Pessoal'!$E$513:$E$522)*(Z$3&lt;='Gastos com Pessoal'!$F$513:$F$522)*OFFSET('Encargos e Benefícios'!$D$511,1,MATCH($B55,'Encargos e Benefícios'!$E$511:$AB$511,0),10,1)),0)
+_xlfn.IFNA(SUM((Z$3&gt;='Gastos com Pessoal'!$E$7:$E$506)*(Z$3&lt;='Gastos com Pessoal'!$F$7:$F$506)*(IF('Gastos com Pessoal'!$G$7:$G$506&lt;=Z$3,1,0))*OFFSET('Gastos com Pessoal'!$H$6,1,MATCH(1&amp;$B55,'Gastos com Pessoal'!$I$532:$AJ$532&amp;'Gastos com Pessoal'!$I$6:$AJ$6,0),500,1)),0)
+_xlfn.IFNA(SUM((Z$3&gt;='Gastos com Pessoal'!$E$7:$E$506)*(Z$3&lt;='Gastos com Pessoal'!$F$7:$F$506)*(IF('Gastos com Pessoal'!$M$7:$M$506&lt;=Z$3,1,0))*OFFSET('Gastos com Pessoal'!$H$6,1,MATCH(2&amp;$B55,'Gastos com Pessoal'!$I$532:$AJ$532&amp;'Gastos com Pessoal'!$I$6:$AJ$6,0),500,1)),0)
+_xlfn.IFNA(SUM((Z$3&gt;='Gastos com Pessoal'!$E$7:$E$506)*(Z$3&lt;='Gastos com Pessoal'!$F$7:$F$506)*(IF('Gastos com Pessoal'!$S$7:$S$506&lt;=Z$3,1,0))*OFFSET('Gastos com Pessoal'!$H$6,1,MATCH(3&amp;$B55,'Gastos com Pessoal'!$I$532:$AJ$532&amp;'Gastos com Pessoal'!$I$6:$AJ$6,0),500,1)),0)
+_xlfn.IFNA(SUM((Z$3&gt;='Gastos com Pessoal'!$E$7:$E$506)*(Z$3&lt;='Gastos com Pessoal'!$F$7:$F$506)*(IF('Gastos com Pessoal'!$Y$7:$Y$506&lt;=Z$3,1,0))*OFFSET('Gastos com Pessoal'!$H$6,1,MATCH(4&amp;$B55,'Gastos com Pessoal'!$I$532:$AJ$532&amp;'Gastos com Pessoal'!$I$6:$AJ$6,0),500,1)),0)
+_xlfn.IFNA(SUM((Z$3&gt;='Gastos com Pessoal'!$E$7:$E$506)*(Z$3&lt;='Gastos com Pessoal'!$F$7:$F$506)*(IF('Gastos com Pessoal'!$AE$7:$AE$506&lt;=Z$3,1,0))*OFFSET('Gastos com Pessoal'!$H$6,1,MATCH(5&amp;$B55,'Gastos com Pessoal'!$I$532:$AJ$532&amp;'Gastos com Pessoal'!$I$6:$AJ$6,0),500,1)),0)
+_xlfn.IFNA(SUM((Z$3&gt;='Gastos com Pessoal'!$E$513:$E$522)*(Z$3&lt;='Gastos com Pessoal'!$F$513:$F$522)*(IF('Gastos com Pessoal'!$G$513:$G$522&lt;=Z$3,1,0))*OFFSET('Gastos com Pessoal'!$H$512,1,MATCH(1&amp;$B55,'Gastos com Pessoal'!$I$532:$AJ$532&amp;'Gastos com Pessoal'!$I$512:$AJ$512,0),10,1)),0)
+_xlfn.IFNA(SUM((Z$3&gt;='Gastos com Pessoal'!$E$513:$E$522)*(Z$3&lt;='Gastos com Pessoal'!$F$513:$F$522)*(IF('Gastos com Pessoal'!$M$513:$M$522&lt;=Z$3,1,0))*OFFSET('Gastos com Pessoal'!$H$512,1,MATCH(2&amp;$B55,'Gastos com Pessoal'!$I$532:$AJ$532&amp;'Gastos com Pessoal'!$I$512:$AJ$512,0),10,1)),0)
+_xlfn.IFNA(SUM((Z$3&gt;='Gastos com Pessoal'!$E$513:$E$522)*(Z$3&lt;='Gastos com Pessoal'!$F$513:$F$522)*(IF('Gastos com Pessoal'!$S$513:$S$522&lt;=Z$3,1,0))*OFFSET('Gastos com Pessoal'!$H$512,1,MATCH(3&amp;$B55,'Gastos com Pessoal'!$I$532:$AJ$532&amp;'Gastos com Pessoal'!$I$512:$AJ$512,0),10,1)),0)
+_xlfn.IFNA(SUM((Z$3&gt;='Gastos com Pessoal'!$E$513:$E$522)*(Z$3&lt;='Gastos com Pessoal'!$F$513:$F$522)*(IF('Gastos com Pessoal'!$Y$513:$Y$522&lt;=Z$3,1,0))*OFFSET('Gastos com Pessoal'!$H$512,1,MATCH(4&amp;$B55,'Gastos com Pessoal'!$I$532:$AJ$532&amp;'Gastos com Pessoal'!$I$512:$AJ$512,0),10,1)),0)
+_xlfn.IFNA(SUM((Z$3&gt;='Gastos com Pessoal'!$E$513:$E$522)*(Z$3&lt;='Gastos com Pessoal'!$F$513:$F$522)*(IF('Gastos com Pessoal'!$AE$513:$AE$522&lt;=Z$3,1,0))*OFFSET('Gastos com Pessoal'!$H$512,1,MATCH(5&amp;$B55,'Gastos com Pessoal'!$I$532:$AJ$532&amp;'Gastos com Pessoal'!$I$512:$AJ$512,0),10,1)),0)</f>
        <v>0</v>
      </c>
      <c r="AA55" s="32">
        <f t="array" aca="1" ref="AA55" ca="1">_xlfn.IFNA(SUM((AA$3&gt;='Gastos com Pessoal'!$E$7:$E$506)*(AA$3&lt;='Gastos com Pessoal'!$F$7:$F$506)*OFFSET('Encargos e Benefícios'!$D$5,1,MATCH($B55,'Encargos e Benefícios'!$E$5:$AB$5,0),500,1)),0)
+_xlfn.IFNA(SUM((AA$3&gt;='Gastos com Pessoal'!$E$513:$E$522)*(AA$3&lt;='Gastos com Pessoal'!$F$513:$F$522)*OFFSET('Encargos e Benefícios'!$D$511,1,MATCH($B55,'Encargos e Benefícios'!$E$511:$AB$511,0),10,1)),0)
+_xlfn.IFNA(SUM((AA$3&gt;='Gastos com Pessoal'!$E$7:$E$506)*(AA$3&lt;='Gastos com Pessoal'!$F$7:$F$506)*(IF('Gastos com Pessoal'!$G$7:$G$506&lt;=AA$3,1,0))*OFFSET('Gastos com Pessoal'!$H$6,1,MATCH(1&amp;$B55,'Gastos com Pessoal'!$I$532:$AJ$532&amp;'Gastos com Pessoal'!$I$6:$AJ$6,0),500,1)),0)
+_xlfn.IFNA(SUM((AA$3&gt;='Gastos com Pessoal'!$E$7:$E$506)*(AA$3&lt;='Gastos com Pessoal'!$F$7:$F$506)*(IF('Gastos com Pessoal'!$M$7:$M$506&lt;=AA$3,1,0))*OFFSET('Gastos com Pessoal'!$H$6,1,MATCH(2&amp;$B55,'Gastos com Pessoal'!$I$532:$AJ$532&amp;'Gastos com Pessoal'!$I$6:$AJ$6,0),500,1)),0)
+_xlfn.IFNA(SUM((AA$3&gt;='Gastos com Pessoal'!$E$7:$E$506)*(AA$3&lt;='Gastos com Pessoal'!$F$7:$F$506)*(IF('Gastos com Pessoal'!$S$7:$S$506&lt;=AA$3,1,0))*OFFSET('Gastos com Pessoal'!$H$6,1,MATCH(3&amp;$B55,'Gastos com Pessoal'!$I$532:$AJ$532&amp;'Gastos com Pessoal'!$I$6:$AJ$6,0),500,1)),0)
+_xlfn.IFNA(SUM((AA$3&gt;='Gastos com Pessoal'!$E$7:$E$506)*(AA$3&lt;='Gastos com Pessoal'!$F$7:$F$506)*(IF('Gastos com Pessoal'!$Y$7:$Y$506&lt;=AA$3,1,0))*OFFSET('Gastos com Pessoal'!$H$6,1,MATCH(4&amp;$B55,'Gastos com Pessoal'!$I$532:$AJ$532&amp;'Gastos com Pessoal'!$I$6:$AJ$6,0),500,1)),0)
+_xlfn.IFNA(SUM((AA$3&gt;='Gastos com Pessoal'!$E$7:$E$506)*(AA$3&lt;='Gastos com Pessoal'!$F$7:$F$506)*(IF('Gastos com Pessoal'!$AE$7:$AE$506&lt;=AA$3,1,0))*OFFSET('Gastos com Pessoal'!$H$6,1,MATCH(5&amp;$B55,'Gastos com Pessoal'!$I$532:$AJ$532&amp;'Gastos com Pessoal'!$I$6:$AJ$6,0),500,1)),0)
+_xlfn.IFNA(SUM((AA$3&gt;='Gastos com Pessoal'!$E$513:$E$522)*(AA$3&lt;='Gastos com Pessoal'!$F$513:$F$522)*(IF('Gastos com Pessoal'!$G$513:$G$522&lt;=AA$3,1,0))*OFFSET('Gastos com Pessoal'!$H$512,1,MATCH(1&amp;$B55,'Gastos com Pessoal'!$I$532:$AJ$532&amp;'Gastos com Pessoal'!$I$512:$AJ$512,0),10,1)),0)
+_xlfn.IFNA(SUM((AA$3&gt;='Gastos com Pessoal'!$E$513:$E$522)*(AA$3&lt;='Gastos com Pessoal'!$F$513:$F$522)*(IF('Gastos com Pessoal'!$M$513:$M$522&lt;=AA$3,1,0))*OFFSET('Gastos com Pessoal'!$H$512,1,MATCH(2&amp;$B55,'Gastos com Pessoal'!$I$532:$AJ$532&amp;'Gastos com Pessoal'!$I$512:$AJ$512,0),10,1)),0)
+_xlfn.IFNA(SUM((AA$3&gt;='Gastos com Pessoal'!$E$513:$E$522)*(AA$3&lt;='Gastos com Pessoal'!$F$513:$F$522)*(IF('Gastos com Pessoal'!$S$513:$S$522&lt;=AA$3,1,0))*OFFSET('Gastos com Pessoal'!$H$512,1,MATCH(3&amp;$B55,'Gastos com Pessoal'!$I$532:$AJ$532&amp;'Gastos com Pessoal'!$I$512:$AJ$512,0),10,1)),0)
+_xlfn.IFNA(SUM((AA$3&gt;='Gastos com Pessoal'!$E$513:$E$522)*(AA$3&lt;='Gastos com Pessoal'!$F$513:$F$522)*(IF('Gastos com Pessoal'!$Y$513:$Y$522&lt;=AA$3,1,0))*OFFSET('Gastos com Pessoal'!$H$512,1,MATCH(4&amp;$B55,'Gastos com Pessoal'!$I$532:$AJ$532&amp;'Gastos com Pessoal'!$I$512:$AJ$512,0),10,1)),0)
+_xlfn.IFNA(SUM((AA$3&gt;='Gastos com Pessoal'!$E$513:$E$522)*(AA$3&lt;='Gastos com Pessoal'!$F$513:$F$522)*(IF('Gastos com Pessoal'!$AE$513:$AE$522&lt;=AA$3,1,0))*OFFSET('Gastos com Pessoal'!$H$512,1,MATCH(5&amp;$B55,'Gastos com Pessoal'!$I$532:$AJ$532&amp;'Gastos com Pessoal'!$I$512:$AJ$512,0),10,1)),0)</f>
        <v>0</v>
      </c>
      <c r="AB55" s="32">
        <f t="array" aca="1" ref="AB55" ca="1">_xlfn.IFNA(SUM((AB$3&gt;='Gastos com Pessoal'!$E$7:$E$506)*(AB$3&lt;='Gastos com Pessoal'!$F$7:$F$506)*OFFSET('Encargos e Benefícios'!$D$5,1,MATCH($B55,'Encargos e Benefícios'!$E$5:$AB$5,0),500,1)),0)
+_xlfn.IFNA(SUM((AB$3&gt;='Gastos com Pessoal'!$E$513:$E$522)*(AB$3&lt;='Gastos com Pessoal'!$F$513:$F$522)*OFFSET('Encargos e Benefícios'!$D$511,1,MATCH($B55,'Encargos e Benefícios'!$E$511:$AB$511,0),10,1)),0)
+_xlfn.IFNA(SUM((AB$3&gt;='Gastos com Pessoal'!$E$7:$E$506)*(AB$3&lt;='Gastos com Pessoal'!$F$7:$F$506)*(IF('Gastos com Pessoal'!$G$7:$G$506&lt;=AB$3,1,0))*OFFSET('Gastos com Pessoal'!$H$6,1,MATCH(1&amp;$B55,'Gastos com Pessoal'!$I$532:$AJ$532&amp;'Gastos com Pessoal'!$I$6:$AJ$6,0),500,1)),0)
+_xlfn.IFNA(SUM((AB$3&gt;='Gastos com Pessoal'!$E$7:$E$506)*(AB$3&lt;='Gastos com Pessoal'!$F$7:$F$506)*(IF('Gastos com Pessoal'!$M$7:$M$506&lt;=AB$3,1,0))*OFFSET('Gastos com Pessoal'!$H$6,1,MATCH(2&amp;$B55,'Gastos com Pessoal'!$I$532:$AJ$532&amp;'Gastos com Pessoal'!$I$6:$AJ$6,0),500,1)),0)
+_xlfn.IFNA(SUM((AB$3&gt;='Gastos com Pessoal'!$E$7:$E$506)*(AB$3&lt;='Gastos com Pessoal'!$F$7:$F$506)*(IF('Gastos com Pessoal'!$S$7:$S$506&lt;=AB$3,1,0))*OFFSET('Gastos com Pessoal'!$H$6,1,MATCH(3&amp;$B55,'Gastos com Pessoal'!$I$532:$AJ$532&amp;'Gastos com Pessoal'!$I$6:$AJ$6,0),500,1)),0)
+_xlfn.IFNA(SUM((AB$3&gt;='Gastos com Pessoal'!$E$7:$E$506)*(AB$3&lt;='Gastos com Pessoal'!$F$7:$F$506)*(IF('Gastos com Pessoal'!$Y$7:$Y$506&lt;=AB$3,1,0))*OFFSET('Gastos com Pessoal'!$H$6,1,MATCH(4&amp;$B55,'Gastos com Pessoal'!$I$532:$AJ$532&amp;'Gastos com Pessoal'!$I$6:$AJ$6,0),500,1)),0)
+_xlfn.IFNA(SUM((AB$3&gt;='Gastos com Pessoal'!$E$7:$E$506)*(AB$3&lt;='Gastos com Pessoal'!$F$7:$F$506)*(IF('Gastos com Pessoal'!$AE$7:$AE$506&lt;=AB$3,1,0))*OFFSET('Gastos com Pessoal'!$H$6,1,MATCH(5&amp;$B55,'Gastos com Pessoal'!$I$532:$AJ$532&amp;'Gastos com Pessoal'!$I$6:$AJ$6,0),500,1)),0)
+_xlfn.IFNA(SUM((AB$3&gt;='Gastos com Pessoal'!$E$513:$E$522)*(AB$3&lt;='Gastos com Pessoal'!$F$513:$F$522)*(IF('Gastos com Pessoal'!$G$513:$G$522&lt;=AB$3,1,0))*OFFSET('Gastos com Pessoal'!$H$512,1,MATCH(1&amp;$B55,'Gastos com Pessoal'!$I$532:$AJ$532&amp;'Gastos com Pessoal'!$I$512:$AJ$512,0),10,1)),0)
+_xlfn.IFNA(SUM((AB$3&gt;='Gastos com Pessoal'!$E$513:$E$522)*(AB$3&lt;='Gastos com Pessoal'!$F$513:$F$522)*(IF('Gastos com Pessoal'!$M$513:$M$522&lt;=AB$3,1,0))*OFFSET('Gastos com Pessoal'!$H$512,1,MATCH(2&amp;$B55,'Gastos com Pessoal'!$I$532:$AJ$532&amp;'Gastos com Pessoal'!$I$512:$AJ$512,0),10,1)),0)
+_xlfn.IFNA(SUM((AB$3&gt;='Gastos com Pessoal'!$E$513:$E$522)*(AB$3&lt;='Gastos com Pessoal'!$F$513:$F$522)*(IF('Gastos com Pessoal'!$S$513:$S$522&lt;=AB$3,1,0))*OFFSET('Gastos com Pessoal'!$H$512,1,MATCH(3&amp;$B55,'Gastos com Pessoal'!$I$532:$AJ$532&amp;'Gastos com Pessoal'!$I$512:$AJ$512,0),10,1)),0)
+_xlfn.IFNA(SUM((AB$3&gt;='Gastos com Pessoal'!$E$513:$E$522)*(AB$3&lt;='Gastos com Pessoal'!$F$513:$F$522)*(IF('Gastos com Pessoal'!$Y$513:$Y$522&lt;=AB$3,1,0))*OFFSET('Gastos com Pessoal'!$H$512,1,MATCH(4&amp;$B55,'Gastos com Pessoal'!$I$532:$AJ$532&amp;'Gastos com Pessoal'!$I$512:$AJ$512,0),10,1)),0)
+_xlfn.IFNA(SUM((AB$3&gt;='Gastos com Pessoal'!$E$513:$E$522)*(AB$3&lt;='Gastos com Pessoal'!$F$513:$F$522)*(IF('Gastos com Pessoal'!$AE$513:$AE$522&lt;=AB$3,1,0))*OFFSET('Gastos com Pessoal'!$H$512,1,MATCH(5&amp;$B55,'Gastos com Pessoal'!$I$532:$AJ$532&amp;'Gastos com Pessoal'!$I$512:$AJ$512,0),10,1)),0)</f>
        <v>0</v>
      </c>
      <c r="AC55" s="32">
        <f t="array" aca="1" ref="AC55" ca="1">_xlfn.IFNA(SUM((AC$3&gt;='Gastos com Pessoal'!$E$7:$E$506)*(AC$3&lt;='Gastos com Pessoal'!$F$7:$F$506)*OFFSET('Encargos e Benefícios'!$D$5,1,MATCH($B55,'Encargos e Benefícios'!$E$5:$AB$5,0),500,1)),0)
+_xlfn.IFNA(SUM((AC$3&gt;='Gastos com Pessoal'!$E$513:$E$522)*(AC$3&lt;='Gastos com Pessoal'!$F$513:$F$522)*OFFSET('Encargos e Benefícios'!$D$511,1,MATCH($B55,'Encargos e Benefícios'!$E$511:$AB$511,0),10,1)),0)
+_xlfn.IFNA(SUM((AC$3&gt;='Gastos com Pessoal'!$E$7:$E$506)*(AC$3&lt;='Gastos com Pessoal'!$F$7:$F$506)*(IF('Gastos com Pessoal'!$G$7:$G$506&lt;=AC$3,1,0))*OFFSET('Gastos com Pessoal'!$H$6,1,MATCH(1&amp;$B55,'Gastos com Pessoal'!$I$532:$AJ$532&amp;'Gastos com Pessoal'!$I$6:$AJ$6,0),500,1)),0)
+_xlfn.IFNA(SUM((AC$3&gt;='Gastos com Pessoal'!$E$7:$E$506)*(AC$3&lt;='Gastos com Pessoal'!$F$7:$F$506)*(IF('Gastos com Pessoal'!$M$7:$M$506&lt;=AC$3,1,0))*OFFSET('Gastos com Pessoal'!$H$6,1,MATCH(2&amp;$B55,'Gastos com Pessoal'!$I$532:$AJ$532&amp;'Gastos com Pessoal'!$I$6:$AJ$6,0),500,1)),0)
+_xlfn.IFNA(SUM((AC$3&gt;='Gastos com Pessoal'!$E$7:$E$506)*(AC$3&lt;='Gastos com Pessoal'!$F$7:$F$506)*(IF('Gastos com Pessoal'!$S$7:$S$506&lt;=AC$3,1,0))*OFFSET('Gastos com Pessoal'!$H$6,1,MATCH(3&amp;$B55,'Gastos com Pessoal'!$I$532:$AJ$532&amp;'Gastos com Pessoal'!$I$6:$AJ$6,0),500,1)),0)
+_xlfn.IFNA(SUM((AC$3&gt;='Gastos com Pessoal'!$E$7:$E$506)*(AC$3&lt;='Gastos com Pessoal'!$F$7:$F$506)*(IF('Gastos com Pessoal'!$Y$7:$Y$506&lt;=AC$3,1,0))*OFFSET('Gastos com Pessoal'!$H$6,1,MATCH(4&amp;$B55,'Gastos com Pessoal'!$I$532:$AJ$532&amp;'Gastos com Pessoal'!$I$6:$AJ$6,0),500,1)),0)
+_xlfn.IFNA(SUM((AC$3&gt;='Gastos com Pessoal'!$E$7:$E$506)*(AC$3&lt;='Gastos com Pessoal'!$F$7:$F$506)*(IF('Gastos com Pessoal'!$AE$7:$AE$506&lt;=AC$3,1,0))*OFFSET('Gastos com Pessoal'!$H$6,1,MATCH(5&amp;$B55,'Gastos com Pessoal'!$I$532:$AJ$532&amp;'Gastos com Pessoal'!$I$6:$AJ$6,0),500,1)),0)
+_xlfn.IFNA(SUM((AC$3&gt;='Gastos com Pessoal'!$E$513:$E$522)*(AC$3&lt;='Gastos com Pessoal'!$F$513:$F$522)*(IF('Gastos com Pessoal'!$G$513:$G$522&lt;=AC$3,1,0))*OFFSET('Gastos com Pessoal'!$H$512,1,MATCH(1&amp;$B55,'Gastos com Pessoal'!$I$532:$AJ$532&amp;'Gastos com Pessoal'!$I$512:$AJ$512,0),10,1)),0)
+_xlfn.IFNA(SUM((AC$3&gt;='Gastos com Pessoal'!$E$513:$E$522)*(AC$3&lt;='Gastos com Pessoal'!$F$513:$F$522)*(IF('Gastos com Pessoal'!$M$513:$M$522&lt;=AC$3,1,0))*OFFSET('Gastos com Pessoal'!$H$512,1,MATCH(2&amp;$B55,'Gastos com Pessoal'!$I$532:$AJ$532&amp;'Gastos com Pessoal'!$I$512:$AJ$512,0),10,1)),0)
+_xlfn.IFNA(SUM((AC$3&gt;='Gastos com Pessoal'!$E$513:$E$522)*(AC$3&lt;='Gastos com Pessoal'!$F$513:$F$522)*(IF('Gastos com Pessoal'!$S$513:$S$522&lt;=AC$3,1,0))*OFFSET('Gastos com Pessoal'!$H$512,1,MATCH(3&amp;$B55,'Gastos com Pessoal'!$I$532:$AJ$532&amp;'Gastos com Pessoal'!$I$512:$AJ$512,0),10,1)),0)
+_xlfn.IFNA(SUM((AC$3&gt;='Gastos com Pessoal'!$E$513:$E$522)*(AC$3&lt;='Gastos com Pessoal'!$F$513:$F$522)*(IF('Gastos com Pessoal'!$Y$513:$Y$522&lt;=AC$3,1,0))*OFFSET('Gastos com Pessoal'!$H$512,1,MATCH(4&amp;$B55,'Gastos com Pessoal'!$I$532:$AJ$532&amp;'Gastos com Pessoal'!$I$512:$AJ$512,0),10,1)),0)
+_xlfn.IFNA(SUM((AC$3&gt;='Gastos com Pessoal'!$E$513:$E$522)*(AC$3&lt;='Gastos com Pessoal'!$F$513:$F$522)*(IF('Gastos com Pessoal'!$AE$513:$AE$522&lt;=AC$3,1,0))*OFFSET('Gastos com Pessoal'!$H$512,1,MATCH(5&amp;$B55,'Gastos com Pessoal'!$I$532:$AJ$532&amp;'Gastos com Pessoal'!$I$512:$AJ$512,0),10,1)),0)</f>
        <v>0</v>
      </c>
      <c r="AD55" s="32">
        <f t="array" aca="1" ref="AD55" ca="1">_xlfn.IFNA(SUM((AD$3&gt;='Gastos com Pessoal'!$E$7:$E$506)*(AD$3&lt;='Gastos com Pessoal'!$F$7:$F$506)*OFFSET('Encargos e Benefícios'!$D$5,1,MATCH($B55,'Encargos e Benefícios'!$E$5:$AB$5,0),500,1)),0)
+_xlfn.IFNA(SUM((AD$3&gt;='Gastos com Pessoal'!$E$513:$E$522)*(AD$3&lt;='Gastos com Pessoal'!$F$513:$F$522)*OFFSET('Encargos e Benefícios'!$D$511,1,MATCH($B55,'Encargos e Benefícios'!$E$511:$AB$511,0),10,1)),0)
+_xlfn.IFNA(SUM((AD$3&gt;='Gastos com Pessoal'!$E$7:$E$506)*(AD$3&lt;='Gastos com Pessoal'!$F$7:$F$506)*(IF('Gastos com Pessoal'!$G$7:$G$506&lt;=AD$3,1,0))*OFFSET('Gastos com Pessoal'!$H$6,1,MATCH(1&amp;$B55,'Gastos com Pessoal'!$I$532:$AJ$532&amp;'Gastos com Pessoal'!$I$6:$AJ$6,0),500,1)),0)
+_xlfn.IFNA(SUM((AD$3&gt;='Gastos com Pessoal'!$E$7:$E$506)*(AD$3&lt;='Gastos com Pessoal'!$F$7:$F$506)*(IF('Gastos com Pessoal'!$M$7:$M$506&lt;=AD$3,1,0))*OFFSET('Gastos com Pessoal'!$H$6,1,MATCH(2&amp;$B55,'Gastos com Pessoal'!$I$532:$AJ$532&amp;'Gastos com Pessoal'!$I$6:$AJ$6,0),500,1)),0)
+_xlfn.IFNA(SUM((AD$3&gt;='Gastos com Pessoal'!$E$7:$E$506)*(AD$3&lt;='Gastos com Pessoal'!$F$7:$F$506)*(IF('Gastos com Pessoal'!$S$7:$S$506&lt;=AD$3,1,0))*OFFSET('Gastos com Pessoal'!$H$6,1,MATCH(3&amp;$B55,'Gastos com Pessoal'!$I$532:$AJ$532&amp;'Gastos com Pessoal'!$I$6:$AJ$6,0),500,1)),0)
+_xlfn.IFNA(SUM((AD$3&gt;='Gastos com Pessoal'!$E$7:$E$506)*(AD$3&lt;='Gastos com Pessoal'!$F$7:$F$506)*(IF('Gastos com Pessoal'!$Y$7:$Y$506&lt;=AD$3,1,0))*OFFSET('Gastos com Pessoal'!$H$6,1,MATCH(4&amp;$B55,'Gastos com Pessoal'!$I$532:$AJ$532&amp;'Gastos com Pessoal'!$I$6:$AJ$6,0),500,1)),0)
+_xlfn.IFNA(SUM((AD$3&gt;='Gastos com Pessoal'!$E$7:$E$506)*(AD$3&lt;='Gastos com Pessoal'!$F$7:$F$506)*(IF('Gastos com Pessoal'!$AE$7:$AE$506&lt;=AD$3,1,0))*OFFSET('Gastos com Pessoal'!$H$6,1,MATCH(5&amp;$B55,'Gastos com Pessoal'!$I$532:$AJ$532&amp;'Gastos com Pessoal'!$I$6:$AJ$6,0),500,1)),0)
+_xlfn.IFNA(SUM((AD$3&gt;='Gastos com Pessoal'!$E$513:$E$522)*(AD$3&lt;='Gastos com Pessoal'!$F$513:$F$522)*(IF('Gastos com Pessoal'!$G$513:$G$522&lt;=AD$3,1,0))*OFFSET('Gastos com Pessoal'!$H$512,1,MATCH(1&amp;$B55,'Gastos com Pessoal'!$I$532:$AJ$532&amp;'Gastos com Pessoal'!$I$512:$AJ$512,0),10,1)),0)
+_xlfn.IFNA(SUM((AD$3&gt;='Gastos com Pessoal'!$E$513:$E$522)*(AD$3&lt;='Gastos com Pessoal'!$F$513:$F$522)*(IF('Gastos com Pessoal'!$M$513:$M$522&lt;=AD$3,1,0))*OFFSET('Gastos com Pessoal'!$H$512,1,MATCH(2&amp;$B55,'Gastos com Pessoal'!$I$532:$AJ$532&amp;'Gastos com Pessoal'!$I$512:$AJ$512,0),10,1)),0)
+_xlfn.IFNA(SUM((AD$3&gt;='Gastos com Pessoal'!$E$513:$E$522)*(AD$3&lt;='Gastos com Pessoal'!$F$513:$F$522)*(IF('Gastos com Pessoal'!$S$513:$S$522&lt;=AD$3,1,0))*OFFSET('Gastos com Pessoal'!$H$512,1,MATCH(3&amp;$B55,'Gastos com Pessoal'!$I$532:$AJ$532&amp;'Gastos com Pessoal'!$I$512:$AJ$512,0),10,1)),0)
+_xlfn.IFNA(SUM((AD$3&gt;='Gastos com Pessoal'!$E$513:$E$522)*(AD$3&lt;='Gastos com Pessoal'!$F$513:$F$522)*(IF('Gastos com Pessoal'!$Y$513:$Y$522&lt;=AD$3,1,0))*OFFSET('Gastos com Pessoal'!$H$512,1,MATCH(4&amp;$B55,'Gastos com Pessoal'!$I$532:$AJ$532&amp;'Gastos com Pessoal'!$I$512:$AJ$512,0),10,1)),0)
+_xlfn.IFNA(SUM((AD$3&gt;='Gastos com Pessoal'!$E$513:$E$522)*(AD$3&lt;='Gastos com Pessoal'!$F$513:$F$522)*(IF('Gastos com Pessoal'!$AE$513:$AE$522&lt;=AD$3,1,0))*OFFSET('Gastos com Pessoal'!$H$512,1,MATCH(5&amp;$B55,'Gastos com Pessoal'!$I$532:$AJ$532&amp;'Gastos com Pessoal'!$I$512:$AJ$512,0),10,1)),0)</f>
        <v>0</v>
      </c>
      <c r="AE55" s="32">
        <f t="array" aca="1" ref="AE55" ca="1">_xlfn.IFNA(SUM((AE$3&gt;='Gastos com Pessoal'!$E$7:$E$506)*(AE$3&lt;='Gastos com Pessoal'!$F$7:$F$506)*OFFSET('Encargos e Benefícios'!$D$5,1,MATCH($B55,'Encargos e Benefícios'!$E$5:$AB$5,0),500,1)),0)
+_xlfn.IFNA(SUM((AE$3&gt;='Gastos com Pessoal'!$E$513:$E$522)*(AE$3&lt;='Gastos com Pessoal'!$F$513:$F$522)*OFFSET('Encargos e Benefícios'!$D$511,1,MATCH($B55,'Encargos e Benefícios'!$E$511:$AB$511,0),10,1)),0)
+_xlfn.IFNA(SUM((AE$3&gt;='Gastos com Pessoal'!$E$7:$E$506)*(AE$3&lt;='Gastos com Pessoal'!$F$7:$F$506)*(IF('Gastos com Pessoal'!$G$7:$G$506&lt;=AE$3,1,0))*OFFSET('Gastos com Pessoal'!$H$6,1,MATCH(1&amp;$B55,'Gastos com Pessoal'!$I$532:$AJ$532&amp;'Gastos com Pessoal'!$I$6:$AJ$6,0),500,1)),0)
+_xlfn.IFNA(SUM((AE$3&gt;='Gastos com Pessoal'!$E$7:$E$506)*(AE$3&lt;='Gastos com Pessoal'!$F$7:$F$506)*(IF('Gastos com Pessoal'!$M$7:$M$506&lt;=AE$3,1,0))*OFFSET('Gastos com Pessoal'!$H$6,1,MATCH(2&amp;$B55,'Gastos com Pessoal'!$I$532:$AJ$532&amp;'Gastos com Pessoal'!$I$6:$AJ$6,0),500,1)),0)
+_xlfn.IFNA(SUM((AE$3&gt;='Gastos com Pessoal'!$E$7:$E$506)*(AE$3&lt;='Gastos com Pessoal'!$F$7:$F$506)*(IF('Gastos com Pessoal'!$S$7:$S$506&lt;=AE$3,1,0))*OFFSET('Gastos com Pessoal'!$H$6,1,MATCH(3&amp;$B55,'Gastos com Pessoal'!$I$532:$AJ$532&amp;'Gastos com Pessoal'!$I$6:$AJ$6,0),500,1)),0)
+_xlfn.IFNA(SUM((AE$3&gt;='Gastos com Pessoal'!$E$7:$E$506)*(AE$3&lt;='Gastos com Pessoal'!$F$7:$F$506)*(IF('Gastos com Pessoal'!$Y$7:$Y$506&lt;=AE$3,1,0))*OFFSET('Gastos com Pessoal'!$H$6,1,MATCH(4&amp;$B55,'Gastos com Pessoal'!$I$532:$AJ$532&amp;'Gastos com Pessoal'!$I$6:$AJ$6,0),500,1)),0)
+_xlfn.IFNA(SUM((AE$3&gt;='Gastos com Pessoal'!$E$7:$E$506)*(AE$3&lt;='Gastos com Pessoal'!$F$7:$F$506)*(IF('Gastos com Pessoal'!$AE$7:$AE$506&lt;=AE$3,1,0))*OFFSET('Gastos com Pessoal'!$H$6,1,MATCH(5&amp;$B55,'Gastos com Pessoal'!$I$532:$AJ$532&amp;'Gastos com Pessoal'!$I$6:$AJ$6,0),500,1)),0)
+_xlfn.IFNA(SUM((AE$3&gt;='Gastos com Pessoal'!$E$513:$E$522)*(AE$3&lt;='Gastos com Pessoal'!$F$513:$F$522)*(IF('Gastos com Pessoal'!$G$513:$G$522&lt;=AE$3,1,0))*OFFSET('Gastos com Pessoal'!$H$512,1,MATCH(1&amp;$B55,'Gastos com Pessoal'!$I$532:$AJ$532&amp;'Gastos com Pessoal'!$I$512:$AJ$512,0),10,1)),0)
+_xlfn.IFNA(SUM((AE$3&gt;='Gastos com Pessoal'!$E$513:$E$522)*(AE$3&lt;='Gastos com Pessoal'!$F$513:$F$522)*(IF('Gastos com Pessoal'!$M$513:$M$522&lt;=AE$3,1,0))*OFFSET('Gastos com Pessoal'!$H$512,1,MATCH(2&amp;$B55,'Gastos com Pessoal'!$I$532:$AJ$532&amp;'Gastos com Pessoal'!$I$512:$AJ$512,0),10,1)),0)
+_xlfn.IFNA(SUM((AE$3&gt;='Gastos com Pessoal'!$E$513:$E$522)*(AE$3&lt;='Gastos com Pessoal'!$F$513:$F$522)*(IF('Gastos com Pessoal'!$S$513:$S$522&lt;=AE$3,1,0))*OFFSET('Gastos com Pessoal'!$H$512,1,MATCH(3&amp;$B55,'Gastos com Pessoal'!$I$532:$AJ$532&amp;'Gastos com Pessoal'!$I$512:$AJ$512,0),10,1)),0)
+_xlfn.IFNA(SUM((AE$3&gt;='Gastos com Pessoal'!$E$513:$E$522)*(AE$3&lt;='Gastos com Pessoal'!$F$513:$F$522)*(IF('Gastos com Pessoal'!$Y$513:$Y$522&lt;=AE$3,1,0))*OFFSET('Gastos com Pessoal'!$H$512,1,MATCH(4&amp;$B55,'Gastos com Pessoal'!$I$532:$AJ$532&amp;'Gastos com Pessoal'!$I$512:$AJ$512,0),10,1)),0)
+_xlfn.IFNA(SUM((AE$3&gt;='Gastos com Pessoal'!$E$513:$E$522)*(AE$3&lt;='Gastos com Pessoal'!$F$513:$F$522)*(IF('Gastos com Pessoal'!$AE$513:$AE$522&lt;=AE$3,1,0))*OFFSET('Gastos com Pessoal'!$H$512,1,MATCH(5&amp;$B55,'Gastos com Pessoal'!$I$532:$AJ$532&amp;'Gastos com Pessoal'!$I$512:$AJ$512,0),10,1)),0)</f>
        <v>0</v>
      </c>
      <c r="AF55" s="32">
        <f t="array" aca="1" ref="AF55" ca="1">_xlfn.IFNA(SUM((AF$3&gt;='Gastos com Pessoal'!$E$7:$E$506)*(AF$3&lt;='Gastos com Pessoal'!$F$7:$F$506)*OFFSET('Encargos e Benefícios'!$D$5,1,MATCH($B55,'Encargos e Benefícios'!$E$5:$AB$5,0),500,1)),0)
+_xlfn.IFNA(SUM((AF$3&gt;='Gastos com Pessoal'!$E$513:$E$522)*(AF$3&lt;='Gastos com Pessoal'!$F$513:$F$522)*OFFSET('Encargos e Benefícios'!$D$511,1,MATCH($B55,'Encargos e Benefícios'!$E$511:$AB$511,0),10,1)),0)
+_xlfn.IFNA(SUM((AF$3&gt;='Gastos com Pessoal'!$E$7:$E$506)*(AF$3&lt;='Gastos com Pessoal'!$F$7:$F$506)*(IF('Gastos com Pessoal'!$G$7:$G$506&lt;=AF$3,1,0))*OFFSET('Gastos com Pessoal'!$H$6,1,MATCH(1&amp;$B55,'Gastos com Pessoal'!$I$532:$AJ$532&amp;'Gastos com Pessoal'!$I$6:$AJ$6,0),500,1)),0)
+_xlfn.IFNA(SUM((AF$3&gt;='Gastos com Pessoal'!$E$7:$E$506)*(AF$3&lt;='Gastos com Pessoal'!$F$7:$F$506)*(IF('Gastos com Pessoal'!$M$7:$M$506&lt;=AF$3,1,0))*OFFSET('Gastos com Pessoal'!$H$6,1,MATCH(2&amp;$B55,'Gastos com Pessoal'!$I$532:$AJ$532&amp;'Gastos com Pessoal'!$I$6:$AJ$6,0),500,1)),0)
+_xlfn.IFNA(SUM((AF$3&gt;='Gastos com Pessoal'!$E$7:$E$506)*(AF$3&lt;='Gastos com Pessoal'!$F$7:$F$506)*(IF('Gastos com Pessoal'!$S$7:$S$506&lt;=AF$3,1,0))*OFFSET('Gastos com Pessoal'!$H$6,1,MATCH(3&amp;$B55,'Gastos com Pessoal'!$I$532:$AJ$532&amp;'Gastos com Pessoal'!$I$6:$AJ$6,0),500,1)),0)
+_xlfn.IFNA(SUM((AF$3&gt;='Gastos com Pessoal'!$E$7:$E$506)*(AF$3&lt;='Gastos com Pessoal'!$F$7:$F$506)*(IF('Gastos com Pessoal'!$Y$7:$Y$506&lt;=AF$3,1,0))*OFFSET('Gastos com Pessoal'!$H$6,1,MATCH(4&amp;$B55,'Gastos com Pessoal'!$I$532:$AJ$532&amp;'Gastos com Pessoal'!$I$6:$AJ$6,0),500,1)),0)
+_xlfn.IFNA(SUM((AF$3&gt;='Gastos com Pessoal'!$E$7:$E$506)*(AF$3&lt;='Gastos com Pessoal'!$F$7:$F$506)*(IF('Gastos com Pessoal'!$AE$7:$AE$506&lt;=AF$3,1,0))*OFFSET('Gastos com Pessoal'!$H$6,1,MATCH(5&amp;$B55,'Gastos com Pessoal'!$I$532:$AJ$532&amp;'Gastos com Pessoal'!$I$6:$AJ$6,0),500,1)),0)
+_xlfn.IFNA(SUM((AF$3&gt;='Gastos com Pessoal'!$E$513:$E$522)*(AF$3&lt;='Gastos com Pessoal'!$F$513:$F$522)*(IF('Gastos com Pessoal'!$G$513:$G$522&lt;=AF$3,1,0))*OFFSET('Gastos com Pessoal'!$H$512,1,MATCH(1&amp;$B55,'Gastos com Pessoal'!$I$532:$AJ$532&amp;'Gastos com Pessoal'!$I$512:$AJ$512,0),10,1)),0)
+_xlfn.IFNA(SUM((AF$3&gt;='Gastos com Pessoal'!$E$513:$E$522)*(AF$3&lt;='Gastos com Pessoal'!$F$513:$F$522)*(IF('Gastos com Pessoal'!$M$513:$M$522&lt;=AF$3,1,0))*OFFSET('Gastos com Pessoal'!$H$512,1,MATCH(2&amp;$B55,'Gastos com Pessoal'!$I$532:$AJ$532&amp;'Gastos com Pessoal'!$I$512:$AJ$512,0),10,1)),0)
+_xlfn.IFNA(SUM((AF$3&gt;='Gastos com Pessoal'!$E$513:$E$522)*(AF$3&lt;='Gastos com Pessoal'!$F$513:$F$522)*(IF('Gastos com Pessoal'!$S$513:$S$522&lt;=AF$3,1,0))*OFFSET('Gastos com Pessoal'!$H$512,1,MATCH(3&amp;$B55,'Gastos com Pessoal'!$I$532:$AJ$532&amp;'Gastos com Pessoal'!$I$512:$AJ$512,0),10,1)),0)
+_xlfn.IFNA(SUM((AF$3&gt;='Gastos com Pessoal'!$E$513:$E$522)*(AF$3&lt;='Gastos com Pessoal'!$F$513:$F$522)*(IF('Gastos com Pessoal'!$Y$513:$Y$522&lt;=AF$3,1,0))*OFFSET('Gastos com Pessoal'!$H$512,1,MATCH(4&amp;$B55,'Gastos com Pessoal'!$I$532:$AJ$532&amp;'Gastos com Pessoal'!$I$512:$AJ$512,0),10,1)),0)
+_xlfn.IFNA(SUM((AF$3&gt;='Gastos com Pessoal'!$E$513:$E$522)*(AF$3&lt;='Gastos com Pessoal'!$F$513:$F$522)*(IF('Gastos com Pessoal'!$AE$513:$AE$522&lt;=AF$3,1,0))*OFFSET('Gastos com Pessoal'!$H$512,1,MATCH(5&amp;$B55,'Gastos com Pessoal'!$I$532:$AJ$532&amp;'Gastos com Pessoal'!$I$512:$AJ$512,0),10,1)),0)</f>
        <v>0</v>
      </c>
      <c r="AG55" s="32">
        <f t="array" aca="1" ref="AG55" ca="1">_xlfn.IFNA(SUM((AG$3&gt;='Gastos com Pessoal'!$E$7:$E$506)*(AG$3&lt;='Gastos com Pessoal'!$F$7:$F$506)*OFFSET('Encargos e Benefícios'!$D$5,1,MATCH($B55,'Encargos e Benefícios'!$E$5:$AB$5,0),500,1)),0)
+_xlfn.IFNA(SUM((AG$3&gt;='Gastos com Pessoal'!$E$513:$E$522)*(AG$3&lt;='Gastos com Pessoal'!$F$513:$F$522)*OFFSET('Encargos e Benefícios'!$D$511,1,MATCH($B55,'Encargos e Benefícios'!$E$511:$AB$511,0),10,1)),0)
+_xlfn.IFNA(SUM((AG$3&gt;='Gastos com Pessoal'!$E$7:$E$506)*(AG$3&lt;='Gastos com Pessoal'!$F$7:$F$506)*(IF('Gastos com Pessoal'!$G$7:$G$506&lt;=AG$3,1,0))*OFFSET('Gastos com Pessoal'!$H$6,1,MATCH(1&amp;$B55,'Gastos com Pessoal'!$I$532:$AJ$532&amp;'Gastos com Pessoal'!$I$6:$AJ$6,0),500,1)),0)
+_xlfn.IFNA(SUM((AG$3&gt;='Gastos com Pessoal'!$E$7:$E$506)*(AG$3&lt;='Gastos com Pessoal'!$F$7:$F$506)*(IF('Gastos com Pessoal'!$M$7:$M$506&lt;=AG$3,1,0))*OFFSET('Gastos com Pessoal'!$H$6,1,MATCH(2&amp;$B55,'Gastos com Pessoal'!$I$532:$AJ$532&amp;'Gastos com Pessoal'!$I$6:$AJ$6,0),500,1)),0)
+_xlfn.IFNA(SUM((AG$3&gt;='Gastos com Pessoal'!$E$7:$E$506)*(AG$3&lt;='Gastos com Pessoal'!$F$7:$F$506)*(IF('Gastos com Pessoal'!$S$7:$S$506&lt;=AG$3,1,0))*OFFSET('Gastos com Pessoal'!$H$6,1,MATCH(3&amp;$B55,'Gastos com Pessoal'!$I$532:$AJ$532&amp;'Gastos com Pessoal'!$I$6:$AJ$6,0),500,1)),0)
+_xlfn.IFNA(SUM((AG$3&gt;='Gastos com Pessoal'!$E$7:$E$506)*(AG$3&lt;='Gastos com Pessoal'!$F$7:$F$506)*(IF('Gastos com Pessoal'!$Y$7:$Y$506&lt;=AG$3,1,0))*OFFSET('Gastos com Pessoal'!$H$6,1,MATCH(4&amp;$B55,'Gastos com Pessoal'!$I$532:$AJ$532&amp;'Gastos com Pessoal'!$I$6:$AJ$6,0),500,1)),0)
+_xlfn.IFNA(SUM((AG$3&gt;='Gastos com Pessoal'!$E$7:$E$506)*(AG$3&lt;='Gastos com Pessoal'!$F$7:$F$506)*(IF('Gastos com Pessoal'!$AE$7:$AE$506&lt;=AG$3,1,0))*OFFSET('Gastos com Pessoal'!$H$6,1,MATCH(5&amp;$B55,'Gastos com Pessoal'!$I$532:$AJ$532&amp;'Gastos com Pessoal'!$I$6:$AJ$6,0),500,1)),0)
+_xlfn.IFNA(SUM((AG$3&gt;='Gastos com Pessoal'!$E$513:$E$522)*(AG$3&lt;='Gastos com Pessoal'!$F$513:$F$522)*(IF('Gastos com Pessoal'!$G$513:$G$522&lt;=AG$3,1,0))*OFFSET('Gastos com Pessoal'!$H$512,1,MATCH(1&amp;$B55,'Gastos com Pessoal'!$I$532:$AJ$532&amp;'Gastos com Pessoal'!$I$512:$AJ$512,0),10,1)),0)
+_xlfn.IFNA(SUM((AG$3&gt;='Gastos com Pessoal'!$E$513:$E$522)*(AG$3&lt;='Gastos com Pessoal'!$F$513:$F$522)*(IF('Gastos com Pessoal'!$M$513:$M$522&lt;=AG$3,1,0))*OFFSET('Gastos com Pessoal'!$H$512,1,MATCH(2&amp;$B55,'Gastos com Pessoal'!$I$532:$AJ$532&amp;'Gastos com Pessoal'!$I$512:$AJ$512,0),10,1)),0)
+_xlfn.IFNA(SUM((AG$3&gt;='Gastos com Pessoal'!$E$513:$E$522)*(AG$3&lt;='Gastos com Pessoal'!$F$513:$F$522)*(IF('Gastos com Pessoal'!$S$513:$S$522&lt;=AG$3,1,0))*OFFSET('Gastos com Pessoal'!$H$512,1,MATCH(3&amp;$B55,'Gastos com Pessoal'!$I$532:$AJ$532&amp;'Gastos com Pessoal'!$I$512:$AJ$512,0),10,1)),0)
+_xlfn.IFNA(SUM((AG$3&gt;='Gastos com Pessoal'!$E$513:$E$522)*(AG$3&lt;='Gastos com Pessoal'!$F$513:$F$522)*(IF('Gastos com Pessoal'!$Y$513:$Y$522&lt;=AG$3,1,0))*OFFSET('Gastos com Pessoal'!$H$512,1,MATCH(4&amp;$B55,'Gastos com Pessoal'!$I$532:$AJ$532&amp;'Gastos com Pessoal'!$I$512:$AJ$512,0),10,1)),0)
+_xlfn.IFNA(SUM((AG$3&gt;='Gastos com Pessoal'!$E$513:$E$522)*(AG$3&lt;='Gastos com Pessoal'!$F$513:$F$522)*(IF('Gastos com Pessoal'!$AE$513:$AE$522&lt;=AG$3,1,0))*OFFSET('Gastos com Pessoal'!$H$512,1,MATCH(5&amp;$B55,'Gastos com Pessoal'!$I$532:$AJ$532&amp;'Gastos com Pessoal'!$I$512:$AJ$512,0),10,1)),0)</f>
        <v>0</v>
      </c>
      <c r="AH55" s="32">
        <f t="array" aca="1" ref="AH55" ca="1">_xlfn.IFNA(SUM((AH$3&gt;='Gastos com Pessoal'!$E$7:$E$506)*(AH$3&lt;='Gastos com Pessoal'!$F$7:$F$506)*OFFSET('Encargos e Benefícios'!$D$5,1,MATCH($B55,'Encargos e Benefícios'!$E$5:$AB$5,0),500,1)),0)
+_xlfn.IFNA(SUM((AH$3&gt;='Gastos com Pessoal'!$E$513:$E$522)*(AH$3&lt;='Gastos com Pessoal'!$F$513:$F$522)*OFFSET('Encargos e Benefícios'!$D$511,1,MATCH($B55,'Encargos e Benefícios'!$E$511:$AB$511,0),10,1)),0)
+_xlfn.IFNA(SUM((AH$3&gt;='Gastos com Pessoal'!$E$7:$E$506)*(AH$3&lt;='Gastos com Pessoal'!$F$7:$F$506)*(IF('Gastos com Pessoal'!$G$7:$G$506&lt;=AH$3,1,0))*OFFSET('Gastos com Pessoal'!$H$6,1,MATCH(1&amp;$B55,'Gastos com Pessoal'!$I$532:$AJ$532&amp;'Gastos com Pessoal'!$I$6:$AJ$6,0),500,1)),0)
+_xlfn.IFNA(SUM((AH$3&gt;='Gastos com Pessoal'!$E$7:$E$506)*(AH$3&lt;='Gastos com Pessoal'!$F$7:$F$506)*(IF('Gastos com Pessoal'!$M$7:$M$506&lt;=AH$3,1,0))*OFFSET('Gastos com Pessoal'!$H$6,1,MATCH(2&amp;$B55,'Gastos com Pessoal'!$I$532:$AJ$532&amp;'Gastos com Pessoal'!$I$6:$AJ$6,0),500,1)),0)
+_xlfn.IFNA(SUM((AH$3&gt;='Gastos com Pessoal'!$E$7:$E$506)*(AH$3&lt;='Gastos com Pessoal'!$F$7:$F$506)*(IF('Gastos com Pessoal'!$S$7:$S$506&lt;=AH$3,1,0))*OFFSET('Gastos com Pessoal'!$H$6,1,MATCH(3&amp;$B55,'Gastos com Pessoal'!$I$532:$AJ$532&amp;'Gastos com Pessoal'!$I$6:$AJ$6,0),500,1)),0)
+_xlfn.IFNA(SUM((AH$3&gt;='Gastos com Pessoal'!$E$7:$E$506)*(AH$3&lt;='Gastos com Pessoal'!$F$7:$F$506)*(IF('Gastos com Pessoal'!$Y$7:$Y$506&lt;=AH$3,1,0))*OFFSET('Gastos com Pessoal'!$H$6,1,MATCH(4&amp;$B55,'Gastos com Pessoal'!$I$532:$AJ$532&amp;'Gastos com Pessoal'!$I$6:$AJ$6,0),500,1)),0)
+_xlfn.IFNA(SUM((AH$3&gt;='Gastos com Pessoal'!$E$7:$E$506)*(AH$3&lt;='Gastos com Pessoal'!$F$7:$F$506)*(IF('Gastos com Pessoal'!$AE$7:$AE$506&lt;=AH$3,1,0))*OFFSET('Gastos com Pessoal'!$H$6,1,MATCH(5&amp;$B55,'Gastos com Pessoal'!$I$532:$AJ$532&amp;'Gastos com Pessoal'!$I$6:$AJ$6,0),500,1)),0)
+_xlfn.IFNA(SUM((AH$3&gt;='Gastos com Pessoal'!$E$513:$E$522)*(AH$3&lt;='Gastos com Pessoal'!$F$513:$F$522)*(IF('Gastos com Pessoal'!$G$513:$G$522&lt;=AH$3,1,0))*OFFSET('Gastos com Pessoal'!$H$512,1,MATCH(1&amp;$B55,'Gastos com Pessoal'!$I$532:$AJ$532&amp;'Gastos com Pessoal'!$I$512:$AJ$512,0),10,1)),0)
+_xlfn.IFNA(SUM((AH$3&gt;='Gastos com Pessoal'!$E$513:$E$522)*(AH$3&lt;='Gastos com Pessoal'!$F$513:$F$522)*(IF('Gastos com Pessoal'!$M$513:$M$522&lt;=AH$3,1,0))*OFFSET('Gastos com Pessoal'!$H$512,1,MATCH(2&amp;$B55,'Gastos com Pessoal'!$I$532:$AJ$532&amp;'Gastos com Pessoal'!$I$512:$AJ$512,0),10,1)),0)
+_xlfn.IFNA(SUM((AH$3&gt;='Gastos com Pessoal'!$E$513:$E$522)*(AH$3&lt;='Gastos com Pessoal'!$F$513:$F$522)*(IF('Gastos com Pessoal'!$S$513:$S$522&lt;=AH$3,1,0))*OFFSET('Gastos com Pessoal'!$H$512,1,MATCH(3&amp;$B55,'Gastos com Pessoal'!$I$532:$AJ$532&amp;'Gastos com Pessoal'!$I$512:$AJ$512,0),10,1)),0)
+_xlfn.IFNA(SUM((AH$3&gt;='Gastos com Pessoal'!$E$513:$E$522)*(AH$3&lt;='Gastos com Pessoal'!$F$513:$F$522)*(IF('Gastos com Pessoal'!$Y$513:$Y$522&lt;=AH$3,1,0))*OFFSET('Gastos com Pessoal'!$H$512,1,MATCH(4&amp;$B55,'Gastos com Pessoal'!$I$532:$AJ$532&amp;'Gastos com Pessoal'!$I$512:$AJ$512,0),10,1)),0)
+_xlfn.IFNA(SUM((AH$3&gt;='Gastos com Pessoal'!$E$513:$E$522)*(AH$3&lt;='Gastos com Pessoal'!$F$513:$F$522)*(IF('Gastos com Pessoal'!$AE$513:$AE$522&lt;=AH$3,1,0))*OFFSET('Gastos com Pessoal'!$H$512,1,MATCH(5&amp;$B55,'Gastos com Pessoal'!$I$532:$AJ$532&amp;'Gastos com Pessoal'!$I$512:$AJ$512,0),10,1)),0)</f>
        <v>0</v>
      </c>
      <c r="AI55" s="32">
        <f t="array" aca="1" ref="AI55" ca="1">_xlfn.IFNA(SUM((AI$3&gt;='Gastos com Pessoal'!$E$7:$E$506)*(AI$3&lt;='Gastos com Pessoal'!$F$7:$F$506)*OFFSET('Encargos e Benefícios'!$D$5,1,MATCH($B55,'Encargos e Benefícios'!$E$5:$AB$5,0),500,1)),0)
+_xlfn.IFNA(SUM((AI$3&gt;='Gastos com Pessoal'!$E$513:$E$522)*(AI$3&lt;='Gastos com Pessoal'!$F$513:$F$522)*OFFSET('Encargos e Benefícios'!$D$511,1,MATCH($B55,'Encargos e Benefícios'!$E$511:$AB$511,0),10,1)),0)
+_xlfn.IFNA(SUM((AI$3&gt;='Gastos com Pessoal'!$E$7:$E$506)*(AI$3&lt;='Gastos com Pessoal'!$F$7:$F$506)*(IF('Gastos com Pessoal'!$G$7:$G$506&lt;=AI$3,1,0))*OFFSET('Gastos com Pessoal'!$H$6,1,MATCH(1&amp;$B55,'Gastos com Pessoal'!$I$532:$AJ$532&amp;'Gastos com Pessoal'!$I$6:$AJ$6,0),500,1)),0)
+_xlfn.IFNA(SUM((AI$3&gt;='Gastos com Pessoal'!$E$7:$E$506)*(AI$3&lt;='Gastos com Pessoal'!$F$7:$F$506)*(IF('Gastos com Pessoal'!$M$7:$M$506&lt;=AI$3,1,0))*OFFSET('Gastos com Pessoal'!$H$6,1,MATCH(2&amp;$B55,'Gastos com Pessoal'!$I$532:$AJ$532&amp;'Gastos com Pessoal'!$I$6:$AJ$6,0),500,1)),0)
+_xlfn.IFNA(SUM((AI$3&gt;='Gastos com Pessoal'!$E$7:$E$506)*(AI$3&lt;='Gastos com Pessoal'!$F$7:$F$506)*(IF('Gastos com Pessoal'!$S$7:$S$506&lt;=AI$3,1,0))*OFFSET('Gastos com Pessoal'!$H$6,1,MATCH(3&amp;$B55,'Gastos com Pessoal'!$I$532:$AJ$532&amp;'Gastos com Pessoal'!$I$6:$AJ$6,0),500,1)),0)
+_xlfn.IFNA(SUM((AI$3&gt;='Gastos com Pessoal'!$E$7:$E$506)*(AI$3&lt;='Gastos com Pessoal'!$F$7:$F$506)*(IF('Gastos com Pessoal'!$Y$7:$Y$506&lt;=AI$3,1,0))*OFFSET('Gastos com Pessoal'!$H$6,1,MATCH(4&amp;$B55,'Gastos com Pessoal'!$I$532:$AJ$532&amp;'Gastos com Pessoal'!$I$6:$AJ$6,0),500,1)),0)
+_xlfn.IFNA(SUM((AI$3&gt;='Gastos com Pessoal'!$E$7:$E$506)*(AI$3&lt;='Gastos com Pessoal'!$F$7:$F$506)*(IF('Gastos com Pessoal'!$AE$7:$AE$506&lt;=AI$3,1,0))*OFFSET('Gastos com Pessoal'!$H$6,1,MATCH(5&amp;$B55,'Gastos com Pessoal'!$I$532:$AJ$532&amp;'Gastos com Pessoal'!$I$6:$AJ$6,0),500,1)),0)
+_xlfn.IFNA(SUM((AI$3&gt;='Gastos com Pessoal'!$E$513:$E$522)*(AI$3&lt;='Gastos com Pessoal'!$F$513:$F$522)*(IF('Gastos com Pessoal'!$G$513:$G$522&lt;=AI$3,1,0))*OFFSET('Gastos com Pessoal'!$H$512,1,MATCH(1&amp;$B55,'Gastos com Pessoal'!$I$532:$AJ$532&amp;'Gastos com Pessoal'!$I$512:$AJ$512,0),10,1)),0)
+_xlfn.IFNA(SUM((AI$3&gt;='Gastos com Pessoal'!$E$513:$E$522)*(AI$3&lt;='Gastos com Pessoal'!$F$513:$F$522)*(IF('Gastos com Pessoal'!$M$513:$M$522&lt;=AI$3,1,0))*OFFSET('Gastos com Pessoal'!$H$512,1,MATCH(2&amp;$B55,'Gastos com Pessoal'!$I$532:$AJ$532&amp;'Gastos com Pessoal'!$I$512:$AJ$512,0),10,1)),0)
+_xlfn.IFNA(SUM((AI$3&gt;='Gastos com Pessoal'!$E$513:$E$522)*(AI$3&lt;='Gastos com Pessoal'!$F$513:$F$522)*(IF('Gastos com Pessoal'!$S$513:$S$522&lt;=AI$3,1,0))*OFFSET('Gastos com Pessoal'!$H$512,1,MATCH(3&amp;$B55,'Gastos com Pessoal'!$I$532:$AJ$532&amp;'Gastos com Pessoal'!$I$512:$AJ$512,0),10,1)),0)
+_xlfn.IFNA(SUM((AI$3&gt;='Gastos com Pessoal'!$E$513:$E$522)*(AI$3&lt;='Gastos com Pessoal'!$F$513:$F$522)*(IF('Gastos com Pessoal'!$Y$513:$Y$522&lt;=AI$3,1,0))*OFFSET('Gastos com Pessoal'!$H$512,1,MATCH(4&amp;$B55,'Gastos com Pessoal'!$I$532:$AJ$532&amp;'Gastos com Pessoal'!$I$512:$AJ$512,0),10,1)),0)
+_xlfn.IFNA(SUM((AI$3&gt;='Gastos com Pessoal'!$E$513:$E$522)*(AI$3&lt;='Gastos com Pessoal'!$F$513:$F$522)*(IF('Gastos com Pessoal'!$AE$513:$AE$522&lt;=AI$3,1,0))*OFFSET('Gastos com Pessoal'!$H$512,1,MATCH(5&amp;$B55,'Gastos com Pessoal'!$I$532:$AJ$532&amp;'Gastos com Pessoal'!$I$512:$AJ$512,0),10,1)),0)</f>
        <v>0</v>
      </c>
      <c r="AJ55" s="32">
        <f t="array" aca="1" ref="AJ55" ca="1">_xlfn.IFNA(SUM((AJ$3&gt;='Gastos com Pessoal'!$E$7:$E$506)*(AJ$3&lt;='Gastos com Pessoal'!$F$7:$F$506)*OFFSET('Encargos e Benefícios'!$D$5,1,MATCH($B55,'Encargos e Benefícios'!$E$5:$AB$5,0),500,1)),0)
+_xlfn.IFNA(SUM((AJ$3&gt;='Gastos com Pessoal'!$E$513:$E$522)*(AJ$3&lt;='Gastos com Pessoal'!$F$513:$F$522)*OFFSET('Encargos e Benefícios'!$D$511,1,MATCH($B55,'Encargos e Benefícios'!$E$511:$AB$511,0),10,1)),0)
+_xlfn.IFNA(SUM((AJ$3&gt;='Gastos com Pessoal'!$E$7:$E$506)*(AJ$3&lt;='Gastos com Pessoal'!$F$7:$F$506)*(IF('Gastos com Pessoal'!$G$7:$G$506&lt;=AJ$3,1,0))*OFFSET('Gastos com Pessoal'!$H$6,1,MATCH(1&amp;$B55,'Gastos com Pessoal'!$I$532:$AJ$532&amp;'Gastos com Pessoal'!$I$6:$AJ$6,0),500,1)),0)
+_xlfn.IFNA(SUM((AJ$3&gt;='Gastos com Pessoal'!$E$7:$E$506)*(AJ$3&lt;='Gastos com Pessoal'!$F$7:$F$506)*(IF('Gastos com Pessoal'!$M$7:$M$506&lt;=AJ$3,1,0))*OFFSET('Gastos com Pessoal'!$H$6,1,MATCH(2&amp;$B55,'Gastos com Pessoal'!$I$532:$AJ$532&amp;'Gastos com Pessoal'!$I$6:$AJ$6,0),500,1)),0)
+_xlfn.IFNA(SUM((AJ$3&gt;='Gastos com Pessoal'!$E$7:$E$506)*(AJ$3&lt;='Gastos com Pessoal'!$F$7:$F$506)*(IF('Gastos com Pessoal'!$S$7:$S$506&lt;=AJ$3,1,0))*OFFSET('Gastos com Pessoal'!$H$6,1,MATCH(3&amp;$B55,'Gastos com Pessoal'!$I$532:$AJ$532&amp;'Gastos com Pessoal'!$I$6:$AJ$6,0),500,1)),0)
+_xlfn.IFNA(SUM((AJ$3&gt;='Gastos com Pessoal'!$E$7:$E$506)*(AJ$3&lt;='Gastos com Pessoal'!$F$7:$F$506)*(IF('Gastos com Pessoal'!$Y$7:$Y$506&lt;=AJ$3,1,0))*OFFSET('Gastos com Pessoal'!$H$6,1,MATCH(4&amp;$B55,'Gastos com Pessoal'!$I$532:$AJ$532&amp;'Gastos com Pessoal'!$I$6:$AJ$6,0),500,1)),0)
+_xlfn.IFNA(SUM((AJ$3&gt;='Gastos com Pessoal'!$E$7:$E$506)*(AJ$3&lt;='Gastos com Pessoal'!$F$7:$F$506)*(IF('Gastos com Pessoal'!$AE$7:$AE$506&lt;=AJ$3,1,0))*OFFSET('Gastos com Pessoal'!$H$6,1,MATCH(5&amp;$B55,'Gastos com Pessoal'!$I$532:$AJ$532&amp;'Gastos com Pessoal'!$I$6:$AJ$6,0),500,1)),0)
+_xlfn.IFNA(SUM((AJ$3&gt;='Gastos com Pessoal'!$E$513:$E$522)*(AJ$3&lt;='Gastos com Pessoal'!$F$513:$F$522)*(IF('Gastos com Pessoal'!$G$513:$G$522&lt;=AJ$3,1,0))*OFFSET('Gastos com Pessoal'!$H$512,1,MATCH(1&amp;$B55,'Gastos com Pessoal'!$I$532:$AJ$532&amp;'Gastos com Pessoal'!$I$512:$AJ$512,0),10,1)),0)
+_xlfn.IFNA(SUM((AJ$3&gt;='Gastos com Pessoal'!$E$513:$E$522)*(AJ$3&lt;='Gastos com Pessoal'!$F$513:$F$522)*(IF('Gastos com Pessoal'!$M$513:$M$522&lt;=AJ$3,1,0))*OFFSET('Gastos com Pessoal'!$H$512,1,MATCH(2&amp;$B55,'Gastos com Pessoal'!$I$532:$AJ$532&amp;'Gastos com Pessoal'!$I$512:$AJ$512,0),10,1)),0)
+_xlfn.IFNA(SUM((AJ$3&gt;='Gastos com Pessoal'!$E$513:$E$522)*(AJ$3&lt;='Gastos com Pessoal'!$F$513:$F$522)*(IF('Gastos com Pessoal'!$S$513:$S$522&lt;=AJ$3,1,0))*OFFSET('Gastos com Pessoal'!$H$512,1,MATCH(3&amp;$B55,'Gastos com Pessoal'!$I$532:$AJ$532&amp;'Gastos com Pessoal'!$I$512:$AJ$512,0),10,1)),0)
+_xlfn.IFNA(SUM((AJ$3&gt;='Gastos com Pessoal'!$E$513:$E$522)*(AJ$3&lt;='Gastos com Pessoal'!$F$513:$F$522)*(IF('Gastos com Pessoal'!$Y$513:$Y$522&lt;=AJ$3,1,0))*OFFSET('Gastos com Pessoal'!$H$512,1,MATCH(4&amp;$B55,'Gastos com Pessoal'!$I$532:$AJ$532&amp;'Gastos com Pessoal'!$I$512:$AJ$512,0),10,1)),0)
+_xlfn.IFNA(SUM((AJ$3&gt;='Gastos com Pessoal'!$E$513:$E$522)*(AJ$3&lt;='Gastos com Pessoal'!$F$513:$F$522)*(IF('Gastos com Pessoal'!$AE$513:$AE$522&lt;=AJ$3,1,0))*OFFSET('Gastos com Pessoal'!$H$512,1,MATCH(5&amp;$B55,'Gastos com Pessoal'!$I$532:$AJ$532&amp;'Gastos com Pessoal'!$I$512:$AJ$512,0),10,1)),0)</f>
        <v>0</v>
      </c>
      <c r="AK55" s="32">
        <f t="array" aca="1" ref="AK55" ca="1">_xlfn.IFNA(SUM((AK$3&gt;='Gastos com Pessoal'!$E$7:$E$506)*(AK$3&lt;='Gastos com Pessoal'!$F$7:$F$506)*OFFSET('Encargos e Benefícios'!$D$5,1,MATCH($B55,'Encargos e Benefícios'!$E$5:$AB$5,0),500,1)),0)
+_xlfn.IFNA(SUM((AK$3&gt;='Gastos com Pessoal'!$E$513:$E$522)*(AK$3&lt;='Gastos com Pessoal'!$F$513:$F$522)*OFFSET('Encargos e Benefícios'!$D$511,1,MATCH($B55,'Encargos e Benefícios'!$E$511:$AB$511,0),10,1)),0)
+_xlfn.IFNA(SUM((AK$3&gt;='Gastos com Pessoal'!$E$7:$E$506)*(AK$3&lt;='Gastos com Pessoal'!$F$7:$F$506)*(IF('Gastos com Pessoal'!$G$7:$G$506&lt;=AK$3,1,0))*OFFSET('Gastos com Pessoal'!$H$6,1,MATCH(1&amp;$B55,'Gastos com Pessoal'!$I$532:$AJ$532&amp;'Gastos com Pessoal'!$I$6:$AJ$6,0),500,1)),0)
+_xlfn.IFNA(SUM((AK$3&gt;='Gastos com Pessoal'!$E$7:$E$506)*(AK$3&lt;='Gastos com Pessoal'!$F$7:$F$506)*(IF('Gastos com Pessoal'!$M$7:$M$506&lt;=AK$3,1,0))*OFFSET('Gastos com Pessoal'!$H$6,1,MATCH(2&amp;$B55,'Gastos com Pessoal'!$I$532:$AJ$532&amp;'Gastos com Pessoal'!$I$6:$AJ$6,0),500,1)),0)
+_xlfn.IFNA(SUM((AK$3&gt;='Gastos com Pessoal'!$E$7:$E$506)*(AK$3&lt;='Gastos com Pessoal'!$F$7:$F$506)*(IF('Gastos com Pessoal'!$S$7:$S$506&lt;=AK$3,1,0))*OFFSET('Gastos com Pessoal'!$H$6,1,MATCH(3&amp;$B55,'Gastos com Pessoal'!$I$532:$AJ$532&amp;'Gastos com Pessoal'!$I$6:$AJ$6,0),500,1)),0)
+_xlfn.IFNA(SUM((AK$3&gt;='Gastos com Pessoal'!$E$7:$E$506)*(AK$3&lt;='Gastos com Pessoal'!$F$7:$F$506)*(IF('Gastos com Pessoal'!$Y$7:$Y$506&lt;=AK$3,1,0))*OFFSET('Gastos com Pessoal'!$H$6,1,MATCH(4&amp;$B55,'Gastos com Pessoal'!$I$532:$AJ$532&amp;'Gastos com Pessoal'!$I$6:$AJ$6,0),500,1)),0)
+_xlfn.IFNA(SUM((AK$3&gt;='Gastos com Pessoal'!$E$7:$E$506)*(AK$3&lt;='Gastos com Pessoal'!$F$7:$F$506)*(IF('Gastos com Pessoal'!$AE$7:$AE$506&lt;=AK$3,1,0))*OFFSET('Gastos com Pessoal'!$H$6,1,MATCH(5&amp;$B55,'Gastos com Pessoal'!$I$532:$AJ$532&amp;'Gastos com Pessoal'!$I$6:$AJ$6,0),500,1)),0)
+_xlfn.IFNA(SUM((AK$3&gt;='Gastos com Pessoal'!$E$513:$E$522)*(AK$3&lt;='Gastos com Pessoal'!$F$513:$F$522)*(IF('Gastos com Pessoal'!$G$513:$G$522&lt;=AK$3,1,0))*OFFSET('Gastos com Pessoal'!$H$512,1,MATCH(1&amp;$B55,'Gastos com Pessoal'!$I$532:$AJ$532&amp;'Gastos com Pessoal'!$I$512:$AJ$512,0),10,1)),0)
+_xlfn.IFNA(SUM((AK$3&gt;='Gastos com Pessoal'!$E$513:$E$522)*(AK$3&lt;='Gastos com Pessoal'!$F$513:$F$522)*(IF('Gastos com Pessoal'!$M$513:$M$522&lt;=AK$3,1,0))*OFFSET('Gastos com Pessoal'!$H$512,1,MATCH(2&amp;$B55,'Gastos com Pessoal'!$I$532:$AJ$532&amp;'Gastos com Pessoal'!$I$512:$AJ$512,0),10,1)),0)
+_xlfn.IFNA(SUM((AK$3&gt;='Gastos com Pessoal'!$E$513:$E$522)*(AK$3&lt;='Gastos com Pessoal'!$F$513:$F$522)*(IF('Gastos com Pessoal'!$S$513:$S$522&lt;=AK$3,1,0))*OFFSET('Gastos com Pessoal'!$H$512,1,MATCH(3&amp;$B55,'Gastos com Pessoal'!$I$532:$AJ$532&amp;'Gastos com Pessoal'!$I$512:$AJ$512,0),10,1)),0)
+_xlfn.IFNA(SUM((AK$3&gt;='Gastos com Pessoal'!$E$513:$E$522)*(AK$3&lt;='Gastos com Pessoal'!$F$513:$F$522)*(IF('Gastos com Pessoal'!$Y$513:$Y$522&lt;=AK$3,1,0))*OFFSET('Gastos com Pessoal'!$H$512,1,MATCH(4&amp;$B55,'Gastos com Pessoal'!$I$532:$AJ$532&amp;'Gastos com Pessoal'!$I$512:$AJ$512,0),10,1)),0)
+_xlfn.IFNA(SUM((AK$3&gt;='Gastos com Pessoal'!$E$513:$E$522)*(AK$3&lt;='Gastos com Pessoal'!$F$513:$F$522)*(IF('Gastos com Pessoal'!$AE$513:$AE$522&lt;=AK$3,1,0))*OFFSET('Gastos com Pessoal'!$H$512,1,MATCH(5&amp;$B55,'Gastos com Pessoal'!$I$532:$AJ$532&amp;'Gastos com Pessoal'!$I$512:$AJ$512,0),10,1)),0)</f>
        <v>0</v>
      </c>
      <c r="AL55" s="32">
        <f t="array" aca="1" ref="AL55" ca="1">_xlfn.IFNA(SUM((AL$3&gt;='Gastos com Pessoal'!$E$7:$E$506)*(AL$3&lt;='Gastos com Pessoal'!$F$7:$F$506)*OFFSET('Encargos e Benefícios'!$D$5,1,MATCH($B55,'Encargos e Benefícios'!$E$5:$AB$5,0),500,1)),0)
+_xlfn.IFNA(SUM((AL$3&gt;='Gastos com Pessoal'!$E$513:$E$522)*(AL$3&lt;='Gastos com Pessoal'!$F$513:$F$522)*OFFSET('Encargos e Benefícios'!$D$511,1,MATCH($B55,'Encargos e Benefícios'!$E$511:$AB$511,0),10,1)),0)
+_xlfn.IFNA(SUM((AL$3&gt;='Gastos com Pessoal'!$E$7:$E$506)*(AL$3&lt;='Gastos com Pessoal'!$F$7:$F$506)*(IF('Gastos com Pessoal'!$G$7:$G$506&lt;=AL$3,1,0))*OFFSET('Gastos com Pessoal'!$H$6,1,MATCH(1&amp;$B55,'Gastos com Pessoal'!$I$532:$AJ$532&amp;'Gastos com Pessoal'!$I$6:$AJ$6,0),500,1)),0)
+_xlfn.IFNA(SUM((AL$3&gt;='Gastos com Pessoal'!$E$7:$E$506)*(AL$3&lt;='Gastos com Pessoal'!$F$7:$F$506)*(IF('Gastos com Pessoal'!$M$7:$M$506&lt;=AL$3,1,0))*OFFSET('Gastos com Pessoal'!$H$6,1,MATCH(2&amp;$B55,'Gastos com Pessoal'!$I$532:$AJ$532&amp;'Gastos com Pessoal'!$I$6:$AJ$6,0),500,1)),0)
+_xlfn.IFNA(SUM((AL$3&gt;='Gastos com Pessoal'!$E$7:$E$506)*(AL$3&lt;='Gastos com Pessoal'!$F$7:$F$506)*(IF('Gastos com Pessoal'!$S$7:$S$506&lt;=AL$3,1,0))*OFFSET('Gastos com Pessoal'!$H$6,1,MATCH(3&amp;$B55,'Gastos com Pessoal'!$I$532:$AJ$532&amp;'Gastos com Pessoal'!$I$6:$AJ$6,0),500,1)),0)
+_xlfn.IFNA(SUM((AL$3&gt;='Gastos com Pessoal'!$E$7:$E$506)*(AL$3&lt;='Gastos com Pessoal'!$F$7:$F$506)*(IF('Gastos com Pessoal'!$Y$7:$Y$506&lt;=AL$3,1,0))*OFFSET('Gastos com Pessoal'!$H$6,1,MATCH(4&amp;$B55,'Gastos com Pessoal'!$I$532:$AJ$532&amp;'Gastos com Pessoal'!$I$6:$AJ$6,0),500,1)),0)
+_xlfn.IFNA(SUM((AL$3&gt;='Gastos com Pessoal'!$E$7:$E$506)*(AL$3&lt;='Gastos com Pessoal'!$F$7:$F$506)*(IF('Gastos com Pessoal'!$AE$7:$AE$506&lt;=AL$3,1,0))*OFFSET('Gastos com Pessoal'!$H$6,1,MATCH(5&amp;$B55,'Gastos com Pessoal'!$I$532:$AJ$532&amp;'Gastos com Pessoal'!$I$6:$AJ$6,0),500,1)),0)
+_xlfn.IFNA(SUM((AL$3&gt;='Gastos com Pessoal'!$E$513:$E$522)*(AL$3&lt;='Gastos com Pessoal'!$F$513:$F$522)*(IF('Gastos com Pessoal'!$G$513:$G$522&lt;=AL$3,1,0))*OFFSET('Gastos com Pessoal'!$H$512,1,MATCH(1&amp;$B55,'Gastos com Pessoal'!$I$532:$AJ$532&amp;'Gastos com Pessoal'!$I$512:$AJ$512,0),10,1)),0)
+_xlfn.IFNA(SUM((AL$3&gt;='Gastos com Pessoal'!$E$513:$E$522)*(AL$3&lt;='Gastos com Pessoal'!$F$513:$F$522)*(IF('Gastos com Pessoal'!$M$513:$M$522&lt;=AL$3,1,0))*OFFSET('Gastos com Pessoal'!$H$512,1,MATCH(2&amp;$B55,'Gastos com Pessoal'!$I$532:$AJ$532&amp;'Gastos com Pessoal'!$I$512:$AJ$512,0),10,1)),0)
+_xlfn.IFNA(SUM((AL$3&gt;='Gastos com Pessoal'!$E$513:$E$522)*(AL$3&lt;='Gastos com Pessoal'!$F$513:$F$522)*(IF('Gastos com Pessoal'!$S$513:$S$522&lt;=AL$3,1,0))*OFFSET('Gastos com Pessoal'!$H$512,1,MATCH(3&amp;$B55,'Gastos com Pessoal'!$I$532:$AJ$532&amp;'Gastos com Pessoal'!$I$512:$AJ$512,0),10,1)),0)
+_xlfn.IFNA(SUM((AL$3&gt;='Gastos com Pessoal'!$E$513:$E$522)*(AL$3&lt;='Gastos com Pessoal'!$F$513:$F$522)*(IF('Gastos com Pessoal'!$Y$513:$Y$522&lt;=AL$3,1,0))*OFFSET('Gastos com Pessoal'!$H$512,1,MATCH(4&amp;$B55,'Gastos com Pessoal'!$I$532:$AJ$532&amp;'Gastos com Pessoal'!$I$512:$AJ$512,0),10,1)),0)
+_xlfn.IFNA(SUM((AL$3&gt;='Gastos com Pessoal'!$E$513:$E$522)*(AL$3&lt;='Gastos com Pessoal'!$F$513:$F$522)*(IF('Gastos com Pessoal'!$AE$513:$AE$522&lt;=AL$3,1,0))*OFFSET('Gastos com Pessoal'!$H$512,1,MATCH(5&amp;$B55,'Gastos com Pessoal'!$I$532:$AJ$532&amp;'Gastos com Pessoal'!$I$512:$AJ$512,0),10,1)),0)</f>
        <v>0</v>
      </c>
      <c r="AM55" s="32">
        <f t="array" aca="1" ref="AM55" ca="1">_xlfn.IFNA(SUM((AM$3&gt;='Gastos com Pessoal'!$E$7:$E$506)*(AM$3&lt;='Gastos com Pessoal'!$F$7:$F$506)*OFFSET('Encargos e Benefícios'!$D$5,1,MATCH($B55,'Encargos e Benefícios'!$E$5:$AB$5,0),500,1)),0)
+_xlfn.IFNA(SUM((AM$3&gt;='Gastos com Pessoal'!$E$513:$E$522)*(AM$3&lt;='Gastos com Pessoal'!$F$513:$F$522)*OFFSET('Encargos e Benefícios'!$D$511,1,MATCH($B55,'Encargos e Benefícios'!$E$511:$AB$511,0),10,1)),0)
+_xlfn.IFNA(SUM((AM$3&gt;='Gastos com Pessoal'!$E$7:$E$506)*(AM$3&lt;='Gastos com Pessoal'!$F$7:$F$506)*(IF('Gastos com Pessoal'!$G$7:$G$506&lt;=AM$3,1,0))*OFFSET('Gastos com Pessoal'!$H$6,1,MATCH(1&amp;$B55,'Gastos com Pessoal'!$I$532:$AJ$532&amp;'Gastos com Pessoal'!$I$6:$AJ$6,0),500,1)),0)
+_xlfn.IFNA(SUM((AM$3&gt;='Gastos com Pessoal'!$E$7:$E$506)*(AM$3&lt;='Gastos com Pessoal'!$F$7:$F$506)*(IF('Gastos com Pessoal'!$M$7:$M$506&lt;=AM$3,1,0))*OFFSET('Gastos com Pessoal'!$H$6,1,MATCH(2&amp;$B55,'Gastos com Pessoal'!$I$532:$AJ$532&amp;'Gastos com Pessoal'!$I$6:$AJ$6,0),500,1)),0)
+_xlfn.IFNA(SUM((AM$3&gt;='Gastos com Pessoal'!$E$7:$E$506)*(AM$3&lt;='Gastos com Pessoal'!$F$7:$F$506)*(IF('Gastos com Pessoal'!$S$7:$S$506&lt;=AM$3,1,0))*OFFSET('Gastos com Pessoal'!$H$6,1,MATCH(3&amp;$B55,'Gastos com Pessoal'!$I$532:$AJ$532&amp;'Gastos com Pessoal'!$I$6:$AJ$6,0),500,1)),0)
+_xlfn.IFNA(SUM((AM$3&gt;='Gastos com Pessoal'!$E$7:$E$506)*(AM$3&lt;='Gastos com Pessoal'!$F$7:$F$506)*(IF('Gastos com Pessoal'!$Y$7:$Y$506&lt;=AM$3,1,0))*OFFSET('Gastos com Pessoal'!$H$6,1,MATCH(4&amp;$B55,'Gastos com Pessoal'!$I$532:$AJ$532&amp;'Gastos com Pessoal'!$I$6:$AJ$6,0),500,1)),0)
+_xlfn.IFNA(SUM((AM$3&gt;='Gastos com Pessoal'!$E$7:$E$506)*(AM$3&lt;='Gastos com Pessoal'!$F$7:$F$506)*(IF('Gastos com Pessoal'!$AE$7:$AE$506&lt;=AM$3,1,0))*OFFSET('Gastos com Pessoal'!$H$6,1,MATCH(5&amp;$B55,'Gastos com Pessoal'!$I$532:$AJ$532&amp;'Gastos com Pessoal'!$I$6:$AJ$6,0),500,1)),0)
+_xlfn.IFNA(SUM((AM$3&gt;='Gastos com Pessoal'!$E$513:$E$522)*(AM$3&lt;='Gastos com Pessoal'!$F$513:$F$522)*(IF('Gastos com Pessoal'!$G$513:$G$522&lt;=AM$3,1,0))*OFFSET('Gastos com Pessoal'!$H$512,1,MATCH(1&amp;$B55,'Gastos com Pessoal'!$I$532:$AJ$532&amp;'Gastos com Pessoal'!$I$512:$AJ$512,0),10,1)),0)
+_xlfn.IFNA(SUM((AM$3&gt;='Gastos com Pessoal'!$E$513:$E$522)*(AM$3&lt;='Gastos com Pessoal'!$F$513:$F$522)*(IF('Gastos com Pessoal'!$M$513:$M$522&lt;=AM$3,1,0))*OFFSET('Gastos com Pessoal'!$H$512,1,MATCH(2&amp;$B55,'Gastos com Pessoal'!$I$532:$AJ$532&amp;'Gastos com Pessoal'!$I$512:$AJ$512,0),10,1)),0)
+_xlfn.IFNA(SUM((AM$3&gt;='Gastos com Pessoal'!$E$513:$E$522)*(AM$3&lt;='Gastos com Pessoal'!$F$513:$F$522)*(IF('Gastos com Pessoal'!$S$513:$S$522&lt;=AM$3,1,0))*OFFSET('Gastos com Pessoal'!$H$512,1,MATCH(3&amp;$B55,'Gastos com Pessoal'!$I$532:$AJ$532&amp;'Gastos com Pessoal'!$I$512:$AJ$512,0),10,1)),0)
+_xlfn.IFNA(SUM((AM$3&gt;='Gastos com Pessoal'!$E$513:$E$522)*(AM$3&lt;='Gastos com Pessoal'!$F$513:$F$522)*(IF('Gastos com Pessoal'!$Y$513:$Y$522&lt;=AM$3,1,0))*OFFSET('Gastos com Pessoal'!$H$512,1,MATCH(4&amp;$B55,'Gastos com Pessoal'!$I$532:$AJ$532&amp;'Gastos com Pessoal'!$I$512:$AJ$512,0),10,1)),0)
+_xlfn.IFNA(SUM((AM$3&gt;='Gastos com Pessoal'!$E$513:$E$522)*(AM$3&lt;='Gastos com Pessoal'!$F$513:$F$522)*(IF('Gastos com Pessoal'!$AE$513:$AE$522&lt;=AM$3,1,0))*OFFSET('Gastos com Pessoal'!$H$512,1,MATCH(5&amp;$B55,'Gastos com Pessoal'!$I$532:$AJ$532&amp;'Gastos com Pessoal'!$I$512:$AJ$512,0),10,1)),0)</f>
        <v>0</v>
      </c>
      <c r="AN55" s="32">
        <f t="array" aca="1" ref="AN55" ca="1">_xlfn.IFNA(SUM((AN$3&gt;='Gastos com Pessoal'!$E$7:$E$506)*(AN$3&lt;='Gastos com Pessoal'!$F$7:$F$506)*OFFSET('Encargos e Benefícios'!$D$5,1,MATCH($B55,'Encargos e Benefícios'!$E$5:$AB$5,0),500,1)),0)
+_xlfn.IFNA(SUM((AN$3&gt;='Gastos com Pessoal'!$E$513:$E$522)*(AN$3&lt;='Gastos com Pessoal'!$F$513:$F$522)*OFFSET('Encargos e Benefícios'!$D$511,1,MATCH($B55,'Encargos e Benefícios'!$E$511:$AB$511,0),10,1)),0)
+_xlfn.IFNA(SUM((AN$3&gt;='Gastos com Pessoal'!$E$7:$E$506)*(AN$3&lt;='Gastos com Pessoal'!$F$7:$F$506)*(IF('Gastos com Pessoal'!$G$7:$G$506&lt;=AN$3,1,0))*OFFSET('Gastos com Pessoal'!$H$6,1,MATCH(1&amp;$B55,'Gastos com Pessoal'!$I$532:$AJ$532&amp;'Gastos com Pessoal'!$I$6:$AJ$6,0),500,1)),0)
+_xlfn.IFNA(SUM((AN$3&gt;='Gastos com Pessoal'!$E$7:$E$506)*(AN$3&lt;='Gastos com Pessoal'!$F$7:$F$506)*(IF('Gastos com Pessoal'!$M$7:$M$506&lt;=AN$3,1,0))*OFFSET('Gastos com Pessoal'!$H$6,1,MATCH(2&amp;$B55,'Gastos com Pessoal'!$I$532:$AJ$532&amp;'Gastos com Pessoal'!$I$6:$AJ$6,0),500,1)),0)
+_xlfn.IFNA(SUM((AN$3&gt;='Gastos com Pessoal'!$E$7:$E$506)*(AN$3&lt;='Gastos com Pessoal'!$F$7:$F$506)*(IF('Gastos com Pessoal'!$S$7:$S$506&lt;=AN$3,1,0))*OFFSET('Gastos com Pessoal'!$H$6,1,MATCH(3&amp;$B55,'Gastos com Pessoal'!$I$532:$AJ$532&amp;'Gastos com Pessoal'!$I$6:$AJ$6,0),500,1)),0)
+_xlfn.IFNA(SUM((AN$3&gt;='Gastos com Pessoal'!$E$7:$E$506)*(AN$3&lt;='Gastos com Pessoal'!$F$7:$F$506)*(IF('Gastos com Pessoal'!$Y$7:$Y$506&lt;=AN$3,1,0))*OFFSET('Gastos com Pessoal'!$H$6,1,MATCH(4&amp;$B55,'Gastos com Pessoal'!$I$532:$AJ$532&amp;'Gastos com Pessoal'!$I$6:$AJ$6,0),500,1)),0)
+_xlfn.IFNA(SUM((AN$3&gt;='Gastos com Pessoal'!$E$7:$E$506)*(AN$3&lt;='Gastos com Pessoal'!$F$7:$F$506)*(IF('Gastos com Pessoal'!$AE$7:$AE$506&lt;=AN$3,1,0))*OFFSET('Gastos com Pessoal'!$H$6,1,MATCH(5&amp;$B55,'Gastos com Pessoal'!$I$532:$AJ$532&amp;'Gastos com Pessoal'!$I$6:$AJ$6,0),500,1)),0)
+_xlfn.IFNA(SUM((AN$3&gt;='Gastos com Pessoal'!$E$513:$E$522)*(AN$3&lt;='Gastos com Pessoal'!$F$513:$F$522)*(IF('Gastos com Pessoal'!$G$513:$G$522&lt;=AN$3,1,0))*OFFSET('Gastos com Pessoal'!$H$512,1,MATCH(1&amp;$B55,'Gastos com Pessoal'!$I$532:$AJ$532&amp;'Gastos com Pessoal'!$I$512:$AJ$512,0),10,1)),0)
+_xlfn.IFNA(SUM((AN$3&gt;='Gastos com Pessoal'!$E$513:$E$522)*(AN$3&lt;='Gastos com Pessoal'!$F$513:$F$522)*(IF('Gastos com Pessoal'!$M$513:$M$522&lt;=AN$3,1,0))*OFFSET('Gastos com Pessoal'!$H$512,1,MATCH(2&amp;$B55,'Gastos com Pessoal'!$I$532:$AJ$532&amp;'Gastos com Pessoal'!$I$512:$AJ$512,0),10,1)),0)
+_xlfn.IFNA(SUM((AN$3&gt;='Gastos com Pessoal'!$E$513:$E$522)*(AN$3&lt;='Gastos com Pessoal'!$F$513:$F$522)*(IF('Gastos com Pessoal'!$S$513:$S$522&lt;=AN$3,1,0))*OFFSET('Gastos com Pessoal'!$H$512,1,MATCH(3&amp;$B55,'Gastos com Pessoal'!$I$532:$AJ$532&amp;'Gastos com Pessoal'!$I$512:$AJ$512,0),10,1)),0)
+_xlfn.IFNA(SUM((AN$3&gt;='Gastos com Pessoal'!$E$513:$E$522)*(AN$3&lt;='Gastos com Pessoal'!$F$513:$F$522)*(IF('Gastos com Pessoal'!$Y$513:$Y$522&lt;=AN$3,1,0))*OFFSET('Gastos com Pessoal'!$H$512,1,MATCH(4&amp;$B55,'Gastos com Pessoal'!$I$532:$AJ$532&amp;'Gastos com Pessoal'!$I$512:$AJ$512,0),10,1)),0)
+_xlfn.IFNA(SUM((AN$3&gt;='Gastos com Pessoal'!$E$513:$E$522)*(AN$3&lt;='Gastos com Pessoal'!$F$513:$F$522)*(IF('Gastos com Pessoal'!$AE$513:$AE$522&lt;=AN$3,1,0))*OFFSET('Gastos com Pessoal'!$H$512,1,MATCH(5&amp;$B55,'Gastos com Pessoal'!$I$532:$AJ$532&amp;'Gastos com Pessoal'!$I$512:$AJ$512,0),10,1)),0)</f>
        <v>0</v>
      </c>
      <c r="AO55" s="32">
        <f t="array" aca="1" ref="AO55" ca="1">_xlfn.IFNA(SUM((AO$3&gt;='Gastos com Pessoal'!$E$7:$E$506)*(AO$3&lt;='Gastos com Pessoal'!$F$7:$F$506)*OFFSET('Encargos e Benefícios'!$D$5,1,MATCH($B55,'Encargos e Benefícios'!$E$5:$AB$5,0),500,1)),0)
+_xlfn.IFNA(SUM((AO$3&gt;='Gastos com Pessoal'!$E$513:$E$522)*(AO$3&lt;='Gastos com Pessoal'!$F$513:$F$522)*OFFSET('Encargos e Benefícios'!$D$511,1,MATCH($B55,'Encargos e Benefícios'!$E$511:$AB$511,0),10,1)),0)
+_xlfn.IFNA(SUM((AO$3&gt;='Gastos com Pessoal'!$E$7:$E$506)*(AO$3&lt;='Gastos com Pessoal'!$F$7:$F$506)*(IF('Gastos com Pessoal'!$G$7:$G$506&lt;=AO$3,1,0))*OFFSET('Gastos com Pessoal'!$H$6,1,MATCH(1&amp;$B55,'Gastos com Pessoal'!$I$532:$AJ$532&amp;'Gastos com Pessoal'!$I$6:$AJ$6,0),500,1)),0)
+_xlfn.IFNA(SUM((AO$3&gt;='Gastos com Pessoal'!$E$7:$E$506)*(AO$3&lt;='Gastos com Pessoal'!$F$7:$F$506)*(IF('Gastos com Pessoal'!$M$7:$M$506&lt;=AO$3,1,0))*OFFSET('Gastos com Pessoal'!$H$6,1,MATCH(2&amp;$B55,'Gastos com Pessoal'!$I$532:$AJ$532&amp;'Gastos com Pessoal'!$I$6:$AJ$6,0),500,1)),0)
+_xlfn.IFNA(SUM((AO$3&gt;='Gastos com Pessoal'!$E$7:$E$506)*(AO$3&lt;='Gastos com Pessoal'!$F$7:$F$506)*(IF('Gastos com Pessoal'!$S$7:$S$506&lt;=AO$3,1,0))*OFFSET('Gastos com Pessoal'!$H$6,1,MATCH(3&amp;$B55,'Gastos com Pessoal'!$I$532:$AJ$532&amp;'Gastos com Pessoal'!$I$6:$AJ$6,0),500,1)),0)
+_xlfn.IFNA(SUM((AO$3&gt;='Gastos com Pessoal'!$E$7:$E$506)*(AO$3&lt;='Gastos com Pessoal'!$F$7:$F$506)*(IF('Gastos com Pessoal'!$Y$7:$Y$506&lt;=AO$3,1,0))*OFFSET('Gastos com Pessoal'!$H$6,1,MATCH(4&amp;$B55,'Gastos com Pessoal'!$I$532:$AJ$532&amp;'Gastos com Pessoal'!$I$6:$AJ$6,0),500,1)),0)
+_xlfn.IFNA(SUM((AO$3&gt;='Gastos com Pessoal'!$E$7:$E$506)*(AO$3&lt;='Gastos com Pessoal'!$F$7:$F$506)*(IF('Gastos com Pessoal'!$AE$7:$AE$506&lt;=AO$3,1,0))*OFFSET('Gastos com Pessoal'!$H$6,1,MATCH(5&amp;$B55,'Gastos com Pessoal'!$I$532:$AJ$532&amp;'Gastos com Pessoal'!$I$6:$AJ$6,0),500,1)),0)
+_xlfn.IFNA(SUM((AO$3&gt;='Gastos com Pessoal'!$E$513:$E$522)*(AO$3&lt;='Gastos com Pessoal'!$F$513:$F$522)*(IF('Gastos com Pessoal'!$G$513:$G$522&lt;=AO$3,1,0))*OFFSET('Gastos com Pessoal'!$H$512,1,MATCH(1&amp;$B55,'Gastos com Pessoal'!$I$532:$AJ$532&amp;'Gastos com Pessoal'!$I$512:$AJ$512,0),10,1)),0)
+_xlfn.IFNA(SUM((AO$3&gt;='Gastos com Pessoal'!$E$513:$E$522)*(AO$3&lt;='Gastos com Pessoal'!$F$513:$F$522)*(IF('Gastos com Pessoal'!$M$513:$M$522&lt;=AO$3,1,0))*OFFSET('Gastos com Pessoal'!$H$512,1,MATCH(2&amp;$B55,'Gastos com Pessoal'!$I$532:$AJ$532&amp;'Gastos com Pessoal'!$I$512:$AJ$512,0),10,1)),0)
+_xlfn.IFNA(SUM((AO$3&gt;='Gastos com Pessoal'!$E$513:$E$522)*(AO$3&lt;='Gastos com Pessoal'!$F$513:$F$522)*(IF('Gastos com Pessoal'!$S$513:$S$522&lt;=AO$3,1,0))*OFFSET('Gastos com Pessoal'!$H$512,1,MATCH(3&amp;$B55,'Gastos com Pessoal'!$I$532:$AJ$532&amp;'Gastos com Pessoal'!$I$512:$AJ$512,0),10,1)),0)
+_xlfn.IFNA(SUM((AO$3&gt;='Gastos com Pessoal'!$E$513:$E$522)*(AO$3&lt;='Gastos com Pessoal'!$F$513:$F$522)*(IF('Gastos com Pessoal'!$Y$513:$Y$522&lt;=AO$3,1,0))*OFFSET('Gastos com Pessoal'!$H$512,1,MATCH(4&amp;$B55,'Gastos com Pessoal'!$I$532:$AJ$532&amp;'Gastos com Pessoal'!$I$512:$AJ$512,0),10,1)),0)
+_xlfn.IFNA(SUM((AO$3&gt;='Gastos com Pessoal'!$E$513:$E$522)*(AO$3&lt;='Gastos com Pessoal'!$F$513:$F$522)*(IF('Gastos com Pessoal'!$AE$513:$AE$522&lt;=AO$3,1,0))*OFFSET('Gastos com Pessoal'!$H$512,1,MATCH(5&amp;$B55,'Gastos com Pessoal'!$I$532:$AJ$532&amp;'Gastos com Pessoal'!$I$512:$AJ$512,0),10,1)),0)</f>
        <v>0</v>
      </c>
      <c r="AP55" s="32">
        <f t="array" aca="1" ref="AP55" ca="1">_xlfn.IFNA(SUM((AP$3&gt;='Gastos com Pessoal'!$E$7:$E$506)*(AP$3&lt;='Gastos com Pessoal'!$F$7:$F$506)*OFFSET('Encargos e Benefícios'!$D$5,1,MATCH($B55,'Encargos e Benefícios'!$E$5:$AB$5,0),500,1)),0)
+_xlfn.IFNA(SUM((AP$3&gt;='Gastos com Pessoal'!$E$513:$E$522)*(AP$3&lt;='Gastos com Pessoal'!$F$513:$F$522)*OFFSET('Encargos e Benefícios'!$D$511,1,MATCH($B55,'Encargos e Benefícios'!$E$511:$AB$511,0),10,1)),0)
+_xlfn.IFNA(SUM((AP$3&gt;='Gastos com Pessoal'!$E$7:$E$506)*(AP$3&lt;='Gastos com Pessoal'!$F$7:$F$506)*(IF('Gastos com Pessoal'!$G$7:$G$506&lt;=AP$3,1,0))*OFFSET('Gastos com Pessoal'!$H$6,1,MATCH(1&amp;$B55,'Gastos com Pessoal'!$I$532:$AJ$532&amp;'Gastos com Pessoal'!$I$6:$AJ$6,0),500,1)),0)
+_xlfn.IFNA(SUM((AP$3&gt;='Gastos com Pessoal'!$E$7:$E$506)*(AP$3&lt;='Gastos com Pessoal'!$F$7:$F$506)*(IF('Gastos com Pessoal'!$M$7:$M$506&lt;=AP$3,1,0))*OFFSET('Gastos com Pessoal'!$H$6,1,MATCH(2&amp;$B55,'Gastos com Pessoal'!$I$532:$AJ$532&amp;'Gastos com Pessoal'!$I$6:$AJ$6,0),500,1)),0)
+_xlfn.IFNA(SUM((AP$3&gt;='Gastos com Pessoal'!$E$7:$E$506)*(AP$3&lt;='Gastos com Pessoal'!$F$7:$F$506)*(IF('Gastos com Pessoal'!$S$7:$S$506&lt;=AP$3,1,0))*OFFSET('Gastos com Pessoal'!$H$6,1,MATCH(3&amp;$B55,'Gastos com Pessoal'!$I$532:$AJ$532&amp;'Gastos com Pessoal'!$I$6:$AJ$6,0),500,1)),0)
+_xlfn.IFNA(SUM((AP$3&gt;='Gastos com Pessoal'!$E$7:$E$506)*(AP$3&lt;='Gastos com Pessoal'!$F$7:$F$506)*(IF('Gastos com Pessoal'!$Y$7:$Y$506&lt;=AP$3,1,0))*OFFSET('Gastos com Pessoal'!$H$6,1,MATCH(4&amp;$B55,'Gastos com Pessoal'!$I$532:$AJ$532&amp;'Gastos com Pessoal'!$I$6:$AJ$6,0),500,1)),0)
+_xlfn.IFNA(SUM((AP$3&gt;='Gastos com Pessoal'!$E$7:$E$506)*(AP$3&lt;='Gastos com Pessoal'!$F$7:$F$506)*(IF('Gastos com Pessoal'!$AE$7:$AE$506&lt;=AP$3,1,0))*OFFSET('Gastos com Pessoal'!$H$6,1,MATCH(5&amp;$B55,'Gastos com Pessoal'!$I$532:$AJ$532&amp;'Gastos com Pessoal'!$I$6:$AJ$6,0),500,1)),0)
+_xlfn.IFNA(SUM((AP$3&gt;='Gastos com Pessoal'!$E$513:$E$522)*(AP$3&lt;='Gastos com Pessoal'!$F$513:$F$522)*(IF('Gastos com Pessoal'!$G$513:$G$522&lt;=AP$3,1,0))*OFFSET('Gastos com Pessoal'!$H$512,1,MATCH(1&amp;$B55,'Gastos com Pessoal'!$I$532:$AJ$532&amp;'Gastos com Pessoal'!$I$512:$AJ$512,0),10,1)),0)
+_xlfn.IFNA(SUM((AP$3&gt;='Gastos com Pessoal'!$E$513:$E$522)*(AP$3&lt;='Gastos com Pessoal'!$F$513:$F$522)*(IF('Gastos com Pessoal'!$M$513:$M$522&lt;=AP$3,1,0))*OFFSET('Gastos com Pessoal'!$H$512,1,MATCH(2&amp;$B55,'Gastos com Pessoal'!$I$532:$AJ$532&amp;'Gastos com Pessoal'!$I$512:$AJ$512,0),10,1)),0)
+_xlfn.IFNA(SUM((AP$3&gt;='Gastos com Pessoal'!$E$513:$E$522)*(AP$3&lt;='Gastos com Pessoal'!$F$513:$F$522)*(IF('Gastos com Pessoal'!$S$513:$S$522&lt;=AP$3,1,0))*OFFSET('Gastos com Pessoal'!$H$512,1,MATCH(3&amp;$B55,'Gastos com Pessoal'!$I$532:$AJ$532&amp;'Gastos com Pessoal'!$I$512:$AJ$512,0),10,1)),0)
+_xlfn.IFNA(SUM((AP$3&gt;='Gastos com Pessoal'!$E$513:$E$522)*(AP$3&lt;='Gastos com Pessoal'!$F$513:$F$522)*(IF('Gastos com Pessoal'!$Y$513:$Y$522&lt;=AP$3,1,0))*OFFSET('Gastos com Pessoal'!$H$512,1,MATCH(4&amp;$B55,'Gastos com Pessoal'!$I$532:$AJ$532&amp;'Gastos com Pessoal'!$I$512:$AJ$512,0),10,1)),0)
+_xlfn.IFNA(SUM((AP$3&gt;='Gastos com Pessoal'!$E$513:$E$522)*(AP$3&lt;='Gastos com Pessoal'!$F$513:$F$522)*(IF('Gastos com Pessoal'!$AE$513:$AE$522&lt;=AP$3,1,0))*OFFSET('Gastos com Pessoal'!$H$512,1,MATCH(5&amp;$B55,'Gastos com Pessoal'!$I$532:$AJ$532&amp;'Gastos com Pessoal'!$I$512:$AJ$512,0),10,1)),0)</f>
        <v>0</v>
      </c>
      <c r="AQ55" s="32">
        <f t="array" aca="1" ref="AQ55" ca="1">_xlfn.IFNA(SUM((AQ$3&gt;='Gastos com Pessoal'!$E$7:$E$506)*(AQ$3&lt;='Gastos com Pessoal'!$F$7:$F$506)*OFFSET('Encargos e Benefícios'!$D$5,1,MATCH($B55,'Encargos e Benefícios'!$E$5:$AB$5,0),500,1)),0)
+_xlfn.IFNA(SUM((AQ$3&gt;='Gastos com Pessoal'!$E$513:$E$522)*(AQ$3&lt;='Gastos com Pessoal'!$F$513:$F$522)*OFFSET('Encargos e Benefícios'!$D$511,1,MATCH($B55,'Encargos e Benefícios'!$E$511:$AB$511,0),10,1)),0)
+_xlfn.IFNA(SUM((AQ$3&gt;='Gastos com Pessoal'!$E$7:$E$506)*(AQ$3&lt;='Gastos com Pessoal'!$F$7:$F$506)*(IF('Gastos com Pessoal'!$G$7:$G$506&lt;=AQ$3,1,0))*OFFSET('Gastos com Pessoal'!$H$6,1,MATCH(1&amp;$B55,'Gastos com Pessoal'!$I$532:$AJ$532&amp;'Gastos com Pessoal'!$I$6:$AJ$6,0),500,1)),0)
+_xlfn.IFNA(SUM((AQ$3&gt;='Gastos com Pessoal'!$E$7:$E$506)*(AQ$3&lt;='Gastos com Pessoal'!$F$7:$F$506)*(IF('Gastos com Pessoal'!$M$7:$M$506&lt;=AQ$3,1,0))*OFFSET('Gastos com Pessoal'!$H$6,1,MATCH(2&amp;$B55,'Gastos com Pessoal'!$I$532:$AJ$532&amp;'Gastos com Pessoal'!$I$6:$AJ$6,0),500,1)),0)
+_xlfn.IFNA(SUM((AQ$3&gt;='Gastos com Pessoal'!$E$7:$E$506)*(AQ$3&lt;='Gastos com Pessoal'!$F$7:$F$506)*(IF('Gastos com Pessoal'!$S$7:$S$506&lt;=AQ$3,1,0))*OFFSET('Gastos com Pessoal'!$H$6,1,MATCH(3&amp;$B55,'Gastos com Pessoal'!$I$532:$AJ$532&amp;'Gastos com Pessoal'!$I$6:$AJ$6,0),500,1)),0)
+_xlfn.IFNA(SUM((AQ$3&gt;='Gastos com Pessoal'!$E$7:$E$506)*(AQ$3&lt;='Gastos com Pessoal'!$F$7:$F$506)*(IF('Gastos com Pessoal'!$Y$7:$Y$506&lt;=AQ$3,1,0))*OFFSET('Gastos com Pessoal'!$H$6,1,MATCH(4&amp;$B55,'Gastos com Pessoal'!$I$532:$AJ$532&amp;'Gastos com Pessoal'!$I$6:$AJ$6,0),500,1)),0)
+_xlfn.IFNA(SUM((AQ$3&gt;='Gastos com Pessoal'!$E$7:$E$506)*(AQ$3&lt;='Gastos com Pessoal'!$F$7:$F$506)*(IF('Gastos com Pessoal'!$AE$7:$AE$506&lt;=AQ$3,1,0))*OFFSET('Gastos com Pessoal'!$H$6,1,MATCH(5&amp;$B55,'Gastos com Pessoal'!$I$532:$AJ$532&amp;'Gastos com Pessoal'!$I$6:$AJ$6,0),500,1)),0)
+_xlfn.IFNA(SUM((AQ$3&gt;='Gastos com Pessoal'!$E$513:$E$522)*(AQ$3&lt;='Gastos com Pessoal'!$F$513:$F$522)*(IF('Gastos com Pessoal'!$G$513:$G$522&lt;=AQ$3,1,0))*OFFSET('Gastos com Pessoal'!$H$512,1,MATCH(1&amp;$B55,'Gastos com Pessoal'!$I$532:$AJ$532&amp;'Gastos com Pessoal'!$I$512:$AJ$512,0),10,1)),0)
+_xlfn.IFNA(SUM((AQ$3&gt;='Gastos com Pessoal'!$E$513:$E$522)*(AQ$3&lt;='Gastos com Pessoal'!$F$513:$F$522)*(IF('Gastos com Pessoal'!$M$513:$M$522&lt;=AQ$3,1,0))*OFFSET('Gastos com Pessoal'!$H$512,1,MATCH(2&amp;$B55,'Gastos com Pessoal'!$I$532:$AJ$532&amp;'Gastos com Pessoal'!$I$512:$AJ$512,0),10,1)),0)
+_xlfn.IFNA(SUM((AQ$3&gt;='Gastos com Pessoal'!$E$513:$E$522)*(AQ$3&lt;='Gastos com Pessoal'!$F$513:$F$522)*(IF('Gastos com Pessoal'!$S$513:$S$522&lt;=AQ$3,1,0))*OFFSET('Gastos com Pessoal'!$H$512,1,MATCH(3&amp;$B55,'Gastos com Pessoal'!$I$532:$AJ$532&amp;'Gastos com Pessoal'!$I$512:$AJ$512,0),10,1)),0)
+_xlfn.IFNA(SUM((AQ$3&gt;='Gastos com Pessoal'!$E$513:$E$522)*(AQ$3&lt;='Gastos com Pessoal'!$F$513:$F$522)*(IF('Gastos com Pessoal'!$Y$513:$Y$522&lt;=AQ$3,1,0))*OFFSET('Gastos com Pessoal'!$H$512,1,MATCH(4&amp;$B55,'Gastos com Pessoal'!$I$532:$AJ$532&amp;'Gastos com Pessoal'!$I$512:$AJ$512,0),10,1)),0)
+_xlfn.IFNA(SUM((AQ$3&gt;='Gastos com Pessoal'!$E$513:$E$522)*(AQ$3&lt;='Gastos com Pessoal'!$F$513:$F$522)*(IF('Gastos com Pessoal'!$AE$513:$AE$522&lt;=AQ$3,1,0))*OFFSET('Gastos com Pessoal'!$H$512,1,MATCH(5&amp;$B55,'Gastos com Pessoal'!$I$532:$AJ$532&amp;'Gastos com Pessoal'!$I$512:$AJ$512,0),10,1)),0)</f>
        <v>0</v>
      </c>
      <c r="AR55" s="32">
        <f t="array" aca="1" ref="AR55" ca="1">_xlfn.IFNA(SUM((AR$3&gt;='Gastos com Pessoal'!$E$7:$E$506)*(AR$3&lt;='Gastos com Pessoal'!$F$7:$F$506)*OFFSET('Encargos e Benefícios'!$D$5,1,MATCH($B55,'Encargos e Benefícios'!$E$5:$AB$5,0),500,1)),0)
+_xlfn.IFNA(SUM((AR$3&gt;='Gastos com Pessoal'!$E$513:$E$522)*(AR$3&lt;='Gastos com Pessoal'!$F$513:$F$522)*OFFSET('Encargos e Benefícios'!$D$511,1,MATCH($B55,'Encargos e Benefícios'!$E$511:$AB$511,0),10,1)),0)
+_xlfn.IFNA(SUM((AR$3&gt;='Gastos com Pessoal'!$E$7:$E$506)*(AR$3&lt;='Gastos com Pessoal'!$F$7:$F$506)*(IF('Gastos com Pessoal'!$G$7:$G$506&lt;=AR$3,1,0))*OFFSET('Gastos com Pessoal'!$H$6,1,MATCH(1&amp;$B55,'Gastos com Pessoal'!$I$532:$AJ$532&amp;'Gastos com Pessoal'!$I$6:$AJ$6,0),500,1)),0)
+_xlfn.IFNA(SUM((AR$3&gt;='Gastos com Pessoal'!$E$7:$E$506)*(AR$3&lt;='Gastos com Pessoal'!$F$7:$F$506)*(IF('Gastos com Pessoal'!$M$7:$M$506&lt;=AR$3,1,0))*OFFSET('Gastos com Pessoal'!$H$6,1,MATCH(2&amp;$B55,'Gastos com Pessoal'!$I$532:$AJ$532&amp;'Gastos com Pessoal'!$I$6:$AJ$6,0),500,1)),0)
+_xlfn.IFNA(SUM((AR$3&gt;='Gastos com Pessoal'!$E$7:$E$506)*(AR$3&lt;='Gastos com Pessoal'!$F$7:$F$506)*(IF('Gastos com Pessoal'!$S$7:$S$506&lt;=AR$3,1,0))*OFFSET('Gastos com Pessoal'!$H$6,1,MATCH(3&amp;$B55,'Gastos com Pessoal'!$I$532:$AJ$532&amp;'Gastos com Pessoal'!$I$6:$AJ$6,0),500,1)),0)
+_xlfn.IFNA(SUM((AR$3&gt;='Gastos com Pessoal'!$E$7:$E$506)*(AR$3&lt;='Gastos com Pessoal'!$F$7:$F$506)*(IF('Gastos com Pessoal'!$Y$7:$Y$506&lt;=AR$3,1,0))*OFFSET('Gastos com Pessoal'!$H$6,1,MATCH(4&amp;$B55,'Gastos com Pessoal'!$I$532:$AJ$532&amp;'Gastos com Pessoal'!$I$6:$AJ$6,0),500,1)),0)
+_xlfn.IFNA(SUM((AR$3&gt;='Gastos com Pessoal'!$E$7:$E$506)*(AR$3&lt;='Gastos com Pessoal'!$F$7:$F$506)*(IF('Gastos com Pessoal'!$AE$7:$AE$506&lt;=AR$3,1,0))*OFFSET('Gastos com Pessoal'!$H$6,1,MATCH(5&amp;$B55,'Gastos com Pessoal'!$I$532:$AJ$532&amp;'Gastos com Pessoal'!$I$6:$AJ$6,0),500,1)),0)
+_xlfn.IFNA(SUM((AR$3&gt;='Gastos com Pessoal'!$E$513:$E$522)*(AR$3&lt;='Gastos com Pessoal'!$F$513:$F$522)*(IF('Gastos com Pessoal'!$G$513:$G$522&lt;=AR$3,1,0))*OFFSET('Gastos com Pessoal'!$H$512,1,MATCH(1&amp;$B55,'Gastos com Pessoal'!$I$532:$AJ$532&amp;'Gastos com Pessoal'!$I$512:$AJ$512,0),10,1)),0)
+_xlfn.IFNA(SUM((AR$3&gt;='Gastos com Pessoal'!$E$513:$E$522)*(AR$3&lt;='Gastos com Pessoal'!$F$513:$F$522)*(IF('Gastos com Pessoal'!$M$513:$M$522&lt;=AR$3,1,0))*OFFSET('Gastos com Pessoal'!$H$512,1,MATCH(2&amp;$B55,'Gastos com Pessoal'!$I$532:$AJ$532&amp;'Gastos com Pessoal'!$I$512:$AJ$512,0),10,1)),0)
+_xlfn.IFNA(SUM((AR$3&gt;='Gastos com Pessoal'!$E$513:$E$522)*(AR$3&lt;='Gastos com Pessoal'!$F$513:$F$522)*(IF('Gastos com Pessoal'!$S$513:$S$522&lt;=AR$3,1,0))*OFFSET('Gastos com Pessoal'!$H$512,1,MATCH(3&amp;$B55,'Gastos com Pessoal'!$I$532:$AJ$532&amp;'Gastos com Pessoal'!$I$512:$AJ$512,0),10,1)),0)
+_xlfn.IFNA(SUM((AR$3&gt;='Gastos com Pessoal'!$E$513:$E$522)*(AR$3&lt;='Gastos com Pessoal'!$F$513:$F$522)*(IF('Gastos com Pessoal'!$Y$513:$Y$522&lt;=AR$3,1,0))*OFFSET('Gastos com Pessoal'!$H$512,1,MATCH(4&amp;$B55,'Gastos com Pessoal'!$I$532:$AJ$532&amp;'Gastos com Pessoal'!$I$512:$AJ$512,0),10,1)),0)
+_xlfn.IFNA(SUM((AR$3&gt;='Gastos com Pessoal'!$E$513:$E$522)*(AR$3&lt;='Gastos com Pessoal'!$F$513:$F$522)*(IF('Gastos com Pessoal'!$AE$513:$AE$522&lt;=AR$3,1,0))*OFFSET('Gastos com Pessoal'!$H$512,1,MATCH(5&amp;$B55,'Gastos com Pessoal'!$I$532:$AJ$532&amp;'Gastos com Pessoal'!$I$512:$AJ$512,0),10,1)),0)</f>
        <v>0</v>
      </c>
      <c r="AS55" s="32">
        <f t="array" aca="1" ref="AS55" ca="1">_xlfn.IFNA(SUM((AS$3&gt;='Gastos com Pessoal'!$E$7:$E$506)*(AS$3&lt;='Gastos com Pessoal'!$F$7:$F$506)*OFFSET('Encargos e Benefícios'!$D$5,1,MATCH($B55,'Encargos e Benefícios'!$E$5:$AB$5,0),500,1)),0)
+_xlfn.IFNA(SUM((AS$3&gt;='Gastos com Pessoal'!$E$513:$E$522)*(AS$3&lt;='Gastos com Pessoal'!$F$513:$F$522)*OFFSET('Encargos e Benefícios'!$D$511,1,MATCH($B55,'Encargos e Benefícios'!$E$511:$AB$511,0),10,1)),0)
+_xlfn.IFNA(SUM((AS$3&gt;='Gastos com Pessoal'!$E$7:$E$506)*(AS$3&lt;='Gastos com Pessoal'!$F$7:$F$506)*(IF('Gastos com Pessoal'!$G$7:$G$506&lt;=AS$3,1,0))*OFFSET('Gastos com Pessoal'!$H$6,1,MATCH(1&amp;$B55,'Gastos com Pessoal'!$I$532:$AJ$532&amp;'Gastos com Pessoal'!$I$6:$AJ$6,0),500,1)),0)
+_xlfn.IFNA(SUM((AS$3&gt;='Gastos com Pessoal'!$E$7:$E$506)*(AS$3&lt;='Gastos com Pessoal'!$F$7:$F$506)*(IF('Gastos com Pessoal'!$M$7:$M$506&lt;=AS$3,1,0))*OFFSET('Gastos com Pessoal'!$H$6,1,MATCH(2&amp;$B55,'Gastos com Pessoal'!$I$532:$AJ$532&amp;'Gastos com Pessoal'!$I$6:$AJ$6,0),500,1)),0)
+_xlfn.IFNA(SUM((AS$3&gt;='Gastos com Pessoal'!$E$7:$E$506)*(AS$3&lt;='Gastos com Pessoal'!$F$7:$F$506)*(IF('Gastos com Pessoal'!$S$7:$S$506&lt;=AS$3,1,0))*OFFSET('Gastos com Pessoal'!$H$6,1,MATCH(3&amp;$B55,'Gastos com Pessoal'!$I$532:$AJ$532&amp;'Gastos com Pessoal'!$I$6:$AJ$6,0),500,1)),0)
+_xlfn.IFNA(SUM((AS$3&gt;='Gastos com Pessoal'!$E$7:$E$506)*(AS$3&lt;='Gastos com Pessoal'!$F$7:$F$506)*(IF('Gastos com Pessoal'!$Y$7:$Y$506&lt;=AS$3,1,0))*OFFSET('Gastos com Pessoal'!$H$6,1,MATCH(4&amp;$B55,'Gastos com Pessoal'!$I$532:$AJ$532&amp;'Gastos com Pessoal'!$I$6:$AJ$6,0),500,1)),0)
+_xlfn.IFNA(SUM((AS$3&gt;='Gastos com Pessoal'!$E$7:$E$506)*(AS$3&lt;='Gastos com Pessoal'!$F$7:$F$506)*(IF('Gastos com Pessoal'!$AE$7:$AE$506&lt;=AS$3,1,0))*OFFSET('Gastos com Pessoal'!$H$6,1,MATCH(5&amp;$B55,'Gastos com Pessoal'!$I$532:$AJ$532&amp;'Gastos com Pessoal'!$I$6:$AJ$6,0),500,1)),0)
+_xlfn.IFNA(SUM((AS$3&gt;='Gastos com Pessoal'!$E$513:$E$522)*(AS$3&lt;='Gastos com Pessoal'!$F$513:$F$522)*(IF('Gastos com Pessoal'!$G$513:$G$522&lt;=AS$3,1,0))*OFFSET('Gastos com Pessoal'!$H$512,1,MATCH(1&amp;$B55,'Gastos com Pessoal'!$I$532:$AJ$532&amp;'Gastos com Pessoal'!$I$512:$AJ$512,0),10,1)),0)
+_xlfn.IFNA(SUM((AS$3&gt;='Gastos com Pessoal'!$E$513:$E$522)*(AS$3&lt;='Gastos com Pessoal'!$F$513:$F$522)*(IF('Gastos com Pessoal'!$M$513:$M$522&lt;=AS$3,1,0))*OFFSET('Gastos com Pessoal'!$H$512,1,MATCH(2&amp;$B55,'Gastos com Pessoal'!$I$532:$AJ$532&amp;'Gastos com Pessoal'!$I$512:$AJ$512,0),10,1)),0)
+_xlfn.IFNA(SUM((AS$3&gt;='Gastos com Pessoal'!$E$513:$E$522)*(AS$3&lt;='Gastos com Pessoal'!$F$513:$F$522)*(IF('Gastos com Pessoal'!$S$513:$S$522&lt;=AS$3,1,0))*OFFSET('Gastos com Pessoal'!$H$512,1,MATCH(3&amp;$B55,'Gastos com Pessoal'!$I$532:$AJ$532&amp;'Gastos com Pessoal'!$I$512:$AJ$512,0),10,1)),0)
+_xlfn.IFNA(SUM((AS$3&gt;='Gastos com Pessoal'!$E$513:$E$522)*(AS$3&lt;='Gastos com Pessoal'!$F$513:$F$522)*(IF('Gastos com Pessoal'!$Y$513:$Y$522&lt;=AS$3,1,0))*OFFSET('Gastos com Pessoal'!$H$512,1,MATCH(4&amp;$B55,'Gastos com Pessoal'!$I$532:$AJ$532&amp;'Gastos com Pessoal'!$I$512:$AJ$512,0),10,1)),0)
+_xlfn.IFNA(SUM((AS$3&gt;='Gastos com Pessoal'!$E$513:$E$522)*(AS$3&lt;='Gastos com Pessoal'!$F$513:$F$522)*(IF('Gastos com Pessoal'!$AE$513:$AE$522&lt;=AS$3,1,0))*OFFSET('Gastos com Pessoal'!$H$512,1,MATCH(5&amp;$B55,'Gastos com Pessoal'!$I$532:$AJ$532&amp;'Gastos com Pessoal'!$I$512:$AJ$512,0),10,1)),0)</f>
        <v>0</v>
      </c>
      <c r="AT55" s="32">
        <f t="array" aca="1" ref="AT55" ca="1">_xlfn.IFNA(SUM((AT$3&gt;='Gastos com Pessoal'!$E$7:$E$506)*(AT$3&lt;='Gastos com Pessoal'!$F$7:$F$506)*OFFSET('Encargos e Benefícios'!$D$5,1,MATCH($B55,'Encargos e Benefícios'!$E$5:$AB$5,0),500,1)),0)
+_xlfn.IFNA(SUM((AT$3&gt;='Gastos com Pessoal'!$E$513:$E$522)*(AT$3&lt;='Gastos com Pessoal'!$F$513:$F$522)*OFFSET('Encargos e Benefícios'!$D$511,1,MATCH($B55,'Encargos e Benefícios'!$E$511:$AB$511,0),10,1)),0)
+_xlfn.IFNA(SUM((AT$3&gt;='Gastos com Pessoal'!$E$7:$E$506)*(AT$3&lt;='Gastos com Pessoal'!$F$7:$F$506)*(IF('Gastos com Pessoal'!$G$7:$G$506&lt;=AT$3,1,0))*OFFSET('Gastos com Pessoal'!$H$6,1,MATCH(1&amp;$B55,'Gastos com Pessoal'!$I$532:$AJ$532&amp;'Gastos com Pessoal'!$I$6:$AJ$6,0),500,1)),0)
+_xlfn.IFNA(SUM((AT$3&gt;='Gastos com Pessoal'!$E$7:$E$506)*(AT$3&lt;='Gastos com Pessoal'!$F$7:$F$506)*(IF('Gastos com Pessoal'!$M$7:$M$506&lt;=AT$3,1,0))*OFFSET('Gastos com Pessoal'!$H$6,1,MATCH(2&amp;$B55,'Gastos com Pessoal'!$I$532:$AJ$532&amp;'Gastos com Pessoal'!$I$6:$AJ$6,0),500,1)),0)
+_xlfn.IFNA(SUM((AT$3&gt;='Gastos com Pessoal'!$E$7:$E$506)*(AT$3&lt;='Gastos com Pessoal'!$F$7:$F$506)*(IF('Gastos com Pessoal'!$S$7:$S$506&lt;=AT$3,1,0))*OFFSET('Gastos com Pessoal'!$H$6,1,MATCH(3&amp;$B55,'Gastos com Pessoal'!$I$532:$AJ$532&amp;'Gastos com Pessoal'!$I$6:$AJ$6,0),500,1)),0)
+_xlfn.IFNA(SUM((AT$3&gt;='Gastos com Pessoal'!$E$7:$E$506)*(AT$3&lt;='Gastos com Pessoal'!$F$7:$F$506)*(IF('Gastos com Pessoal'!$Y$7:$Y$506&lt;=AT$3,1,0))*OFFSET('Gastos com Pessoal'!$H$6,1,MATCH(4&amp;$B55,'Gastos com Pessoal'!$I$532:$AJ$532&amp;'Gastos com Pessoal'!$I$6:$AJ$6,0),500,1)),0)
+_xlfn.IFNA(SUM((AT$3&gt;='Gastos com Pessoal'!$E$7:$E$506)*(AT$3&lt;='Gastos com Pessoal'!$F$7:$F$506)*(IF('Gastos com Pessoal'!$AE$7:$AE$506&lt;=AT$3,1,0))*OFFSET('Gastos com Pessoal'!$H$6,1,MATCH(5&amp;$B55,'Gastos com Pessoal'!$I$532:$AJ$532&amp;'Gastos com Pessoal'!$I$6:$AJ$6,0),500,1)),0)
+_xlfn.IFNA(SUM((AT$3&gt;='Gastos com Pessoal'!$E$513:$E$522)*(AT$3&lt;='Gastos com Pessoal'!$F$513:$F$522)*(IF('Gastos com Pessoal'!$G$513:$G$522&lt;=AT$3,1,0))*OFFSET('Gastos com Pessoal'!$H$512,1,MATCH(1&amp;$B55,'Gastos com Pessoal'!$I$532:$AJ$532&amp;'Gastos com Pessoal'!$I$512:$AJ$512,0),10,1)),0)
+_xlfn.IFNA(SUM((AT$3&gt;='Gastos com Pessoal'!$E$513:$E$522)*(AT$3&lt;='Gastos com Pessoal'!$F$513:$F$522)*(IF('Gastos com Pessoal'!$M$513:$M$522&lt;=AT$3,1,0))*OFFSET('Gastos com Pessoal'!$H$512,1,MATCH(2&amp;$B55,'Gastos com Pessoal'!$I$532:$AJ$532&amp;'Gastos com Pessoal'!$I$512:$AJ$512,0),10,1)),0)
+_xlfn.IFNA(SUM((AT$3&gt;='Gastos com Pessoal'!$E$513:$E$522)*(AT$3&lt;='Gastos com Pessoal'!$F$513:$F$522)*(IF('Gastos com Pessoal'!$S$513:$S$522&lt;=AT$3,1,0))*OFFSET('Gastos com Pessoal'!$H$512,1,MATCH(3&amp;$B55,'Gastos com Pessoal'!$I$532:$AJ$532&amp;'Gastos com Pessoal'!$I$512:$AJ$512,0),10,1)),0)
+_xlfn.IFNA(SUM((AT$3&gt;='Gastos com Pessoal'!$E$513:$E$522)*(AT$3&lt;='Gastos com Pessoal'!$F$513:$F$522)*(IF('Gastos com Pessoal'!$Y$513:$Y$522&lt;=AT$3,1,0))*OFFSET('Gastos com Pessoal'!$H$512,1,MATCH(4&amp;$B55,'Gastos com Pessoal'!$I$532:$AJ$532&amp;'Gastos com Pessoal'!$I$512:$AJ$512,0),10,1)),0)
+_xlfn.IFNA(SUM((AT$3&gt;='Gastos com Pessoal'!$E$513:$E$522)*(AT$3&lt;='Gastos com Pessoal'!$F$513:$F$522)*(IF('Gastos com Pessoal'!$AE$513:$AE$522&lt;=AT$3,1,0))*OFFSET('Gastos com Pessoal'!$H$512,1,MATCH(5&amp;$B55,'Gastos com Pessoal'!$I$532:$AJ$532&amp;'Gastos com Pessoal'!$I$512:$AJ$512,0),10,1)),0)</f>
        <v>0</v>
      </c>
      <c r="AU55" s="32">
        <f t="array" aca="1" ref="AU55" ca="1">_xlfn.IFNA(SUM((AU$3&gt;='Gastos com Pessoal'!$E$7:$E$506)*(AU$3&lt;='Gastos com Pessoal'!$F$7:$F$506)*OFFSET('Encargos e Benefícios'!$D$5,1,MATCH($B55,'Encargos e Benefícios'!$E$5:$AB$5,0),500,1)),0)
+_xlfn.IFNA(SUM((AU$3&gt;='Gastos com Pessoal'!$E$513:$E$522)*(AU$3&lt;='Gastos com Pessoal'!$F$513:$F$522)*OFFSET('Encargos e Benefícios'!$D$511,1,MATCH($B55,'Encargos e Benefícios'!$E$511:$AB$511,0),10,1)),0)
+_xlfn.IFNA(SUM((AU$3&gt;='Gastos com Pessoal'!$E$7:$E$506)*(AU$3&lt;='Gastos com Pessoal'!$F$7:$F$506)*(IF('Gastos com Pessoal'!$G$7:$G$506&lt;=AU$3,1,0))*OFFSET('Gastos com Pessoal'!$H$6,1,MATCH(1&amp;$B55,'Gastos com Pessoal'!$I$532:$AJ$532&amp;'Gastos com Pessoal'!$I$6:$AJ$6,0),500,1)),0)
+_xlfn.IFNA(SUM((AU$3&gt;='Gastos com Pessoal'!$E$7:$E$506)*(AU$3&lt;='Gastos com Pessoal'!$F$7:$F$506)*(IF('Gastos com Pessoal'!$M$7:$M$506&lt;=AU$3,1,0))*OFFSET('Gastos com Pessoal'!$H$6,1,MATCH(2&amp;$B55,'Gastos com Pessoal'!$I$532:$AJ$532&amp;'Gastos com Pessoal'!$I$6:$AJ$6,0),500,1)),0)
+_xlfn.IFNA(SUM((AU$3&gt;='Gastos com Pessoal'!$E$7:$E$506)*(AU$3&lt;='Gastos com Pessoal'!$F$7:$F$506)*(IF('Gastos com Pessoal'!$S$7:$S$506&lt;=AU$3,1,0))*OFFSET('Gastos com Pessoal'!$H$6,1,MATCH(3&amp;$B55,'Gastos com Pessoal'!$I$532:$AJ$532&amp;'Gastos com Pessoal'!$I$6:$AJ$6,0),500,1)),0)
+_xlfn.IFNA(SUM((AU$3&gt;='Gastos com Pessoal'!$E$7:$E$506)*(AU$3&lt;='Gastos com Pessoal'!$F$7:$F$506)*(IF('Gastos com Pessoal'!$Y$7:$Y$506&lt;=AU$3,1,0))*OFFSET('Gastos com Pessoal'!$H$6,1,MATCH(4&amp;$B55,'Gastos com Pessoal'!$I$532:$AJ$532&amp;'Gastos com Pessoal'!$I$6:$AJ$6,0),500,1)),0)
+_xlfn.IFNA(SUM((AU$3&gt;='Gastos com Pessoal'!$E$7:$E$506)*(AU$3&lt;='Gastos com Pessoal'!$F$7:$F$506)*(IF('Gastos com Pessoal'!$AE$7:$AE$506&lt;=AU$3,1,0))*OFFSET('Gastos com Pessoal'!$H$6,1,MATCH(5&amp;$B55,'Gastos com Pessoal'!$I$532:$AJ$532&amp;'Gastos com Pessoal'!$I$6:$AJ$6,0),500,1)),0)
+_xlfn.IFNA(SUM((AU$3&gt;='Gastos com Pessoal'!$E$513:$E$522)*(AU$3&lt;='Gastos com Pessoal'!$F$513:$F$522)*(IF('Gastos com Pessoal'!$G$513:$G$522&lt;=AU$3,1,0))*OFFSET('Gastos com Pessoal'!$H$512,1,MATCH(1&amp;$B55,'Gastos com Pessoal'!$I$532:$AJ$532&amp;'Gastos com Pessoal'!$I$512:$AJ$512,0),10,1)),0)
+_xlfn.IFNA(SUM((AU$3&gt;='Gastos com Pessoal'!$E$513:$E$522)*(AU$3&lt;='Gastos com Pessoal'!$F$513:$F$522)*(IF('Gastos com Pessoal'!$M$513:$M$522&lt;=AU$3,1,0))*OFFSET('Gastos com Pessoal'!$H$512,1,MATCH(2&amp;$B55,'Gastos com Pessoal'!$I$532:$AJ$532&amp;'Gastos com Pessoal'!$I$512:$AJ$512,0),10,1)),0)
+_xlfn.IFNA(SUM((AU$3&gt;='Gastos com Pessoal'!$E$513:$E$522)*(AU$3&lt;='Gastos com Pessoal'!$F$513:$F$522)*(IF('Gastos com Pessoal'!$S$513:$S$522&lt;=AU$3,1,0))*OFFSET('Gastos com Pessoal'!$H$512,1,MATCH(3&amp;$B55,'Gastos com Pessoal'!$I$532:$AJ$532&amp;'Gastos com Pessoal'!$I$512:$AJ$512,0),10,1)),0)
+_xlfn.IFNA(SUM((AU$3&gt;='Gastos com Pessoal'!$E$513:$E$522)*(AU$3&lt;='Gastos com Pessoal'!$F$513:$F$522)*(IF('Gastos com Pessoal'!$Y$513:$Y$522&lt;=AU$3,1,0))*OFFSET('Gastos com Pessoal'!$H$512,1,MATCH(4&amp;$B55,'Gastos com Pessoal'!$I$532:$AJ$532&amp;'Gastos com Pessoal'!$I$512:$AJ$512,0),10,1)),0)
+_xlfn.IFNA(SUM((AU$3&gt;='Gastos com Pessoal'!$E$513:$E$522)*(AU$3&lt;='Gastos com Pessoal'!$F$513:$F$522)*(IF('Gastos com Pessoal'!$AE$513:$AE$522&lt;=AU$3,1,0))*OFFSET('Gastos com Pessoal'!$H$512,1,MATCH(5&amp;$B55,'Gastos com Pessoal'!$I$532:$AJ$532&amp;'Gastos com Pessoal'!$I$512:$AJ$512,0),10,1)),0)</f>
        <v>0</v>
      </c>
      <c r="AV55" s="32">
        <f t="array" aca="1" ref="AV55" ca="1">_xlfn.IFNA(SUM((AV$3&gt;='Gastos com Pessoal'!$E$7:$E$506)*(AV$3&lt;='Gastos com Pessoal'!$F$7:$F$506)*OFFSET('Encargos e Benefícios'!$D$5,1,MATCH($B55,'Encargos e Benefícios'!$E$5:$AB$5,0),500,1)),0)
+_xlfn.IFNA(SUM((AV$3&gt;='Gastos com Pessoal'!$E$513:$E$522)*(AV$3&lt;='Gastos com Pessoal'!$F$513:$F$522)*OFFSET('Encargos e Benefícios'!$D$511,1,MATCH($B55,'Encargos e Benefícios'!$E$511:$AB$511,0),10,1)),0)
+_xlfn.IFNA(SUM((AV$3&gt;='Gastos com Pessoal'!$E$7:$E$506)*(AV$3&lt;='Gastos com Pessoal'!$F$7:$F$506)*(IF('Gastos com Pessoal'!$G$7:$G$506&lt;=AV$3,1,0))*OFFSET('Gastos com Pessoal'!$H$6,1,MATCH(1&amp;$B55,'Gastos com Pessoal'!$I$532:$AJ$532&amp;'Gastos com Pessoal'!$I$6:$AJ$6,0),500,1)),0)
+_xlfn.IFNA(SUM((AV$3&gt;='Gastos com Pessoal'!$E$7:$E$506)*(AV$3&lt;='Gastos com Pessoal'!$F$7:$F$506)*(IF('Gastos com Pessoal'!$M$7:$M$506&lt;=AV$3,1,0))*OFFSET('Gastos com Pessoal'!$H$6,1,MATCH(2&amp;$B55,'Gastos com Pessoal'!$I$532:$AJ$532&amp;'Gastos com Pessoal'!$I$6:$AJ$6,0),500,1)),0)
+_xlfn.IFNA(SUM((AV$3&gt;='Gastos com Pessoal'!$E$7:$E$506)*(AV$3&lt;='Gastos com Pessoal'!$F$7:$F$506)*(IF('Gastos com Pessoal'!$S$7:$S$506&lt;=AV$3,1,0))*OFFSET('Gastos com Pessoal'!$H$6,1,MATCH(3&amp;$B55,'Gastos com Pessoal'!$I$532:$AJ$532&amp;'Gastos com Pessoal'!$I$6:$AJ$6,0),500,1)),0)
+_xlfn.IFNA(SUM((AV$3&gt;='Gastos com Pessoal'!$E$7:$E$506)*(AV$3&lt;='Gastos com Pessoal'!$F$7:$F$506)*(IF('Gastos com Pessoal'!$Y$7:$Y$506&lt;=AV$3,1,0))*OFFSET('Gastos com Pessoal'!$H$6,1,MATCH(4&amp;$B55,'Gastos com Pessoal'!$I$532:$AJ$532&amp;'Gastos com Pessoal'!$I$6:$AJ$6,0),500,1)),0)
+_xlfn.IFNA(SUM((AV$3&gt;='Gastos com Pessoal'!$E$7:$E$506)*(AV$3&lt;='Gastos com Pessoal'!$F$7:$F$506)*(IF('Gastos com Pessoal'!$AE$7:$AE$506&lt;=AV$3,1,0))*OFFSET('Gastos com Pessoal'!$H$6,1,MATCH(5&amp;$B55,'Gastos com Pessoal'!$I$532:$AJ$532&amp;'Gastos com Pessoal'!$I$6:$AJ$6,0),500,1)),0)
+_xlfn.IFNA(SUM((AV$3&gt;='Gastos com Pessoal'!$E$513:$E$522)*(AV$3&lt;='Gastos com Pessoal'!$F$513:$F$522)*(IF('Gastos com Pessoal'!$G$513:$G$522&lt;=AV$3,1,0))*OFFSET('Gastos com Pessoal'!$H$512,1,MATCH(1&amp;$B55,'Gastos com Pessoal'!$I$532:$AJ$532&amp;'Gastos com Pessoal'!$I$512:$AJ$512,0),10,1)),0)
+_xlfn.IFNA(SUM((AV$3&gt;='Gastos com Pessoal'!$E$513:$E$522)*(AV$3&lt;='Gastos com Pessoal'!$F$513:$F$522)*(IF('Gastos com Pessoal'!$M$513:$M$522&lt;=AV$3,1,0))*OFFSET('Gastos com Pessoal'!$H$512,1,MATCH(2&amp;$B55,'Gastos com Pessoal'!$I$532:$AJ$532&amp;'Gastos com Pessoal'!$I$512:$AJ$512,0),10,1)),0)
+_xlfn.IFNA(SUM((AV$3&gt;='Gastos com Pessoal'!$E$513:$E$522)*(AV$3&lt;='Gastos com Pessoal'!$F$513:$F$522)*(IF('Gastos com Pessoal'!$S$513:$S$522&lt;=AV$3,1,0))*OFFSET('Gastos com Pessoal'!$H$512,1,MATCH(3&amp;$B55,'Gastos com Pessoal'!$I$532:$AJ$532&amp;'Gastos com Pessoal'!$I$512:$AJ$512,0),10,1)),0)
+_xlfn.IFNA(SUM((AV$3&gt;='Gastos com Pessoal'!$E$513:$E$522)*(AV$3&lt;='Gastos com Pessoal'!$F$513:$F$522)*(IF('Gastos com Pessoal'!$Y$513:$Y$522&lt;=AV$3,1,0))*OFFSET('Gastos com Pessoal'!$H$512,1,MATCH(4&amp;$B55,'Gastos com Pessoal'!$I$532:$AJ$532&amp;'Gastos com Pessoal'!$I$512:$AJ$512,0),10,1)),0)
+_xlfn.IFNA(SUM((AV$3&gt;='Gastos com Pessoal'!$E$513:$E$522)*(AV$3&lt;='Gastos com Pessoal'!$F$513:$F$522)*(IF('Gastos com Pessoal'!$AE$513:$AE$522&lt;=AV$3,1,0))*OFFSET('Gastos com Pessoal'!$H$512,1,MATCH(5&amp;$B55,'Gastos com Pessoal'!$I$532:$AJ$532&amp;'Gastos com Pessoal'!$I$512:$AJ$512,0),10,1)),0)</f>
        <v>0</v>
      </c>
      <c r="AW55" s="32">
        <f t="array" aca="1" ref="AW55" ca="1">_xlfn.IFNA(SUM((AW$3&gt;='Gastos com Pessoal'!$E$7:$E$506)*(AW$3&lt;='Gastos com Pessoal'!$F$7:$F$506)*OFFSET('Encargos e Benefícios'!$D$5,1,MATCH($B55,'Encargos e Benefícios'!$E$5:$AB$5,0),500,1)),0)
+_xlfn.IFNA(SUM((AW$3&gt;='Gastos com Pessoal'!$E$513:$E$522)*(AW$3&lt;='Gastos com Pessoal'!$F$513:$F$522)*OFFSET('Encargos e Benefícios'!$D$511,1,MATCH($B55,'Encargos e Benefícios'!$E$511:$AB$511,0),10,1)),0)
+_xlfn.IFNA(SUM((AW$3&gt;='Gastos com Pessoal'!$E$7:$E$506)*(AW$3&lt;='Gastos com Pessoal'!$F$7:$F$506)*(IF('Gastos com Pessoal'!$G$7:$G$506&lt;=AW$3,1,0))*OFFSET('Gastos com Pessoal'!$H$6,1,MATCH(1&amp;$B55,'Gastos com Pessoal'!$I$532:$AJ$532&amp;'Gastos com Pessoal'!$I$6:$AJ$6,0),500,1)),0)
+_xlfn.IFNA(SUM((AW$3&gt;='Gastos com Pessoal'!$E$7:$E$506)*(AW$3&lt;='Gastos com Pessoal'!$F$7:$F$506)*(IF('Gastos com Pessoal'!$M$7:$M$506&lt;=AW$3,1,0))*OFFSET('Gastos com Pessoal'!$H$6,1,MATCH(2&amp;$B55,'Gastos com Pessoal'!$I$532:$AJ$532&amp;'Gastos com Pessoal'!$I$6:$AJ$6,0),500,1)),0)
+_xlfn.IFNA(SUM((AW$3&gt;='Gastos com Pessoal'!$E$7:$E$506)*(AW$3&lt;='Gastos com Pessoal'!$F$7:$F$506)*(IF('Gastos com Pessoal'!$S$7:$S$506&lt;=AW$3,1,0))*OFFSET('Gastos com Pessoal'!$H$6,1,MATCH(3&amp;$B55,'Gastos com Pessoal'!$I$532:$AJ$532&amp;'Gastos com Pessoal'!$I$6:$AJ$6,0),500,1)),0)
+_xlfn.IFNA(SUM((AW$3&gt;='Gastos com Pessoal'!$E$7:$E$506)*(AW$3&lt;='Gastos com Pessoal'!$F$7:$F$506)*(IF('Gastos com Pessoal'!$Y$7:$Y$506&lt;=AW$3,1,0))*OFFSET('Gastos com Pessoal'!$H$6,1,MATCH(4&amp;$B55,'Gastos com Pessoal'!$I$532:$AJ$532&amp;'Gastos com Pessoal'!$I$6:$AJ$6,0),500,1)),0)
+_xlfn.IFNA(SUM((AW$3&gt;='Gastos com Pessoal'!$E$7:$E$506)*(AW$3&lt;='Gastos com Pessoal'!$F$7:$F$506)*(IF('Gastos com Pessoal'!$AE$7:$AE$506&lt;=AW$3,1,0))*OFFSET('Gastos com Pessoal'!$H$6,1,MATCH(5&amp;$B55,'Gastos com Pessoal'!$I$532:$AJ$532&amp;'Gastos com Pessoal'!$I$6:$AJ$6,0),500,1)),0)
+_xlfn.IFNA(SUM((AW$3&gt;='Gastos com Pessoal'!$E$513:$E$522)*(AW$3&lt;='Gastos com Pessoal'!$F$513:$F$522)*(IF('Gastos com Pessoal'!$G$513:$G$522&lt;=AW$3,1,0))*OFFSET('Gastos com Pessoal'!$H$512,1,MATCH(1&amp;$B55,'Gastos com Pessoal'!$I$532:$AJ$532&amp;'Gastos com Pessoal'!$I$512:$AJ$512,0),10,1)),0)
+_xlfn.IFNA(SUM((AW$3&gt;='Gastos com Pessoal'!$E$513:$E$522)*(AW$3&lt;='Gastos com Pessoal'!$F$513:$F$522)*(IF('Gastos com Pessoal'!$M$513:$M$522&lt;=AW$3,1,0))*OFFSET('Gastos com Pessoal'!$H$512,1,MATCH(2&amp;$B55,'Gastos com Pessoal'!$I$532:$AJ$532&amp;'Gastos com Pessoal'!$I$512:$AJ$512,0),10,1)),0)
+_xlfn.IFNA(SUM((AW$3&gt;='Gastos com Pessoal'!$E$513:$E$522)*(AW$3&lt;='Gastos com Pessoal'!$F$513:$F$522)*(IF('Gastos com Pessoal'!$S$513:$S$522&lt;=AW$3,1,0))*OFFSET('Gastos com Pessoal'!$H$512,1,MATCH(3&amp;$B55,'Gastos com Pessoal'!$I$532:$AJ$532&amp;'Gastos com Pessoal'!$I$512:$AJ$512,0),10,1)),0)
+_xlfn.IFNA(SUM((AW$3&gt;='Gastos com Pessoal'!$E$513:$E$522)*(AW$3&lt;='Gastos com Pessoal'!$F$513:$F$522)*(IF('Gastos com Pessoal'!$Y$513:$Y$522&lt;=AW$3,1,0))*OFFSET('Gastos com Pessoal'!$H$512,1,MATCH(4&amp;$B55,'Gastos com Pessoal'!$I$532:$AJ$532&amp;'Gastos com Pessoal'!$I$512:$AJ$512,0),10,1)),0)
+_xlfn.IFNA(SUM((AW$3&gt;='Gastos com Pessoal'!$E$513:$E$522)*(AW$3&lt;='Gastos com Pessoal'!$F$513:$F$522)*(IF('Gastos com Pessoal'!$AE$513:$AE$522&lt;=AW$3,1,0))*OFFSET('Gastos com Pessoal'!$H$512,1,MATCH(5&amp;$B55,'Gastos com Pessoal'!$I$532:$AJ$532&amp;'Gastos com Pessoal'!$I$512:$AJ$512,0),10,1)),0)</f>
        <v>0</v>
      </c>
      <c r="AX55" s="32">
        <f t="array" aca="1" ref="AX55" ca="1">_xlfn.IFNA(SUM((AX$3&gt;='Gastos com Pessoal'!$E$7:$E$506)*(AX$3&lt;='Gastos com Pessoal'!$F$7:$F$506)*OFFSET('Encargos e Benefícios'!$D$5,1,MATCH($B55,'Encargos e Benefícios'!$E$5:$AB$5,0),500,1)),0)
+_xlfn.IFNA(SUM((AX$3&gt;='Gastos com Pessoal'!$E$513:$E$522)*(AX$3&lt;='Gastos com Pessoal'!$F$513:$F$522)*OFFSET('Encargos e Benefícios'!$D$511,1,MATCH($B55,'Encargos e Benefícios'!$E$511:$AB$511,0),10,1)),0)
+_xlfn.IFNA(SUM((AX$3&gt;='Gastos com Pessoal'!$E$7:$E$506)*(AX$3&lt;='Gastos com Pessoal'!$F$7:$F$506)*(IF('Gastos com Pessoal'!$G$7:$G$506&lt;=AX$3,1,0))*OFFSET('Gastos com Pessoal'!$H$6,1,MATCH(1&amp;$B55,'Gastos com Pessoal'!$I$532:$AJ$532&amp;'Gastos com Pessoal'!$I$6:$AJ$6,0),500,1)),0)
+_xlfn.IFNA(SUM((AX$3&gt;='Gastos com Pessoal'!$E$7:$E$506)*(AX$3&lt;='Gastos com Pessoal'!$F$7:$F$506)*(IF('Gastos com Pessoal'!$M$7:$M$506&lt;=AX$3,1,0))*OFFSET('Gastos com Pessoal'!$H$6,1,MATCH(2&amp;$B55,'Gastos com Pessoal'!$I$532:$AJ$532&amp;'Gastos com Pessoal'!$I$6:$AJ$6,0),500,1)),0)
+_xlfn.IFNA(SUM((AX$3&gt;='Gastos com Pessoal'!$E$7:$E$506)*(AX$3&lt;='Gastos com Pessoal'!$F$7:$F$506)*(IF('Gastos com Pessoal'!$S$7:$S$506&lt;=AX$3,1,0))*OFFSET('Gastos com Pessoal'!$H$6,1,MATCH(3&amp;$B55,'Gastos com Pessoal'!$I$532:$AJ$532&amp;'Gastos com Pessoal'!$I$6:$AJ$6,0),500,1)),0)
+_xlfn.IFNA(SUM((AX$3&gt;='Gastos com Pessoal'!$E$7:$E$506)*(AX$3&lt;='Gastos com Pessoal'!$F$7:$F$506)*(IF('Gastos com Pessoal'!$Y$7:$Y$506&lt;=AX$3,1,0))*OFFSET('Gastos com Pessoal'!$H$6,1,MATCH(4&amp;$B55,'Gastos com Pessoal'!$I$532:$AJ$532&amp;'Gastos com Pessoal'!$I$6:$AJ$6,0),500,1)),0)
+_xlfn.IFNA(SUM((AX$3&gt;='Gastos com Pessoal'!$E$7:$E$506)*(AX$3&lt;='Gastos com Pessoal'!$F$7:$F$506)*(IF('Gastos com Pessoal'!$AE$7:$AE$506&lt;=AX$3,1,0))*OFFSET('Gastos com Pessoal'!$H$6,1,MATCH(5&amp;$B55,'Gastos com Pessoal'!$I$532:$AJ$532&amp;'Gastos com Pessoal'!$I$6:$AJ$6,0),500,1)),0)
+_xlfn.IFNA(SUM((AX$3&gt;='Gastos com Pessoal'!$E$513:$E$522)*(AX$3&lt;='Gastos com Pessoal'!$F$513:$F$522)*(IF('Gastos com Pessoal'!$G$513:$G$522&lt;=AX$3,1,0))*OFFSET('Gastos com Pessoal'!$H$512,1,MATCH(1&amp;$B55,'Gastos com Pessoal'!$I$532:$AJ$532&amp;'Gastos com Pessoal'!$I$512:$AJ$512,0),10,1)),0)
+_xlfn.IFNA(SUM((AX$3&gt;='Gastos com Pessoal'!$E$513:$E$522)*(AX$3&lt;='Gastos com Pessoal'!$F$513:$F$522)*(IF('Gastos com Pessoal'!$M$513:$M$522&lt;=AX$3,1,0))*OFFSET('Gastos com Pessoal'!$H$512,1,MATCH(2&amp;$B55,'Gastos com Pessoal'!$I$532:$AJ$532&amp;'Gastos com Pessoal'!$I$512:$AJ$512,0),10,1)),0)
+_xlfn.IFNA(SUM((AX$3&gt;='Gastos com Pessoal'!$E$513:$E$522)*(AX$3&lt;='Gastos com Pessoal'!$F$513:$F$522)*(IF('Gastos com Pessoal'!$S$513:$S$522&lt;=AX$3,1,0))*OFFSET('Gastos com Pessoal'!$H$512,1,MATCH(3&amp;$B55,'Gastos com Pessoal'!$I$532:$AJ$532&amp;'Gastos com Pessoal'!$I$512:$AJ$512,0),10,1)),0)
+_xlfn.IFNA(SUM((AX$3&gt;='Gastos com Pessoal'!$E$513:$E$522)*(AX$3&lt;='Gastos com Pessoal'!$F$513:$F$522)*(IF('Gastos com Pessoal'!$Y$513:$Y$522&lt;=AX$3,1,0))*OFFSET('Gastos com Pessoal'!$H$512,1,MATCH(4&amp;$B55,'Gastos com Pessoal'!$I$532:$AJ$532&amp;'Gastos com Pessoal'!$I$512:$AJ$512,0),10,1)),0)
+_xlfn.IFNA(SUM((AX$3&gt;='Gastos com Pessoal'!$E$513:$E$522)*(AX$3&lt;='Gastos com Pessoal'!$F$513:$F$522)*(IF('Gastos com Pessoal'!$AE$513:$AE$522&lt;=AX$3,1,0))*OFFSET('Gastos com Pessoal'!$H$512,1,MATCH(5&amp;$B55,'Gastos com Pessoal'!$I$532:$AJ$532&amp;'Gastos com Pessoal'!$I$512:$AJ$512,0),10,1)),0)</f>
        <v>0</v>
      </c>
      <c r="AY55" s="32">
        <f t="array" aca="1" ref="AY55" ca="1">_xlfn.IFNA(SUM((AY$3&gt;='Gastos com Pessoal'!$E$7:$E$506)*(AY$3&lt;='Gastos com Pessoal'!$F$7:$F$506)*OFFSET('Encargos e Benefícios'!$D$5,1,MATCH($B55,'Encargos e Benefícios'!$E$5:$AB$5,0),500,1)),0)
+_xlfn.IFNA(SUM((AY$3&gt;='Gastos com Pessoal'!$E$513:$E$522)*(AY$3&lt;='Gastos com Pessoal'!$F$513:$F$522)*OFFSET('Encargos e Benefícios'!$D$511,1,MATCH($B55,'Encargos e Benefícios'!$E$511:$AB$511,0),10,1)),0)
+_xlfn.IFNA(SUM((AY$3&gt;='Gastos com Pessoal'!$E$7:$E$506)*(AY$3&lt;='Gastos com Pessoal'!$F$7:$F$506)*(IF('Gastos com Pessoal'!$G$7:$G$506&lt;=AY$3,1,0))*OFFSET('Gastos com Pessoal'!$H$6,1,MATCH(1&amp;$B55,'Gastos com Pessoal'!$I$532:$AJ$532&amp;'Gastos com Pessoal'!$I$6:$AJ$6,0),500,1)),0)
+_xlfn.IFNA(SUM((AY$3&gt;='Gastos com Pessoal'!$E$7:$E$506)*(AY$3&lt;='Gastos com Pessoal'!$F$7:$F$506)*(IF('Gastos com Pessoal'!$M$7:$M$506&lt;=AY$3,1,0))*OFFSET('Gastos com Pessoal'!$H$6,1,MATCH(2&amp;$B55,'Gastos com Pessoal'!$I$532:$AJ$532&amp;'Gastos com Pessoal'!$I$6:$AJ$6,0),500,1)),0)
+_xlfn.IFNA(SUM((AY$3&gt;='Gastos com Pessoal'!$E$7:$E$506)*(AY$3&lt;='Gastos com Pessoal'!$F$7:$F$506)*(IF('Gastos com Pessoal'!$S$7:$S$506&lt;=AY$3,1,0))*OFFSET('Gastos com Pessoal'!$H$6,1,MATCH(3&amp;$B55,'Gastos com Pessoal'!$I$532:$AJ$532&amp;'Gastos com Pessoal'!$I$6:$AJ$6,0),500,1)),0)
+_xlfn.IFNA(SUM((AY$3&gt;='Gastos com Pessoal'!$E$7:$E$506)*(AY$3&lt;='Gastos com Pessoal'!$F$7:$F$506)*(IF('Gastos com Pessoal'!$Y$7:$Y$506&lt;=AY$3,1,0))*OFFSET('Gastos com Pessoal'!$H$6,1,MATCH(4&amp;$B55,'Gastos com Pessoal'!$I$532:$AJ$532&amp;'Gastos com Pessoal'!$I$6:$AJ$6,0),500,1)),0)
+_xlfn.IFNA(SUM((AY$3&gt;='Gastos com Pessoal'!$E$7:$E$506)*(AY$3&lt;='Gastos com Pessoal'!$F$7:$F$506)*(IF('Gastos com Pessoal'!$AE$7:$AE$506&lt;=AY$3,1,0))*OFFSET('Gastos com Pessoal'!$H$6,1,MATCH(5&amp;$B55,'Gastos com Pessoal'!$I$532:$AJ$532&amp;'Gastos com Pessoal'!$I$6:$AJ$6,0),500,1)),0)
+_xlfn.IFNA(SUM((AY$3&gt;='Gastos com Pessoal'!$E$513:$E$522)*(AY$3&lt;='Gastos com Pessoal'!$F$513:$F$522)*(IF('Gastos com Pessoal'!$G$513:$G$522&lt;=AY$3,1,0))*OFFSET('Gastos com Pessoal'!$H$512,1,MATCH(1&amp;$B55,'Gastos com Pessoal'!$I$532:$AJ$532&amp;'Gastos com Pessoal'!$I$512:$AJ$512,0),10,1)),0)
+_xlfn.IFNA(SUM((AY$3&gt;='Gastos com Pessoal'!$E$513:$E$522)*(AY$3&lt;='Gastos com Pessoal'!$F$513:$F$522)*(IF('Gastos com Pessoal'!$M$513:$M$522&lt;=AY$3,1,0))*OFFSET('Gastos com Pessoal'!$H$512,1,MATCH(2&amp;$B55,'Gastos com Pessoal'!$I$532:$AJ$532&amp;'Gastos com Pessoal'!$I$512:$AJ$512,0),10,1)),0)
+_xlfn.IFNA(SUM((AY$3&gt;='Gastos com Pessoal'!$E$513:$E$522)*(AY$3&lt;='Gastos com Pessoal'!$F$513:$F$522)*(IF('Gastos com Pessoal'!$S$513:$S$522&lt;=AY$3,1,0))*OFFSET('Gastos com Pessoal'!$H$512,1,MATCH(3&amp;$B55,'Gastos com Pessoal'!$I$532:$AJ$532&amp;'Gastos com Pessoal'!$I$512:$AJ$512,0),10,1)),0)
+_xlfn.IFNA(SUM((AY$3&gt;='Gastos com Pessoal'!$E$513:$E$522)*(AY$3&lt;='Gastos com Pessoal'!$F$513:$F$522)*(IF('Gastos com Pessoal'!$Y$513:$Y$522&lt;=AY$3,1,0))*OFFSET('Gastos com Pessoal'!$H$512,1,MATCH(4&amp;$B55,'Gastos com Pessoal'!$I$532:$AJ$532&amp;'Gastos com Pessoal'!$I$512:$AJ$512,0),10,1)),0)
+_xlfn.IFNA(SUM((AY$3&gt;='Gastos com Pessoal'!$E$513:$E$522)*(AY$3&lt;='Gastos com Pessoal'!$F$513:$F$522)*(IF('Gastos com Pessoal'!$AE$513:$AE$522&lt;=AY$3,1,0))*OFFSET('Gastos com Pessoal'!$H$512,1,MATCH(5&amp;$B55,'Gastos com Pessoal'!$I$532:$AJ$532&amp;'Gastos com Pessoal'!$I$512:$AJ$512,0),10,1)),0)</f>
        <v>0</v>
      </c>
      <c r="AZ55" s="32">
        <f t="array" aca="1" ref="AZ55" ca="1">_xlfn.IFNA(SUM((AZ$3&gt;='Gastos com Pessoal'!$E$7:$E$506)*(AZ$3&lt;='Gastos com Pessoal'!$F$7:$F$506)*OFFSET('Encargos e Benefícios'!$D$5,1,MATCH($B55,'Encargos e Benefícios'!$E$5:$AB$5,0),500,1)),0)
+_xlfn.IFNA(SUM((AZ$3&gt;='Gastos com Pessoal'!$E$513:$E$522)*(AZ$3&lt;='Gastos com Pessoal'!$F$513:$F$522)*OFFSET('Encargos e Benefícios'!$D$511,1,MATCH($B55,'Encargos e Benefícios'!$E$511:$AB$511,0),10,1)),0)
+_xlfn.IFNA(SUM((AZ$3&gt;='Gastos com Pessoal'!$E$7:$E$506)*(AZ$3&lt;='Gastos com Pessoal'!$F$7:$F$506)*(IF('Gastos com Pessoal'!$G$7:$G$506&lt;=AZ$3,1,0))*OFFSET('Gastos com Pessoal'!$H$6,1,MATCH(1&amp;$B55,'Gastos com Pessoal'!$I$532:$AJ$532&amp;'Gastos com Pessoal'!$I$6:$AJ$6,0),500,1)),0)
+_xlfn.IFNA(SUM((AZ$3&gt;='Gastos com Pessoal'!$E$7:$E$506)*(AZ$3&lt;='Gastos com Pessoal'!$F$7:$F$506)*(IF('Gastos com Pessoal'!$M$7:$M$506&lt;=AZ$3,1,0))*OFFSET('Gastos com Pessoal'!$H$6,1,MATCH(2&amp;$B55,'Gastos com Pessoal'!$I$532:$AJ$532&amp;'Gastos com Pessoal'!$I$6:$AJ$6,0),500,1)),0)
+_xlfn.IFNA(SUM((AZ$3&gt;='Gastos com Pessoal'!$E$7:$E$506)*(AZ$3&lt;='Gastos com Pessoal'!$F$7:$F$506)*(IF('Gastos com Pessoal'!$S$7:$S$506&lt;=AZ$3,1,0))*OFFSET('Gastos com Pessoal'!$H$6,1,MATCH(3&amp;$B55,'Gastos com Pessoal'!$I$532:$AJ$532&amp;'Gastos com Pessoal'!$I$6:$AJ$6,0),500,1)),0)
+_xlfn.IFNA(SUM((AZ$3&gt;='Gastos com Pessoal'!$E$7:$E$506)*(AZ$3&lt;='Gastos com Pessoal'!$F$7:$F$506)*(IF('Gastos com Pessoal'!$Y$7:$Y$506&lt;=AZ$3,1,0))*OFFSET('Gastos com Pessoal'!$H$6,1,MATCH(4&amp;$B55,'Gastos com Pessoal'!$I$532:$AJ$532&amp;'Gastos com Pessoal'!$I$6:$AJ$6,0),500,1)),0)
+_xlfn.IFNA(SUM((AZ$3&gt;='Gastos com Pessoal'!$E$7:$E$506)*(AZ$3&lt;='Gastos com Pessoal'!$F$7:$F$506)*(IF('Gastos com Pessoal'!$AE$7:$AE$506&lt;=AZ$3,1,0))*OFFSET('Gastos com Pessoal'!$H$6,1,MATCH(5&amp;$B55,'Gastos com Pessoal'!$I$532:$AJ$532&amp;'Gastos com Pessoal'!$I$6:$AJ$6,0),500,1)),0)
+_xlfn.IFNA(SUM((AZ$3&gt;='Gastos com Pessoal'!$E$513:$E$522)*(AZ$3&lt;='Gastos com Pessoal'!$F$513:$F$522)*(IF('Gastos com Pessoal'!$G$513:$G$522&lt;=AZ$3,1,0))*OFFSET('Gastos com Pessoal'!$H$512,1,MATCH(1&amp;$B55,'Gastos com Pessoal'!$I$532:$AJ$532&amp;'Gastos com Pessoal'!$I$512:$AJ$512,0),10,1)),0)
+_xlfn.IFNA(SUM((AZ$3&gt;='Gastos com Pessoal'!$E$513:$E$522)*(AZ$3&lt;='Gastos com Pessoal'!$F$513:$F$522)*(IF('Gastos com Pessoal'!$M$513:$M$522&lt;=AZ$3,1,0))*OFFSET('Gastos com Pessoal'!$H$512,1,MATCH(2&amp;$B55,'Gastos com Pessoal'!$I$532:$AJ$532&amp;'Gastos com Pessoal'!$I$512:$AJ$512,0),10,1)),0)
+_xlfn.IFNA(SUM((AZ$3&gt;='Gastos com Pessoal'!$E$513:$E$522)*(AZ$3&lt;='Gastos com Pessoal'!$F$513:$F$522)*(IF('Gastos com Pessoal'!$S$513:$S$522&lt;=AZ$3,1,0))*OFFSET('Gastos com Pessoal'!$H$512,1,MATCH(3&amp;$B55,'Gastos com Pessoal'!$I$532:$AJ$532&amp;'Gastos com Pessoal'!$I$512:$AJ$512,0),10,1)),0)
+_xlfn.IFNA(SUM((AZ$3&gt;='Gastos com Pessoal'!$E$513:$E$522)*(AZ$3&lt;='Gastos com Pessoal'!$F$513:$F$522)*(IF('Gastos com Pessoal'!$Y$513:$Y$522&lt;=AZ$3,1,0))*OFFSET('Gastos com Pessoal'!$H$512,1,MATCH(4&amp;$B55,'Gastos com Pessoal'!$I$532:$AJ$532&amp;'Gastos com Pessoal'!$I$512:$AJ$512,0),10,1)),0)
+_xlfn.IFNA(SUM((AZ$3&gt;='Gastos com Pessoal'!$E$513:$E$522)*(AZ$3&lt;='Gastos com Pessoal'!$F$513:$F$522)*(IF('Gastos com Pessoal'!$AE$513:$AE$522&lt;=AZ$3,1,0))*OFFSET('Gastos com Pessoal'!$H$512,1,MATCH(5&amp;$B55,'Gastos com Pessoal'!$I$532:$AJ$532&amp;'Gastos com Pessoal'!$I$512:$AJ$512,0),10,1)),0)</f>
        <v>0</v>
      </c>
      <c r="BA55" s="32">
        <f t="array" aca="1" ref="BA55" ca="1">_xlfn.IFNA(SUM((BA$3&gt;='Gastos com Pessoal'!$E$7:$E$506)*(BA$3&lt;='Gastos com Pessoal'!$F$7:$F$506)*OFFSET('Encargos e Benefícios'!$D$5,1,MATCH($B55,'Encargos e Benefícios'!$E$5:$AB$5,0),500,1)),0)
+_xlfn.IFNA(SUM((BA$3&gt;='Gastos com Pessoal'!$E$513:$E$522)*(BA$3&lt;='Gastos com Pessoal'!$F$513:$F$522)*OFFSET('Encargos e Benefícios'!$D$511,1,MATCH($B55,'Encargos e Benefícios'!$E$511:$AB$511,0),10,1)),0)
+_xlfn.IFNA(SUM((BA$3&gt;='Gastos com Pessoal'!$E$7:$E$506)*(BA$3&lt;='Gastos com Pessoal'!$F$7:$F$506)*(IF('Gastos com Pessoal'!$G$7:$G$506&lt;=BA$3,1,0))*OFFSET('Gastos com Pessoal'!$H$6,1,MATCH(1&amp;$B55,'Gastos com Pessoal'!$I$532:$AJ$532&amp;'Gastos com Pessoal'!$I$6:$AJ$6,0),500,1)),0)
+_xlfn.IFNA(SUM((BA$3&gt;='Gastos com Pessoal'!$E$7:$E$506)*(BA$3&lt;='Gastos com Pessoal'!$F$7:$F$506)*(IF('Gastos com Pessoal'!$M$7:$M$506&lt;=BA$3,1,0))*OFFSET('Gastos com Pessoal'!$H$6,1,MATCH(2&amp;$B55,'Gastos com Pessoal'!$I$532:$AJ$532&amp;'Gastos com Pessoal'!$I$6:$AJ$6,0),500,1)),0)
+_xlfn.IFNA(SUM((BA$3&gt;='Gastos com Pessoal'!$E$7:$E$506)*(BA$3&lt;='Gastos com Pessoal'!$F$7:$F$506)*(IF('Gastos com Pessoal'!$S$7:$S$506&lt;=BA$3,1,0))*OFFSET('Gastos com Pessoal'!$H$6,1,MATCH(3&amp;$B55,'Gastos com Pessoal'!$I$532:$AJ$532&amp;'Gastos com Pessoal'!$I$6:$AJ$6,0),500,1)),0)
+_xlfn.IFNA(SUM((BA$3&gt;='Gastos com Pessoal'!$E$7:$E$506)*(BA$3&lt;='Gastos com Pessoal'!$F$7:$F$506)*(IF('Gastos com Pessoal'!$Y$7:$Y$506&lt;=BA$3,1,0))*OFFSET('Gastos com Pessoal'!$H$6,1,MATCH(4&amp;$B55,'Gastos com Pessoal'!$I$532:$AJ$532&amp;'Gastos com Pessoal'!$I$6:$AJ$6,0),500,1)),0)
+_xlfn.IFNA(SUM((BA$3&gt;='Gastos com Pessoal'!$E$7:$E$506)*(BA$3&lt;='Gastos com Pessoal'!$F$7:$F$506)*(IF('Gastos com Pessoal'!$AE$7:$AE$506&lt;=BA$3,1,0))*OFFSET('Gastos com Pessoal'!$H$6,1,MATCH(5&amp;$B55,'Gastos com Pessoal'!$I$532:$AJ$532&amp;'Gastos com Pessoal'!$I$6:$AJ$6,0),500,1)),0)
+_xlfn.IFNA(SUM((BA$3&gt;='Gastos com Pessoal'!$E$513:$E$522)*(BA$3&lt;='Gastos com Pessoal'!$F$513:$F$522)*(IF('Gastos com Pessoal'!$G$513:$G$522&lt;=BA$3,1,0))*OFFSET('Gastos com Pessoal'!$H$512,1,MATCH(1&amp;$B55,'Gastos com Pessoal'!$I$532:$AJ$532&amp;'Gastos com Pessoal'!$I$512:$AJ$512,0),10,1)),0)
+_xlfn.IFNA(SUM((BA$3&gt;='Gastos com Pessoal'!$E$513:$E$522)*(BA$3&lt;='Gastos com Pessoal'!$F$513:$F$522)*(IF('Gastos com Pessoal'!$M$513:$M$522&lt;=BA$3,1,0))*OFFSET('Gastos com Pessoal'!$H$512,1,MATCH(2&amp;$B55,'Gastos com Pessoal'!$I$532:$AJ$532&amp;'Gastos com Pessoal'!$I$512:$AJ$512,0),10,1)),0)
+_xlfn.IFNA(SUM((BA$3&gt;='Gastos com Pessoal'!$E$513:$E$522)*(BA$3&lt;='Gastos com Pessoal'!$F$513:$F$522)*(IF('Gastos com Pessoal'!$S$513:$S$522&lt;=BA$3,1,0))*OFFSET('Gastos com Pessoal'!$H$512,1,MATCH(3&amp;$B55,'Gastos com Pessoal'!$I$532:$AJ$532&amp;'Gastos com Pessoal'!$I$512:$AJ$512,0),10,1)),0)
+_xlfn.IFNA(SUM((BA$3&gt;='Gastos com Pessoal'!$E$513:$E$522)*(BA$3&lt;='Gastos com Pessoal'!$F$513:$F$522)*(IF('Gastos com Pessoal'!$Y$513:$Y$522&lt;=BA$3,1,0))*OFFSET('Gastos com Pessoal'!$H$512,1,MATCH(4&amp;$B55,'Gastos com Pessoal'!$I$532:$AJ$532&amp;'Gastos com Pessoal'!$I$512:$AJ$512,0),10,1)),0)
+_xlfn.IFNA(SUM((BA$3&gt;='Gastos com Pessoal'!$E$513:$E$522)*(BA$3&lt;='Gastos com Pessoal'!$F$513:$F$522)*(IF('Gastos com Pessoal'!$AE$513:$AE$522&lt;=BA$3,1,0))*OFFSET('Gastos com Pessoal'!$H$512,1,MATCH(5&amp;$B55,'Gastos com Pessoal'!$I$532:$AJ$532&amp;'Gastos com Pessoal'!$I$512:$AJ$512,0),10,1)),0)</f>
        <v>0</v>
      </c>
      <c r="BB55" s="32">
        <f t="array" aca="1" ref="BB55" ca="1">_xlfn.IFNA(SUM((BB$3&gt;='Gastos com Pessoal'!$E$7:$E$506)*(BB$3&lt;='Gastos com Pessoal'!$F$7:$F$506)*OFFSET('Encargos e Benefícios'!$D$5,1,MATCH($B55,'Encargos e Benefícios'!$E$5:$AB$5,0),500,1)),0)
+_xlfn.IFNA(SUM((BB$3&gt;='Gastos com Pessoal'!$E$513:$E$522)*(BB$3&lt;='Gastos com Pessoal'!$F$513:$F$522)*OFFSET('Encargos e Benefícios'!$D$511,1,MATCH($B55,'Encargos e Benefícios'!$E$511:$AB$511,0),10,1)),0)
+_xlfn.IFNA(SUM((BB$3&gt;='Gastos com Pessoal'!$E$7:$E$506)*(BB$3&lt;='Gastos com Pessoal'!$F$7:$F$506)*(IF('Gastos com Pessoal'!$G$7:$G$506&lt;=BB$3,1,0))*OFFSET('Gastos com Pessoal'!$H$6,1,MATCH(1&amp;$B55,'Gastos com Pessoal'!$I$532:$AJ$532&amp;'Gastos com Pessoal'!$I$6:$AJ$6,0),500,1)),0)
+_xlfn.IFNA(SUM((BB$3&gt;='Gastos com Pessoal'!$E$7:$E$506)*(BB$3&lt;='Gastos com Pessoal'!$F$7:$F$506)*(IF('Gastos com Pessoal'!$M$7:$M$506&lt;=BB$3,1,0))*OFFSET('Gastos com Pessoal'!$H$6,1,MATCH(2&amp;$B55,'Gastos com Pessoal'!$I$532:$AJ$532&amp;'Gastos com Pessoal'!$I$6:$AJ$6,0),500,1)),0)
+_xlfn.IFNA(SUM((BB$3&gt;='Gastos com Pessoal'!$E$7:$E$506)*(BB$3&lt;='Gastos com Pessoal'!$F$7:$F$506)*(IF('Gastos com Pessoal'!$S$7:$S$506&lt;=BB$3,1,0))*OFFSET('Gastos com Pessoal'!$H$6,1,MATCH(3&amp;$B55,'Gastos com Pessoal'!$I$532:$AJ$532&amp;'Gastos com Pessoal'!$I$6:$AJ$6,0),500,1)),0)
+_xlfn.IFNA(SUM((BB$3&gt;='Gastos com Pessoal'!$E$7:$E$506)*(BB$3&lt;='Gastos com Pessoal'!$F$7:$F$506)*(IF('Gastos com Pessoal'!$Y$7:$Y$506&lt;=BB$3,1,0))*OFFSET('Gastos com Pessoal'!$H$6,1,MATCH(4&amp;$B55,'Gastos com Pessoal'!$I$532:$AJ$532&amp;'Gastos com Pessoal'!$I$6:$AJ$6,0),500,1)),0)
+_xlfn.IFNA(SUM((BB$3&gt;='Gastos com Pessoal'!$E$7:$E$506)*(BB$3&lt;='Gastos com Pessoal'!$F$7:$F$506)*(IF('Gastos com Pessoal'!$AE$7:$AE$506&lt;=BB$3,1,0))*OFFSET('Gastos com Pessoal'!$H$6,1,MATCH(5&amp;$B55,'Gastos com Pessoal'!$I$532:$AJ$532&amp;'Gastos com Pessoal'!$I$6:$AJ$6,0),500,1)),0)
+_xlfn.IFNA(SUM((BB$3&gt;='Gastos com Pessoal'!$E$513:$E$522)*(BB$3&lt;='Gastos com Pessoal'!$F$513:$F$522)*(IF('Gastos com Pessoal'!$G$513:$G$522&lt;=BB$3,1,0))*OFFSET('Gastos com Pessoal'!$H$512,1,MATCH(1&amp;$B55,'Gastos com Pessoal'!$I$532:$AJ$532&amp;'Gastos com Pessoal'!$I$512:$AJ$512,0),10,1)),0)
+_xlfn.IFNA(SUM((BB$3&gt;='Gastos com Pessoal'!$E$513:$E$522)*(BB$3&lt;='Gastos com Pessoal'!$F$513:$F$522)*(IF('Gastos com Pessoal'!$M$513:$M$522&lt;=BB$3,1,0))*OFFSET('Gastos com Pessoal'!$H$512,1,MATCH(2&amp;$B55,'Gastos com Pessoal'!$I$532:$AJ$532&amp;'Gastos com Pessoal'!$I$512:$AJ$512,0),10,1)),0)
+_xlfn.IFNA(SUM((BB$3&gt;='Gastos com Pessoal'!$E$513:$E$522)*(BB$3&lt;='Gastos com Pessoal'!$F$513:$F$522)*(IF('Gastos com Pessoal'!$S$513:$S$522&lt;=BB$3,1,0))*OFFSET('Gastos com Pessoal'!$H$512,1,MATCH(3&amp;$B55,'Gastos com Pessoal'!$I$532:$AJ$532&amp;'Gastos com Pessoal'!$I$512:$AJ$512,0),10,1)),0)
+_xlfn.IFNA(SUM((BB$3&gt;='Gastos com Pessoal'!$E$513:$E$522)*(BB$3&lt;='Gastos com Pessoal'!$F$513:$F$522)*(IF('Gastos com Pessoal'!$Y$513:$Y$522&lt;=BB$3,1,0))*OFFSET('Gastos com Pessoal'!$H$512,1,MATCH(4&amp;$B55,'Gastos com Pessoal'!$I$532:$AJ$532&amp;'Gastos com Pessoal'!$I$512:$AJ$512,0),10,1)),0)
+_xlfn.IFNA(SUM((BB$3&gt;='Gastos com Pessoal'!$E$513:$E$522)*(BB$3&lt;='Gastos com Pessoal'!$F$513:$F$522)*(IF('Gastos com Pessoal'!$AE$513:$AE$522&lt;=BB$3,1,0))*OFFSET('Gastos com Pessoal'!$H$512,1,MATCH(5&amp;$B55,'Gastos com Pessoal'!$I$532:$AJ$532&amp;'Gastos com Pessoal'!$I$512:$AJ$512,0),10,1)),0)</f>
        <v>0</v>
      </c>
      <c r="BC55" s="32">
        <f t="array" aca="1" ref="BC55" ca="1">_xlfn.IFNA(SUM((BC$3&gt;='Gastos com Pessoal'!$E$7:$E$506)*(BC$3&lt;='Gastos com Pessoal'!$F$7:$F$506)*OFFSET('Encargos e Benefícios'!$D$5,1,MATCH($B55,'Encargos e Benefícios'!$E$5:$AB$5,0),500,1)),0)
+_xlfn.IFNA(SUM((BC$3&gt;='Gastos com Pessoal'!$E$513:$E$522)*(BC$3&lt;='Gastos com Pessoal'!$F$513:$F$522)*OFFSET('Encargos e Benefícios'!$D$511,1,MATCH($B55,'Encargos e Benefícios'!$E$511:$AB$511,0),10,1)),0)
+_xlfn.IFNA(SUM((BC$3&gt;='Gastos com Pessoal'!$E$7:$E$506)*(BC$3&lt;='Gastos com Pessoal'!$F$7:$F$506)*(IF('Gastos com Pessoal'!$G$7:$G$506&lt;=BC$3,1,0))*OFFSET('Gastos com Pessoal'!$H$6,1,MATCH(1&amp;$B55,'Gastos com Pessoal'!$I$532:$AJ$532&amp;'Gastos com Pessoal'!$I$6:$AJ$6,0),500,1)),0)
+_xlfn.IFNA(SUM((BC$3&gt;='Gastos com Pessoal'!$E$7:$E$506)*(BC$3&lt;='Gastos com Pessoal'!$F$7:$F$506)*(IF('Gastos com Pessoal'!$M$7:$M$506&lt;=BC$3,1,0))*OFFSET('Gastos com Pessoal'!$H$6,1,MATCH(2&amp;$B55,'Gastos com Pessoal'!$I$532:$AJ$532&amp;'Gastos com Pessoal'!$I$6:$AJ$6,0),500,1)),0)
+_xlfn.IFNA(SUM((BC$3&gt;='Gastos com Pessoal'!$E$7:$E$506)*(BC$3&lt;='Gastos com Pessoal'!$F$7:$F$506)*(IF('Gastos com Pessoal'!$S$7:$S$506&lt;=BC$3,1,0))*OFFSET('Gastos com Pessoal'!$H$6,1,MATCH(3&amp;$B55,'Gastos com Pessoal'!$I$532:$AJ$532&amp;'Gastos com Pessoal'!$I$6:$AJ$6,0),500,1)),0)
+_xlfn.IFNA(SUM((BC$3&gt;='Gastos com Pessoal'!$E$7:$E$506)*(BC$3&lt;='Gastos com Pessoal'!$F$7:$F$506)*(IF('Gastos com Pessoal'!$Y$7:$Y$506&lt;=BC$3,1,0))*OFFSET('Gastos com Pessoal'!$H$6,1,MATCH(4&amp;$B55,'Gastos com Pessoal'!$I$532:$AJ$532&amp;'Gastos com Pessoal'!$I$6:$AJ$6,0),500,1)),0)
+_xlfn.IFNA(SUM((BC$3&gt;='Gastos com Pessoal'!$E$7:$E$506)*(BC$3&lt;='Gastos com Pessoal'!$F$7:$F$506)*(IF('Gastos com Pessoal'!$AE$7:$AE$506&lt;=BC$3,1,0))*OFFSET('Gastos com Pessoal'!$H$6,1,MATCH(5&amp;$B55,'Gastos com Pessoal'!$I$532:$AJ$532&amp;'Gastos com Pessoal'!$I$6:$AJ$6,0),500,1)),0)
+_xlfn.IFNA(SUM((BC$3&gt;='Gastos com Pessoal'!$E$513:$E$522)*(BC$3&lt;='Gastos com Pessoal'!$F$513:$F$522)*(IF('Gastos com Pessoal'!$G$513:$G$522&lt;=BC$3,1,0))*OFFSET('Gastos com Pessoal'!$H$512,1,MATCH(1&amp;$B55,'Gastos com Pessoal'!$I$532:$AJ$532&amp;'Gastos com Pessoal'!$I$512:$AJ$512,0),10,1)),0)
+_xlfn.IFNA(SUM((BC$3&gt;='Gastos com Pessoal'!$E$513:$E$522)*(BC$3&lt;='Gastos com Pessoal'!$F$513:$F$522)*(IF('Gastos com Pessoal'!$M$513:$M$522&lt;=BC$3,1,0))*OFFSET('Gastos com Pessoal'!$H$512,1,MATCH(2&amp;$B55,'Gastos com Pessoal'!$I$532:$AJ$532&amp;'Gastos com Pessoal'!$I$512:$AJ$512,0),10,1)),0)
+_xlfn.IFNA(SUM((BC$3&gt;='Gastos com Pessoal'!$E$513:$E$522)*(BC$3&lt;='Gastos com Pessoal'!$F$513:$F$522)*(IF('Gastos com Pessoal'!$S$513:$S$522&lt;=BC$3,1,0))*OFFSET('Gastos com Pessoal'!$H$512,1,MATCH(3&amp;$B55,'Gastos com Pessoal'!$I$532:$AJ$532&amp;'Gastos com Pessoal'!$I$512:$AJ$512,0),10,1)),0)
+_xlfn.IFNA(SUM((BC$3&gt;='Gastos com Pessoal'!$E$513:$E$522)*(BC$3&lt;='Gastos com Pessoal'!$F$513:$F$522)*(IF('Gastos com Pessoal'!$Y$513:$Y$522&lt;=BC$3,1,0))*OFFSET('Gastos com Pessoal'!$H$512,1,MATCH(4&amp;$B55,'Gastos com Pessoal'!$I$532:$AJ$532&amp;'Gastos com Pessoal'!$I$512:$AJ$512,0),10,1)),0)
+_xlfn.IFNA(SUM((BC$3&gt;='Gastos com Pessoal'!$E$513:$E$522)*(BC$3&lt;='Gastos com Pessoal'!$F$513:$F$522)*(IF('Gastos com Pessoal'!$AE$513:$AE$522&lt;=BC$3,1,0))*OFFSET('Gastos com Pessoal'!$H$512,1,MATCH(5&amp;$B55,'Gastos com Pessoal'!$I$532:$AJ$532&amp;'Gastos com Pessoal'!$I$512:$AJ$512,0),10,1)),0)</f>
        <v>0</v>
      </c>
      <c r="BD55" s="32">
        <f t="array" aca="1" ref="BD55" ca="1">_xlfn.IFNA(SUM((BD$3&gt;='Gastos com Pessoal'!$E$7:$E$506)*(BD$3&lt;='Gastos com Pessoal'!$F$7:$F$506)*OFFSET('Encargos e Benefícios'!$D$5,1,MATCH($B55,'Encargos e Benefícios'!$E$5:$AB$5,0),500,1)),0)
+_xlfn.IFNA(SUM((BD$3&gt;='Gastos com Pessoal'!$E$513:$E$522)*(BD$3&lt;='Gastos com Pessoal'!$F$513:$F$522)*OFFSET('Encargos e Benefícios'!$D$511,1,MATCH($B55,'Encargos e Benefícios'!$E$511:$AB$511,0),10,1)),0)
+_xlfn.IFNA(SUM((BD$3&gt;='Gastos com Pessoal'!$E$7:$E$506)*(BD$3&lt;='Gastos com Pessoal'!$F$7:$F$506)*(IF('Gastos com Pessoal'!$G$7:$G$506&lt;=BD$3,1,0))*OFFSET('Gastos com Pessoal'!$H$6,1,MATCH(1&amp;$B55,'Gastos com Pessoal'!$I$532:$AJ$532&amp;'Gastos com Pessoal'!$I$6:$AJ$6,0),500,1)),0)
+_xlfn.IFNA(SUM((BD$3&gt;='Gastos com Pessoal'!$E$7:$E$506)*(BD$3&lt;='Gastos com Pessoal'!$F$7:$F$506)*(IF('Gastos com Pessoal'!$M$7:$M$506&lt;=BD$3,1,0))*OFFSET('Gastos com Pessoal'!$H$6,1,MATCH(2&amp;$B55,'Gastos com Pessoal'!$I$532:$AJ$532&amp;'Gastos com Pessoal'!$I$6:$AJ$6,0),500,1)),0)
+_xlfn.IFNA(SUM((BD$3&gt;='Gastos com Pessoal'!$E$7:$E$506)*(BD$3&lt;='Gastos com Pessoal'!$F$7:$F$506)*(IF('Gastos com Pessoal'!$S$7:$S$506&lt;=BD$3,1,0))*OFFSET('Gastos com Pessoal'!$H$6,1,MATCH(3&amp;$B55,'Gastos com Pessoal'!$I$532:$AJ$532&amp;'Gastos com Pessoal'!$I$6:$AJ$6,0),500,1)),0)
+_xlfn.IFNA(SUM((BD$3&gt;='Gastos com Pessoal'!$E$7:$E$506)*(BD$3&lt;='Gastos com Pessoal'!$F$7:$F$506)*(IF('Gastos com Pessoal'!$Y$7:$Y$506&lt;=BD$3,1,0))*OFFSET('Gastos com Pessoal'!$H$6,1,MATCH(4&amp;$B55,'Gastos com Pessoal'!$I$532:$AJ$532&amp;'Gastos com Pessoal'!$I$6:$AJ$6,0),500,1)),0)
+_xlfn.IFNA(SUM((BD$3&gt;='Gastos com Pessoal'!$E$7:$E$506)*(BD$3&lt;='Gastos com Pessoal'!$F$7:$F$506)*(IF('Gastos com Pessoal'!$AE$7:$AE$506&lt;=BD$3,1,0))*OFFSET('Gastos com Pessoal'!$H$6,1,MATCH(5&amp;$B55,'Gastos com Pessoal'!$I$532:$AJ$532&amp;'Gastos com Pessoal'!$I$6:$AJ$6,0),500,1)),0)
+_xlfn.IFNA(SUM((BD$3&gt;='Gastos com Pessoal'!$E$513:$E$522)*(BD$3&lt;='Gastos com Pessoal'!$F$513:$F$522)*(IF('Gastos com Pessoal'!$G$513:$G$522&lt;=BD$3,1,0))*OFFSET('Gastos com Pessoal'!$H$512,1,MATCH(1&amp;$B55,'Gastos com Pessoal'!$I$532:$AJ$532&amp;'Gastos com Pessoal'!$I$512:$AJ$512,0),10,1)),0)
+_xlfn.IFNA(SUM((BD$3&gt;='Gastos com Pessoal'!$E$513:$E$522)*(BD$3&lt;='Gastos com Pessoal'!$F$513:$F$522)*(IF('Gastos com Pessoal'!$M$513:$M$522&lt;=BD$3,1,0))*OFFSET('Gastos com Pessoal'!$H$512,1,MATCH(2&amp;$B55,'Gastos com Pessoal'!$I$532:$AJ$532&amp;'Gastos com Pessoal'!$I$512:$AJ$512,0),10,1)),0)
+_xlfn.IFNA(SUM((BD$3&gt;='Gastos com Pessoal'!$E$513:$E$522)*(BD$3&lt;='Gastos com Pessoal'!$F$513:$F$522)*(IF('Gastos com Pessoal'!$S$513:$S$522&lt;=BD$3,1,0))*OFFSET('Gastos com Pessoal'!$H$512,1,MATCH(3&amp;$B55,'Gastos com Pessoal'!$I$532:$AJ$532&amp;'Gastos com Pessoal'!$I$512:$AJ$512,0),10,1)),0)
+_xlfn.IFNA(SUM((BD$3&gt;='Gastos com Pessoal'!$E$513:$E$522)*(BD$3&lt;='Gastos com Pessoal'!$F$513:$F$522)*(IF('Gastos com Pessoal'!$Y$513:$Y$522&lt;=BD$3,1,0))*OFFSET('Gastos com Pessoal'!$H$512,1,MATCH(4&amp;$B55,'Gastos com Pessoal'!$I$532:$AJ$532&amp;'Gastos com Pessoal'!$I$512:$AJ$512,0),10,1)),0)
+_xlfn.IFNA(SUM((BD$3&gt;='Gastos com Pessoal'!$E$513:$E$522)*(BD$3&lt;='Gastos com Pessoal'!$F$513:$F$522)*(IF('Gastos com Pessoal'!$AE$513:$AE$522&lt;=BD$3,1,0))*OFFSET('Gastos com Pessoal'!$H$512,1,MATCH(5&amp;$B55,'Gastos com Pessoal'!$I$532:$AJ$532&amp;'Gastos com Pessoal'!$I$512:$AJ$512,0),10,1)),0)</f>
        <v>0</v>
      </c>
      <c r="BE55" s="32">
        <f t="array" aca="1" ref="BE55" ca="1">_xlfn.IFNA(SUM((BE$3&gt;='Gastos com Pessoal'!$E$7:$E$506)*(BE$3&lt;='Gastos com Pessoal'!$F$7:$F$506)*OFFSET('Encargos e Benefícios'!$D$5,1,MATCH($B55,'Encargos e Benefícios'!$E$5:$AB$5,0),500,1)),0)
+_xlfn.IFNA(SUM((BE$3&gt;='Gastos com Pessoal'!$E$513:$E$522)*(BE$3&lt;='Gastos com Pessoal'!$F$513:$F$522)*OFFSET('Encargos e Benefícios'!$D$511,1,MATCH($B55,'Encargos e Benefícios'!$E$511:$AB$511,0),10,1)),0)
+_xlfn.IFNA(SUM((BE$3&gt;='Gastos com Pessoal'!$E$7:$E$506)*(BE$3&lt;='Gastos com Pessoal'!$F$7:$F$506)*(IF('Gastos com Pessoal'!$G$7:$G$506&lt;=BE$3,1,0))*OFFSET('Gastos com Pessoal'!$H$6,1,MATCH(1&amp;$B55,'Gastos com Pessoal'!$I$532:$AJ$532&amp;'Gastos com Pessoal'!$I$6:$AJ$6,0),500,1)),0)
+_xlfn.IFNA(SUM((BE$3&gt;='Gastos com Pessoal'!$E$7:$E$506)*(BE$3&lt;='Gastos com Pessoal'!$F$7:$F$506)*(IF('Gastos com Pessoal'!$M$7:$M$506&lt;=BE$3,1,0))*OFFSET('Gastos com Pessoal'!$H$6,1,MATCH(2&amp;$B55,'Gastos com Pessoal'!$I$532:$AJ$532&amp;'Gastos com Pessoal'!$I$6:$AJ$6,0),500,1)),0)
+_xlfn.IFNA(SUM((BE$3&gt;='Gastos com Pessoal'!$E$7:$E$506)*(BE$3&lt;='Gastos com Pessoal'!$F$7:$F$506)*(IF('Gastos com Pessoal'!$S$7:$S$506&lt;=BE$3,1,0))*OFFSET('Gastos com Pessoal'!$H$6,1,MATCH(3&amp;$B55,'Gastos com Pessoal'!$I$532:$AJ$532&amp;'Gastos com Pessoal'!$I$6:$AJ$6,0),500,1)),0)
+_xlfn.IFNA(SUM((BE$3&gt;='Gastos com Pessoal'!$E$7:$E$506)*(BE$3&lt;='Gastos com Pessoal'!$F$7:$F$506)*(IF('Gastos com Pessoal'!$Y$7:$Y$506&lt;=BE$3,1,0))*OFFSET('Gastos com Pessoal'!$H$6,1,MATCH(4&amp;$B55,'Gastos com Pessoal'!$I$532:$AJ$532&amp;'Gastos com Pessoal'!$I$6:$AJ$6,0),500,1)),0)
+_xlfn.IFNA(SUM((BE$3&gt;='Gastos com Pessoal'!$E$7:$E$506)*(BE$3&lt;='Gastos com Pessoal'!$F$7:$F$506)*(IF('Gastos com Pessoal'!$AE$7:$AE$506&lt;=BE$3,1,0))*OFFSET('Gastos com Pessoal'!$H$6,1,MATCH(5&amp;$B55,'Gastos com Pessoal'!$I$532:$AJ$532&amp;'Gastos com Pessoal'!$I$6:$AJ$6,0),500,1)),0)
+_xlfn.IFNA(SUM((BE$3&gt;='Gastos com Pessoal'!$E$513:$E$522)*(BE$3&lt;='Gastos com Pessoal'!$F$513:$F$522)*(IF('Gastos com Pessoal'!$G$513:$G$522&lt;=BE$3,1,0))*OFFSET('Gastos com Pessoal'!$H$512,1,MATCH(1&amp;$B55,'Gastos com Pessoal'!$I$532:$AJ$532&amp;'Gastos com Pessoal'!$I$512:$AJ$512,0),10,1)),0)
+_xlfn.IFNA(SUM((BE$3&gt;='Gastos com Pessoal'!$E$513:$E$522)*(BE$3&lt;='Gastos com Pessoal'!$F$513:$F$522)*(IF('Gastos com Pessoal'!$M$513:$M$522&lt;=BE$3,1,0))*OFFSET('Gastos com Pessoal'!$H$512,1,MATCH(2&amp;$B55,'Gastos com Pessoal'!$I$532:$AJ$532&amp;'Gastos com Pessoal'!$I$512:$AJ$512,0),10,1)),0)
+_xlfn.IFNA(SUM((BE$3&gt;='Gastos com Pessoal'!$E$513:$E$522)*(BE$3&lt;='Gastos com Pessoal'!$F$513:$F$522)*(IF('Gastos com Pessoal'!$S$513:$S$522&lt;=BE$3,1,0))*OFFSET('Gastos com Pessoal'!$H$512,1,MATCH(3&amp;$B55,'Gastos com Pessoal'!$I$532:$AJ$532&amp;'Gastos com Pessoal'!$I$512:$AJ$512,0),10,1)),0)
+_xlfn.IFNA(SUM((BE$3&gt;='Gastos com Pessoal'!$E$513:$E$522)*(BE$3&lt;='Gastos com Pessoal'!$F$513:$F$522)*(IF('Gastos com Pessoal'!$Y$513:$Y$522&lt;=BE$3,1,0))*OFFSET('Gastos com Pessoal'!$H$512,1,MATCH(4&amp;$B55,'Gastos com Pessoal'!$I$532:$AJ$532&amp;'Gastos com Pessoal'!$I$512:$AJ$512,0),10,1)),0)
+_xlfn.IFNA(SUM((BE$3&gt;='Gastos com Pessoal'!$E$513:$E$522)*(BE$3&lt;='Gastos com Pessoal'!$F$513:$F$522)*(IF('Gastos com Pessoal'!$AE$513:$AE$522&lt;=BE$3,1,0))*OFFSET('Gastos com Pessoal'!$H$512,1,MATCH(5&amp;$B55,'Gastos com Pessoal'!$I$532:$AJ$532&amp;'Gastos com Pessoal'!$I$512:$AJ$512,0),10,1)),0)</f>
        <v>0</v>
      </c>
      <c r="BF55" s="32">
        <f t="array" aca="1" ref="BF55" ca="1">_xlfn.IFNA(SUM((BF$3&gt;='Gastos com Pessoal'!$E$7:$E$506)*(BF$3&lt;='Gastos com Pessoal'!$F$7:$F$506)*OFFSET('Encargos e Benefícios'!$D$5,1,MATCH($B55,'Encargos e Benefícios'!$E$5:$AB$5,0),500,1)),0)
+_xlfn.IFNA(SUM((BF$3&gt;='Gastos com Pessoal'!$E$513:$E$522)*(BF$3&lt;='Gastos com Pessoal'!$F$513:$F$522)*OFFSET('Encargos e Benefícios'!$D$511,1,MATCH($B55,'Encargos e Benefícios'!$E$511:$AB$511,0),10,1)),0)
+_xlfn.IFNA(SUM((BF$3&gt;='Gastos com Pessoal'!$E$7:$E$506)*(BF$3&lt;='Gastos com Pessoal'!$F$7:$F$506)*(IF('Gastos com Pessoal'!$G$7:$G$506&lt;=BF$3,1,0))*OFFSET('Gastos com Pessoal'!$H$6,1,MATCH(1&amp;$B55,'Gastos com Pessoal'!$I$532:$AJ$532&amp;'Gastos com Pessoal'!$I$6:$AJ$6,0),500,1)),0)
+_xlfn.IFNA(SUM((BF$3&gt;='Gastos com Pessoal'!$E$7:$E$506)*(BF$3&lt;='Gastos com Pessoal'!$F$7:$F$506)*(IF('Gastos com Pessoal'!$M$7:$M$506&lt;=BF$3,1,0))*OFFSET('Gastos com Pessoal'!$H$6,1,MATCH(2&amp;$B55,'Gastos com Pessoal'!$I$532:$AJ$532&amp;'Gastos com Pessoal'!$I$6:$AJ$6,0),500,1)),0)
+_xlfn.IFNA(SUM((BF$3&gt;='Gastos com Pessoal'!$E$7:$E$506)*(BF$3&lt;='Gastos com Pessoal'!$F$7:$F$506)*(IF('Gastos com Pessoal'!$S$7:$S$506&lt;=BF$3,1,0))*OFFSET('Gastos com Pessoal'!$H$6,1,MATCH(3&amp;$B55,'Gastos com Pessoal'!$I$532:$AJ$532&amp;'Gastos com Pessoal'!$I$6:$AJ$6,0),500,1)),0)
+_xlfn.IFNA(SUM((BF$3&gt;='Gastos com Pessoal'!$E$7:$E$506)*(BF$3&lt;='Gastos com Pessoal'!$F$7:$F$506)*(IF('Gastos com Pessoal'!$Y$7:$Y$506&lt;=BF$3,1,0))*OFFSET('Gastos com Pessoal'!$H$6,1,MATCH(4&amp;$B55,'Gastos com Pessoal'!$I$532:$AJ$532&amp;'Gastos com Pessoal'!$I$6:$AJ$6,0),500,1)),0)
+_xlfn.IFNA(SUM((BF$3&gt;='Gastos com Pessoal'!$E$7:$E$506)*(BF$3&lt;='Gastos com Pessoal'!$F$7:$F$506)*(IF('Gastos com Pessoal'!$AE$7:$AE$506&lt;=BF$3,1,0))*OFFSET('Gastos com Pessoal'!$H$6,1,MATCH(5&amp;$B55,'Gastos com Pessoal'!$I$532:$AJ$532&amp;'Gastos com Pessoal'!$I$6:$AJ$6,0),500,1)),0)
+_xlfn.IFNA(SUM((BF$3&gt;='Gastos com Pessoal'!$E$513:$E$522)*(BF$3&lt;='Gastos com Pessoal'!$F$513:$F$522)*(IF('Gastos com Pessoal'!$G$513:$G$522&lt;=BF$3,1,0))*OFFSET('Gastos com Pessoal'!$H$512,1,MATCH(1&amp;$B55,'Gastos com Pessoal'!$I$532:$AJ$532&amp;'Gastos com Pessoal'!$I$512:$AJ$512,0),10,1)),0)
+_xlfn.IFNA(SUM((BF$3&gt;='Gastos com Pessoal'!$E$513:$E$522)*(BF$3&lt;='Gastos com Pessoal'!$F$513:$F$522)*(IF('Gastos com Pessoal'!$M$513:$M$522&lt;=BF$3,1,0))*OFFSET('Gastos com Pessoal'!$H$512,1,MATCH(2&amp;$B55,'Gastos com Pessoal'!$I$532:$AJ$532&amp;'Gastos com Pessoal'!$I$512:$AJ$512,0),10,1)),0)
+_xlfn.IFNA(SUM((BF$3&gt;='Gastos com Pessoal'!$E$513:$E$522)*(BF$3&lt;='Gastos com Pessoal'!$F$513:$F$522)*(IF('Gastos com Pessoal'!$S$513:$S$522&lt;=BF$3,1,0))*OFFSET('Gastos com Pessoal'!$H$512,1,MATCH(3&amp;$B55,'Gastos com Pessoal'!$I$532:$AJ$532&amp;'Gastos com Pessoal'!$I$512:$AJ$512,0),10,1)),0)
+_xlfn.IFNA(SUM((BF$3&gt;='Gastos com Pessoal'!$E$513:$E$522)*(BF$3&lt;='Gastos com Pessoal'!$F$513:$F$522)*(IF('Gastos com Pessoal'!$Y$513:$Y$522&lt;=BF$3,1,0))*OFFSET('Gastos com Pessoal'!$H$512,1,MATCH(4&amp;$B55,'Gastos com Pessoal'!$I$532:$AJ$532&amp;'Gastos com Pessoal'!$I$512:$AJ$512,0),10,1)),0)
+_xlfn.IFNA(SUM((BF$3&gt;='Gastos com Pessoal'!$E$513:$E$522)*(BF$3&lt;='Gastos com Pessoal'!$F$513:$F$522)*(IF('Gastos com Pessoal'!$AE$513:$AE$522&lt;=BF$3,1,0))*OFFSET('Gastos com Pessoal'!$H$512,1,MATCH(5&amp;$B55,'Gastos com Pessoal'!$I$532:$AJ$532&amp;'Gastos com Pessoal'!$I$512:$AJ$512,0),10,1)),0)</f>
        <v>0</v>
      </c>
      <c r="BG55" s="32">
        <f t="array" aca="1" ref="BG55" ca="1">_xlfn.IFNA(SUM((BG$3&gt;='Gastos com Pessoal'!$E$7:$E$506)*(BG$3&lt;='Gastos com Pessoal'!$F$7:$F$506)*OFFSET('Encargos e Benefícios'!$D$5,1,MATCH($B55,'Encargos e Benefícios'!$E$5:$AB$5,0),500,1)),0)
+_xlfn.IFNA(SUM((BG$3&gt;='Gastos com Pessoal'!$E$513:$E$522)*(BG$3&lt;='Gastos com Pessoal'!$F$513:$F$522)*OFFSET('Encargos e Benefícios'!$D$511,1,MATCH($B55,'Encargos e Benefícios'!$E$511:$AB$511,0),10,1)),0)
+_xlfn.IFNA(SUM((BG$3&gt;='Gastos com Pessoal'!$E$7:$E$506)*(BG$3&lt;='Gastos com Pessoal'!$F$7:$F$506)*(IF('Gastos com Pessoal'!$G$7:$G$506&lt;=BG$3,1,0))*OFFSET('Gastos com Pessoal'!$H$6,1,MATCH(1&amp;$B55,'Gastos com Pessoal'!$I$532:$AJ$532&amp;'Gastos com Pessoal'!$I$6:$AJ$6,0),500,1)),0)
+_xlfn.IFNA(SUM((BG$3&gt;='Gastos com Pessoal'!$E$7:$E$506)*(BG$3&lt;='Gastos com Pessoal'!$F$7:$F$506)*(IF('Gastos com Pessoal'!$M$7:$M$506&lt;=BG$3,1,0))*OFFSET('Gastos com Pessoal'!$H$6,1,MATCH(2&amp;$B55,'Gastos com Pessoal'!$I$532:$AJ$532&amp;'Gastos com Pessoal'!$I$6:$AJ$6,0),500,1)),0)
+_xlfn.IFNA(SUM((BG$3&gt;='Gastos com Pessoal'!$E$7:$E$506)*(BG$3&lt;='Gastos com Pessoal'!$F$7:$F$506)*(IF('Gastos com Pessoal'!$S$7:$S$506&lt;=BG$3,1,0))*OFFSET('Gastos com Pessoal'!$H$6,1,MATCH(3&amp;$B55,'Gastos com Pessoal'!$I$532:$AJ$532&amp;'Gastos com Pessoal'!$I$6:$AJ$6,0),500,1)),0)
+_xlfn.IFNA(SUM((BG$3&gt;='Gastos com Pessoal'!$E$7:$E$506)*(BG$3&lt;='Gastos com Pessoal'!$F$7:$F$506)*(IF('Gastos com Pessoal'!$Y$7:$Y$506&lt;=BG$3,1,0))*OFFSET('Gastos com Pessoal'!$H$6,1,MATCH(4&amp;$B55,'Gastos com Pessoal'!$I$532:$AJ$532&amp;'Gastos com Pessoal'!$I$6:$AJ$6,0),500,1)),0)
+_xlfn.IFNA(SUM((BG$3&gt;='Gastos com Pessoal'!$E$7:$E$506)*(BG$3&lt;='Gastos com Pessoal'!$F$7:$F$506)*(IF('Gastos com Pessoal'!$AE$7:$AE$506&lt;=BG$3,1,0))*OFFSET('Gastos com Pessoal'!$H$6,1,MATCH(5&amp;$B55,'Gastos com Pessoal'!$I$532:$AJ$532&amp;'Gastos com Pessoal'!$I$6:$AJ$6,0),500,1)),0)
+_xlfn.IFNA(SUM((BG$3&gt;='Gastos com Pessoal'!$E$513:$E$522)*(BG$3&lt;='Gastos com Pessoal'!$F$513:$F$522)*(IF('Gastos com Pessoal'!$G$513:$G$522&lt;=BG$3,1,0))*OFFSET('Gastos com Pessoal'!$H$512,1,MATCH(1&amp;$B55,'Gastos com Pessoal'!$I$532:$AJ$532&amp;'Gastos com Pessoal'!$I$512:$AJ$512,0),10,1)),0)
+_xlfn.IFNA(SUM((BG$3&gt;='Gastos com Pessoal'!$E$513:$E$522)*(BG$3&lt;='Gastos com Pessoal'!$F$513:$F$522)*(IF('Gastos com Pessoal'!$M$513:$M$522&lt;=BG$3,1,0))*OFFSET('Gastos com Pessoal'!$H$512,1,MATCH(2&amp;$B55,'Gastos com Pessoal'!$I$532:$AJ$532&amp;'Gastos com Pessoal'!$I$512:$AJ$512,0),10,1)),0)
+_xlfn.IFNA(SUM((BG$3&gt;='Gastos com Pessoal'!$E$513:$E$522)*(BG$3&lt;='Gastos com Pessoal'!$F$513:$F$522)*(IF('Gastos com Pessoal'!$S$513:$S$522&lt;=BG$3,1,0))*OFFSET('Gastos com Pessoal'!$H$512,1,MATCH(3&amp;$B55,'Gastos com Pessoal'!$I$532:$AJ$532&amp;'Gastos com Pessoal'!$I$512:$AJ$512,0),10,1)),0)
+_xlfn.IFNA(SUM((BG$3&gt;='Gastos com Pessoal'!$E$513:$E$522)*(BG$3&lt;='Gastos com Pessoal'!$F$513:$F$522)*(IF('Gastos com Pessoal'!$Y$513:$Y$522&lt;=BG$3,1,0))*OFFSET('Gastos com Pessoal'!$H$512,1,MATCH(4&amp;$B55,'Gastos com Pessoal'!$I$532:$AJ$532&amp;'Gastos com Pessoal'!$I$512:$AJ$512,0),10,1)),0)
+_xlfn.IFNA(SUM((BG$3&gt;='Gastos com Pessoal'!$E$513:$E$522)*(BG$3&lt;='Gastos com Pessoal'!$F$513:$F$522)*(IF('Gastos com Pessoal'!$AE$513:$AE$522&lt;=BG$3,1,0))*OFFSET('Gastos com Pessoal'!$H$512,1,MATCH(5&amp;$B55,'Gastos com Pessoal'!$I$532:$AJ$532&amp;'Gastos com Pessoal'!$I$512:$AJ$512,0),10,1)),0)</f>
        <v>0</v>
      </c>
      <c r="BH55" s="32">
        <f t="array" aca="1" ref="BH55" ca="1">_xlfn.IFNA(SUM((BH$3&gt;='Gastos com Pessoal'!$E$7:$E$506)*(BH$3&lt;='Gastos com Pessoal'!$F$7:$F$506)*OFFSET('Encargos e Benefícios'!$D$5,1,MATCH($B55,'Encargos e Benefícios'!$E$5:$AB$5,0),500,1)),0)
+_xlfn.IFNA(SUM((BH$3&gt;='Gastos com Pessoal'!$E$513:$E$522)*(BH$3&lt;='Gastos com Pessoal'!$F$513:$F$522)*OFFSET('Encargos e Benefícios'!$D$511,1,MATCH($B55,'Encargos e Benefícios'!$E$511:$AB$511,0),10,1)),0)
+_xlfn.IFNA(SUM((BH$3&gt;='Gastos com Pessoal'!$E$7:$E$506)*(BH$3&lt;='Gastos com Pessoal'!$F$7:$F$506)*(IF('Gastos com Pessoal'!$G$7:$G$506&lt;=BH$3,1,0))*OFFSET('Gastos com Pessoal'!$H$6,1,MATCH(1&amp;$B55,'Gastos com Pessoal'!$I$532:$AJ$532&amp;'Gastos com Pessoal'!$I$6:$AJ$6,0),500,1)),0)
+_xlfn.IFNA(SUM((BH$3&gt;='Gastos com Pessoal'!$E$7:$E$506)*(BH$3&lt;='Gastos com Pessoal'!$F$7:$F$506)*(IF('Gastos com Pessoal'!$M$7:$M$506&lt;=BH$3,1,0))*OFFSET('Gastos com Pessoal'!$H$6,1,MATCH(2&amp;$B55,'Gastos com Pessoal'!$I$532:$AJ$532&amp;'Gastos com Pessoal'!$I$6:$AJ$6,0),500,1)),0)
+_xlfn.IFNA(SUM((BH$3&gt;='Gastos com Pessoal'!$E$7:$E$506)*(BH$3&lt;='Gastos com Pessoal'!$F$7:$F$506)*(IF('Gastos com Pessoal'!$S$7:$S$506&lt;=BH$3,1,0))*OFFSET('Gastos com Pessoal'!$H$6,1,MATCH(3&amp;$B55,'Gastos com Pessoal'!$I$532:$AJ$532&amp;'Gastos com Pessoal'!$I$6:$AJ$6,0),500,1)),0)
+_xlfn.IFNA(SUM((BH$3&gt;='Gastos com Pessoal'!$E$7:$E$506)*(BH$3&lt;='Gastos com Pessoal'!$F$7:$F$506)*(IF('Gastos com Pessoal'!$Y$7:$Y$506&lt;=BH$3,1,0))*OFFSET('Gastos com Pessoal'!$H$6,1,MATCH(4&amp;$B55,'Gastos com Pessoal'!$I$532:$AJ$532&amp;'Gastos com Pessoal'!$I$6:$AJ$6,0),500,1)),0)
+_xlfn.IFNA(SUM((BH$3&gt;='Gastos com Pessoal'!$E$7:$E$506)*(BH$3&lt;='Gastos com Pessoal'!$F$7:$F$506)*(IF('Gastos com Pessoal'!$AE$7:$AE$506&lt;=BH$3,1,0))*OFFSET('Gastos com Pessoal'!$H$6,1,MATCH(5&amp;$B55,'Gastos com Pessoal'!$I$532:$AJ$532&amp;'Gastos com Pessoal'!$I$6:$AJ$6,0),500,1)),0)
+_xlfn.IFNA(SUM((BH$3&gt;='Gastos com Pessoal'!$E$513:$E$522)*(BH$3&lt;='Gastos com Pessoal'!$F$513:$F$522)*(IF('Gastos com Pessoal'!$G$513:$G$522&lt;=BH$3,1,0))*OFFSET('Gastos com Pessoal'!$H$512,1,MATCH(1&amp;$B55,'Gastos com Pessoal'!$I$532:$AJ$532&amp;'Gastos com Pessoal'!$I$512:$AJ$512,0),10,1)),0)
+_xlfn.IFNA(SUM((BH$3&gt;='Gastos com Pessoal'!$E$513:$E$522)*(BH$3&lt;='Gastos com Pessoal'!$F$513:$F$522)*(IF('Gastos com Pessoal'!$M$513:$M$522&lt;=BH$3,1,0))*OFFSET('Gastos com Pessoal'!$H$512,1,MATCH(2&amp;$B55,'Gastos com Pessoal'!$I$532:$AJ$532&amp;'Gastos com Pessoal'!$I$512:$AJ$512,0),10,1)),0)
+_xlfn.IFNA(SUM((BH$3&gt;='Gastos com Pessoal'!$E$513:$E$522)*(BH$3&lt;='Gastos com Pessoal'!$F$513:$F$522)*(IF('Gastos com Pessoal'!$S$513:$S$522&lt;=BH$3,1,0))*OFFSET('Gastos com Pessoal'!$H$512,1,MATCH(3&amp;$B55,'Gastos com Pessoal'!$I$532:$AJ$532&amp;'Gastos com Pessoal'!$I$512:$AJ$512,0),10,1)),0)
+_xlfn.IFNA(SUM((BH$3&gt;='Gastos com Pessoal'!$E$513:$E$522)*(BH$3&lt;='Gastos com Pessoal'!$F$513:$F$522)*(IF('Gastos com Pessoal'!$Y$513:$Y$522&lt;=BH$3,1,0))*OFFSET('Gastos com Pessoal'!$H$512,1,MATCH(4&amp;$B55,'Gastos com Pessoal'!$I$532:$AJ$532&amp;'Gastos com Pessoal'!$I$512:$AJ$512,0),10,1)),0)
+_xlfn.IFNA(SUM((BH$3&gt;='Gastos com Pessoal'!$E$513:$E$522)*(BH$3&lt;='Gastos com Pessoal'!$F$513:$F$522)*(IF('Gastos com Pessoal'!$AE$513:$AE$522&lt;=BH$3,1,0))*OFFSET('Gastos com Pessoal'!$H$512,1,MATCH(5&amp;$B55,'Gastos com Pessoal'!$I$532:$AJ$532&amp;'Gastos com Pessoal'!$I$512:$AJ$512,0),10,1)),0)</f>
        <v>0</v>
      </c>
      <c r="BI55" s="32">
        <f t="array" aca="1" ref="BI55" ca="1">_xlfn.IFNA(SUM((BI$3&gt;='Gastos com Pessoal'!$E$7:$E$506)*(BI$3&lt;='Gastos com Pessoal'!$F$7:$F$506)*OFFSET('Encargos e Benefícios'!$D$5,1,MATCH($B55,'Encargos e Benefícios'!$E$5:$AB$5,0),500,1)),0)
+_xlfn.IFNA(SUM((BI$3&gt;='Gastos com Pessoal'!$E$513:$E$522)*(BI$3&lt;='Gastos com Pessoal'!$F$513:$F$522)*OFFSET('Encargos e Benefícios'!$D$511,1,MATCH($B55,'Encargos e Benefícios'!$E$511:$AB$511,0),10,1)),0)
+_xlfn.IFNA(SUM((BI$3&gt;='Gastos com Pessoal'!$E$7:$E$506)*(BI$3&lt;='Gastos com Pessoal'!$F$7:$F$506)*(IF('Gastos com Pessoal'!$G$7:$G$506&lt;=BI$3,1,0))*OFFSET('Gastos com Pessoal'!$H$6,1,MATCH(1&amp;$B55,'Gastos com Pessoal'!$I$532:$AJ$532&amp;'Gastos com Pessoal'!$I$6:$AJ$6,0),500,1)),0)
+_xlfn.IFNA(SUM((BI$3&gt;='Gastos com Pessoal'!$E$7:$E$506)*(BI$3&lt;='Gastos com Pessoal'!$F$7:$F$506)*(IF('Gastos com Pessoal'!$M$7:$M$506&lt;=BI$3,1,0))*OFFSET('Gastos com Pessoal'!$H$6,1,MATCH(2&amp;$B55,'Gastos com Pessoal'!$I$532:$AJ$532&amp;'Gastos com Pessoal'!$I$6:$AJ$6,0),500,1)),0)
+_xlfn.IFNA(SUM((BI$3&gt;='Gastos com Pessoal'!$E$7:$E$506)*(BI$3&lt;='Gastos com Pessoal'!$F$7:$F$506)*(IF('Gastos com Pessoal'!$S$7:$S$506&lt;=BI$3,1,0))*OFFSET('Gastos com Pessoal'!$H$6,1,MATCH(3&amp;$B55,'Gastos com Pessoal'!$I$532:$AJ$532&amp;'Gastos com Pessoal'!$I$6:$AJ$6,0),500,1)),0)
+_xlfn.IFNA(SUM((BI$3&gt;='Gastos com Pessoal'!$E$7:$E$506)*(BI$3&lt;='Gastos com Pessoal'!$F$7:$F$506)*(IF('Gastos com Pessoal'!$Y$7:$Y$506&lt;=BI$3,1,0))*OFFSET('Gastos com Pessoal'!$H$6,1,MATCH(4&amp;$B55,'Gastos com Pessoal'!$I$532:$AJ$532&amp;'Gastos com Pessoal'!$I$6:$AJ$6,0),500,1)),0)
+_xlfn.IFNA(SUM((BI$3&gt;='Gastos com Pessoal'!$E$7:$E$506)*(BI$3&lt;='Gastos com Pessoal'!$F$7:$F$506)*(IF('Gastos com Pessoal'!$AE$7:$AE$506&lt;=BI$3,1,0))*OFFSET('Gastos com Pessoal'!$H$6,1,MATCH(5&amp;$B55,'Gastos com Pessoal'!$I$532:$AJ$532&amp;'Gastos com Pessoal'!$I$6:$AJ$6,0),500,1)),0)
+_xlfn.IFNA(SUM((BI$3&gt;='Gastos com Pessoal'!$E$513:$E$522)*(BI$3&lt;='Gastos com Pessoal'!$F$513:$F$522)*(IF('Gastos com Pessoal'!$G$513:$G$522&lt;=BI$3,1,0))*OFFSET('Gastos com Pessoal'!$H$512,1,MATCH(1&amp;$B55,'Gastos com Pessoal'!$I$532:$AJ$532&amp;'Gastos com Pessoal'!$I$512:$AJ$512,0),10,1)),0)
+_xlfn.IFNA(SUM((BI$3&gt;='Gastos com Pessoal'!$E$513:$E$522)*(BI$3&lt;='Gastos com Pessoal'!$F$513:$F$522)*(IF('Gastos com Pessoal'!$M$513:$M$522&lt;=BI$3,1,0))*OFFSET('Gastos com Pessoal'!$H$512,1,MATCH(2&amp;$B55,'Gastos com Pessoal'!$I$532:$AJ$532&amp;'Gastos com Pessoal'!$I$512:$AJ$512,0),10,1)),0)
+_xlfn.IFNA(SUM((BI$3&gt;='Gastos com Pessoal'!$E$513:$E$522)*(BI$3&lt;='Gastos com Pessoal'!$F$513:$F$522)*(IF('Gastos com Pessoal'!$S$513:$S$522&lt;=BI$3,1,0))*OFFSET('Gastos com Pessoal'!$H$512,1,MATCH(3&amp;$B55,'Gastos com Pessoal'!$I$532:$AJ$532&amp;'Gastos com Pessoal'!$I$512:$AJ$512,0),10,1)),0)
+_xlfn.IFNA(SUM((BI$3&gt;='Gastos com Pessoal'!$E$513:$E$522)*(BI$3&lt;='Gastos com Pessoal'!$F$513:$F$522)*(IF('Gastos com Pessoal'!$Y$513:$Y$522&lt;=BI$3,1,0))*OFFSET('Gastos com Pessoal'!$H$512,1,MATCH(4&amp;$B55,'Gastos com Pessoal'!$I$532:$AJ$532&amp;'Gastos com Pessoal'!$I$512:$AJ$512,0),10,1)),0)
+_xlfn.IFNA(SUM((BI$3&gt;='Gastos com Pessoal'!$E$513:$E$522)*(BI$3&lt;='Gastos com Pessoal'!$F$513:$F$522)*(IF('Gastos com Pessoal'!$AE$513:$AE$522&lt;=BI$3,1,0))*OFFSET('Gastos com Pessoal'!$H$512,1,MATCH(5&amp;$B55,'Gastos com Pessoal'!$I$532:$AJ$532&amp;'Gastos com Pessoal'!$I$512:$AJ$512,0),10,1)),0)</f>
        <v>0</v>
      </c>
      <c r="BJ55" s="32">
        <f t="array" aca="1" ref="BJ55" ca="1">_xlfn.IFNA(SUM((BJ$3&gt;='Gastos com Pessoal'!$E$7:$E$506)*(BJ$3&lt;='Gastos com Pessoal'!$F$7:$F$506)*OFFSET('Encargos e Benefícios'!$D$5,1,MATCH($B55,'Encargos e Benefícios'!$E$5:$AB$5,0),500,1)),0)
+_xlfn.IFNA(SUM((BJ$3&gt;='Gastos com Pessoal'!$E$513:$E$522)*(BJ$3&lt;='Gastos com Pessoal'!$F$513:$F$522)*OFFSET('Encargos e Benefícios'!$D$511,1,MATCH($B55,'Encargos e Benefícios'!$E$511:$AB$511,0),10,1)),0)
+_xlfn.IFNA(SUM((BJ$3&gt;='Gastos com Pessoal'!$E$7:$E$506)*(BJ$3&lt;='Gastos com Pessoal'!$F$7:$F$506)*(IF('Gastos com Pessoal'!$G$7:$G$506&lt;=BJ$3,1,0))*OFFSET('Gastos com Pessoal'!$H$6,1,MATCH(1&amp;$B55,'Gastos com Pessoal'!$I$532:$AJ$532&amp;'Gastos com Pessoal'!$I$6:$AJ$6,0),500,1)),0)
+_xlfn.IFNA(SUM((BJ$3&gt;='Gastos com Pessoal'!$E$7:$E$506)*(BJ$3&lt;='Gastos com Pessoal'!$F$7:$F$506)*(IF('Gastos com Pessoal'!$M$7:$M$506&lt;=BJ$3,1,0))*OFFSET('Gastos com Pessoal'!$H$6,1,MATCH(2&amp;$B55,'Gastos com Pessoal'!$I$532:$AJ$532&amp;'Gastos com Pessoal'!$I$6:$AJ$6,0),500,1)),0)
+_xlfn.IFNA(SUM((BJ$3&gt;='Gastos com Pessoal'!$E$7:$E$506)*(BJ$3&lt;='Gastos com Pessoal'!$F$7:$F$506)*(IF('Gastos com Pessoal'!$S$7:$S$506&lt;=BJ$3,1,0))*OFFSET('Gastos com Pessoal'!$H$6,1,MATCH(3&amp;$B55,'Gastos com Pessoal'!$I$532:$AJ$532&amp;'Gastos com Pessoal'!$I$6:$AJ$6,0),500,1)),0)
+_xlfn.IFNA(SUM((BJ$3&gt;='Gastos com Pessoal'!$E$7:$E$506)*(BJ$3&lt;='Gastos com Pessoal'!$F$7:$F$506)*(IF('Gastos com Pessoal'!$Y$7:$Y$506&lt;=BJ$3,1,0))*OFFSET('Gastos com Pessoal'!$H$6,1,MATCH(4&amp;$B55,'Gastos com Pessoal'!$I$532:$AJ$532&amp;'Gastos com Pessoal'!$I$6:$AJ$6,0),500,1)),0)
+_xlfn.IFNA(SUM((BJ$3&gt;='Gastos com Pessoal'!$E$7:$E$506)*(BJ$3&lt;='Gastos com Pessoal'!$F$7:$F$506)*(IF('Gastos com Pessoal'!$AE$7:$AE$506&lt;=BJ$3,1,0))*OFFSET('Gastos com Pessoal'!$H$6,1,MATCH(5&amp;$B55,'Gastos com Pessoal'!$I$532:$AJ$532&amp;'Gastos com Pessoal'!$I$6:$AJ$6,0),500,1)),0)
+_xlfn.IFNA(SUM((BJ$3&gt;='Gastos com Pessoal'!$E$513:$E$522)*(BJ$3&lt;='Gastos com Pessoal'!$F$513:$F$522)*(IF('Gastos com Pessoal'!$G$513:$G$522&lt;=BJ$3,1,0))*OFFSET('Gastos com Pessoal'!$H$512,1,MATCH(1&amp;$B55,'Gastos com Pessoal'!$I$532:$AJ$532&amp;'Gastos com Pessoal'!$I$512:$AJ$512,0),10,1)),0)
+_xlfn.IFNA(SUM((BJ$3&gt;='Gastos com Pessoal'!$E$513:$E$522)*(BJ$3&lt;='Gastos com Pessoal'!$F$513:$F$522)*(IF('Gastos com Pessoal'!$M$513:$M$522&lt;=BJ$3,1,0))*OFFSET('Gastos com Pessoal'!$H$512,1,MATCH(2&amp;$B55,'Gastos com Pessoal'!$I$532:$AJ$532&amp;'Gastos com Pessoal'!$I$512:$AJ$512,0),10,1)),0)
+_xlfn.IFNA(SUM((BJ$3&gt;='Gastos com Pessoal'!$E$513:$E$522)*(BJ$3&lt;='Gastos com Pessoal'!$F$513:$F$522)*(IF('Gastos com Pessoal'!$S$513:$S$522&lt;=BJ$3,1,0))*OFFSET('Gastos com Pessoal'!$H$512,1,MATCH(3&amp;$B55,'Gastos com Pessoal'!$I$532:$AJ$532&amp;'Gastos com Pessoal'!$I$512:$AJ$512,0),10,1)),0)
+_xlfn.IFNA(SUM((BJ$3&gt;='Gastos com Pessoal'!$E$513:$E$522)*(BJ$3&lt;='Gastos com Pessoal'!$F$513:$F$522)*(IF('Gastos com Pessoal'!$Y$513:$Y$522&lt;=BJ$3,1,0))*OFFSET('Gastos com Pessoal'!$H$512,1,MATCH(4&amp;$B55,'Gastos com Pessoal'!$I$532:$AJ$532&amp;'Gastos com Pessoal'!$I$512:$AJ$512,0),10,1)),0)
+_xlfn.IFNA(SUM((BJ$3&gt;='Gastos com Pessoal'!$E$513:$E$522)*(BJ$3&lt;='Gastos com Pessoal'!$F$513:$F$522)*(IF('Gastos com Pessoal'!$AE$513:$AE$522&lt;=BJ$3,1,0))*OFFSET('Gastos com Pessoal'!$H$512,1,MATCH(5&amp;$B55,'Gastos com Pessoal'!$I$532:$AJ$532&amp;'Gastos com Pessoal'!$I$512:$AJ$512,0),10,1)),0)</f>
        <v>0</v>
      </c>
      <c r="BK55" s="71">
        <f t="shared" ca="1" si="22"/>
        <v>0</v>
      </c>
      <c r="BL55" s="76">
        <f t="shared" ca="1" si="21"/>
        <v>0</v>
      </c>
    </row>
    <row r="56" spans="1:64" s="49" customFormat="1" ht="23.25" customHeight="1" x14ac:dyDescent="0.2">
      <c r="A56" s="18" t="s">
        <v>185</v>
      </c>
      <c r="B56" s="21" t="s">
        <v>186</v>
      </c>
      <c r="C56" s="32">
        <f t="array" aca="1" ref="C56" ca="1">_xlfn.IFNA(SUM((C$3&gt;='Gastos com Pessoal'!$E$7:$E$506)*(C$3&lt;='Gastos com Pessoal'!$F$7:$F$506)*OFFSET('Encargos e Benefícios'!$D$5,1,MATCH($B56,'Encargos e Benefícios'!$E$5:$AB$5,0),500,1)),0)
+_xlfn.IFNA(SUM((C$3&gt;='Gastos com Pessoal'!$E$513:$E$522)*(C$3&lt;='Gastos com Pessoal'!$F$513:$F$522)*OFFSET('Encargos e Benefícios'!$D$511,1,MATCH($B56,'Encargos e Benefícios'!$E$511:$AB$511,0),10,1)),0)
+_xlfn.IFNA(SUM((C$3&gt;='Gastos com Pessoal'!$E$7:$E$506)*(C$3&lt;='Gastos com Pessoal'!$F$7:$F$506)*(IF('Gastos com Pessoal'!$G$7:$G$506&lt;=C$3,1,0))*OFFSET('Gastos com Pessoal'!$H$6,1,MATCH(1&amp;$B56,'Gastos com Pessoal'!$I$532:$AJ$532&amp;'Gastos com Pessoal'!$I$6:$AJ$6,0),500,1)),0)
+_xlfn.IFNA(SUM((C$3&gt;='Gastos com Pessoal'!$E$7:$E$506)*(C$3&lt;='Gastos com Pessoal'!$F$7:$F$506)*(IF('Gastos com Pessoal'!$M$7:$M$506&lt;=C$3,1,0))*OFFSET('Gastos com Pessoal'!$H$6,1,MATCH(2&amp;$B56,'Gastos com Pessoal'!$I$532:$AJ$532&amp;'Gastos com Pessoal'!$I$6:$AJ$6,0),500,1)),0)
+_xlfn.IFNA(SUM((C$3&gt;='Gastos com Pessoal'!$E$7:$E$506)*(C$3&lt;='Gastos com Pessoal'!$F$7:$F$506)*(IF('Gastos com Pessoal'!$S$7:$S$506&lt;=C$3,1,0))*OFFSET('Gastos com Pessoal'!$H$6,1,MATCH(3&amp;$B56,'Gastos com Pessoal'!$I$532:$AJ$532&amp;'Gastos com Pessoal'!$I$6:$AJ$6,0),500,1)),0)
+_xlfn.IFNA(SUM((C$3&gt;='Gastos com Pessoal'!$E$7:$E$506)*(C$3&lt;='Gastos com Pessoal'!$F$7:$F$506)*(IF('Gastos com Pessoal'!$Y$7:$Y$506&lt;=C$3,1,0))*OFFSET('Gastos com Pessoal'!$H$6,1,MATCH(4&amp;$B56,'Gastos com Pessoal'!$I$532:$AJ$532&amp;'Gastos com Pessoal'!$I$6:$AJ$6,0),500,1)),0)
+_xlfn.IFNA(SUM((C$3&gt;='Gastos com Pessoal'!$E$7:$E$506)*(C$3&lt;='Gastos com Pessoal'!$F$7:$F$506)*(IF('Gastos com Pessoal'!$AE$7:$AE$506&lt;=C$3,1,0))*OFFSET('Gastos com Pessoal'!$H$6,1,MATCH(5&amp;$B56,'Gastos com Pessoal'!$I$532:$AJ$532&amp;'Gastos com Pessoal'!$I$6:$AJ$6,0),500,1)),0)
+_xlfn.IFNA(SUM((C$3&gt;='Gastos com Pessoal'!$E$513:$E$522)*(C$3&lt;='Gastos com Pessoal'!$F$513:$F$522)*(IF('Gastos com Pessoal'!$G$513:$G$522&lt;=C$3,1,0))*OFFSET('Gastos com Pessoal'!$H$512,1,MATCH(1&amp;$B56,'Gastos com Pessoal'!$I$532:$AJ$532&amp;'Gastos com Pessoal'!$I$512:$AJ$512,0),10,1)),0)
+_xlfn.IFNA(SUM((C$3&gt;='Gastos com Pessoal'!$E$513:$E$522)*(C$3&lt;='Gastos com Pessoal'!$F$513:$F$522)*(IF('Gastos com Pessoal'!$M$513:$M$522&lt;=C$3,1,0))*OFFSET('Gastos com Pessoal'!$H$512,1,MATCH(2&amp;$B56,'Gastos com Pessoal'!$I$532:$AJ$532&amp;'Gastos com Pessoal'!$I$512:$AJ$512,0),10,1)),0)
+_xlfn.IFNA(SUM((C$3&gt;='Gastos com Pessoal'!$E$513:$E$522)*(C$3&lt;='Gastos com Pessoal'!$F$513:$F$522)*(IF('Gastos com Pessoal'!$S$513:$S$522&lt;=C$3,1,0))*OFFSET('Gastos com Pessoal'!$H$512,1,MATCH(3&amp;$B56,'Gastos com Pessoal'!$I$532:$AJ$532&amp;'Gastos com Pessoal'!$I$512:$AJ$512,0),10,1)),0)
+_xlfn.IFNA(SUM((C$3&gt;='Gastos com Pessoal'!$E$513:$E$522)*(C$3&lt;='Gastos com Pessoal'!$F$513:$F$522)*(IF('Gastos com Pessoal'!$Y$513:$Y$522&lt;=C$3,1,0))*OFFSET('Gastos com Pessoal'!$H$512,1,MATCH(4&amp;$B56,'Gastos com Pessoal'!$I$532:$AJ$532&amp;'Gastos com Pessoal'!$I$512:$AJ$512,0),10,1)),0)
+_xlfn.IFNA(SUM((C$3&gt;='Gastos com Pessoal'!$E$513:$E$522)*(C$3&lt;='Gastos com Pessoal'!$F$513:$F$522)*(IF('Gastos com Pessoal'!$AE$513:$AE$522&lt;=C$3,1,0))*OFFSET('Gastos com Pessoal'!$H$512,1,MATCH(5&amp;$B56,'Gastos com Pessoal'!$I$532:$AJ$532&amp;'Gastos com Pessoal'!$I$512:$AJ$512,0),10,1)),0)</f>
        <v>22002</v>
      </c>
      <c r="D56" s="32">
        <f t="array" aca="1" ref="D56" ca="1">_xlfn.IFNA(SUM((D$3&gt;='Gastos com Pessoal'!$E$7:$E$506)*(D$3&lt;='Gastos com Pessoal'!$F$7:$F$506)*OFFSET('Encargos e Benefícios'!$D$5,1,MATCH($B56,'Encargos e Benefícios'!$E$5:$AB$5,0),500,1)),0)
+_xlfn.IFNA(SUM((D$3&gt;='Gastos com Pessoal'!$E$513:$E$522)*(D$3&lt;='Gastos com Pessoal'!$F$513:$F$522)*OFFSET('Encargos e Benefícios'!$D$511,1,MATCH($B56,'Encargos e Benefícios'!$E$511:$AB$511,0),10,1)),0)
+_xlfn.IFNA(SUM((D$3&gt;='Gastos com Pessoal'!$E$7:$E$506)*(D$3&lt;='Gastos com Pessoal'!$F$7:$F$506)*(IF('Gastos com Pessoal'!$G$7:$G$506&lt;=D$3,1,0))*OFFSET('Gastos com Pessoal'!$H$6,1,MATCH(1&amp;$B56,'Gastos com Pessoal'!$I$532:$AJ$532&amp;'Gastos com Pessoal'!$I$6:$AJ$6,0),500,1)),0)
+_xlfn.IFNA(SUM((D$3&gt;='Gastos com Pessoal'!$E$7:$E$506)*(D$3&lt;='Gastos com Pessoal'!$F$7:$F$506)*(IF('Gastos com Pessoal'!$M$7:$M$506&lt;=D$3,1,0))*OFFSET('Gastos com Pessoal'!$H$6,1,MATCH(2&amp;$B56,'Gastos com Pessoal'!$I$532:$AJ$532&amp;'Gastos com Pessoal'!$I$6:$AJ$6,0),500,1)),0)
+_xlfn.IFNA(SUM((D$3&gt;='Gastos com Pessoal'!$E$7:$E$506)*(D$3&lt;='Gastos com Pessoal'!$F$7:$F$506)*(IF('Gastos com Pessoal'!$S$7:$S$506&lt;=D$3,1,0))*OFFSET('Gastos com Pessoal'!$H$6,1,MATCH(3&amp;$B56,'Gastos com Pessoal'!$I$532:$AJ$532&amp;'Gastos com Pessoal'!$I$6:$AJ$6,0),500,1)),0)
+_xlfn.IFNA(SUM((D$3&gt;='Gastos com Pessoal'!$E$7:$E$506)*(D$3&lt;='Gastos com Pessoal'!$F$7:$F$506)*(IF('Gastos com Pessoal'!$Y$7:$Y$506&lt;=D$3,1,0))*OFFSET('Gastos com Pessoal'!$H$6,1,MATCH(4&amp;$B56,'Gastos com Pessoal'!$I$532:$AJ$532&amp;'Gastos com Pessoal'!$I$6:$AJ$6,0),500,1)),0)
+_xlfn.IFNA(SUM((D$3&gt;='Gastos com Pessoal'!$E$7:$E$506)*(D$3&lt;='Gastos com Pessoal'!$F$7:$F$506)*(IF('Gastos com Pessoal'!$AE$7:$AE$506&lt;=D$3,1,0))*OFFSET('Gastos com Pessoal'!$H$6,1,MATCH(5&amp;$B56,'Gastos com Pessoal'!$I$532:$AJ$532&amp;'Gastos com Pessoal'!$I$6:$AJ$6,0),500,1)),0)
+_xlfn.IFNA(SUM((D$3&gt;='Gastos com Pessoal'!$E$513:$E$522)*(D$3&lt;='Gastos com Pessoal'!$F$513:$F$522)*(IF('Gastos com Pessoal'!$G$513:$G$522&lt;=D$3,1,0))*OFFSET('Gastos com Pessoal'!$H$512,1,MATCH(1&amp;$B56,'Gastos com Pessoal'!$I$532:$AJ$532&amp;'Gastos com Pessoal'!$I$512:$AJ$512,0),10,1)),0)
+_xlfn.IFNA(SUM((D$3&gt;='Gastos com Pessoal'!$E$513:$E$522)*(D$3&lt;='Gastos com Pessoal'!$F$513:$F$522)*(IF('Gastos com Pessoal'!$M$513:$M$522&lt;=D$3,1,0))*OFFSET('Gastos com Pessoal'!$H$512,1,MATCH(2&amp;$B56,'Gastos com Pessoal'!$I$532:$AJ$532&amp;'Gastos com Pessoal'!$I$512:$AJ$512,0),10,1)),0)
+_xlfn.IFNA(SUM((D$3&gt;='Gastos com Pessoal'!$E$513:$E$522)*(D$3&lt;='Gastos com Pessoal'!$F$513:$F$522)*(IF('Gastos com Pessoal'!$S$513:$S$522&lt;=D$3,1,0))*OFFSET('Gastos com Pessoal'!$H$512,1,MATCH(3&amp;$B56,'Gastos com Pessoal'!$I$532:$AJ$532&amp;'Gastos com Pessoal'!$I$512:$AJ$512,0),10,1)),0)
+_xlfn.IFNA(SUM((D$3&gt;='Gastos com Pessoal'!$E$513:$E$522)*(D$3&lt;='Gastos com Pessoal'!$F$513:$F$522)*(IF('Gastos com Pessoal'!$Y$513:$Y$522&lt;=D$3,1,0))*OFFSET('Gastos com Pessoal'!$H$512,1,MATCH(4&amp;$B56,'Gastos com Pessoal'!$I$532:$AJ$532&amp;'Gastos com Pessoal'!$I$512:$AJ$512,0),10,1)),0)
+_xlfn.IFNA(SUM((D$3&gt;='Gastos com Pessoal'!$E$513:$E$522)*(D$3&lt;='Gastos com Pessoal'!$F$513:$F$522)*(IF('Gastos com Pessoal'!$AE$513:$AE$522&lt;=D$3,1,0))*OFFSET('Gastos com Pessoal'!$H$512,1,MATCH(5&amp;$B56,'Gastos com Pessoal'!$I$532:$AJ$532&amp;'Gastos com Pessoal'!$I$512:$AJ$512,0),10,1)),0)</f>
        <v>22002</v>
      </c>
      <c r="E56" s="32">
        <f t="array" aca="1" ref="E56" ca="1">_xlfn.IFNA(SUM((E$3&gt;='Gastos com Pessoal'!$E$7:$E$506)*(E$3&lt;='Gastos com Pessoal'!$F$7:$F$506)*OFFSET('Encargos e Benefícios'!$D$5,1,MATCH($B56,'Encargos e Benefícios'!$E$5:$AB$5,0),500,1)),0)
+_xlfn.IFNA(SUM((E$3&gt;='Gastos com Pessoal'!$E$513:$E$522)*(E$3&lt;='Gastos com Pessoal'!$F$513:$F$522)*OFFSET('Encargos e Benefícios'!$D$511,1,MATCH($B56,'Encargos e Benefícios'!$E$511:$AB$511,0),10,1)),0)
+_xlfn.IFNA(SUM((E$3&gt;='Gastos com Pessoal'!$E$7:$E$506)*(E$3&lt;='Gastos com Pessoal'!$F$7:$F$506)*(IF('Gastos com Pessoal'!$G$7:$G$506&lt;=E$3,1,0))*OFFSET('Gastos com Pessoal'!$H$6,1,MATCH(1&amp;$B56,'Gastos com Pessoal'!$I$532:$AJ$532&amp;'Gastos com Pessoal'!$I$6:$AJ$6,0),500,1)),0)
+_xlfn.IFNA(SUM((E$3&gt;='Gastos com Pessoal'!$E$7:$E$506)*(E$3&lt;='Gastos com Pessoal'!$F$7:$F$506)*(IF('Gastos com Pessoal'!$M$7:$M$506&lt;=E$3,1,0))*OFFSET('Gastos com Pessoal'!$H$6,1,MATCH(2&amp;$B56,'Gastos com Pessoal'!$I$532:$AJ$532&amp;'Gastos com Pessoal'!$I$6:$AJ$6,0),500,1)),0)
+_xlfn.IFNA(SUM((E$3&gt;='Gastos com Pessoal'!$E$7:$E$506)*(E$3&lt;='Gastos com Pessoal'!$F$7:$F$506)*(IF('Gastos com Pessoal'!$S$7:$S$506&lt;=E$3,1,0))*OFFSET('Gastos com Pessoal'!$H$6,1,MATCH(3&amp;$B56,'Gastos com Pessoal'!$I$532:$AJ$532&amp;'Gastos com Pessoal'!$I$6:$AJ$6,0),500,1)),0)
+_xlfn.IFNA(SUM((E$3&gt;='Gastos com Pessoal'!$E$7:$E$506)*(E$3&lt;='Gastos com Pessoal'!$F$7:$F$506)*(IF('Gastos com Pessoal'!$Y$7:$Y$506&lt;=E$3,1,0))*OFFSET('Gastos com Pessoal'!$H$6,1,MATCH(4&amp;$B56,'Gastos com Pessoal'!$I$532:$AJ$532&amp;'Gastos com Pessoal'!$I$6:$AJ$6,0),500,1)),0)
+_xlfn.IFNA(SUM((E$3&gt;='Gastos com Pessoal'!$E$7:$E$506)*(E$3&lt;='Gastos com Pessoal'!$F$7:$F$506)*(IF('Gastos com Pessoal'!$AE$7:$AE$506&lt;=E$3,1,0))*OFFSET('Gastos com Pessoal'!$H$6,1,MATCH(5&amp;$B56,'Gastos com Pessoal'!$I$532:$AJ$532&amp;'Gastos com Pessoal'!$I$6:$AJ$6,0),500,1)),0)
+_xlfn.IFNA(SUM((E$3&gt;='Gastos com Pessoal'!$E$513:$E$522)*(E$3&lt;='Gastos com Pessoal'!$F$513:$F$522)*(IF('Gastos com Pessoal'!$G$513:$G$522&lt;=E$3,1,0))*OFFSET('Gastos com Pessoal'!$H$512,1,MATCH(1&amp;$B56,'Gastos com Pessoal'!$I$532:$AJ$532&amp;'Gastos com Pessoal'!$I$512:$AJ$512,0),10,1)),0)
+_xlfn.IFNA(SUM((E$3&gt;='Gastos com Pessoal'!$E$513:$E$522)*(E$3&lt;='Gastos com Pessoal'!$F$513:$F$522)*(IF('Gastos com Pessoal'!$M$513:$M$522&lt;=E$3,1,0))*OFFSET('Gastos com Pessoal'!$H$512,1,MATCH(2&amp;$B56,'Gastos com Pessoal'!$I$532:$AJ$532&amp;'Gastos com Pessoal'!$I$512:$AJ$512,0),10,1)),0)
+_xlfn.IFNA(SUM((E$3&gt;='Gastos com Pessoal'!$E$513:$E$522)*(E$3&lt;='Gastos com Pessoal'!$F$513:$F$522)*(IF('Gastos com Pessoal'!$S$513:$S$522&lt;=E$3,1,0))*OFFSET('Gastos com Pessoal'!$H$512,1,MATCH(3&amp;$B56,'Gastos com Pessoal'!$I$532:$AJ$532&amp;'Gastos com Pessoal'!$I$512:$AJ$512,0),10,1)),0)
+_xlfn.IFNA(SUM((E$3&gt;='Gastos com Pessoal'!$E$513:$E$522)*(E$3&lt;='Gastos com Pessoal'!$F$513:$F$522)*(IF('Gastos com Pessoal'!$Y$513:$Y$522&lt;=E$3,1,0))*OFFSET('Gastos com Pessoal'!$H$512,1,MATCH(4&amp;$B56,'Gastos com Pessoal'!$I$532:$AJ$532&amp;'Gastos com Pessoal'!$I$512:$AJ$512,0),10,1)),0)
+_xlfn.IFNA(SUM((E$3&gt;='Gastos com Pessoal'!$E$513:$E$522)*(E$3&lt;='Gastos com Pessoal'!$F$513:$F$522)*(IF('Gastos com Pessoal'!$AE$513:$AE$522&lt;=E$3,1,0))*OFFSET('Gastos com Pessoal'!$H$512,1,MATCH(5&amp;$B56,'Gastos com Pessoal'!$I$532:$AJ$532&amp;'Gastos com Pessoal'!$I$512:$AJ$512,0),10,1)),0)</f>
        <v>22002</v>
      </c>
      <c r="F56" s="32">
        <f t="array" aca="1" ref="F56" ca="1">_xlfn.IFNA(SUM((F$3&gt;='Gastos com Pessoal'!$E$7:$E$506)*(F$3&lt;='Gastos com Pessoal'!$F$7:$F$506)*OFFSET('Encargos e Benefícios'!$D$5,1,MATCH($B56,'Encargos e Benefícios'!$E$5:$AB$5,0),500,1)),0)
+_xlfn.IFNA(SUM((F$3&gt;='Gastos com Pessoal'!$E$513:$E$522)*(F$3&lt;='Gastos com Pessoal'!$F$513:$F$522)*OFFSET('Encargos e Benefícios'!$D$511,1,MATCH($B56,'Encargos e Benefícios'!$E$511:$AB$511,0),10,1)),0)
+_xlfn.IFNA(SUM((F$3&gt;='Gastos com Pessoal'!$E$7:$E$506)*(F$3&lt;='Gastos com Pessoal'!$F$7:$F$506)*(IF('Gastos com Pessoal'!$G$7:$G$506&lt;=F$3,1,0))*OFFSET('Gastos com Pessoal'!$H$6,1,MATCH(1&amp;$B56,'Gastos com Pessoal'!$I$532:$AJ$532&amp;'Gastos com Pessoal'!$I$6:$AJ$6,0),500,1)),0)
+_xlfn.IFNA(SUM((F$3&gt;='Gastos com Pessoal'!$E$7:$E$506)*(F$3&lt;='Gastos com Pessoal'!$F$7:$F$506)*(IF('Gastos com Pessoal'!$M$7:$M$506&lt;=F$3,1,0))*OFFSET('Gastos com Pessoal'!$H$6,1,MATCH(2&amp;$B56,'Gastos com Pessoal'!$I$532:$AJ$532&amp;'Gastos com Pessoal'!$I$6:$AJ$6,0),500,1)),0)
+_xlfn.IFNA(SUM((F$3&gt;='Gastos com Pessoal'!$E$7:$E$506)*(F$3&lt;='Gastos com Pessoal'!$F$7:$F$506)*(IF('Gastos com Pessoal'!$S$7:$S$506&lt;=F$3,1,0))*OFFSET('Gastos com Pessoal'!$H$6,1,MATCH(3&amp;$B56,'Gastos com Pessoal'!$I$532:$AJ$532&amp;'Gastos com Pessoal'!$I$6:$AJ$6,0),500,1)),0)
+_xlfn.IFNA(SUM((F$3&gt;='Gastos com Pessoal'!$E$7:$E$506)*(F$3&lt;='Gastos com Pessoal'!$F$7:$F$506)*(IF('Gastos com Pessoal'!$Y$7:$Y$506&lt;=F$3,1,0))*OFFSET('Gastos com Pessoal'!$H$6,1,MATCH(4&amp;$B56,'Gastos com Pessoal'!$I$532:$AJ$532&amp;'Gastos com Pessoal'!$I$6:$AJ$6,0),500,1)),0)
+_xlfn.IFNA(SUM((F$3&gt;='Gastos com Pessoal'!$E$7:$E$506)*(F$3&lt;='Gastos com Pessoal'!$F$7:$F$506)*(IF('Gastos com Pessoal'!$AE$7:$AE$506&lt;=F$3,1,0))*OFFSET('Gastos com Pessoal'!$H$6,1,MATCH(5&amp;$B56,'Gastos com Pessoal'!$I$532:$AJ$532&amp;'Gastos com Pessoal'!$I$6:$AJ$6,0),500,1)),0)
+_xlfn.IFNA(SUM((F$3&gt;='Gastos com Pessoal'!$E$513:$E$522)*(F$3&lt;='Gastos com Pessoal'!$F$513:$F$522)*(IF('Gastos com Pessoal'!$G$513:$G$522&lt;=F$3,1,0))*OFFSET('Gastos com Pessoal'!$H$512,1,MATCH(1&amp;$B56,'Gastos com Pessoal'!$I$532:$AJ$532&amp;'Gastos com Pessoal'!$I$512:$AJ$512,0),10,1)),0)
+_xlfn.IFNA(SUM((F$3&gt;='Gastos com Pessoal'!$E$513:$E$522)*(F$3&lt;='Gastos com Pessoal'!$F$513:$F$522)*(IF('Gastos com Pessoal'!$M$513:$M$522&lt;=F$3,1,0))*OFFSET('Gastos com Pessoal'!$H$512,1,MATCH(2&amp;$B56,'Gastos com Pessoal'!$I$532:$AJ$532&amp;'Gastos com Pessoal'!$I$512:$AJ$512,0),10,1)),0)
+_xlfn.IFNA(SUM((F$3&gt;='Gastos com Pessoal'!$E$513:$E$522)*(F$3&lt;='Gastos com Pessoal'!$F$513:$F$522)*(IF('Gastos com Pessoal'!$S$513:$S$522&lt;=F$3,1,0))*OFFSET('Gastos com Pessoal'!$H$512,1,MATCH(3&amp;$B56,'Gastos com Pessoal'!$I$532:$AJ$532&amp;'Gastos com Pessoal'!$I$512:$AJ$512,0),10,1)),0)
+_xlfn.IFNA(SUM((F$3&gt;='Gastos com Pessoal'!$E$513:$E$522)*(F$3&lt;='Gastos com Pessoal'!$F$513:$F$522)*(IF('Gastos com Pessoal'!$Y$513:$Y$522&lt;=F$3,1,0))*OFFSET('Gastos com Pessoal'!$H$512,1,MATCH(4&amp;$B56,'Gastos com Pessoal'!$I$532:$AJ$532&amp;'Gastos com Pessoal'!$I$512:$AJ$512,0),10,1)),0)
+_xlfn.IFNA(SUM((F$3&gt;='Gastos com Pessoal'!$E$513:$E$522)*(F$3&lt;='Gastos com Pessoal'!$F$513:$F$522)*(IF('Gastos com Pessoal'!$AE$513:$AE$522&lt;=F$3,1,0))*OFFSET('Gastos com Pessoal'!$H$512,1,MATCH(5&amp;$B56,'Gastos com Pessoal'!$I$532:$AJ$532&amp;'Gastos com Pessoal'!$I$512:$AJ$512,0),10,1)),0)</f>
        <v>22002</v>
      </c>
      <c r="G56" s="32">
        <f t="array" aca="1" ref="G56" ca="1">_xlfn.IFNA(SUM((G$3&gt;='Gastos com Pessoal'!$E$7:$E$506)*(G$3&lt;='Gastos com Pessoal'!$F$7:$F$506)*OFFSET('Encargos e Benefícios'!$D$5,1,MATCH($B56,'Encargos e Benefícios'!$E$5:$AB$5,0),500,1)),0)
+_xlfn.IFNA(SUM((G$3&gt;='Gastos com Pessoal'!$E$513:$E$522)*(G$3&lt;='Gastos com Pessoal'!$F$513:$F$522)*OFFSET('Encargos e Benefícios'!$D$511,1,MATCH($B56,'Encargos e Benefícios'!$E$511:$AB$511,0),10,1)),0)
+_xlfn.IFNA(SUM((G$3&gt;='Gastos com Pessoal'!$E$7:$E$506)*(G$3&lt;='Gastos com Pessoal'!$F$7:$F$506)*(IF('Gastos com Pessoal'!$G$7:$G$506&lt;=G$3,1,0))*OFFSET('Gastos com Pessoal'!$H$6,1,MATCH(1&amp;$B56,'Gastos com Pessoal'!$I$532:$AJ$532&amp;'Gastos com Pessoal'!$I$6:$AJ$6,0),500,1)),0)
+_xlfn.IFNA(SUM((G$3&gt;='Gastos com Pessoal'!$E$7:$E$506)*(G$3&lt;='Gastos com Pessoal'!$F$7:$F$506)*(IF('Gastos com Pessoal'!$M$7:$M$506&lt;=G$3,1,0))*OFFSET('Gastos com Pessoal'!$H$6,1,MATCH(2&amp;$B56,'Gastos com Pessoal'!$I$532:$AJ$532&amp;'Gastos com Pessoal'!$I$6:$AJ$6,0),500,1)),0)
+_xlfn.IFNA(SUM((G$3&gt;='Gastos com Pessoal'!$E$7:$E$506)*(G$3&lt;='Gastos com Pessoal'!$F$7:$F$506)*(IF('Gastos com Pessoal'!$S$7:$S$506&lt;=G$3,1,0))*OFFSET('Gastos com Pessoal'!$H$6,1,MATCH(3&amp;$B56,'Gastos com Pessoal'!$I$532:$AJ$532&amp;'Gastos com Pessoal'!$I$6:$AJ$6,0),500,1)),0)
+_xlfn.IFNA(SUM((G$3&gt;='Gastos com Pessoal'!$E$7:$E$506)*(G$3&lt;='Gastos com Pessoal'!$F$7:$F$506)*(IF('Gastos com Pessoal'!$Y$7:$Y$506&lt;=G$3,1,0))*OFFSET('Gastos com Pessoal'!$H$6,1,MATCH(4&amp;$B56,'Gastos com Pessoal'!$I$532:$AJ$532&amp;'Gastos com Pessoal'!$I$6:$AJ$6,0),500,1)),0)
+_xlfn.IFNA(SUM((G$3&gt;='Gastos com Pessoal'!$E$7:$E$506)*(G$3&lt;='Gastos com Pessoal'!$F$7:$F$506)*(IF('Gastos com Pessoal'!$AE$7:$AE$506&lt;=G$3,1,0))*OFFSET('Gastos com Pessoal'!$H$6,1,MATCH(5&amp;$B56,'Gastos com Pessoal'!$I$532:$AJ$532&amp;'Gastos com Pessoal'!$I$6:$AJ$6,0),500,1)),0)
+_xlfn.IFNA(SUM((G$3&gt;='Gastos com Pessoal'!$E$513:$E$522)*(G$3&lt;='Gastos com Pessoal'!$F$513:$F$522)*(IF('Gastos com Pessoal'!$G$513:$G$522&lt;=G$3,1,0))*OFFSET('Gastos com Pessoal'!$H$512,1,MATCH(1&amp;$B56,'Gastos com Pessoal'!$I$532:$AJ$532&amp;'Gastos com Pessoal'!$I$512:$AJ$512,0),10,1)),0)
+_xlfn.IFNA(SUM((G$3&gt;='Gastos com Pessoal'!$E$513:$E$522)*(G$3&lt;='Gastos com Pessoal'!$F$513:$F$522)*(IF('Gastos com Pessoal'!$M$513:$M$522&lt;=G$3,1,0))*OFFSET('Gastos com Pessoal'!$H$512,1,MATCH(2&amp;$B56,'Gastos com Pessoal'!$I$532:$AJ$532&amp;'Gastos com Pessoal'!$I$512:$AJ$512,0),10,1)),0)
+_xlfn.IFNA(SUM((G$3&gt;='Gastos com Pessoal'!$E$513:$E$522)*(G$3&lt;='Gastos com Pessoal'!$F$513:$F$522)*(IF('Gastos com Pessoal'!$S$513:$S$522&lt;=G$3,1,0))*OFFSET('Gastos com Pessoal'!$H$512,1,MATCH(3&amp;$B56,'Gastos com Pessoal'!$I$532:$AJ$532&amp;'Gastos com Pessoal'!$I$512:$AJ$512,0),10,1)),0)
+_xlfn.IFNA(SUM((G$3&gt;='Gastos com Pessoal'!$E$513:$E$522)*(G$3&lt;='Gastos com Pessoal'!$F$513:$F$522)*(IF('Gastos com Pessoal'!$Y$513:$Y$522&lt;=G$3,1,0))*OFFSET('Gastos com Pessoal'!$H$512,1,MATCH(4&amp;$B56,'Gastos com Pessoal'!$I$532:$AJ$532&amp;'Gastos com Pessoal'!$I$512:$AJ$512,0),10,1)),0)
+_xlfn.IFNA(SUM((G$3&gt;='Gastos com Pessoal'!$E$513:$E$522)*(G$3&lt;='Gastos com Pessoal'!$F$513:$F$522)*(IF('Gastos com Pessoal'!$AE$513:$AE$522&lt;=G$3,1,0))*OFFSET('Gastos com Pessoal'!$H$512,1,MATCH(5&amp;$B56,'Gastos com Pessoal'!$I$532:$AJ$532&amp;'Gastos com Pessoal'!$I$512:$AJ$512,0),10,1)),0)</f>
        <v>22002</v>
      </c>
      <c r="H56" s="32">
        <f t="array" aca="1" ref="H56" ca="1">_xlfn.IFNA(SUM((H$3&gt;='Gastos com Pessoal'!$E$7:$E$506)*(H$3&lt;='Gastos com Pessoal'!$F$7:$F$506)*OFFSET('Encargos e Benefícios'!$D$5,1,MATCH($B56,'Encargos e Benefícios'!$E$5:$AB$5,0),500,1)),0)
+_xlfn.IFNA(SUM((H$3&gt;='Gastos com Pessoal'!$E$513:$E$522)*(H$3&lt;='Gastos com Pessoal'!$F$513:$F$522)*OFFSET('Encargos e Benefícios'!$D$511,1,MATCH($B56,'Encargos e Benefícios'!$E$511:$AB$511,0),10,1)),0)
+_xlfn.IFNA(SUM((H$3&gt;='Gastos com Pessoal'!$E$7:$E$506)*(H$3&lt;='Gastos com Pessoal'!$F$7:$F$506)*(IF('Gastos com Pessoal'!$G$7:$G$506&lt;=H$3,1,0))*OFFSET('Gastos com Pessoal'!$H$6,1,MATCH(1&amp;$B56,'Gastos com Pessoal'!$I$532:$AJ$532&amp;'Gastos com Pessoal'!$I$6:$AJ$6,0),500,1)),0)
+_xlfn.IFNA(SUM((H$3&gt;='Gastos com Pessoal'!$E$7:$E$506)*(H$3&lt;='Gastos com Pessoal'!$F$7:$F$506)*(IF('Gastos com Pessoal'!$M$7:$M$506&lt;=H$3,1,0))*OFFSET('Gastos com Pessoal'!$H$6,1,MATCH(2&amp;$B56,'Gastos com Pessoal'!$I$532:$AJ$532&amp;'Gastos com Pessoal'!$I$6:$AJ$6,0),500,1)),0)
+_xlfn.IFNA(SUM((H$3&gt;='Gastos com Pessoal'!$E$7:$E$506)*(H$3&lt;='Gastos com Pessoal'!$F$7:$F$506)*(IF('Gastos com Pessoal'!$S$7:$S$506&lt;=H$3,1,0))*OFFSET('Gastos com Pessoal'!$H$6,1,MATCH(3&amp;$B56,'Gastos com Pessoal'!$I$532:$AJ$532&amp;'Gastos com Pessoal'!$I$6:$AJ$6,0),500,1)),0)
+_xlfn.IFNA(SUM((H$3&gt;='Gastos com Pessoal'!$E$7:$E$506)*(H$3&lt;='Gastos com Pessoal'!$F$7:$F$506)*(IF('Gastos com Pessoal'!$Y$7:$Y$506&lt;=H$3,1,0))*OFFSET('Gastos com Pessoal'!$H$6,1,MATCH(4&amp;$B56,'Gastos com Pessoal'!$I$532:$AJ$532&amp;'Gastos com Pessoal'!$I$6:$AJ$6,0),500,1)),0)
+_xlfn.IFNA(SUM((H$3&gt;='Gastos com Pessoal'!$E$7:$E$506)*(H$3&lt;='Gastos com Pessoal'!$F$7:$F$506)*(IF('Gastos com Pessoal'!$AE$7:$AE$506&lt;=H$3,1,0))*OFFSET('Gastos com Pessoal'!$H$6,1,MATCH(5&amp;$B56,'Gastos com Pessoal'!$I$532:$AJ$532&amp;'Gastos com Pessoal'!$I$6:$AJ$6,0),500,1)),0)
+_xlfn.IFNA(SUM((H$3&gt;='Gastos com Pessoal'!$E$513:$E$522)*(H$3&lt;='Gastos com Pessoal'!$F$513:$F$522)*(IF('Gastos com Pessoal'!$G$513:$G$522&lt;=H$3,1,0))*OFFSET('Gastos com Pessoal'!$H$512,1,MATCH(1&amp;$B56,'Gastos com Pessoal'!$I$532:$AJ$532&amp;'Gastos com Pessoal'!$I$512:$AJ$512,0),10,1)),0)
+_xlfn.IFNA(SUM((H$3&gt;='Gastos com Pessoal'!$E$513:$E$522)*(H$3&lt;='Gastos com Pessoal'!$F$513:$F$522)*(IF('Gastos com Pessoal'!$M$513:$M$522&lt;=H$3,1,0))*OFFSET('Gastos com Pessoal'!$H$512,1,MATCH(2&amp;$B56,'Gastos com Pessoal'!$I$532:$AJ$532&amp;'Gastos com Pessoal'!$I$512:$AJ$512,0),10,1)),0)
+_xlfn.IFNA(SUM((H$3&gt;='Gastos com Pessoal'!$E$513:$E$522)*(H$3&lt;='Gastos com Pessoal'!$F$513:$F$522)*(IF('Gastos com Pessoal'!$S$513:$S$522&lt;=H$3,1,0))*OFFSET('Gastos com Pessoal'!$H$512,1,MATCH(3&amp;$B56,'Gastos com Pessoal'!$I$532:$AJ$532&amp;'Gastos com Pessoal'!$I$512:$AJ$512,0),10,1)),0)
+_xlfn.IFNA(SUM((H$3&gt;='Gastos com Pessoal'!$E$513:$E$522)*(H$3&lt;='Gastos com Pessoal'!$F$513:$F$522)*(IF('Gastos com Pessoal'!$Y$513:$Y$522&lt;=H$3,1,0))*OFFSET('Gastos com Pessoal'!$H$512,1,MATCH(4&amp;$B56,'Gastos com Pessoal'!$I$532:$AJ$532&amp;'Gastos com Pessoal'!$I$512:$AJ$512,0),10,1)),0)
+_xlfn.IFNA(SUM((H$3&gt;='Gastos com Pessoal'!$E$513:$E$522)*(H$3&lt;='Gastos com Pessoal'!$F$513:$F$522)*(IF('Gastos com Pessoal'!$AE$513:$AE$522&lt;=H$3,1,0))*OFFSET('Gastos com Pessoal'!$H$512,1,MATCH(5&amp;$B56,'Gastos com Pessoal'!$I$532:$AJ$532&amp;'Gastos com Pessoal'!$I$512:$AJ$512,0),10,1)),0)</f>
        <v>22002</v>
      </c>
      <c r="I56" s="32">
        <f t="array" aca="1" ref="I56" ca="1">_xlfn.IFNA(SUM((I$3&gt;='Gastos com Pessoal'!$E$7:$E$506)*(I$3&lt;='Gastos com Pessoal'!$F$7:$F$506)*OFFSET('Encargos e Benefícios'!$D$5,1,MATCH($B56,'Encargos e Benefícios'!$E$5:$AB$5,0),500,1)),0)
+_xlfn.IFNA(SUM((I$3&gt;='Gastos com Pessoal'!$E$513:$E$522)*(I$3&lt;='Gastos com Pessoal'!$F$513:$F$522)*OFFSET('Encargos e Benefícios'!$D$511,1,MATCH($B56,'Encargos e Benefícios'!$E$511:$AB$511,0),10,1)),0)
+_xlfn.IFNA(SUM((I$3&gt;='Gastos com Pessoal'!$E$7:$E$506)*(I$3&lt;='Gastos com Pessoal'!$F$7:$F$506)*(IF('Gastos com Pessoal'!$G$7:$G$506&lt;=I$3,1,0))*OFFSET('Gastos com Pessoal'!$H$6,1,MATCH(1&amp;$B56,'Gastos com Pessoal'!$I$532:$AJ$532&amp;'Gastos com Pessoal'!$I$6:$AJ$6,0),500,1)),0)
+_xlfn.IFNA(SUM((I$3&gt;='Gastos com Pessoal'!$E$7:$E$506)*(I$3&lt;='Gastos com Pessoal'!$F$7:$F$506)*(IF('Gastos com Pessoal'!$M$7:$M$506&lt;=I$3,1,0))*OFFSET('Gastos com Pessoal'!$H$6,1,MATCH(2&amp;$B56,'Gastos com Pessoal'!$I$532:$AJ$532&amp;'Gastos com Pessoal'!$I$6:$AJ$6,0),500,1)),0)
+_xlfn.IFNA(SUM((I$3&gt;='Gastos com Pessoal'!$E$7:$E$506)*(I$3&lt;='Gastos com Pessoal'!$F$7:$F$506)*(IF('Gastos com Pessoal'!$S$7:$S$506&lt;=I$3,1,0))*OFFSET('Gastos com Pessoal'!$H$6,1,MATCH(3&amp;$B56,'Gastos com Pessoal'!$I$532:$AJ$532&amp;'Gastos com Pessoal'!$I$6:$AJ$6,0),500,1)),0)
+_xlfn.IFNA(SUM((I$3&gt;='Gastos com Pessoal'!$E$7:$E$506)*(I$3&lt;='Gastos com Pessoal'!$F$7:$F$506)*(IF('Gastos com Pessoal'!$Y$7:$Y$506&lt;=I$3,1,0))*OFFSET('Gastos com Pessoal'!$H$6,1,MATCH(4&amp;$B56,'Gastos com Pessoal'!$I$532:$AJ$532&amp;'Gastos com Pessoal'!$I$6:$AJ$6,0),500,1)),0)
+_xlfn.IFNA(SUM((I$3&gt;='Gastos com Pessoal'!$E$7:$E$506)*(I$3&lt;='Gastos com Pessoal'!$F$7:$F$506)*(IF('Gastos com Pessoal'!$AE$7:$AE$506&lt;=I$3,1,0))*OFFSET('Gastos com Pessoal'!$H$6,1,MATCH(5&amp;$B56,'Gastos com Pessoal'!$I$532:$AJ$532&amp;'Gastos com Pessoal'!$I$6:$AJ$6,0),500,1)),0)
+_xlfn.IFNA(SUM((I$3&gt;='Gastos com Pessoal'!$E$513:$E$522)*(I$3&lt;='Gastos com Pessoal'!$F$513:$F$522)*(IF('Gastos com Pessoal'!$G$513:$G$522&lt;=I$3,1,0))*OFFSET('Gastos com Pessoal'!$H$512,1,MATCH(1&amp;$B56,'Gastos com Pessoal'!$I$532:$AJ$532&amp;'Gastos com Pessoal'!$I$512:$AJ$512,0),10,1)),0)
+_xlfn.IFNA(SUM((I$3&gt;='Gastos com Pessoal'!$E$513:$E$522)*(I$3&lt;='Gastos com Pessoal'!$F$513:$F$522)*(IF('Gastos com Pessoal'!$M$513:$M$522&lt;=I$3,1,0))*OFFSET('Gastos com Pessoal'!$H$512,1,MATCH(2&amp;$B56,'Gastos com Pessoal'!$I$532:$AJ$532&amp;'Gastos com Pessoal'!$I$512:$AJ$512,0),10,1)),0)
+_xlfn.IFNA(SUM((I$3&gt;='Gastos com Pessoal'!$E$513:$E$522)*(I$3&lt;='Gastos com Pessoal'!$F$513:$F$522)*(IF('Gastos com Pessoal'!$S$513:$S$522&lt;=I$3,1,0))*OFFSET('Gastos com Pessoal'!$H$512,1,MATCH(3&amp;$B56,'Gastos com Pessoal'!$I$532:$AJ$532&amp;'Gastos com Pessoal'!$I$512:$AJ$512,0),10,1)),0)
+_xlfn.IFNA(SUM((I$3&gt;='Gastos com Pessoal'!$E$513:$E$522)*(I$3&lt;='Gastos com Pessoal'!$F$513:$F$522)*(IF('Gastos com Pessoal'!$Y$513:$Y$522&lt;=I$3,1,0))*OFFSET('Gastos com Pessoal'!$H$512,1,MATCH(4&amp;$B56,'Gastos com Pessoal'!$I$532:$AJ$532&amp;'Gastos com Pessoal'!$I$512:$AJ$512,0),10,1)),0)
+_xlfn.IFNA(SUM((I$3&gt;='Gastos com Pessoal'!$E$513:$E$522)*(I$3&lt;='Gastos com Pessoal'!$F$513:$F$522)*(IF('Gastos com Pessoal'!$AE$513:$AE$522&lt;=I$3,1,0))*OFFSET('Gastos com Pessoal'!$H$512,1,MATCH(5&amp;$B56,'Gastos com Pessoal'!$I$532:$AJ$532&amp;'Gastos com Pessoal'!$I$512:$AJ$512,0),10,1)),0)</f>
        <v>22002</v>
      </c>
      <c r="J56" s="32">
        <f t="array" aca="1" ref="J56" ca="1">_xlfn.IFNA(SUM((J$3&gt;='Gastos com Pessoal'!$E$7:$E$506)*(J$3&lt;='Gastos com Pessoal'!$F$7:$F$506)*OFFSET('Encargos e Benefícios'!$D$5,1,MATCH($B56,'Encargos e Benefícios'!$E$5:$AB$5,0),500,1)),0)
+_xlfn.IFNA(SUM((J$3&gt;='Gastos com Pessoal'!$E$513:$E$522)*(J$3&lt;='Gastos com Pessoal'!$F$513:$F$522)*OFFSET('Encargos e Benefícios'!$D$511,1,MATCH($B56,'Encargos e Benefícios'!$E$511:$AB$511,0),10,1)),0)
+_xlfn.IFNA(SUM((J$3&gt;='Gastos com Pessoal'!$E$7:$E$506)*(J$3&lt;='Gastos com Pessoal'!$F$7:$F$506)*(IF('Gastos com Pessoal'!$G$7:$G$506&lt;=J$3,1,0))*OFFSET('Gastos com Pessoal'!$H$6,1,MATCH(1&amp;$B56,'Gastos com Pessoal'!$I$532:$AJ$532&amp;'Gastos com Pessoal'!$I$6:$AJ$6,0),500,1)),0)
+_xlfn.IFNA(SUM((J$3&gt;='Gastos com Pessoal'!$E$7:$E$506)*(J$3&lt;='Gastos com Pessoal'!$F$7:$F$506)*(IF('Gastos com Pessoal'!$M$7:$M$506&lt;=J$3,1,0))*OFFSET('Gastos com Pessoal'!$H$6,1,MATCH(2&amp;$B56,'Gastos com Pessoal'!$I$532:$AJ$532&amp;'Gastos com Pessoal'!$I$6:$AJ$6,0),500,1)),0)
+_xlfn.IFNA(SUM((J$3&gt;='Gastos com Pessoal'!$E$7:$E$506)*(J$3&lt;='Gastos com Pessoal'!$F$7:$F$506)*(IF('Gastos com Pessoal'!$S$7:$S$506&lt;=J$3,1,0))*OFFSET('Gastos com Pessoal'!$H$6,1,MATCH(3&amp;$B56,'Gastos com Pessoal'!$I$532:$AJ$532&amp;'Gastos com Pessoal'!$I$6:$AJ$6,0),500,1)),0)
+_xlfn.IFNA(SUM((J$3&gt;='Gastos com Pessoal'!$E$7:$E$506)*(J$3&lt;='Gastos com Pessoal'!$F$7:$F$506)*(IF('Gastos com Pessoal'!$Y$7:$Y$506&lt;=J$3,1,0))*OFFSET('Gastos com Pessoal'!$H$6,1,MATCH(4&amp;$B56,'Gastos com Pessoal'!$I$532:$AJ$532&amp;'Gastos com Pessoal'!$I$6:$AJ$6,0),500,1)),0)
+_xlfn.IFNA(SUM((J$3&gt;='Gastos com Pessoal'!$E$7:$E$506)*(J$3&lt;='Gastos com Pessoal'!$F$7:$F$506)*(IF('Gastos com Pessoal'!$AE$7:$AE$506&lt;=J$3,1,0))*OFFSET('Gastos com Pessoal'!$H$6,1,MATCH(5&amp;$B56,'Gastos com Pessoal'!$I$532:$AJ$532&amp;'Gastos com Pessoal'!$I$6:$AJ$6,0),500,1)),0)
+_xlfn.IFNA(SUM((J$3&gt;='Gastos com Pessoal'!$E$513:$E$522)*(J$3&lt;='Gastos com Pessoal'!$F$513:$F$522)*(IF('Gastos com Pessoal'!$G$513:$G$522&lt;=J$3,1,0))*OFFSET('Gastos com Pessoal'!$H$512,1,MATCH(1&amp;$B56,'Gastos com Pessoal'!$I$532:$AJ$532&amp;'Gastos com Pessoal'!$I$512:$AJ$512,0),10,1)),0)
+_xlfn.IFNA(SUM((J$3&gt;='Gastos com Pessoal'!$E$513:$E$522)*(J$3&lt;='Gastos com Pessoal'!$F$513:$F$522)*(IF('Gastos com Pessoal'!$M$513:$M$522&lt;=J$3,1,0))*OFFSET('Gastos com Pessoal'!$H$512,1,MATCH(2&amp;$B56,'Gastos com Pessoal'!$I$532:$AJ$532&amp;'Gastos com Pessoal'!$I$512:$AJ$512,0),10,1)),0)
+_xlfn.IFNA(SUM((J$3&gt;='Gastos com Pessoal'!$E$513:$E$522)*(J$3&lt;='Gastos com Pessoal'!$F$513:$F$522)*(IF('Gastos com Pessoal'!$S$513:$S$522&lt;=J$3,1,0))*OFFSET('Gastos com Pessoal'!$H$512,1,MATCH(3&amp;$B56,'Gastos com Pessoal'!$I$532:$AJ$532&amp;'Gastos com Pessoal'!$I$512:$AJ$512,0),10,1)),0)
+_xlfn.IFNA(SUM((J$3&gt;='Gastos com Pessoal'!$E$513:$E$522)*(J$3&lt;='Gastos com Pessoal'!$F$513:$F$522)*(IF('Gastos com Pessoal'!$Y$513:$Y$522&lt;=J$3,1,0))*OFFSET('Gastos com Pessoal'!$H$512,1,MATCH(4&amp;$B56,'Gastos com Pessoal'!$I$532:$AJ$532&amp;'Gastos com Pessoal'!$I$512:$AJ$512,0),10,1)),0)
+_xlfn.IFNA(SUM((J$3&gt;='Gastos com Pessoal'!$E$513:$E$522)*(J$3&lt;='Gastos com Pessoal'!$F$513:$F$522)*(IF('Gastos com Pessoal'!$AE$513:$AE$522&lt;=J$3,1,0))*OFFSET('Gastos com Pessoal'!$H$512,1,MATCH(5&amp;$B56,'Gastos com Pessoal'!$I$532:$AJ$532&amp;'Gastos com Pessoal'!$I$512:$AJ$512,0),10,1)),0)</f>
        <v>22002</v>
      </c>
      <c r="K56" s="32">
        <f t="array" aca="1" ref="K56" ca="1">_xlfn.IFNA(SUM((K$3&gt;='Gastos com Pessoal'!$E$7:$E$506)*(K$3&lt;='Gastos com Pessoal'!$F$7:$F$506)*OFFSET('Encargos e Benefícios'!$D$5,1,MATCH($B56,'Encargos e Benefícios'!$E$5:$AB$5,0),500,1)),0)
+_xlfn.IFNA(SUM((K$3&gt;='Gastos com Pessoal'!$E$513:$E$522)*(K$3&lt;='Gastos com Pessoal'!$F$513:$F$522)*OFFSET('Encargos e Benefícios'!$D$511,1,MATCH($B56,'Encargos e Benefícios'!$E$511:$AB$511,0),10,1)),0)
+_xlfn.IFNA(SUM((K$3&gt;='Gastos com Pessoal'!$E$7:$E$506)*(K$3&lt;='Gastos com Pessoal'!$F$7:$F$506)*(IF('Gastos com Pessoal'!$G$7:$G$506&lt;=K$3,1,0))*OFFSET('Gastos com Pessoal'!$H$6,1,MATCH(1&amp;$B56,'Gastos com Pessoal'!$I$532:$AJ$532&amp;'Gastos com Pessoal'!$I$6:$AJ$6,0),500,1)),0)
+_xlfn.IFNA(SUM((K$3&gt;='Gastos com Pessoal'!$E$7:$E$506)*(K$3&lt;='Gastos com Pessoal'!$F$7:$F$506)*(IF('Gastos com Pessoal'!$M$7:$M$506&lt;=K$3,1,0))*OFFSET('Gastos com Pessoal'!$H$6,1,MATCH(2&amp;$B56,'Gastos com Pessoal'!$I$532:$AJ$532&amp;'Gastos com Pessoal'!$I$6:$AJ$6,0),500,1)),0)
+_xlfn.IFNA(SUM((K$3&gt;='Gastos com Pessoal'!$E$7:$E$506)*(K$3&lt;='Gastos com Pessoal'!$F$7:$F$506)*(IF('Gastos com Pessoal'!$S$7:$S$506&lt;=K$3,1,0))*OFFSET('Gastos com Pessoal'!$H$6,1,MATCH(3&amp;$B56,'Gastos com Pessoal'!$I$532:$AJ$532&amp;'Gastos com Pessoal'!$I$6:$AJ$6,0),500,1)),0)
+_xlfn.IFNA(SUM((K$3&gt;='Gastos com Pessoal'!$E$7:$E$506)*(K$3&lt;='Gastos com Pessoal'!$F$7:$F$506)*(IF('Gastos com Pessoal'!$Y$7:$Y$506&lt;=K$3,1,0))*OFFSET('Gastos com Pessoal'!$H$6,1,MATCH(4&amp;$B56,'Gastos com Pessoal'!$I$532:$AJ$532&amp;'Gastos com Pessoal'!$I$6:$AJ$6,0),500,1)),0)
+_xlfn.IFNA(SUM((K$3&gt;='Gastos com Pessoal'!$E$7:$E$506)*(K$3&lt;='Gastos com Pessoal'!$F$7:$F$506)*(IF('Gastos com Pessoal'!$AE$7:$AE$506&lt;=K$3,1,0))*OFFSET('Gastos com Pessoal'!$H$6,1,MATCH(5&amp;$B56,'Gastos com Pessoal'!$I$532:$AJ$532&amp;'Gastos com Pessoal'!$I$6:$AJ$6,0),500,1)),0)
+_xlfn.IFNA(SUM((K$3&gt;='Gastos com Pessoal'!$E$513:$E$522)*(K$3&lt;='Gastos com Pessoal'!$F$513:$F$522)*(IF('Gastos com Pessoal'!$G$513:$G$522&lt;=K$3,1,0))*OFFSET('Gastos com Pessoal'!$H$512,1,MATCH(1&amp;$B56,'Gastos com Pessoal'!$I$532:$AJ$532&amp;'Gastos com Pessoal'!$I$512:$AJ$512,0),10,1)),0)
+_xlfn.IFNA(SUM((K$3&gt;='Gastos com Pessoal'!$E$513:$E$522)*(K$3&lt;='Gastos com Pessoal'!$F$513:$F$522)*(IF('Gastos com Pessoal'!$M$513:$M$522&lt;=K$3,1,0))*OFFSET('Gastos com Pessoal'!$H$512,1,MATCH(2&amp;$B56,'Gastos com Pessoal'!$I$532:$AJ$532&amp;'Gastos com Pessoal'!$I$512:$AJ$512,0),10,1)),0)
+_xlfn.IFNA(SUM((K$3&gt;='Gastos com Pessoal'!$E$513:$E$522)*(K$3&lt;='Gastos com Pessoal'!$F$513:$F$522)*(IF('Gastos com Pessoal'!$S$513:$S$522&lt;=K$3,1,0))*OFFSET('Gastos com Pessoal'!$H$512,1,MATCH(3&amp;$B56,'Gastos com Pessoal'!$I$532:$AJ$532&amp;'Gastos com Pessoal'!$I$512:$AJ$512,0),10,1)),0)
+_xlfn.IFNA(SUM((K$3&gt;='Gastos com Pessoal'!$E$513:$E$522)*(K$3&lt;='Gastos com Pessoal'!$F$513:$F$522)*(IF('Gastos com Pessoal'!$Y$513:$Y$522&lt;=K$3,1,0))*OFFSET('Gastos com Pessoal'!$H$512,1,MATCH(4&amp;$B56,'Gastos com Pessoal'!$I$532:$AJ$532&amp;'Gastos com Pessoal'!$I$512:$AJ$512,0),10,1)),0)
+_xlfn.IFNA(SUM((K$3&gt;='Gastos com Pessoal'!$E$513:$E$522)*(K$3&lt;='Gastos com Pessoal'!$F$513:$F$522)*(IF('Gastos com Pessoal'!$AE$513:$AE$522&lt;=K$3,1,0))*OFFSET('Gastos com Pessoal'!$H$512,1,MATCH(5&amp;$B56,'Gastos com Pessoal'!$I$532:$AJ$532&amp;'Gastos com Pessoal'!$I$512:$AJ$512,0),10,1)),0)</f>
        <v>22002</v>
      </c>
      <c r="L56" s="32">
        <f t="array" aca="1" ref="L56" ca="1">_xlfn.IFNA(SUM((L$3&gt;='Gastos com Pessoal'!$E$7:$E$506)*(L$3&lt;='Gastos com Pessoal'!$F$7:$F$506)*OFFSET('Encargos e Benefícios'!$D$5,1,MATCH($B56,'Encargos e Benefícios'!$E$5:$AB$5,0),500,1)),0)
+_xlfn.IFNA(SUM((L$3&gt;='Gastos com Pessoal'!$E$513:$E$522)*(L$3&lt;='Gastos com Pessoal'!$F$513:$F$522)*OFFSET('Encargos e Benefícios'!$D$511,1,MATCH($B56,'Encargos e Benefícios'!$E$511:$AB$511,0),10,1)),0)
+_xlfn.IFNA(SUM((L$3&gt;='Gastos com Pessoal'!$E$7:$E$506)*(L$3&lt;='Gastos com Pessoal'!$F$7:$F$506)*(IF('Gastos com Pessoal'!$G$7:$G$506&lt;=L$3,1,0))*OFFSET('Gastos com Pessoal'!$H$6,1,MATCH(1&amp;$B56,'Gastos com Pessoal'!$I$532:$AJ$532&amp;'Gastos com Pessoal'!$I$6:$AJ$6,0),500,1)),0)
+_xlfn.IFNA(SUM((L$3&gt;='Gastos com Pessoal'!$E$7:$E$506)*(L$3&lt;='Gastos com Pessoal'!$F$7:$F$506)*(IF('Gastos com Pessoal'!$M$7:$M$506&lt;=L$3,1,0))*OFFSET('Gastos com Pessoal'!$H$6,1,MATCH(2&amp;$B56,'Gastos com Pessoal'!$I$532:$AJ$532&amp;'Gastos com Pessoal'!$I$6:$AJ$6,0),500,1)),0)
+_xlfn.IFNA(SUM((L$3&gt;='Gastos com Pessoal'!$E$7:$E$506)*(L$3&lt;='Gastos com Pessoal'!$F$7:$F$506)*(IF('Gastos com Pessoal'!$S$7:$S$506&lt;=L$3,1,0))*OFFSET('Gastos com Pessoal'!$H$6,1,MATCH(3&amp;$B56,'Gastos com Pessoal'!$I$532:$AJ$532&amp;'Gastos com Pessoal'!$I$6:$AJ$6,0),500,1)),0)
+_xlfn.IFNA(SUM((L$3&gt;='Gastos com Pessoal'!$E$7:$E$506)*(L$3&lt;='Gastos com Pessoal'!$F$7:$F$506)*(IF('Gastos com Pessoal'!$Y$7:$Y$506&lt;=L$3,1,0))*OFFSET('Gastos com Pessoal'!$H$6,1,MATCH(4&amp;$B56,'Gastos com Pessoal'!$I$532:$AJ$532&amp;'Gastos com Pessoal'!$I$6:$AJ$6,0),500,1)),0)
+_xlfn.IFNA(SUM((L$3&gt;='Gastos com Pessoal'!$E$7:$E$506)*(L$3&lt;='Gastos com Pessoal'!$F$7:$F$506)*(IF('Gastos com Pessoal'!$AE$7:$AE$506&lt;=L$3,1,0))*OFFSET('Gastos com Pessoal'!$H$6,1,MATCH(5&amp;$B56,'Gastos com Pessoal'!$I$532:$AJ$532&amp;'Gastos com Pessoal'!$I$6:$AJ$6,0),500,1)),0)
+_xlfn.IFNA(SUM((L$3&gt;='Gastos com Pessoal'!$E$513:$E$522)*(L$3&lt;='Gastos com Pessoal'!$F$513:$F$522)*(IF('Gastos com Pessoal'!$G$513:$G$522&lt;=L$3,1,0))*OFFSET('Gastos com Pessoal'!$H$512,1,MATCH(1&amp;$B56,'Gastos com Pessoal'!$I$532:$AJ$532&amp;'Gastos com Pessoal'!$I$512:$AJ$512,0),10,1)),0)
+_xlfn.IFNA(SUM((L$3&gt;='Gastos com Pessoal'!$E$513:$E$522)*(L$3&lt;='Gastos com Pessoal'!$F$513:$F$522)*(IF('Gastos com Pessoal'!$M$513:$M$522&lt;=L$3,1,0))*OFFSET('Gastos com Pessoal'!$H$512,1,MATCH(2&amp;$B56,'Gastos com Pessoal'!$I$532:$AJ$532&amp;'Gastos com Pessoal'!$I$512:$AJ$512,0),10,1)),0)
+_xlfn.IFNA(SUM((L$3&gt;='Gastos com Pessoal'!$E$513:$E$522)*(L$3&lt;='Gastos com Pessoal'!$F$513:$F$522)*(IF('Gastos com Pessoal'!$S$513:$S$522&lt;=L$3,1,0))*OFFSET('Gastos com Pessoal'!$H$512,1,MATCH(3&amp;$B56,'Gastos com Pessoal'!$I$532:$AJ$532&amp;'Gastos com Pessoal'!$I$512:$AJ$512,0),10,1)),0)
+_xlfn.IFNA(SUM((L$3&gt;='Gastos com Pessoal'!$E$513:$E$522)*(L$3&lt;='Gastos com Pessoal'!$F$513:$F$522)*(IF('Gastos com Pessoal'!$Y$513:$Y$522&lt;=L$3,1,0))*OFFSET('Gastos com Pessoal'!$H$512,1,MATCH(4&amp;$B56,'Gastos com Pessoal'!$I$532:$AJ$532&amp;'Gastos com Pessoal'!$I$512:$AJ$512,0),10,1)),0)
+_xlfn.IFNA(SUM((L$3&gt;='Gastos com Pessoal'!$E$513:$E$522)*(L$3&lt;='Gastos com Pessoal'!$F$513:$F$522)*(IF('Gastos com Pessoal'!$AE$513:$AE$522&lt;=L$3,1,0))*OFFSET('Gastos com Pessoal'!$H$512,1,MATCH(5&amp;$B56,'Gastos com Pessoal'!$I$532:$AJ$532&amp;'Gastos com Pessoal'!$I$512:$AJ$512,0),10,1)),0)</f>
        <v>22002</v>
      </c>
      <c r="M56" s="32">
        <f t="array" aca="1" ref="M56" ca="1">_xlfn.IFNA(SUM((M$3&gt;='Gastos com Pessoal'!$E$7:$E$506)*(M$3&lt;='Gastos com Pessoal'!$F$7:$F$506)*OFFSET('Encargos e Benefícios'!$D$5,1,MATCH($B56,'Encargos e Benefícios'!$E$5:$AB$5,0),500,1)),0)
+_xlfn.IFNA(SUM((M$3&gt;='Gastos com Pessoal'!$E$513:$E$522)*(M$3&lt;='Gastos com Pessoal'!$F$513:$F$522)*OFFSET('Encargos e Benefícios'!$D$511,1,MATCH($B56,'Encargos e Benefícios'!$E$511:$AB$511,0),10,1)),0)
+_xlfn.IFNA(SUM((M$3&gt;='Gastos com Pessoal'!$E$7:$E$506)*(M$3&lt;='Gastos com Pessoal'!$F$7:$F$506)*(IF('Gastos com Pessoal'!$G$7:$G$506&lt;=M$3,1,0))*OFFSET('Gastos com Pessoal'!$H$6,1,MATCH(1&amp;$B56,'Gastos com Pessoal'!$I$532:$AJ$532&amp;'Gastos com Pessoal'!$I$6:$AJ$6,0),500,1)),0)
+_xlfn.IFNA(SUM((M$3&gt;='Gastos com Pessoal'!$E$7:$E$506)*(M$3&lt;='Gastos com Pessoal'!$F$7:$F$506)*(IF('Gastos com Pessoal'!$M$7:$M$506&lt;=M$3,1,0))*OFFSET('Gastos com Pessoal'!$H$6,1,MATCH(2&amp;$B56,'Gastos com Pessoal'!$I$532:$AJ$532&amp;'Gastos com Pessoal'!$I$6:$AJ$6,0),500,1)),0)
+_xlfn.IFNA(SUM((M$3&gt;='Gastos com Pessoal'!$E$7:$E$506)*(M$3&lt;='Gastos com Pessoal'!$F$7:$F$506)*(IF('Gastos com Pessoal'!$S$7:$S$506&lt;=M$3,1,0))*OFFSET('Gastos com Pessoal'!$H$6,1,MATCH(3&amp;$B56,'Gastos com Pessoal'!$I$532:$AJ$532&amp;'Gastos com Pessoal'!$I$6:$AJ$6,0),500,1)),0)
+_xlfn.IFNA(SUM((M$3&gt;='Gastos com Pessoal'!$E$7:$E$506)*(M$3&lt;='Gastos com Pessoal'!$F$7:$F$506)*(IF('Gastos com Pessoal'!$Y$7:$Y$506&lt;=M$3,1,0))*OFFSET('Gastos com Pessoal'!$H$6,1,MATCH(4&amp;$B56,'Gastos com Pessoal'!$I$532:$AJ$532&amp;'Gastos com Pessoal'!$I$6:$AJ$6,0),500,1)),0)
+_xlfn.IFNA(SUM((M$3&gt;='Gastos com Pessoal'!$E$7:$E$506)*(M$3&lt;='Gastos com Pessoal'!$F$7:$F$506)*(IF('Gastos com Pessoal'!$AE$7:$AE$506&lt;=M$3,1,0))*OFFSET('Gastos com Pessoal'!$H$6,1,MATCH(5&amp;$B56,'Gastos com Pessoal'!$I$532:$AJ$532&amp;'Gastos com Pessoal'!$I$6:$AJ$6,0),500,1)),0)
+_xlfn.IFNA(SUM((M$3&gt;='Gastos com Pessoal'!$E$513:$E$522)*(M$3&lt;='Gastos com Pessoal'!$F$513:$F$522)*(IF('Gastos com Pessoal'!$G$513:$G$522&lt;=M$3,1,0))*OFFSET('Gastos com Pessoal'!$H$512,1,MATCH(1&amp;$B56,'Gastos com Pessoal'!$I$532:$AJ$532&amp;'Gastos com Pessoal'!$I$512:$AJ$512,0),10,1)),0)
+_xlfn.IFNA(SUM((M$3&gt;='Gastos com Pessoal'!$E$513:$E$522)*(M$3&lt;='Gastos com Pessoal'!$F$513:$F$522)*(IF('Gastos com Pessoal'!$M$513:$M$522&lt;=M$3,1,0))*OFFSET('Gastos com Pessoal'!$H$512,1,MATCH(2&amp;$B56,'Gastos com Pessoal'!$I$532:$AJ$532&amp;'Gastos com Pessoal'!$I$512:$AJ$512,0),10,1)),0)
+_xlfn.IFNA(SUM((M$3&gt;='Gastos com Pessoal'!$E$513:$E$522)*(M$3&lt;='Gastos com Pessoal'!$F$513:$F$522)*(IF('Gastos com Pessoal'!$S$513:$S$522&lt;=M$3,1,0))*OFFSET('Gastos com Pessoal'!$H$512,1,MATCH(3&amp;$B56,'Gastos com Pessoal'!$I$532:$AJ$532&amp;'Gastos com Pessoal'!$I$512:$AJ$512,0),10,1)),0)
+_xlfn.IFNA(SUM((M$3&gt;='Gastos com Pessoal'!$E$513:$E$522)*(M$3&lt;='Gastos com Pessoal'!$F$513:$F$522)*(IF('Gastos com Pessoal'!$Y$513:$Y$522&lt;=M$3,1,0))*OFFSET('Gastos com Pessoal'!$H$512,1,MATCH(4&amp;$B56,'Gastos com Pessoal'!$I$532:$AJ$532&amp;'Gastos com Pessoal'!$I$512:$AJ$512,0),10,1)),0)
+_xlfn.IFNA(SUM((M$3&gt;='Gastos com Pessoal'!$E$513:$E$522)*(M$3&lt;='Gastos com Pessoal'!$F$513:$F$522)*(IF('Gastos com Pessoal'!$AE$513:$AE$522&lt;=M$3,1,0))*OFFSET('Gastos com Pessoal'!$H$512,1,MATCH(5&amp;$B56,'Gastos com Pessoal'!$I$532:$AJ$532&amp;'Gastos com Pessoal'!$I$512:$AJ$512,0),10,1)),0)</f>
        <v>22002</v>
      </c>
      <c r="N56" s="32">
        <f t="array" aca="1" ref="N56" ca="1">_xlfn.IFNA(SUM((N$3&gt;='Gastos com Pessoal'!$E$7:$E$506)*(N$3&lt;='Gastos com Pessoal'!$F$7:$F$506)*OFFSET('Encargos e Benefícios'!$D$5,1,MATCH($B56,'Encargos e Benefícios'!$E$5:$AB$5,0),500,1)),0)
+_xlfn.IFNA(SUM((N$3&gt;='Gastos com Pessoal'!$E$513:$E$522)*(N$3&lt;='Gastos com Pessoal'!$F$513:$F$522)*OFFSET('Encargos e Benefícios'!$D$511,1,MATCH($B56,'Encargos e Benefícios'!$E$511:$AB$511,0),10,1)),0)
+_xlfn.IFNA(SUM((N$3&gt;='Gastos com Pessoal'!$E$7:$E$506)*(N$3&lt;='Gastos com Pessoal'!$F$7:$F$506)*(IF('Gastos com Pessoal'!$G$7:$G$506&lt;=N$3,1,0))*OFFSET('Gastos com Pessoal'!$H$6,1,MATCH(1&amp;$B56,'Gastos com Pessoal'!$I$532:$AJ$532&amp;'Gastos com Pessoal'!$I$6:$AJ$6,0),500,1)),0)
+_xlfn.IFNA(SUM((N$3&gt;='Gastos com Pessoal'!$E$7:$E$506)*(N$3&lt;='Gastos com Pessoal'!$F$7:$F$506)*(IF('Gastos com Pessoal'!$M$7:$M$506&lt;=N$3,1,0))*OFFSET('Gastos com Pessoal'!$H$6,1,MATCH(2&amp;$B56,'Gastos com Pessoal'!$I$532:$AJ$532&amp;'Gastos com Pessoal'!$I$6:$AJ$6,0),500,1)),0)
+_xlfn.IFNA(SUM((N$3&gt;='Gastos com Pessoal'!$E$7:$E$506)*(N$3&lt;='Gastos com Pessoal'!$F$7:$F$506)*(IF('Gastos com Pessoal'!$S$7:$S$506&lt;=N$3,1,0))*OFFSET('Gastos com Pessoal'!$H$6,1,MATCH(3&amp;$B56,'Gastos com Pessoal'!$I$532:$AJ$532&amp;'Gastos com Pessoal'!$I$6:$AJ$6,0),500,1)),0)
+_xlfn.IFNA(SUM((N$3&gt;='Gastos com Pessoal'!$E$7:$E$506)*(N$3&lt;='Gastos com Pessoal'!$F$7:$F$506)*(IF('Gastos com Pessoal'!$Y$7:$Y$506&lt;=N$3,1,0))*OFFSET('Gastos com Pessoal'!$H$6,1,MATCH(4&amp;$B56,'Gastos com Pessoal'!$I$532:$AJ$532&amp;'Gastos com Pessoal'!$I$6:$AJ$6,0),500,1)),0)
+_xlfn.IFNA(SUM((N$3&gt;='Gastos com Pessoal'!$E$7:$E$506)*(N$3&lt;='Gastos com Pessoal'!$F$7:$F$506)*(IF('Gastos com Pessoal'!$AE$7:$AE$506&lt;=N$3,1,0))*OFFSET('Gastos com Pessoal'!$H$6,1,MATCH(5&amp;$B56,'Gastos com Pessoal'!$I$532:$AJ$532&amp;'Gastos com Pessoal'!$I$6:$AJ$6,0),500,1)),0)
+_xlfn.IFNA(SUM((N$3&gt;='Gastos com Pessoal'!$E$513:$E$522)*(N$3&lt;='Gastos com Pessoal'!$F$513:$F$522)*(IF('Gastos com Pessoal'!$G$513:$G$522&lt;=N$3,1,0))*OFFSET('Gastos com Pessoal'!$H$512,1,MATCH(1&amp;$B56,'Gastos com Pessoal'!$I$532:$AJ$532&amp;'Gastos com Pessoal'!$I$512:$AJ$512,0),10,1)),0)
+_xlfn.IFNA(SUM((N$3&gt;='Gastos com Pessoal'!$E$513:$E$522)*(N$3&lt;='Gastos com Pessoal'!$F$513:$F$522)*(IF('Gastos com Pessoal'!$M$513:$M$522&lt;=N$3,1,0))*OFFSET('Gastos com Pessoal'!$H$512,1,MATCH(2&amp;$B56,'Gastos com Pessoal'!$I$532:$AJ$532&amp;'Gastos com Pessoal'!$I$512:$AJ$512,0),10,1)),0)
+_xlfn.IFNA(SUM((N$3&gt;='Gastos com Pessoal'!$E$513:$E$522)*(N$3&lt;='Gastos com Pessoal'!$F$513:$F$522)*(IF('Gastos com Pessoal'!$S$513:$S$522&lt;=N$3,1,0))*OFFSET('Gastos com Pessoal'!$H$512,1,MATCH(3&amp;$B56,'Gastos com Pessoal'!$I$532:$AJ$532&amp;'Gastos com Pessoal'!$I$512:$AJ$512,0),10,1)),0)
+_xlfn.IFNA(SUM((N$3&gt;='Gastos com Pessoal'!$E$513:$E$522)*(N$3&lt;='Gastos com Pessoal'!$F$513:$F$522)*(IF('Gastos com Pessoal'!$Y$513:$Y$522&lt;=N$3,1,0))*OFFSET('Gastos com Pessoal'!$H$512,1,MATCH(4&amp;$B56,'Gastos com Pessoal'!$I$532:$AJ$532&amp;'Gastos com Pessoal'!$I$512:$AJ$512,0),10,1)),0)
+_xlfn.IFNA(SUM((N$3&gt;='Gastos com Pessoal'!$E$513:$E$522)*(N$3&lt;='Gastos com Pessoal'!$F$513:$F$522)*(IF('Gastos com Pessoal'!$AE$513:$AE$522&lt;=N$3,1,0))*OFFSET('Gastos com Pessoal'!$H$512,1,MATCH(5&amp;$B56,'Gastos com Pessoal'!$I$532:$AJ$532&amp;'Gastos com Pessoal'!$I$512:$AJ$512,0),10,1)),0)</f>
        <v>22002</v>
      </c>
      <c r="O56" s="32">
        <f t="array" aca="1" ref="O56" ca="1">_xlfn.IFNA(SUM((O$3&gt;='Gastos com Pessoal'!$E$7:$E$506)*(O$3&lt;='Gastos com Pessoal'!$F$7:$F$506)*OFFSET('Encargos e Benefícios'!$D$5,1,MATCH($B56,'Encargos e Benefícios'!$E$5:$AB$5,0),500,1)),0)
+_xlfn.IFNA(SUM((O$3&gt;='Gastos com Pessoal'!$E$513:$E$522)*(O$3&lt;='Gastos com Pessoal'!$F$513:$F$522)*OFFSET('Encargos e Benefícios'!$D$511,1,MATCH($B56,'Encargos e Benefícios'!$E$511:$AB$511,0),10,1)),0)
+_xlfn.IFNA(SUM((O$3&gt;='Gastos com Pessoal'!$E$7:$E$506)*(O$3&lt;='Gastos com Pessoal'!$F$7:$F$506)*(IF('Gastos com Pessoal'!$G$7:$G$506&lt;=O$3,1,0))*OFFSET('Gastos com Pessoal'!$H$6,1,MATCH(1&amp;$B56,'Gastos com Pessoal'!$I$532:$AJ$532&amp;'Gastos com Pessoal'!$I$6:$AJ$6,0),500,1)),0)
+_xlfn.IFNA(SUM((O$3&gt;='Gastos com Pessoal'!$E$7:$E$506)*(O$3&lt;='Gastos com Pessoal'!$F$7:$F$506)*(IF('Gastos com Pessoal'!$M$7:$M$506&lt;=O$3,1,0))*OFFSET('Gastos com Pessoal'!$H$6,1,MATCH(2&amp;$B56,'Gastos com Pessoal'!$I$532:$AJ$532&amp;'Gastos com Pessoal'!$I$6:$AJ$6,0),500,1)),0)
+_xlfn.IFNA(SUM((O$3&gt;='Gastos com Pessoal'!$E$7:$E$506)*(O$3&lt;='Gastos com Pessoal'!$F$7:$F$506)*(IF('Gastos com Pessoal'!$S$7:$S$506&lt;=O$3,1,0))*OFFSET('Gastos com Pessoal'!$H$6,1,MATCH(3&amp;$B56,'Gastos com Pessoal'!$I$532:$AJ$532&amp;'Gastos com Pessoal'!$I$6:$AJ$6,0),500,1)),0)
+_xlfn.IFNA(SUM((O$3&gt;='Gastos com Pessoal'!$E$7:$E$506)*(O$3&lt;='Gastos com Pessoal'!$F$7:$F$506)*(IF('Gastos com Pessoal'!$Y$7:$Y$506&lt;=O$3,1,0))*OFFSET('Gastos com Pessoal'!$H$6,1,MATCH(4&amp;$B56,'Gastos com Pessoal'!$I$532:$AJ$532&amp;'Gastos com Pessoal'!$I$6:$AJ$6,0),500,1)),0)
+_xlfn.IFNA(SUM((O$3&gt;='Gastos com Pessoal'!$E$7:$E$506)*(O$3&lt;='Gastos com Pessoal'!$F$7:$F$506)*(IF('Gastos com Pessoal'!$AE$7:$AE$506&lt;=O$3,1,0))*OFFSET('Gastos com Pessoal'!$H$6,1,MATCH(5&amp;$B56,'Gastos com Pessoal'!$I$532:$AJ$532&amp;'Gastos com Pessoal'!$I$6:$AJ$6,0),500,1)),0)
+_xlfn.IFNA(SUM((O$3&gt;='Gastos com Pessoal'!$E$513:$E$522)*(O$3&lt;='Gastos com Pessoal'!$F$513:$F$522)*(IF('Gastos com Pessoal'!$G$513:$G$522&lt;=O$3,1,0))*OFFSET('Gastos com Pessoal'!$H$512,1,MATCH(1&amp;$B56,'Gastos com Pessoal'!$I$532:$AJ$532&amp;'Gastos com Pessoal'!$I$512:$AJ$512,0),10,1)),0)
+_xlfn.IFNA(SUM((O$3&gt;='Gastos com Pessoal'!$E$513:$E$522)*(O$3&lt;='Gastos com Pessoal'!$F$513:$F$522)*(IF('Gastos com Pessoal'!$M$513:$M$522&lt;=O$3,1,0))*OFFSET('Gastos com Pessoal'!$H$512,1,MATCH(2&amp;$B56,'Gastos com Pessoal'!$I$532:$AJ$532&amp;'Gastos com Pessoal'!$I$512:$AJ$512,0),10,1)),0)
+_xlfn.IFNA(SUM((O$3&gt;='Gastos com Pessoal'!$E$513:$E$522)*(O$3&lt;='Gastos com Pessoal'!$F$513:$F$522)*(IF('Gastos com Pessoal'!$S$513:$S$522&lt;=O$3,1,0))*OFFSET('Gastos com Pessoal'!$H$512,1,MATCH(3&amp;$B56,'Gastos com Pessoal'!$I$532:$AJ$532&amp;'Gastos com Pessoal'!$I$512:$AJ$512,0),10,1)),0)
+_xlfn.IFNA(SUM((O$3&gt;='Gastos com Pessoal'!$E$513:$E$522)*(O$3&lt;='Gastos com Pessoal'!$F$513:$F$522)*(IF('Gastos com Pessoal'!$Y$513:$Y$522&lt;=O$3,1,0))*OFFSET('Gastos com Pessoal'!$H$512,1,MATCH(4&amp;$B56,'Gastos com Pessoal'!$I$532:$AJ$532&amp;'Gastos com Pessoal'!$I$512:$AJ$512,0),10,1)),0)
+_xlfn.IFNA(SUM((O$3&gt;='Gastos com Pessoal'!$E$513:$E$522)*(O$3&lt;='Gastos com Pessoal'!$F$513:$F$522)*(IF('Gastos com Pessoal'!$AE$513:$AE$522&lt;=O$3,1,0))*OFFSET('Gastos com Pessoal'!$H$512,1,MATCH(5&amp;$B56,'Gastos com Pessoal'!$I$532:$AJ$532&amp;'Gastos com Pessoal'!$I$512:$AJ$512,0),10,1)),0)</f>
        <v>22002</v>
      </c>
      <c r="P56" s="32">
        <f t="array" aca="1" ref="P56" ca="1">_xlfn.IFNA(SUM((P$3&gt;='Gastos com Pessoal'!$E$7:$E$506)*(P$3&lt;='Gastos com Pessoal'!$F$7:$F$506)*OFFSET('Encargos e Benefícios'!$D$5,1,MATCH($B56,'Encargos e Benefícios'!$E$5:$AB$5,0),500,1)),0)
+_xlfn.IFNA(SUM((P$3&gt;='Gastos com Pessoal'!$E$513:$E$522)*(P$3&lt;='Gastos com Pessoal'!$F$513:$F$522)*OFFSET('Encargos e Benefícios'!$D$511,1,MATCH($B56,'Encargos e Benefícios'!$E$511:$AB$511,0),10,1)),0)
+_xlfn.IFNA(SUM((P$3&gt;='Gastos com Pessoal'!$E$7:$E$506)*(P$3&lt;='Gastos com Pessoal'!$F$7:$F$506)*(IF('Gastos com Pessoal'!$G$7:$G$506&lt;=P$3,1,0))*OFFSET('Gastos com Pessoal'!$H$6,1,MATCH(1&amp;$B56,'Gastos com Pessoal'!$I$532:$AJ$532&amp;'Gastos com Pessoal'!$I$6:$AJ$6,0),500,1)),0)
+_xlfn.IFNA(SUM((P$3&gt;='Gastos com Pessoal'!$E$7:$E$506)*(P$3&lt;='Gastos com Pessoal'!$F$7:$F$506)*(IF('Gastos com Pessoal'!$M$7:$M$506&lt;=P$3,1,0))*OFFSET('Gastos com Pessoal'!$H$6,1,MATCH(2&amp;$B56,'Gastos com Pessoal'!$I$532:$AJ$532&amp;'Gastos com Pessoal'!$I$6:$AJ$6,0),500,1)),0)
+_xlfn.IFNA(SUM((P$3&gt;='Gastos com Pessoal'!$E$7:$E$506)*(P$3&lt;='Gastos com Pessoal'!$F$7:$F$506)*(IF('Gastos com Pessoal'!$S$7:$S$506&lt;=P$3,1,0))*OFFSET('Gastos com Pessoal'!$H$6,1,MATCH(3&amp;$B56,'Gastos com Pessoal'!$I$532:$AJ$532&amp;'Gastos com Pessoal'!$I$6:$AJ$6,0),500,1)),0)
+_xlfn.IFNA(SUM((P$3&gt;='Gastos com Pessoal'!$E$7:$E$506)*(P$3&lt;='Gastos com Pessoal'!$F$7:$F$506)*(IF('Gastos com Pessoal'!$Y$7:$Y$506&lt;=P$3,1,0))*OFFSET('Gastos com Pessoal'!$H$6,1,MATCH(4&amp;$B56,'Gastos com Pessoal'!$I$532:$AJ$532&amp;'Gastos com Pessoal'!$I$6:$AJ$6,0),500,1)),0)
+_xlfn.IFNA(SUM((P$3&gt;='Gastos com Pessoal'!$E$7:$E$506)*(P$3&lt;='Gastos com Pessoal'!$F$7:$F$506)*(IF('Gastos com Pessoal'!$AE$7:$AE$506&lt;=P$3,1,0))*OFFSET('Gastos com Pessoal'!$H$6,1,MATCH(5&amp;$B56,'Gastos com Pessoal'!$I$532:$AJ$532&amp;'Gastos com Pessoal'!$I$6:$AJ$6,0),500,1)),0)
+_xlfn.IFNA(SUM((P$3&gt;='Gastos com Pessoal'!$E$513:$E$522)*(P$3&lt;='Gastos com Pessoal'!$F$513:$F$522)*(IF('Gastos com Pessoal'!$G$513:$G$522&lt;=P$3,1,0))*OFFSET('Gastos com Pessoal'!$H$512,1,MATCH(1&amp;$B56,'Gastos com Pessoal'!$I$532:$AJ$532&amp;'Gastos com Pessoal'!$I$512:$AJ$512,0),10,1)),0)
+_xlfn.IFNA(SUM((P$3&gt;='Gastos com Pessoal'!$E$513:$E$522)*(P$3&lt;='Gastos com Pessoal'!$F$513:$F$522)*(IF('Gastos com Pessoal'!$M$513:$M$522&lt;=P$3,1,0))*OFFSET('Gastos com Pessoal'!$H$512,1,MATCH(2&amp;$B56,'Gastos com Pessoal'!$I$532:$AJ$532&amp;'Gastos com Pessoal'!$I$512:$AJ$512,0),10,1)),0)
+_xlfn.IFNA(SUM((P$3&gt;='Gastos com Pessoal'!$E$513:$E$522)*(P$3&lt;='Gastos com Pessoal'!$F$513:$F$522)*(IF('Gastos com Pessoal'!$S$513:$S$522&lt;=P$3,1,0))*OFFSET('Gastos com Pessoal'!$H$512,1,MATCH(3&amp;$B56,'Gastos com Pessoal'!$I$532:$AJ$532&amp;'Gastos com Pessoal'!$I$512:$AJ$512,0),10,1)),0)
+_xlfn.IFNA(SUM((P$3&gt;='Gastos com Pessoal'!$E$513:$E$522)*(P$3&lt;='Gastos com Pessoal'!$F$513:$F$522)*(IF('Gastos com Pessoal'!$Y$513:$Y$522&lt;=P$3,1,0))*OFFSET('Gastos com Pessoal'!$H$512,1,MATCH(4&amp;$B56,'Gastos com Pessoal'!$I$532:$AJ$532&amp;'Gastos com Pessoal'!$I$512:$AJ$512,0),10,1)),0)
+_xlfn.IFNA(SUM((P$3&gt;='Gastos com Pessoal'!$E$513:$E$522)*(P$3&lt;='Gastos com Pessoal'!$F$513:$F$522)*(IF('Gastos com Pessoal'!$AE$513:$AE$522&lt;=P$3,1,0))*OFFSET('Gastos com Pessoal'!$H$512,1,MATCH(5&amp;$B56,'Gastos com Pessoal'!$I$532:$AJ$532&amp;'Gastos com Pessoal'!$I$512:$AJ$512,0),10,1)),0)</f>
        <v>22002</v>
      </c>
      <c r="Q56" s="32">
        <f t="array" aca="1" ref="Q56" ca="1">_xlfn.IFNA(SUM((Q$3&gt;='Gastos com Pessoal'!$E$7:$E$506)*(Q$3&lt;='Gastos com Pessoal'!$F$7:$F$506)*OFFSET('Encargos e Benefícios'!$D$5,1,MATCH($B56,'Encargos e Benefícios'!$E$5:$AB$5,0),500,1)),0)
+_xlfn.IFNA(SUM((Q$3&gt;='Gastos com Pessoal'!$E$513:$E$522)*(Q$3&lt;='Gastos com Pessoal'!$F$513:$F$522)*OFFSET('Encargos e Benefícios'!$D$511,1,MATCH($B56,'Encargos e Benefícios'!$E$511:$AB$511,0),10,1)),0)
+_xlfn.IFNA(SUM((Q$3&gt;='Gastos com Pessoal'!$E$7:$E$506)*(Q$3&lt;='Gastos com Pessoal'!$F$7:$F$506)*(IF('Gastos com Pessoal'!$G$7:$G$506&lt;=Q$3,1,0))*OFFSET('Gastos com Pessoal'!$H$6,1,MATCH(1&amp;$B56,'Gastos com Pessoal'!$I$532:$AJ$532&amp;'Gastos com Pessoal'!$I$6:$AJ$6,0),500,1)),0)
+_xlfn.IFNA(SUM((Q$3&gt;='Gastos com Pessoal'!$E$7:$E$506)*(Q$3&lt;='Gastos com Pessoal'!$F$7:$F$506)*(IF('Gastos com Pessoal'!$M$7:$M$506&lt;=Q$3,1,0))*OFFSET('Gastos com Pessoal'!$H$6,1,MATCH(2&amp;$B56,'Gastos com Pessoal'!$I$532:$AJ$532&amp;'Gastos com Pessoal'!$I$6:$AJ$6,0),500,1)),0)
+_xlfn.IFNA(SUM((Q$3&gt;='Gastos com Pessoal'!$E$7:$E$506)*(Q$3&lt;='Gastos com Pessoal'!$F$7:$F$506)*(IF('Gastos com Pessoal'!$S$7:$S$506&lt;=Q$3,1,0))*OFFSET('Gastos com Pessoal'!$H$6,1,MATCH(3&amp;$B56,'Gastos com Pessoal'!$I$532:$AJ$532&amp;'Gastos com Pessoal'!$I$6:$AJ$6,0),500,1)),0)
+_xlfn.IFNA(SUM((Q$3&gt;='Gastos com Pessoal'!$E$7:$E$506)*(Q$3&lt;='Gastos com Pessoal'!$F$7:$F$506)*(IF('Gastos com Pessoal'!$Y$7:$Y$506&lt;=Q$3,1,0))*OFFSET('Gastos com Pessoal'!$H$6,1,MATCH(4&amp;$B56,'Gastos com Pessoal'!$I$532:$AJ$532&amp;'Gastos com Pessoal'!$I$6:$AJ$6,0),500,1)),0)
+_xlfn.IFNA(SUM((Q$3&gt;='Gastos com Pessoal'!$E$7:$E$506)*(Q$3&lt;='Gastos com Pessoal'!$F$7:$F$506)*(IF('Gastos com Pessoal'!$AE$7:$AE$506&lt;=Q$3,1,0))*OFFSET('Gastos com Pessoal'!$H$6,1,MATCH(5&amp;$B56,'Gastos com Pessoal'!$I$532:$AJ$532&amp;'Gastos com Pessoal'!$I$6:$AJ$6,0),500,1)),0)
+_xlfn.IFNA(SUM((Q$3&gt;='Gastos com Pessoal'!$E$513:$E$522)*(Q$3&lt;='Gastos com Pessoal'!$F$513:$F$522)*(IF('Gastos com Pessoal'!$G$513:$G$522&lt;=Q$3,1,0))*OFFSET('Gastos com Pessoal'!$H$512,1,MATCH(1&amp;$B56,'Gastos com Pessoal'!$I$532:$AJ$532&amp;'Gastos com Pessoal'!$I$512:$AJ$512,0),10,1)),0)
+_xlfn.IFNA(SUM((Q$3&gt;='Gastos com Pessoal'!$E$513:$E$522)*(Q$3&lt;='Gastos com Pessoal'!$F$513:$F$522)*(IF('Gastos com Pessoal'!$M$513:$M$522&lt;=Q$3,1,0))*OFFSET('Gastos com Pessoal'!$H$512,1,MATCH(2&amp;$B56,'Gastos com Pessoal'!$I$532:$AJ$532&amp;'Gastos com Pessoal'!$I$512:$AJ$512,0),10,1)),0)
+_xlfn.IFNA(SUM((Q$3&gt;='Gastos com Pessoal'!$E$513:$E$522)*(Q$3&lt;='Gastos com Pessoal'!$F$513:$F$522)*(IF('Gastos com Pessoal'!$S$513:$S$522&lt;=Q$3,1,0))*OFFSET('Gastos com Pessoal'!$H$512,1,MATCH(3&amp;$B56,'Gastos com Pessoal'!$I$532:$AJ$532&amp;'Gastos com Pessoal'!$I$512:$AJ$512,0),10,1)),0)
+_xlfn.IFNA(SUM((Q$3&gt;='Gastos com Pessoal'!$E$513:$E$522)*(Q$3&lt;='Gastos com Pessoal'!$F$513:$F$522)*(IF('Gastos com Pessoal'!$Y$513:$Y$522&lt;=Q$3,1,0))*OFFSET('Gastos com Pessoal'!$H$512,1,MATCH(4&amp;$B56,'Gastos com Pessoal'!$I$532:$AJ$532&amp;'Gastos com Pessoal'!$I$512:$AJ$512,0),10,1)),0)
+_xlfn.IFNA(SUM((Q$3&gt;='Gastos com Pessoal'!$E$513:$E$522)*(Q$3&lt;='Gastos com Pessoal'!$F$513:$F$522)*(IF('Gastos com Pessoal'!$AE$513:$AE$522&lt;=Q$3,1,0))*OFFSET('Gastos com Pessoal'!$H$512,1,MATCH(5&amp;$B56,'Gastos com Pessoal'!$I$532:$AJ$532&amp;'Gastos com Pessoal'!$I$512:$AJ$512,0),10,1)),0)</f>
        <v>22002</v>
      </c>
      <c r="R56" s="32">
        <f t="array" aca="1" ref="R56" ca="1">_xlfn.IFNA(SUM((R$3&gt;='Gastos com Pessoal'!$E$7:$E$506)*(R$3&lt;='Gastos com Pessoal'!$F$7:$F$506)*OFFSET('Encargos e Benefícios'!$D$5,1,MATCH($B56,'Encargos e Benefícios'!$E$5:$AB$5,0),500,1)),0)
+_xlfn.IFNA(SUM((R$3&gt;='Gastos com Pessoal'!$E$513:$E$522)*(R$3&lt;='Gastos com Pessoal'!$F$513:$F$522)*OFFSET('Encargos e Benefícios'!$D$511,1,MATCH($B56,'Encargos e Benefícios'!$E$511:$AB$511,0),10,1)),0)
+_xlfn.IFNA(SUM((R$3&gt;='Gastos com Pessoal'!$E$7:$E$506)*(R$3&lt;='Gastos com Pessoal'!$F$7:$F$506)*(IF('Gastos com Pessoal'!$G$7:$G$506&lt;=R$3,1,0))*OFFSET('Gastos com Pessoal'!$H$6,1,MATCH(1&amp;$B56,'Gastos com Pessoal'!$I$532:$AJ$532&amp;'Gastos com Pessoal'!$I$6:$AJ$6,0),500,1)),0)
+_xlfn.IFNA(SUM((R$3&gt;='Gastos com Pessoal'!$E$7:$E$506)*(R$3&lt;='Gastos com Pessoal'!$F$7:$F$506)*(IF('Gastos com Pessoal'!$M$7:$M$506&lt;=R$3,1,0))*OFFSET('Gastos com Pessoal'!$H$6,1,MATCH(2&amp;$B56,'Gastos com Pessoal'!$I$532:$AJ$532&amp;'Gastos com Pessoal'!$I$6:$AJ$6,0),500,1)),0)
+_xlfn.IFNA(SUM((R$3&gt;='Gastos com Pessoal'!$E$7:$E$506)*(R$3&lt;='Gastos com Pessoal'!$F$7:$F$506)*(IF('Gastos com Pessoal'!$S$7:$S$506&lt;=R$3,1,0))*OFFSET('Gastos com Pessoal'!$H$6,1,MATCH(3&amp;$B56,'Gastos com Pessoal'!$I$532:$AJ$532&amp;'Gastos com Pessoal'!$I$6:$AJ$6,0),500,1)),0)
+_xlfn.IFNA(SUM((R$3&gt;='Gastos com Pessoal'!$E$7:$E$506)*(R$3&lt;='Gastos com Pessoal'!$F$7:$F$506)*(IF('Gastos com Pessoal'!$Y$7:$Y$506&lt;=R$3,1,0))*OFFSET('Gastos com Pessoal'!$H$6,1,MATCH(4&amp;$B56,'Gastos com Pessoal'!$I$532:$AJ$532&amp;'Gastos com Pessoal'!$I$6:$AJ$6,0),500,1)),0)
+_xlfn.IFNA(SUM((R$3&gt;='Gastos com Pessoal'!$E$7:$E$506)*(R$3&lt;='Gastos com Pessoal'!$F$7:$F$506)*(IF('Gastos com Pessoal'!$AE$7:$AE$506&lt;=R$3,1,0))*OFFSET('Gastos com Pessoal'!$H$6,1,MATCH(5&amp;$B56,'Gastos com Pessoal'!$I$532:$AJ$532&amp;'Gastos com Pessoal'!$I$6:$AJ$6,0),500,1)),0)
+_xlfn.IFNA(SUM((R$3&gt;='Gastos com Pessoal'!$E$513:$E$522)*(R$3&lt;='Gastos com Pessoal'!$F$513:$F$522)*(IF('Gastos com Pessoal'!$G$513:$G$522&lt;=R$3,1,0))*OFFSET('Gastos com Pessoal'!$H$512,1,MATCH(1&amp;$B56,'Gastos com Pessoal'!$I$532:$AJ$532&amp;'Gastos com Pessoal'!$I$512:$AJ$512,0),10,1)),0)
+_xlfn.IFNA(SUM((R$3&gt;='Gastos com Pessoal'!$E$513:$E$522)*(R$3&lt;='Gastos com Pessoal'!$F$513:$F$522)*(IF('Gastos com Pessoal'!$M$513:$M$522&lt;=R$3,1,0))*OFFSET('Gastos com Pessoal'!$H$512,1,MATCH(2&amp;$B56,'Gastos com Pessoal'!$I$532:$AJ$532&amp;'Gastos com Pessoal'!$I$512:$AJ$512,0),10,1)),0)
+_xlfn.IFNA(SUM((R$3&gt;='Gastos com Pessoal'!$E$513:$E$522)*(R$3&lt;='Gastos com Pessoal'!$F$513:$F$522)*(IF('Gastos com Pessoal'!$S$513:$S$522&lt;=R$3,1,0))*OFFSET('Gastos com Pessoal'!$H$512,1,MATCH(3&amp;$B56,'Gastos com Pessoal'!$I$532:$AJ$532&amp;'Gastos com Pessoal'!$I$512:$AJ$512,0),10,1)),0)
+_xlfn.IFNA(SUM((R$3&gt;='Gastos com Pessoal'!$E$513:$E$522)*(R$3&lt;='Gastos com Pessoal'!$F$513:$F$522)*(IF('Gastos com Pessoal'!$Y$513:$Y$522&lt;=R$3,1,0))*OFFSET('Gastos com Pessoal'!$H$512,1,MATCH(4&amp;$B56,'Gastos com Pessoal'!$I$532:$AJ$532&amp;'Gastos com Pessoal'!$I$512:$AJ$512,0),10,1)),0)
+_xlfn.IFNA(SUM((R$3&gt;='Gastos com Pessoal'!$E$513:$E$522)*(R$3&lt;='Gastos com Pessoal'!$F$513:$F$522)*(IF('Gastos com Pessoal'!$AE$513:$AE$522&lt;=R$3,1,0))*OFFSET('Gastos com Pessoal'!$H$512,1,MATCH(5&amp;$B56,'Gastos com Pessoal'!$I$532:$AJ$532&amp;'Gastos com Pessoal'!$I$512:$AJ$512,0),10,1)),0)</f>
        <v>22002</v>
      </c>
      <c r="S56" s="32">
        <f t="array" aca="1" ref="S56" ca="1">_xlfn.IFNA(SUM((S$3&gt;='Gastos com Pessoal'!$E$7:$E$506)*(S$3&lt;='Gastos com Pessoal'!$F$7:$F$506)*OFFSET('Encargos e Benefícios'!$D$5,1,MATCH($B56,'Encargos e Benefícios'!$E$5:$AB$5,0),500,1)),0)
+_xlfn.IFNA(SUM((S$3&gt;='Gastos com Pessoal'!$E$513:$E$522)*(S$3&lt;='Gastos com Pessoal'!$F$513:$F$522)*OFFSET('Encargos e Benefícios'!$D$511,1,MATCH($B56,'Encargos e Benefícios'!$E$511:$AB$511,0),10,1)),0)
+_xlfn.IFNA(SUM((S$3&gt;='Gastos com Pessoal'!$E$7:$E$506)*(S$3&lt;='Gastos com Pessoal'!$F$7:$F$506)*(IF('Gastos com Pessoal'!$G$7:$G$506&lt;=S$3,1,0))*OFFSET('Gastos com Pessoal'!$H$6,1,MATCH(1&amp;$B56,'Gastos com Pessoal'!$I$532:$AJ$532&amp;'Gastos com Pessoal'!$I$6:$AJ$6,0),500,1)),0)
+_xlfn.IFNA(SUM((S$3&gt;='Gastos com Pessoal'!$E$7:$E$506)*(S$3&lt;='Gastos com Pessoal'!$F$7:$F$506)*(IF('Gastos com Pessoal'!$M$7:$M$506&lt;=S$3,1,0))*OFFSET('Gastos com Pessoal'!$H$6,1,MATCH(2&amp;$B56,'Gastos com Pessoal'!$I$532:$AJ$532&amp;'Gastos com Pessoal'!$I$6:$AJ$6,0),500,1)),0)
+_xlfn.IFNA(SUM((S$3&gt;='Gastos com Pessoal'!$E$7:$E$506)*(S$3&lt;='Gastos com Pessoal'!$F$7:$F$506)*(IF('Gastos com Pessoal'!$S$7:$S$506&lt;=S$3,1,0))*OFFSET('Gastos com Pessoal'!$H$6,1,MATCH(3&amp;$B56,'Gastos com Pessoal'!$I$532:$AJ$532&amp;'Gastos com Pessoal'!$I$6:$AJ$6,0),500,1)),0)
+_xlfn.IFNA(SUM((S$3&gt;='Gastos com Pessoal'!$E$7:$E$506)*(S$3&lt;='Gastos com Pessoal'!$F$7:$F$506)*(IF('Gastos com Pessoal'!$Y$7:$Y$506&lt;=S$3,1,0))*OFFSET('Gastos com Pessoal'!$H$6,1,MATCH(4&amp;$B56,'Gastos com Pessoal'!$I$532:$AJ$532&amp;'Gastos com Pessoal'!$I$6:$AJ$6,0),500,1)),0)
+_xlfn.IFNA(SUM((S$3&gt;='Gastos com Pessoal'!$E$7:$E$506)*(S$3&lt;='Gastos com Pessoal'!$F$7:$F$506)*(IF('Gastos com Pessoal'!$AE$7:$AE$506&lt;=S$3,1,0))*OFFSET('Gastos com Pessoal'!$H$6,1,MATCH(5&amp;$B56,'Gastos com Pessoal'!$I$532:$AJ$532&amp;'Gastos com Pessoal'!$I$6:$AJ$6,0),500,1)),0)
+_xlfn.IFNA(SUM((S$3&gt;='Gastos com Pessoal'!$E$513:$E$522)*(S$3&lt;='Gastos com Pessoal'!$F$513:$F$522)*(IF('Gastos com Pessoal'!$G$513:$G$522&lt;=S$3,1,0))*OFFSET('Gastos com Pessoal'!$H$512,1,MATCH(1&amp;$B56,'Gastos com Pessoal'!$I$532:$AJ$532&amp;'Gastos com Pessoal'!$I$512:$AJ$512,0),10,1)),0)
+_xlfn.IFNA(SUM((S$3&gt;='Gastos com Pessoal'!$E$513:$E$522)*(S$3&lt;='Gastos com Pessoal'!$F$513:$F$522)*(IF('Gastos com Pessoal'!$M$513:$M$522&lt;=S$3,1,0))*OFFSET('Gastos com Pessoal'!$H$512,1,MATCH(2&amp;$B56,'Gastos com Pessoal'!$I$532:$AJ$532&amp;'Gastos com Pessoal'!$I$512:$AJ$512,0),10,1)),0)
+_xlfn.IFNA(SUM((S$3&gt;='Gastos com Pessoal'!$E$513:$E$522)*(S$3&lt;='Gastos com Pessoal'!$F$513:$F$522)*(IF('Gastos com Pessoal'!$S$513:$S$522&lt;=S$3,1,0))*OFFSET('Gastos com Pessoal'!$H$512,1,MATCH(3&amp;$B56,'Gastos com Pessoal'!$I$532:$AJ$532&amp;'Gastos com Pessoal'!$I$512:$AJ$512,0),10,1)),0)
+_xlfn.IFNA(SUM((S$3&gt;='Gastos com Pessoal'!$E$513:$E$522)*(S$3&lt;='Gastos com Pessoal'!$F$513:$F$522)*(IF('Gastos com Pessoal'!$Y$513:$Y$522&lt;=S$3,1,0))*OFFSET('Gastos com Pessoal'!$H$512,1,MATCH(4&amp;$B56,'Gastos com Pessoal'!$I$532:$AJ$532&amp;'Gastos com Pessoal'!$I$512:$AJ$512,0),10,1)),0)
+_xlfn.IFNA(SUM((S$3&gt;='Gastos com Pessoal'!$E$513:$E$522)*(S$3&lt;='Gastos com Pessoal'!$F$513:$F$522)*(IF('Gastos com Pessoal'!$AE$513:$AE$522&lt;=S$3,1,0))*OFFSET('Gastos com Pessoal'!$H$512,1,MATCH(5&amp;$B56,'Gastos com Pessoal'!$I$532:$AJ$532&amp;'Gastos com Pessoal'!$I$512:$AJ$512,0),10,1)),0)</f>
        <v>22002</v>
      </c>
      <c r="T56" s="32">
        <f t="array" aca="1" ref="T56" ca="1">_xlfn.IFNA(SUM((T$3&gt;='Gastos com Pessoal'!$E$7:$E$506)*(T$3&lt;='Gastos com Pessoal'!$F$7:$F$506)*OFFSET('Encargos e Benefícios'!$D$5,1,MATCH($B56,'Encargos e Benefícios'!$E$5:$AB$5,0),500,1)),0)
+_xlfn.IFNA(SUM((T$3&gt;='Gastos com Pessoal'!$E$513:$E$522)*(T$3&lt;='Gastos com Pessoal'!$F$513:$F$522)*OFFSET('Encargos e Benefícios'!$D$511,1,MATCH($B56,'Encargos e Benefícios'!$E$511:$AB$511,0),10,1)),0)
+_xlfn.IFNA(SUM((T$3&gt;='Gastos com Pessoal'!$E$7:$E$506)*(T$3&lt;='Gastos com Pessoal'!$F$7:$F$506)*(IF('Gastos com Pessoal'!$G$7:$G$506&lt;=T$3,1,0))*OFFSET('Gastos com Pessoal'!$H$6,1,MATCH(1&amp;$B56,'Gastos com Pessoal'!$I$532:$AJ$532&amp;'Gastos com Pessoal'!$I$6:$AJ$6,0),500,1)),0)
+_xlfn.IFNA(SUM((T$3&gt;='Gastos com Pessoal'!$E$7:$E$506)*(T$3&lt;='Gastos com Pessoal'!$F$7:$F$506)*(IF('Gastos com Pessoal'!$M$7:$M$506&lt;=T$3,1,0))*OFFSET('Gastos com Pessoal'!$H$6,1,MATCH(2&amp;$B56,'Gastos com Pessoal'!$I$532:$AJ$532&amp;'Gastos com Pessoal'!$I$6:$AJ$6,0),500,1)),0)
+_xlfn.IFNA(SUM((T$3&gt;='Gastos com Pessoal'!$E$7:$E$506)*(T$3&lt;='Gastos com Pessoal'!$F$7:$F$506)*(IF('Gastos com Pessoal'!$S$7:$S$506&lt;=T$3,1,0))*OFFSET('Gastos com Pessoal'!$H$6,1,MATCH(3&amp;$B56,'Gastos com Pessoal'!$I$532:$AJ$532&amp;'Gastos com Pessoal'!$I$6:$AJ$6,0),500,1)),0)
+_xlfn.IFNA(SUM((T$3&gt;='Gastos com Pessoal'!$E$7:$E$506)*(T$3&lt;='Gastos com Pessoal'!$F$7:$F$506)*(IF('Gastos com Pessoal'!$Y$7:$Y$506&lt;=T$3,1,0))*OFFSET('Gastos com Pessoal'!$H$6,1,MATCH(4&amp;$B56,'Gastos com Pessoal'!$I$532:$AJ$532&amp;'Gastos com Pessoal'!$I$6:$AJ$6,0),500,1)),0)
+_xlfn.IFNA(SUM((T$3&gt;='Gastos com Pessoal'!$E$7:$E$506)*(T$3&lt;='Gastos com Pessoal'!$F$7:$F$506)*(IF('Gastos com Pessoal'!$AE$7:$AE$506&lt;=T$3,1,0))*OFFSET('Gastos com Pessoal'!$H$6,1,MATCH(5&amp;$B56,'Gastos com Pessoal'!$I$532:$AJ$532&amp;'Gastos com Pessoal'!$I$6:$AJ$6,0),500,1)),0)
+_xlfn.IFNA(SUM((T$3&gt;='Gastos com Pessoal'!$E$513:$E$522)*(T$3&lt;='Gastos com Pessoal'!$F$513:$F$522)*(IF('Gastos com Pessoal'!$G$513:$G$522&lt;=T$3,1,0))*OFFSET('Gastos com Pessoal'!$H$512,1,MATCH(1&amp;$B56,'Gastos com Pessoal'!$I$532:$AJ$532&amp;'Gastos com Pessoal'!$I$512:$AJ$512,0),10,1)),0)
+_xlfn.IFNA(SUM((T$3&gt;='Gastos com Pessoal'!$E$513:$E$522)*(T$3&lt;='Gastos com Pessoal'!$F$513:$F$522)*(IF('Gastos com Pessoal'!$M$513:$M$522&lt;=T$3,1,0))*OFFSET('Gastos com Pessoal'!$H$512,1,MATCH(2&amp;$B56,'Gastos com Pessoal'!$I$532:$AJ$532&amp;'Gastos com Pessoal'!$I$512:$AJ$512,0),10,1)),0)
+_xlfn.IFNA(SUM((T$3&gt;='Gastos com Pessoal'!$E$513:$E$522)*(T$3&lt;='Gastos com Pessoal'!$F$513:$F$522)*(IF('Gastos com Pessoal'!$S$513:$S$522&lt;=T$3,1,0))*OFFSET('Gastos com Pessoal'!$H$512,1,MATCH(3&amp;$B56,'Gastos com Pessoal'!$I$532:$AJ$532&amp;'Gastos com Pessoal'!$I$512:$AJ$512,0),10,1)),0)
+_xlfn.IFNA(SUM((T$3&gt;='Gastos com Pessoal'!$E$513:$E$522)*(T$3&lt;='Gastos com Pessoal'!$F$513:$F$522)*(IF('Gastos com Pessoal'!$Y$513:$Y$522&lt;=T$3,1,0))*OFFSET('Gastos com Pessoal'!$H$512,1,MATCH(4&amp;$B56,'Gastos com Pessoal'!$I$532:$AJ$532&amp;'Gastos com Pessoal'!$I$512:$AJ$512,0),10,1)),0)
+_xlfn.IFNA(SUM((T$3&gt;='Gastos com Pessoal'!$E$513:$E$522)*(T$3&lt;='Gastos com Pessoal'!$F$513:$F$522)*(IF('Gastos com Pessoal'!$AE$513:$AE$522&lt;=T$3,1,0))*OFFSET('Gastos com Pessoal'!$H$512,1,MATCH(5&amp;$B56,'Gastos com Pessoal'!$I$532:$AJ$532&amp;'Gastos com Pessoal'!$I$512:$AJ$512,0),10,1)),0)</f>
        <v>22002</v>
      </c>
      <c r="U56" s="32">
        <f t="array" aca="1" ref="U56" ca="1">_xlfn.IFNA(SUM((U$3&gt;='Gastos com Pessoal'!$E$7:$E$506)*(U$3&lt;='Gastos com Pessoal'!$F$7:$F$506)*OFFSET('Encargos e Benefícios'!$D$5,1,MATCH($B56,'Encargos e Benefícios'!$E$5:$AB$5,0),500,1)),0)
+_xlfn.IFNA(SUM((U$3&gt;='Gastos com Pessoal'!$E$513:$E$522)*(U$3&lt;='Gastos com Pessoal'!$F$513:$F$522)*OFFSET('Encargos e Benefícios'!$D$511,1,MATCH($B56,'Encargos e Benefícios'!$E$511:$AB$511,0),10,1)),0)
+_xlfn.IFNA(SUM((U$3&gt;='Gastos com Pessoal'!$E$7:$E$506)*(U$3&lt;='Gastos com Pessoal'!$F$7:$F$506)*(IF('Gastos com Pessoal'!$G$7:$G$506&lt;=U$3,1,0))*OFFSET('Gastos com Pessoal'!$H$6,1,MATCH(1&amp;$B56,'Gastos com Pessoal'!$I$532:$AJ$532&amp;'Gastos com Pessoal'!$I$6:$AJ$6,0),500,1)),0)
+_xlfn.IFNA(SUM((U$3&gt;='Gastos com Pessoal'!$E$7:$E$506)*(U$3&lt;='Gastos com Pessoal'!$F$7:$F$506)*(IF('Gastos com Pessoal'!$M$7:$M$506&lt;=U$3,1,0))*OFFSET('Gastos com Pessoal'!$H$6,1,MATCH(2&amp;$B56,'Gastos com Pessoal'!$I$532:$AJ$532&amp;'Gastos com Pessoal'!$I$6:$AJ$6,0),500,1)),0)
+_xlfn.IFNA(SUM((U$3&gt;='Gastos com Pessoal'!$E$7:$E$506)*(U$3&lt;='Gastos com Pessoal'!$F$7:$F$506)*(IF('Gastos com Pessoal'!$S$7:$S$506&lt;=U$3,1,0))*OFFSET('Gastos com Pessoal'!$H$6,1,MATCH(3&amp;$B56,'Gastos com Pessoal'!$I$532:$AJ$532&amp;'Gastos com Pessoal'!$I$6:$AJ$6,0),500,1)),0)
+_xlfn.IFNA(SUM((U$3&gt;='Gastos com Pessoal'!$E$7:$E$506)*(U$3&lt;='Gastos com Pessoal'!$F$7:$F$506)*(IF('Gastos com Pessoal'!$Y$7:$Y$506&lt;=U$3,1,0))*OFFSET('Gastos com Pessoal'!$H$6,1,MATCH(4&amp;$B56,'Gastos com Pessoal'!$I$532:$AJ$532&amp;'Gastos com Pessoal'!$I$6:$AJ$6,0),500,1)),0)
+_xlfn.IFNA(SUM((U$3&gt;='Gastos com Pessoal'!$E$7:$E$506)*(U$3&lt;='Gastos com Pessoal'!$F$7:$F$506)*(IF('Gastos com Pessoal'!$AE$7:$AE$506&lt;=U$3,1,0))*OFFSET('Gastos com Pessoal'!$H$6,1,MATCH(5&amp;$B56,'Gastos com Pessoal'!$I$532:$AJ$532&amp;'Gastos com Pessoal'!$I$6:$AJ$6,0),500,1)),0)
+_xlfn.IFNA(SUM((U$3&gt;='Gastos com Pessoal'!$E$513:$E$522)*(U$3&lt;='Gastos com Pessoal'!$F$513:$F$522)*(IF('Gastos com Pessoal'!$G$513:$G$522&lt;=U$3,1,0))*OFFSET('Gastos com Pessoal'!$H$512,1,MATCH(1&amp;$B56,'Gastos com Pessoal'!$I$532:$AJ$532&amp;'Gastos com Pessoal'!$I$512:$AJ$512,0),10,1)),0)
+_xlfn.IFNA(SUM((U$3&gt;='Gastos com Pessoal'!$E$513:$E$522)*(U$3&lt;='Gastos com Pessoal'!$F$513:$F$522)*(IF('Gastos com Pessoal'!$M$513:$M$522&lt;=U$3,1,0))*OFFSET('Gastos com Pessoal'!$H$512,1,MATCH(2&amp;$B56,'Gastos com Pessoal'!$I$532:$AJ$532&amp;'Gastos com Pessoal'!$I$512:$AJ$512,0),10,1)),0)
+_xlfn.IFNA(SUM((U$3&gt;='Gastos com Pessoal'!$E$513:$E$522)*(U$3&lt;='Gastos com Pessoal'!$F$513:$F$522)*(IF('Gastos com Pessoal'!$S$513:$S$522&lt;=U$3,1,0))*OFFSET('Gastos com Pessoal'!$H$512,1,MATCH(3&amp;$B56,'Gastos com Pessoal'!$I$532:$AJ$532&amp;'Gastos com Pessoal'!$I$512:$AJ$512,0),10,1)),0)
+_xlfn.IFNA(SUM((U$3&gt;='Gastos com Pessoal'!$E$513:$E$522)*(U$3&lt;='Gastos com Pessoal'!$F$513:$F$522)*(IF('Gastos com Pessoal'!$Y$513:$Y$522&lt;=U$3,1,0))*OFFSET('Gastos com Pessoal'!$H$512,1,MATCH(4&amp;$B56,'Gastos com Pessoal'!$I$532:$AJ$532&amp;'Gastos com Pessoal'!$I$512:$AJ$512,0),10,1)),0)
+_xlfn.IFNA(SUM((U$3&gt;='Gastos com Pessoal'!$E$513:$E$522)*(U$3&lt;='Gastos com Pessoal'!$F$513:$F$522)*(IF('Gastos com Pessoal'!$AE$513:$AE$522&lt;=U$3,1,0))*OFFSET('Gastos com Pessoal'!$H$512,1,MATCH(5&amp;$B56,'Gastos com Pessoal'!$I$532:$AJ$532&amp;'Gastos com Pessoal'!$I$512:$AJ$512,0),10,1)),0)</f>
        <v>22002</v>
      </c>
      <c r="V56" s="32">
        <f t="array" aca="1" ref="V56" ca="1">_xlfn.IFNA(SUM((V$3&gt;='Gastos com Pessoal'!$E$7:$E$506)*(V$3&lt;='Gastos com Pessoal'!$F$7:$F$506)*OFFSET('Encargos e Benefícios'!$D$5,1,MATCH($B56,'Encargos e Benefícios'!$E$5:$AB$5,0),500,1)),0)
+_xlfn.IFNA(SUM((V$3&gt;='Gastos com Pessoal'!$E$513:$E$522)*(V$3&lt;='Gastos com Pessoal'!$F$513:$F$522)*OFFSET('Encargos e Benefícios'!$D$511,1,MATCH($B56,'Encargos e Benefícios'!$E$511:$AB$511,0),10,1)),0)
+_xlfn.IFNA(SUM((V$3&gt;='Gastos com Pessoal'!$E$7:$E$506)*(V$3&lt;='Gastos com Pessoal'!$F$7:$F$506)*(IF('Gastos com Pessoal'!$G$7:$G$506&lt;=V$3,1,0))*OFFSET('Gastos com Pessoal'!$H$6,1,MATCH(1&amp;$B56,'Gastos com Pessoal'!$I$532:$AJ$532&amp;'Gastos com Pessoal'!$I$6:$AJ$6,0),500,1)),0)
+_xlfn.IFNA(SUM((V$3&gt;='Gastos com Pessoal'!$E$7:$E$506)*(V$3&lt;='Gastos com Pessoal'!$F$7:$F$506)*(IF('Gastos com Pessoal'!$M$7:$M$506&lt;=V$3,1,0))*OFFSET('Gastos com Pessoal'!$H$6,1,MATCH(2&amp;$B56,'Gastos com Pessoal'!$I$532:$AJ$532&amp;'Gastos com Pessoal'!$I$6:$AJ$6,0),500,1)),0)
+_xlfn.IFNA(SUM((V$3&gt;='Gastos com Pessoal'!$E$7:$E$506)*(V$3&lt;='Gastos com Pessoal'!$F$7:$F$506)*(IF('Gastos com Pessoal'!$S$7:$S$506&lt;=V$3,1,0))*OFFSET('Gastos com Pessoal'!$H$6,1,MATCH(3&amp;$B56,'Gastos com Pessoal'!$I$532:$AJ$532&amp;'Gastos com Pessoal'!$I$6:$AJ$6,0),500,1)),0)
+_xlfn.IFNA(SUM((V$3&gt;='Gastos com Pessoal'!$E$7:$E$506)*(V$3&lt;='Gastos com Pessoal'!$F$7:$F$506)*(IF('Gastos com Pessoal'!$Y$7:$Y$506&lt;=V$3,1,0))*OFFSET('Gastos com Pessoal'!$H$6,1,MATCH(4&amp;$B56,'Gastos com Pessoal'!$I$532:$AJ$532&amp;'Gastos com Pessoal'!$I$6:$AJ$6,0),500,1)),0)
+_xlfn.IFNA(SUM((V$3&gt;='Gastos com Pessoal'!$E$7:$E$506)*(V$3&lt;='Gastos com Pessoal'!$F$7:$F$506)*(IF('Gastos com Pessoal'!$AE$7:$AE$506&lt;=V$3,1,0))*OFFSET('Gastos com Pessoal'!$H$6,1,MATCH(5&amp;$B56,'Gastos com Pessoal'!$I$532:$AJ$532&amp;'Gastos com Pessoal'!$I$6:$AJ$6,0),500,1)),0)
+_xlfn.IFNA(SUM((V$3&gt;='Gastos com Pessoal'!$E$513:$E$522)*(V$3&lt;='Gastos com Pessoal'!$F$513:$F$522)*(IF('Gastos com Pessoal'!$G$513:$G$522&lt;=V$3,1,0))*OFFSET('Gastos com Pessoal'!$H$512,1,MATCH(1&amp;$B56,'Gastos com Pessoal'!$I$532:$AJ$532&amp;'Gastos com Pessoal'!$I$512:$AJ$512,0),10,1)),0)
+_xlfn.IFNA(SUM((V$3&gt;='Gastos com Pessoal'!$E$513:$E$522)*(V$3&lt;='Gastos com Pessoal'!$F$513:$F$522)*(IF('Gastos com Pessoal'!$M$513:$M$522&lt;=V$3,1,0))*OFFSET('Gastos com Pessoal'!$H$512,1,MATCH(2&amp;$B56,'Gastos com Pessoal'!$I$532:$AJ$532&amp;'Gastos com Pessoal'!$I$512:$AJ$512,0),10,1)),0)
+_xlfn.IFNA(SUM((V$3&gt;='Gastos com Pessoal'!$E$513:$E$522)*(V$3&lt;='Gastos com Pessoal'!$F$513:$F$522)*(IF('Gastos com Pessoal'!$S$513:$S$522&lt;=V$3,1,0))*OFFSET('Gastos com Pessoal'!$H$512,1,MATCH(3&amp;$B56,'Gastos com Pessoal'!$I$532:$AJ$532&amp;'Gastos com Pessoal'!$I$512:$AJ$512,0),10,1)),0)
+_xlfn.IFNA(SUM((V$3&gt;='Gastos com Pessoal'!$E$513:$E$522)*(V$3&lt;='Gastos com Pessoal'!$F$513:$F$522)*(IF('Gastos com Pessoal'!$Y$513:$Y$522&lt;=V$3,1,0))*OFFSET('Gastos com Pessoal'!$H$512,1,MATCH(4&amp;$B56,'Gastos com Pessoal'!$I$532:$AJ$532&amp;'Gastos com Pessoal'!$I$512:$AJ$512,0),10,1)),0)
+_xlfn.IFNA(SUM((V$3&gt;='Gastos com Pessoal'!$E$513:$E$522)*(V$3&lt;='Gastos com Pessoal'!$F$513:$F$522)*(IF('Gastos com Pessoal'!$AE$513:$AE$522&lt;=V$3,1,0))*OFFSET('Gastos com Pessoal'!$H$512,1,MATCH(5&amp;$B56,'Gastos com Pessoal'!$I$532:$AJ$532&amp;'Gastos com Pessoal'!$I$512:$AJ$512,0),10,1)),0)</f>
        <v>22002</v>
      </c>
      <c r="W56" s="32">
        <f t="array" aca="1" ref="W56" ca="1">_xlfn.IFNA(SUM((W$3&gt;='Gastos com Pessoal'!$E$7:$E$506)*(W$3&lt;='Gastos com Pessoal'!$F$7:$F$506)*OFFSET('Encargos e Benefícios'!$D$5,1,MATCH($B56,'Encargos e Benefícios'!$E$5:$AB$5,0),500,1)),0)
+_xlfn.IFNA(SUM((W$3&gt;='Gastos com Pessoal'!$E$513:$E$522)*(W$3&lt;='Gastos com Pessoal'!$F$513:$F$522)*OFFSET('Encargos e Benefícios'!$D$511,1,MATCH($B56,'Encargos e Benefícios'!$E$511:$AB$511,0),10,1)),0)
+_xlfn.IFNA(SUM((W$3&gt;='Gastos com Pessoal'!$E$7:$E$506)*(W$3&lt;='Gastos com Pessoal'!$F$7:$F$506)*(IF('Gastos com Pessoal'!$G$7:$G$506&lt;=W$3,1,0))*OFFSET('Gastos com Pessoal'!$H$6,1,MATCH(1&amp;$B56,'Gastos com Pessoal'!$I$532:$AJ$532&amp;'Gastos com Pessoal'!$I$6:$AJ$6,0),500,1)),0)
+_xlfn.IFNA(SUM((W$3&gt;='Gastos com Pessoal'!$E$7:$E$506)*(W$3&lt;='Gastos com Pessoal'!$F$7:$F$506)*(IF('Gastos com Pessoal'!$M$7:$M$506&lt;=W$3,1,0))*OFFSET('Gastos com Pessoal'!$H$6,1,MATCH(2&amp;$B56,'Gastos com Pessoal'!$I$532:$AJ$532&amp;'Gastos com Pessoal'!$I$6:$AJ$6,0),500,1)),0)
+_xlfn.IFNA(SUM((W$3&gt;='Gastos com Pessoal'!$E$7:$E$506)*(W$3&lt;='Gastos com Pessoal'!$F$7:$F$506)*(IF('Gastos com Pessoal'!$S$7:$S$506&lt;=W$3,1,0))*OFFSET('Gastos com Pessoal'!$H$6,1,MATCH(3&amp;$B56,'Gastos com Pessoal'!$I$532:$AJ$532&amp;'Gastos com Pessoal'!$I$6:$AJ$6,0),500,1)),0)
+_xlfn.IFNA(SUM((W$3&gt;='Gastos com Pessoal'!$E$7:$E$506)*(W$3&lt;='Gastos com Pessoal'!$F$7:$F$506)*(IF('Gastos com Pessoal'!$Y$7:$Y$506&lt;=W$3,1,0))*OFFSET('Gastos com Pessoal'!$H$6,1,MATCH(4&amp;$B56,'Gastos com Pessoal'!$I$532:$AJ$532&amp;'Gastos com Pessoal'!$I$6:$AJ$6,0),500,1)),0)
+_xlfn.IFNA(SUM((W$3&gt;='Gastos com Pessoal'!$E$7:$E$506)*(W$3&lt;='Gastos com Pessoal'!$F$7:$F$506)*(IF('Gastos com Pessoal'!$AE$7:$AE$506&lt;=W$3,1,0))*OFFSET('Gastos com Pessoal'!$H$6,1,MATCH(5&amp;$B56,'Gastos com Pessoal'!$I$532:$AJ$532&amp;'Gastos com Pessoal'!$I$6:$AJ$6,0),500,1)),0)
+_xlfn.IFNA(SUM((W$3&gt;='Gastos com Pessoal'!$E$513:$E$522)*(W$3&lt;='Gastos com Pessoal'!$F$513:$F$522)*(IF('Gastos com Pessoal'!$G$513:$G$522&lt;=W$3,1,0))*OFFSET('Gastos com Pessoal'!$H$512,1,MATCH(1&amp;$B56,'Gastos com Pessoal'!$I$532:$AJ$532&amp;'Gastos com Pessoal'!$I$512:$AJ$512,0),10,1)),0)
+_xlfn.IFNA(SUM((W$3&gt;='Gastos com Pessoal'!$E$513:$E$522)*(W$3&lt;='Gastos com Pessoal'!$F$513:$F$522)*(IF('Gastos com Pessoal'!$M$513:$M$522&lt;=W$3,1,0))*OFFSET('Gastos com Pessoal'!$H$512,1,MATCH(2&amp;$B56,'Gastos com Pessoal'!$I$532:$AJ$532&amp;'Gastos com Pessoal'!$I$512:$AJ$512,0),10,1)),0)
+_xlfn.IFNA(SUM((W$3&gt;='Gastos com Pessoal'!$E$513:$E$522)*(W$3&lt;='Gastos com Pessoal'!$F$513:$F$522)*(IF('Gastos com Pessoal'!$S$513:$S$522&lt;=W$3,1,0))*OFFSET('Gastos com Pessoal'!$H$512,1,MATCH(3&amp;$B56,'Gastos com Pessoal'!$I$532:$AJ$532&amp;'Gastos com Pessoal'!$I$512:$AJ$512,0),10,1)),0)
+_xlfn.IFNA(SUM((W$3&gt;='Gastos com Pessoal'!$E$513:$E$522)*(W$3&lt;='Gastos com Pessoal'!$F$513:$F$522)*(IF('Gastos com Pessoal'!$Y$513:$Y$522&lt;=W$3,1,0))*OFFSET('Gastos com Pessoal'!$H$512,1,MATCH(4&amp;$B56,'Gastos com Pessoal'!$I$532:$AJ$532&amp;'Gastos com Pessoal'!$I$512:$AJ$512,0),10,1)),0)
+_xlfn.IFNA(SUM((W$3&gt;='Gastos com Pessoal'!$E$513:$E$522)*(W$3&lt;='Gastos com Pessoal'!$F$513:$F$522)*(IF('Gastos com Pessoal'!$AE$513:$AE$522&lt;=W$3,1,0))*OFFSET('Gastos com Pessoal'!$H$512,1,MATCH(5&amp;$B56,'Gastos com Pessoal'!$I$532:$AJ$532&amp;'Gastos com Pessoal'!$I$512:$AJ$512,0),10,1)),0)</f>
        <v>22002</v>
      </c>
      <c r="X56" s="32">
        <f t="array" aca="1" ref="X56" ca="1">_xlfn.IFNA(SUM((X$3&gt;='Gastos com Pessoal'!$E$7:$E$506)*(X$3&lt;='Gastos com Pessoal'!$F$7:$F$506)*OFFSET('Encargos e Benefícios'!$D$5,1,MATCH($B56,'Encargos e Benefícios'!$E$5:$AB$5,0),500,1)),0)
+_xlfn.IFNA(SUM((X$3&gt;='Gastos com Pessoal'!$E$513:$E$522)*(X$3&lt;='Gastos com Pessoal'!$F$513:$F$522)*OFFSET('Encargos e Benefícios'!$D$511,1,MATCH($B56,'Encargos e Benefícios'!$E$511:$AB$511,0),10,1)),0)
+_xlfn.IFNA(SUM((X$3&gt;='Gastos com Pessoal'!$E$7:$E$506)*(X$3&lt;='Gastos com Pessoal'!$F$7:$F$506)*(IF('Gastos com Pessoal'!$G$7:$G$506&lt;=X$3,1,0))*OFFSET('Gastos com Pessoal'!$H$6,1,MATCH(1&amp;$B56,'Gastos com Pessoal'!$I$532:$AJ$532&amp;'Gastos com Pessoal'!$I$6:$AJ$6,0),500,1)),0)
+_xlfn.IFNA(SUM((X$3&gt;='Gastos com Pessoal'!$E$7:$E$506)*(X$3&lt;='Gastos com Pessoal'!$F$7:$F$506)*(IF('Gastos com Pessoal'!$M$7:$M$506&lt;=X$3,1,0))*OFFSET('Gastos com Pessoal'!$H$6,1,MATCH(2&amp;$B56,'Gastos com Pessoal'!$I$532:$AJ$532&amp;'Gastos com Pessoal'!$I$6:$AJ$6,0),500,1)),0)
+_xlfn.IFNA(SUM((X$3&gt;='Gastos com Pessoal'!$E$7:$E$506)*(X$3&lt;='Gastos com Pessoal'!$F$7:$F$506)*(IF('Gastos com Pessoal'!$S$7:$S$506&lt;=X$3,1,0))*OFFSET('Gastos com Pessoal'!$H$6,1,MATCH(3&amp;$B56,'Gastos com Pessoal'!$I$532:$AJ$532&amp;'Gastos com Pessoal'!$I$6:$AJ$6,0),500,1)),0)
+_xlfn.IFNA(SUM((X$3&gt;='Gastos com Pessoal'!$E$7:$E$506)*(X$3&lt;='Gastos com Pessoal'!$F$7:$F$506)*(IF('Gastos com Pessoal'!$Y$7:$Y$506&lt;=X$3,1,0))*OFFSET('Gastos com Pessoal'!$H$6,1,MATCH(4&amp;$B56,'Gastos com Pessoal'!$I$532:$AJ$532&amp;'Gastos com Pessoal'!$I$6:$AJ$6,0),500,1)),0)
+_xlfn.IFNA(SUM((X$3&gt;='Gastos com Pessoal'!$E$7:$E$506)*(X$3&lt;='Gastos com Pessoal'!$F$7:$F$506)*(IF('Gastos com Pessoal'!$AE$7:$AE$506&lt;=X$3,1,0))*OFFSET('Gastos com Pessoal'!$H$6,1,MATCH(5&amp;$B56,'Gastos com Pessoal'!$I$532:$AJ$532&amp;'Gastos com Pessoal'!$I$6:$AJ$6,0),500,1)),0)
+_xlfn.IFNA(SUM((X$3&gt;='Gastos com Pessoal'!$E$513:$E$522)*(X$3&lt;='Gastos com Pessoal'!$F$513:$F$522)*(IF('Gastos com Pessoal'!$G$513:$G$522&lt;=X$3,1,0))*OFFSET('Gastos com Pessoal'!$H$512,1,MATCH(1&amp;$B56,'Gastos com Pessoal'!$I$532:$AJ$532&amp;'Gastos com Pessoal'!$I$512:$AJ$512,0),10,1)),0)
+_xlfn.IFNA(SUM((X$3&gt;='Gastos com Pessoal'!$E$513:$E$522)*(X$3&lt;='Gastos com Pessoal'!$F$513:$F$522)*(IF('Gastos com Pessoal'!$M$513:$M$522&lt;=X$3,1,0))*OFFSET('Gastos com Pessoal'!$H$512,1,MATCH(2&amp;$B56,'Gastos com Pessoal'!$I$532:$AJ$532&amp;'Gastos com Pessoal'!$I$512:$AJ$512,0),10,1)),0)
+_xlfn.IFNA(SUM((X$3&gt;='Gastos com Pessoal'!$E$513:$E$522)*(X$3&lt;='Gastos com Pessoal'!$F$513:$F$522)*(IF('Gastos com Pessoal'!$S$513:$S$522&lt;=X$3,1,0))*OFFSET('Gastos com Pessoal'!$H$512,1,MATCH(3&amp;$B56,'Gastos com Pessoal'!$I$532:$AJ$532&amp;'Gastos com Pessoal'!$I$512:$AJ$512,0),10,1)),0)
+_xlfn.IFNA(SUM((X$3&gt;='Gastos com Pessoal'!$E$513:$E$522)*(X$3&lt;='Gastos com Pessoal'!$F$513:$F$522)*(IF('Gastos com Pessoal'!$Y$513:$Y$522&lt;=X$3,1,0))*OFFSET('Gastos com Pessoal'!$H$512,1,MATCH(4&amp;$B56,'Gastos com Pessoal'!$I$532:$AJ$532&amp;'Gastos com Pessoal'!$I$512:$AJ$512,0),10,1)),0)
+_xlfn.IFNA(SUM((X$3&gt;='Gastos com Pessoal'!$E$513:$E$522)*(X$3&lt;='Gastos com Pessoal'!$F$513:$F$522)*(IF('Gastos com Pessoal'!$AE$513:$AE$522&lt;=X$3,1,0))*OFFSET('Gastos com Pessoal'!$H$512,1,MATCH(5&amp;$B56,'Gastos com Pessoal'!$I$532:$AJ$532&amp;'Gastos com Pessoal'!$I$512:$AJ$512,0),10,1)),0)</f>
        <v>22002</v>
      </c>
      <c r="Y56" s="32">
        <f t="array" aca="1" ref="Y56" ca="1">_xlfn.IFNA(SUM((Y$3&gt;='Gastos com Pessoal'!$E$7:$E$506)*(Y$3&lt;='Gastos com Pessoal'!$F$7:$F$506)*OFFSET('Encargos e Benefícios'!$D$5,1,MATCH($B56,'Encargos e Benefícios'!$E$5:$AB$5,0),500,1)),0)
+_xlfn.IFNA(SUM((Y$3&gt;='Gastos com Pessoal'!$E$513:$E$522)*(Y$3&lt;='Gastos com Pessoal'!$F$513:$F$522)*OFFSET('Encargos e Benefícios'!$D$511,1,MATCH($B56,'Encargos e Benefícios'!$E$511:$AB$511,0),10,1)),0)
+_xlfn.IFNA(SUM((Y$3&gt;='Gastos com Pessoal'!$E$7:$E$506)*(Y$3&lt;='Gastos com Pessoal'!$F$7:$F$506)*(IF('Gastos com Pessoal'!$G$7:$G$506&lt;=Y$3,1,0))*OFFSET('Gastos com Pessoal'!$H$6,1,MATCH(1&amp;$B56,'Gastos com Pessoal'!$I$532:$AJ$532&amp;'Gastos com Pessoal'!$I$6:$AJ$6,0),500,1)),0)
+_xlfn.IFNA(SUM((Y$3&gt;='Gastos com Pessoal'!$E$7:$E$506)*(Y$3&lt;='Gastos com Pessoal'!$F$7:$F$506)*(IF('Gastos com Pessoal'!$M$7:$M$506&lt;=Y$3,1,0))*OFFSET('Gastos com Pessoal'!$H$6,1,MATCH(2&amp;$B56,'Gastos com Pessoal'!$I$532:$AJ$532&amp;'Gastos com Pessoal'!$I$6:$AJ$6,0),500,1)),0)
+_xlfn.IFNA(SUM((Y$3&gt;='Gastos com Pessoal'!$E$7:$E$506)*(Y$3&lt;='Gastos com Pessoal'!$F$7:$F$506)*(IF('Gastos com Pessoal'!$S$7:$S$506&lt;=Y$3,1,0))*OFFSET('Gastos com Pessoal'!$H$6,1,MATCH(3&amp;$B56,'Gastos com Pessoal'!$I$532:$AJ$532&amp;'Gastos com Pessoal'!$I$6:$AJ$6,0),500,1)),0)
+_xlfn.IFNA(SUM((Y$3&gt;='Gastos com Pessoal'!$E$7:$E$506)*(Y$3&lt;='Gastos com Pessoal'!$F$7:$F$506)*(IF('Gastos com Pessoal'!$Y$7:$Y$506&lt;=Y$3,1,0))*OFFSET('Gastos com Pessoal'!$H$6,1,MATCH(4&amp;$B56,'Gastos com Pessoal'!$I$532:$AJ$532&amp;'Gastos com Pessoal'!$I$6:$AJ$6,0),500,1)),0)
+_xlfn.IFNA(SUM((Y$3&gt;='Gastos com Pessoal'!$E$7:$E$506)*(Y$3&lt;='Gastos com Pessoal'!$F$7:$F$506)*(IF('Gastos com Pessoal'!$AE$7:$AE$506&lt;=Y$3,1,0))*OFFSET('Gastos com Pessoal'!$H$6,1,MATCH(5&amp;$B56,'Gastos com Pessoal'!$I$532:$AJ$532&amp;'Gastos com Pessoal'!$I$6:$AJ$6,0),500,1)),0)
+_xlfn.IFNA(SUM((Y$3&gt;='Gastos com Pessoal'!$E$513:$E$522)*(Y$3&lt;='Gastos com Pessoal'!$F$513:$F$522)*(IF('Gastos com Pessoal'!$G$513:$G$522&lt;=Y$3,1,0))*OFFSET('Gastos com Pessoal'!$H$512,1,MATCH(1&amp;$B56,'Gastos com Pessoal'!$I$532:$AJ$532&amp;'Gastos com Pessoal'!$I$512:$AJ$512,0),10,1)),0)
+_xlfn.IFNA(SUM((Y$3&gt;='Gastos com Pessoal'!$E$513:$E$522)*(Y$3&lt;='Gastos com Pessoal'!$F$513:$F$522)*(IF('Gastos com Pessoal'!$M$513:$M$522&lt;=Y$3,1,0))*OFFSET('Gastos com Pessoal'!$H$512,1,MATCH(2&amp;$B56,'Gastos com Pessoal'!$I$532:$AJ$532&amp;'Gastos com Pessoal'!$I$512:$AJ$512,0),10,1)),0)
+_xlfn.IFNA(SUM((Y$3&gt;='Gastos com Pessoal'!$E$513:$E$522)*(Y$3&lt;='Gastos com Pessoal'!$F$513:$F$522)*(IF('Gastos com Pessoal'!$S$513:$S$522&lt;=Y$3,1,0))*OFFSET('Gastos com Pessoal'!$H$512,1,MATCH(3&amp;$B56,'Gastos com Pessoal'!$I$532:$AJ$532&amp;'Gastos com Pessoal'!$I$512:$AJ$512,0),10,1)),0)
+_xlfn.IFNA(SUM((Y$3&gt;='Gastos com Pessoal'!$E$513:$E$522)*(Y$3&lt;='Gastos com Pessoal'!$F$513:$F$522)*(IF('Gastos com Pessoal'!$Y$513:$Y$522&lt;=Y$3,1,0))*OFFSET('Gastos com Pessoal'!$H$512,1,MATCH(4&amp;$B56,'Gastos com Pessoal'!$I$532:$AJ$532&amp;'Gastos com Pessoal'!$I$512:$AJ$512,0),10,1)),0)
+_xlfn.IFNA(SUM((Y$3&gt;='Gastos com Pessoal'!$E$513:$E$522)*(Y$3&lt;='Gastos com Pessoal'!$F$513:$F$522)*(IF('Gastos com Pessoal'!$AE$513:$AE$522&lt;=Y$3,1,0))*OFFSET('Gastos com Pessoal'!$H$512,1,MATCH(5&amp;$B56,'Gastos com Pessoal'!$I$532:$AJ$532&amp;'Gastos com Pessoal'!$I$512:$AJ$512,0),10,1)),0)</f>
        <v>22002</v>
      </c>
      <c r="Z56" s="32">
        <f t="array" aca="1" ref="Z56" ca="1">_xlfn.IFNA(SUM((Z$3&gt;='Gastos com Pessoal'!$E$7:$E$506)*(Z$3&lt;='Gastos com Pessoal'!$F$7:$F$506)*OFFSET('Encargos e Benefícios'!$D$5,1,MATCH($B56,'Encargos e Benefícios'!$E$5:$AB$5,0),500,1)),0)
+_xlfn.IFNA(SUM((Z$3&gt;='Gastos com Pessoal'!$E$513:$E$522)*(Z$3&lt;='Gastos com Pessoal'!$F$513:$F$522)*OFFSET('Encargos e Benefícios'!$D$511,1,MATCH($B56,'Encargos e Benefícios'!$E$511:$AB$511,0),10,1)),0)
+_xlfn.IFNA(SUM((Z$3&gt;='Gastos com Pessoal'!$E$7:$E$506)*(Z$3&lt;='Gastos com Pessoal'!$F$7:$F$506)*(IF('Gastos com Pessoal'!$G$7:$G$506&lt;=Z$3,1,0))*OFFSET('Gastos com Pessoal'!$H$6,1,MATCH(1&amp;$B56,'Gastos com Pessoal'!$I$532:$AJ$532&amp;'Gastos com Pessoal'!$I$6:$AJ$6,0),500,1)),0)
+_xlfn.IFNA(SUM((Z$3&gt;='Gastos com Pessoal'!$E$7:$E$506)*(Z$3&lt;='Gastos com Pessoal'!$F$7:$F$506)*(IF('Gastos com Pessoal'!$M$7:$M$506&lt;=Z$3,1,0))*OFFSET('Gastos com Pessoal'!$H$6,1,MATCH(2&amp;$B56,'Gastos com Pessoal'!$I$532:$AJ$532&amp;'Gastos com Pessoal'!$I$6:$AJ$6,0),500,1)),0)
+_xlfn.IFNA(SUM((Z$3&gt;='Gastos com Pessoal'!$E$7:$E$506)*(Z$3&lt;='Gastos com Pessoal'!$F$7:$F$506)*(IF('Gastos com Pessoal'!$S$7:$S$506&lt;=Z$3,1,0))*OFFSET('Gastos com Pessoal'!$H$6,1,MATCH(3&amp;$B56,'Gastos com Pessoal'!$I$532:$AJ$532&amp;'Gastos com Pessoal'!$I$6:$AJ$6,0),500,1)),0)
+_xlfn.IFNA(SUM((Z$3&gt;='Gastos com Pessoal'!$E$7:$E$506)*(Z$3&lt;='Gastos com Pessoal'!$F$7:$F$506)*(IF('Gastos com Pessoal'!$Y$7:$Y$506&lt;=Z$3,1,0))*OFFSET('Gastos com Pessoal'!$H$6,1,MATCH(4&amp;$B56,'Gastos com Pessoal'!$I$532:$AJ$532&amp;'Gastos com Pessoal'!$I$6:$AJ$6,0),500,1)),0)
+_xlfn.IFNA(SUM((Z$3&gt;='Gastos com Pessoal'!$E$7:$E$506)*(Z$3&lt;='Gastos com Pessoal'!$F$7:$F$506)*(IF('Gastos com Pessoal'!$AE$7:$AE$506&lt;=Z$3,1,0))*OFFSET('Gastos com Pessoal'!$H$6,1,MATCH(5&amp;$B56,'Gastos com Pessoal'!$I$532:$AJ$532&amp;'Gastos com Pessoal'!$I$6:$AJ$6,0),500,1)),0)
+_xlfn.IFNA(SUM((Z$3&gt;='Gastos com Pessoal'!$E$513:$E$522)*(Z$3&lt;='Gastos com Pessoal'!$F$513:$F$522)*(IF('Gastos com Pessoal'!$G$513:$G$522&lt;=Z$3,1,0))*OFFSET('Gastos com Pessoal'!$H$512,1,MATCH(1&amp;$B56,'Gastos com Pessoal'!$I$532:$AJ$532&amp;'Gastos com Pessoal'!$I$512:$AJ$512,0),10,1)),0)
+_xlfn.IFNA(SUM((Z$3&gt;='Gastos com Pessoal'!$E$513:$E$522)*(Z$3&lt;='Gastos com Pessoal'!$F$513:$F$522)*(IF('Gastos com Pessoal'!$M$513:$M$522&lt;=Z$3,1,0))*OFFSET('Gastos com Pessoal'!$H$512,1,MATCH(2&amp;$B56,'Gastos com Pessoal'!$I$532:$AJ$532&amp;'Gastos com Pessoal'!$I$512:$AJ$512,0),10,1)),0)
+_xlfn.IFNA(SUM((Z$3&gt;='Gastos com Pessoal'!$E$513:$E$522)*(Z$3&lt;='Gastos com Pessoal'!$F$513:$F$522)*(IF('Gastos com Pessoal'!$S$513:$S$522&lt;=Z$3,1,0))*OFFSET('Gastos com Pessoal'!$H$512,1,MATCH(3&amp;$B56,'Gastos com Pessoal'!$I$532:$AJ$532&amp;'Gastos com Pessoal'!$I$512:$AJ$512,0),10,1)),0)
+_xlfn.IFNA(SUM((Z$3&gt;='Gastos com Pessoal'!$E$513:$E$522)*(Z$3&lt;='Gastos com Pessoal'!$F$513:$F$522)*(IF('Gastos com Pessoal'!$Y$513:$Y$522&lt;=Z$3,1,0))*OFFSET('Gastos com Pessoal'!$H$512,1,MATCH(4&amp;$B56,'Gastos com Pessoal'!$I$532:$AJ$532&amp;'Gastos com Pessoal'!$I$512:$AJ$512,0),10,1)),0)
+_xlfn.IFNA(SUM((Z$3&gt;='Gastos com Pessoal'!$E$513:$E$522)*(Z$3&lt;='Gastos com Pessoal'!$F$513:$F$522)*(IF('Gastos com Pessoal'!$AE$513:$AE$522&lt;=Z$3,1,0))*OFFSET('Gastos com Pessoal'!$H$512,1,MATCH(5&amp;$B56,'Gastos com Pessoal'!$I$532:$AJ$532&amp;'Gastos com Pessoal'!$I$512:$AJ$512,0),10,1)),0)</f>
        <v>22002</v>
      </c>
      <c r="AA56" s="32">
        <f t="array" aca="1" ref="AA56" ca="1">_xlfn.IFNA(SUM((AA$3&gt;='Gastos com Pessoal'!$E$7:$E$506)*(AA$3&lt;='Gastos com Pessoal'!$F$7:$F$506)*OFFSET('Encargos e Benefícios'!$D$5,1,MATCH($B56,'Encargos e Benefícios'!$E$5:$AB$5,0),500,1)),0)
+_xlfn.IFNA(SUM((AA$3&gt;='Gastos com Pessoal'!$E$513:$E$522)*(AA$3&lt;='Gastos com Pessoal'!$F$513:$F$522)*OFFSET('Encargos e Benefícios'!$D$511,1,MATCH($B56,'Encargos e Benefícios'!$E$511:$AB$511,0),10,1)),0)
+_xlfn.IFNA(SUM((AA$3&gt;='Gastos com Pessoal'!$E$7:$E$506)*(AA$3&lt;='Gastos com Pessoal'!$F$7:$F$506)*(IF('Gastos com Pessoal'!$G$7:$G$506&lt;=AA$3,1,0))*OFFSET('Gastos com Pessoal'!$H$6,1,MATCH(1&amp;$B56,'Gastos com Pessoal'!$I$532:$AJ$532&amp;'Gastos com Pessoal'!$I$6:$AJ$6,0),500,1)),0)
+_xlfn.IFNA(SUM((AA$3&gt;='Gastos com Pessoal'!$E$7:$E$506)*(AA$3&lt;='Gastos com Pessoal'!$F$7:$F$506)*(IF('Gastos com Pessoal'!$M$7:$M$506&lt;=AA$3,1,0))*OFFSET('Gastos com Pessoal'!$H$6,1,MATCH(2&amp;$B56,'Gastos com Pessoal'!$I$532:$AJ$532&amp;'Gastos com Pessoal'!$I$6:$AJ$6,0),500,1)),0)
+_xlfn.IFNA(SUM((AA$3&gt;='Gastos com Pessoal'!$E$7:$E$506)*(AA$3&lt;='Gastos com Pessoal'!$F$7:$F$506)*(IF('Gastos com Pessoal'!$S$7:$S$506&lt;=AA$3,1,0))*OFFSET('Gastos com Pessoal'!$H$6,1,MATCH(3&amp;$B56,'Gastos com Pessoal'!$I$532:$AJ$532&amp;'Gastos com Pessoal'!$I$6:$AJ$6,0),500,1)),0)
+_xlfn.IFNA(SUM((AA$3&gt;='Gastos com Pessoal'!$E$7:$E$506)*(AA$3&lt;='Gastos com Pessoal'!$F$7:$F$506)*(IF('Gastos com Pessoal'!$Y$7:$Y$506&lt;=AA$3,1,0))*OFFSET('Gastos com Pessoal'!$H$6,1,MATCH(4&amp;$B56,'Gastos com Pessoal'!$I$532:$AJ$532&amp;'Gastos com Pessoal'!$I$6:$AJ$6,0),500,1)),0)
+_xlfn.IFNA(SUM((AA$3&gt;='Gastos com Pessoal'!$E$7:$E$506)*(AA$3&lt;='Gastos com Pessoal'!$F$7:$F$506)*(IF('Gastos com Pessoal'!$AE$7:$AE$506&lt;=AA$3,1,0))*OFFSET('Gastos com Pessoal'!$H$6,1,MATCH(5&amp;$B56,'Gastos com Pessoal'!$I$532:$AJ$532&amp;'Gastos com Pessoal'!$I$6:$AJ$6,0),500,1)),0)
+_xlfn.IFNA(SUM((AA$3&gt;='Gastos com Pessoal'!$E$513:$E$522)*(AA$3&lt;='Gastos com Pessoal'!$F$513:$F$522)*(IF('Gastos com Pessoal'!$G$513:$G$522&lt;=AA$3,1,0))*OFFSET('Gastos com Pessoal'!$H$512,1,MATCH(1&amp;$B56,'Gastos com Pessoal'!$I$532:$AJ$532&amp;'Gastos com Pessoal'!$I$512:$AJ$512,0),10,1)),0)
+_xlfn.IFNA(SUM((AA$3&gt;='Gastos com Pessoal'!$E$513:$E$522)*(AA$3&lt;='Gastos com Pessoal'!$F$513:$F$522)*(IF('Gastos com Pessoal'!$M$513:$M$522&lt;=AA$3,1,0))*OFFSET('Gastos com Pessoal'!$H$512,1,MATCH(2&amp;$B56,'Gastos com Pessoal'!$I$532:$AJ$532&amp;'Gastos com Pessoal'!$I$512:$AJ$512,0),10,1)),0)
+_xlfn.IFNA(SUM((AA$3&gt;='Gastos com Pessoal'!$E$513:$E$522)*(AA$3&lt;='Gastos com Pessoal'!$F$513:$F$522)*(IF('Gastos com Pessoal'!$S$513:$S$522&lt;=AA$3,1,0))*OFFSET('Gastos com Pessoal'!$H$512,1,MATCH(3&amp;$B56,'Gastos com Pessoal'!$I$532:$AJ$532&amp;'Gastos com Pessoal'!$I$512:$AJ$512,0),10,1)),0)
+_xlfn.IFNA(SUM((AA$3&gt;='Gastos com Pessoal'!$E$513:$E$522)*(AA$3&lt;='Gastos com Pessoal'!$F$513:$F$522)*(IF('Gastos com Pessoal'!$Y$513:$Y$522&lt;=AA$3,1,0))*OFFSET('Gastos com Pessoal'!$H$512,1,MATCH(4&amp;$B56,'Gastos com Pessoal'!$I$532:$AJ$532&amp;'Gastos com Pessoal'!$I$512:$AJ$512,0),10,1)),0)
+_xlfn.IFNA(SUM((AA$3&gt;='Gastos com Pessoal'!$E$513:$E$522)*(AA$3&lt;='Gastos com Pessoal'!$F$513:$F$522)*(IF('Gastos com Pessoal'!$AE$513:$AE$522&lt;=AA$3,1,0))*OFFSET('Gastos com Pessoal'!$H$512,1,MATCH(5&amp;$B56,'Gastos com Pessoal'!$I$532:$AJ$532&amp;'Gastos com Pessoal'!$I$512:$AJ$512,0),10,1)),0)</f>
        <v>22002</v>
      </c>
      <c r="AB56" s="32">
        <f t="array" aca="1" ref="AB56" ca="1">_xlfn.IFNA(SUM((AB$3&gt;='Gastos com Pessoal'!$E$7:$E$506)*(AB$3&lt;='Gastos com Pessoal'!$F$7:$F$506)*OFFSET('Encargos e Benefícios'!$D$5,1,MATCH($B56,'Encargos e Benefícios'!$E$5:$AB$5,0),500,1)),0)
+_xlfn.IFNA(SUM((AB$3&gt;='Gastos com Pessoal'!$E$513:$E$522)*(AB$3&lt;='Gastos com Pessoal'!$F$513:$F$522)*OFFSET('Encargos e Benefícios'!$D$511,1,MATCH($B56,'Encargos e Benefícios'!$E$511:$AB$511,0),10,1)),0)
+_xlfn.IFNA(SUM((AB$3&gt;='Gastos com Pessoal'!$E$7:$E$506)*(AB$3&lt;='Gastos com Pessoal'!$F$7:$F$506)*(IF('Gastos com Pessoal'!$G$7:$G$506&lt;=AB$3,1,0))*OFFSET('Gastos com Pessoal'!$H$6,1,MATCH(1&amp;$B56,'Gastos com Pessoal'!$I$532:$AJ$532&amp;'Gastos com Pessoal'!$I$6:$AJ$6,0),500,1)),0)
+_xlfn.IFNA(SUM((AB$3&gt;='Gastos com Pessoal'!$E$7:$E$506)*(AB$3&lt;='Gastos com Pessoal'!$F$7:$F$506)*(IF('Gastos com Pessoal'!$M$7:$M$506&lt;=AB$3,1,0))*OFFSET('Gastos com Pessoal'!$H$6,1,MATCH(2&amp;$B56,'Gastos com Pessoal'!$I$532:$AJ$532&amp;'Gastos com Pessoal'!$I$6:$AJ$6,0),500,1)),0)
+_xlfn.IFNA(SUM((AB$3&gt;='Gastos com Pessoal'!$E$7:$E$506)*(AB$3&lt;='Gastos com Pessoal'!$F$7:$F$506)*(IF('Gastos com Pessoal'!$S$7:$S$506&lt;=AB$3,1,0))*OFFSET('Gastos com Pessoal'!$H$6,1,MATCH(3&amp;$B56,'Gastos com Pessoal'!$I$532:$AJ$532&amp;'Gastos com Pessoal'!$I$6:$AJ$6,0),500,1)),0)
+_xlfn.IFNA(SUM((AB$3&gt;='Gastos com Pessoal'!$E$7:$E$506)*(AB$3&lt;='Gastos com Pessoal'!$F$7:$F$506)*(IF('Gastos com Pessoal'!$Y$7:$Y$506&lt;=AB$3,1,0))*OFFSET('Gastos com Pessoal'!$H$6,1,MATCH(4&amp;$B56,'Gastos com Pessoal'!$I$532:$AJ$532&amp;'Gastos com Pessoal'!$I$6:$AJ$6,0),500,1)),0)
+_xlfn.IFNA(SUM((AB$3&gt;='Gastos com Pessoal'!$E$7:$E$506)*(AB$3&lt;='Gastos com Pessoal'!$F$7:$F$506)*(IF('Gastos com Pessoal'!$AE$7:$AE$506&lt;=AB$3,1,0))*OFFSET('Gastos com Pessoal'!$H$6,1,MATCH(5&amp;$B56,'Gastos com Pessoal'!$I$532:$AJ$532&amp;'Gastos com Pessoal'!$I$6:$AJ$6,0),500,1)),0)
+_xlfn.IFNA(SUM((AB$3&gt;='Gastos com Pessoal'!$E$513:$E$522)*(AB$3&lt;='Gastos com Pessoal'!$F$513:$F$522)*(IF('Gastos com Pessoal'!$G$513:$G$522&lt;=AB$3,1,0))*OFFSET('Gastos com Pessoal'!$H$512,1,MATCH(1&amp;$B56,'Gastos com Pessoal'!$I$532:$AJ$532&amp;'Gastos com Pessoal'!$I$512:$AJ$512,0),10,1)),0)
+_xlfn.IFNA(SUM((AB$3&gt;='Gastos com Pessoal'!$E$513:$E$522)*(AB$3&lt;='Gastos com Pessoal'!$F$513:$F$522)*(IF('Gastos com Pessoal'!$M$513:$M$522&lt;=AB$3,1,0))*OFFSET('Gastos com Pessoal'!$H$512,1,MATCH(2&amp;$B56,'Gastos com Pessoal'!$I$532:$AJ$532&amp;'Gastos com Pessoal'!$I$512:$AJ$512,0),10,1)),0)
+_xlfn.IFNA(SUM((AB$3&gt;='Gastos com Pessoal'!$E$513:$E$522)*(AB$3&lt;='Gastos com Pessoal'!$F$513:$F$522)*(IF('Gastos com Pessoal'!$S$513:$S$522&lt;=AB$3,1,0))*OFFSET('Gastos com Pessoal'!$H$512,1,MATCH(3&amp;$B56,'Gastos com Pessoal'!$I$532:$AJ$532&amp;'Gastos com Pessoal'!$I$512:$AJ$512,0),10,1)),0)
+_xlfn.IFNA(SUM((AB$3&gt;='Gastos com Pessoal'!$E$513:$E$522)*(AB$3&lt;='Gastos com Pessoal'!$F$513:$F$522)*(IF('Gastos com Pessoal'!$Y$513:$Y$522&lt;=AB$3,1,0))*OFFSET('Gastos com Pessoal'!$H$512,1,MATCH(4&amp;$B56,'Gastos com Pessoal'!$I$532:$AJ$532&amp;'Gastos com Pessoal'!$I$512:$AJ$512,0),10,1)),0)
+_xlfn.IFNA(SUM((AB$3&gt;='Gastos com Pessoal'!$E$513:$E$522)*(AB$3&lt;='Gastos com Pessoal'!$F$513:$F$522)*(IF('Gastos com Pessoal'!$AE$513:$AE$522&lt;=AB$3,1,0))*OFFSET('Gastos com Pessoal'!$H$512,1,MATCH(5&amp;$B56,'Gastos com Pessoal'!$I$532:$AJ$532&amp;'Gastos com Pessoal'!$I$512:$AJ$512,0),10,1)),0)</f>
        <v>22002</v>
      </c>
      <c r="AC56" s="32">
        <f t="array" aca="1" ref="AC56" ca="1">_xlfn.IFNA(SUM((AC$3&gt;='Gastos com Pessoal'!$E$7:$E$506)*(AC$3&lt;='Gastos com Pessoal'!$F$7:$F$506)*OFFSET('Encargos e Benefícios'!$D$5,1,MATCH($B56,'Encargos e Benefícios'!$E$5:$AB$5,0),500,1)),0)
+_xlfn.IFNA(SUM((AC$3&gt;='Gastos com Pessoal'!$E$513:$E$522)*(AC$3&lt;='Gastos com Pessoal'!$F$513:$F$522)*OFFSET('Encargos e Benefícios'!$D$511,1,MATCH($B56,'Encargos e Benefícios'!$E$511:$AB$511,0),10,1)),0)
+_xlfn.IFNA(SUM((AC$3&gt;='Gastos com Pessoal'!$E$7:$E$506)*(AC$3&lt;='Gastos com Pessoal'!$F$7:$F$506)*(IF('Gastos com Pessoal'!$G$7:$G$506&lt;=AC$3,1,0))*OFFSET('Gastos com Pessoal'!$H$6,1,MATCH(1&amp;$B56,'Gastos com Pessoal'!$I$532:$AJ$532&amp;'Gastos com Pessoal'!$I$6:$AJ$6,0),500,1)),0)
+_xlfn.IFNA(SUM((AC$3&gt;='Gastos com Pessoal'!$E$7:$E$506)*(AC$3&lt;='Gastos com Pessoal'!$F$7:$F$506)*(IF('Gastos com Pessoal'!$M$7:$M$506&lt;=AC$3,1,0))*OFFSET('Gastos com Pessoal'!$H$6,1,MATCH(2&amp;$B56,'Gastos com Pessoal'!$I$532:$AJ$532&amp;'Gastos com Pessoal'!$I$6:$AJ$6,0),500,1)),0)
+_xlfn.IFNA(SUM((AC$3&gt;='Gastos com Pessoal'!$E$7:$E$506)*(AC$3&lt;='Gastos com Pessoal'!$F$7:$F$506)*(IF('Gastos com Pessoal'!$S$7:$S$506&lt;=AC$3,1,0))*OFFSET('Gastos com Pessoal'!$H$6,1,MATCH(3&amp;$B56,'Gastos com Pessoal'!$I$532:$AJ$532&amp;'Gastos com Pessoal'!$I$6:$AJ$6,0),500,1)),0)
+_xlfn.IFNA(SUM((AC$3&gt;='Gastos com Pessoal'!$E$7:$E$506)*(AC$3&lt;='Gastos com Pessoal'!$F$7:$F$506)*(IF('Gastos com Pessoal'!$Y$7:$Y$506&lt;=AC$3,1,0))*OFFSET('Gastos com Pessoal'!$H$6,1,MATCH(4&amp;$B56,'Gastos com Pessoal'!$I$532:$AJ$532&amp;'Gastos com Pessoal'!$I$6:$AJ$6,0),500,1)),0)
+_xlfn.IFNA(SUM((AC$3&gt;='Gastos com Pessoal'!$E$7:$E$506)*(AC$3&lt;='Gastos com Pessoal'!$F$7:$F$506)*(IF('Gastos com Pessoal'!$AE$7:$AE$506&lt;=AC$3,1,0))*OFFSET('Gastos com Pessoal'!$H$6,1,MATCH(5&amp;$B56,'Gastos com Pessoal'!$I$532:$AJ$532&amp;'Gastos com Pessoal'!$I$6:$AJ$6,0),500,1)),0)
+_xlfn.IFNA(SUM((AC$3&gt;='Gastos com Pessoal'!$E$513:$E$522)*(AC$3&lt;='Gastos com Pessoal'!$F$513:$F$522)*(IF('Gastos com Pessoal'!$G$513:$G$522&lt;=AC$3,1,0))*OFFSET('Gastos com Pessoal'!$H$512,1,MATCH(1&amp;$B56,'Gastos com Pessoal'!$I$532:$AJ$532&amp;'Gastos com Pessoal'!$I$512:$AJ$512,0),10,1)),0)
+_xlfn.IFNA(SUM((AC$3&gt;='Gastos com Pessoal'!$E$513:$E$522)*(AC$3&lt;='Gastos com Pessoal'!$F$513:$F$522)*(IF('Gastos com Pessoal'!$M$513:$M$522&lt;=AC$3,1,0))*OFFSET('Gastos com Pessoal'!$H$512,1,MATCH(2&amp;$B56,'Gastos com Pessoal'!$I$532:$AJ$532&amp;'Gastos com Pessoal'!$I$512:$AJ$512,0),10,1)),0)
+_xlfn.IFNA(SUM((AC$3&gt;='Gastos com Pessoal'!$E$513:$E$522)*(AC$3&lt;='Gastos com Pessoal'!$F$513:$F$522)*(IF('Gastos com Pessoal'!$S$513:$S$522&lt;=AC$3,1,0))*OFFSET('Gastos com Pessoal'!$H$512,1,MATCH(3&amp;$B56,'Gastos com Pessoal'!$I$532:$AJ$532&amp;'Gastos com Pessoal'!$I$512:$AJ$512,0),10,1)),0)
+_xlfn.IFNA(SUM((AC$3&gt;='Gastos com Pessoal'!$E$513:$E$522)*(AC$3&lt;='Gastos com Pessoal'!$F$513:$F$522)*(IF('Gastos com Pessoal'!$Y$513:$Y$522&lt;=AC$3,1,0))*OFFSET('Gastos com Pessoal'!$H$512,1,MATCH(4&amp;$B56,'Gastos com Pessoal'!$I$532:$AJ$532&amp;'Gastos com Pessoal'!$I$512:$AJ$512,0),10,1)),0)
+_xlfn.IFNA(SUM((AC$3&gt;='Gastos com Pessoal'!$E$513:$E$522)*(AC$3&lt;='Gastos com Pessoal'!$F$513:$F$522)*(IF('Gastos com Pessoal'!$AE$513:$AE$522&lt;=AC$3,1,0))*OFFSET('Gastos com Pessoal'!$H$512,1,MATCH(5&amp;$B56,'Gastos com Pessoal'!$I$532:$AJ$532&amp;'Gastos com Pessoal'!$I$512:$AJ$512,0),10,1)),0)</f>
        <v>22002</v>
      </c>
      <c r="AD56" s="32">
        <f t="array" aca="1" ref="AD56" ca="1">_xlfn.IFNA(SUM((AD$3&gt;='Gastos com Pessoal'!$E$7:$E$506)*(AD$3&lt;='Gastos com Pessoal'!$F$7:$F$506)*OFFSET('Encargos e Benefícios'!$D$5,1,MATCH($B56,'Encargos e Benefícios'!$E$5:$AB$5,0),500,1)),0)
+_xlfn.IFNA(SUM((AD$3&gt;='Gastos com Pessoal'!$E$513:$E$522)*(AD$3&lt;='Gastos com Pessoal'!$F$513:$F$522)*OFFSET('Encargos e Benefícios'!$D$511,1,MATCH($B56,'Encargos e Benefícios'!$E$511:$AB$511,0),10,1)),0)
+_xlfn.IFNA(SUM((AD$3&gt;='Gastos com Pessoal'!$E$7:$E$506)*(AD$3&lt;='Gastos com Pessoal'!$F$7:$F$506)*(IF('Gastos com Pessoal'!$G$7:$G$506&lt;=AD$3,1,0))*OFFSET('Gastos com Pessoal'!$H$6,1,MATCH(1&amp;$B56,'Gastos com Pessoal'!$I$532:$AJ$532&amp;'Gastos com Pessoal'!$I$6:$AJ$6,0),500,1)),0)
+_xlfn.IFNA(SUM((AD$3&gt;='Gastos com Pessoal'!$E$7:$E$506)*(AD$3&lt;='Gastos com Pessoal'!$F$7:$F$506)*(IF('Gastos com Pessoal'!$M$7:$M$506&lt;=AD$3,1,0))*OFFSET('Gastos com Pessoal'!$H$6,1,MATCH(2&amp;$B56,'Gastos com Pessoal'!$I$532:$AJ$532&amp;'Gastos com Pessoal'!$I$6:$AJ$6,0),500,1)),0)
+_xlfn.IFNA(SUM((AD$3&gt;='Gastos com Pessoal'!$E$7:$E$506)*(AD$3&lt;='Gastos com Pessoal'!$F$7:$F$506)*(IF('Gastos com Pessoal'!$S$7:$S$506&lt;=AD$3,1,0))*OFFSET('Gastos com Pessoal'!$H$6,1,MATCH(3&amp;$B56,'Gastos com Pessoal'!$I$532:$AJ$532&amp;'Gastos com Pessoal'!$I$6:$AJ$6,0),500,1)),0)
+_xlfn.IFNA(SUM((AD$3&gt;='Gastos com Pessoal'!$E$7:$E$506)*(AD$3&lt;='Gastos com Pessoal'!$F$7:$F$506)*(IF('Gastos com Pessoal'!$Y$7:$Y$506&lt;=AD$3,1,0))*OFFSET('Gastos com Pessoal'!$H$6,1,MATCH(4&amp;$B56,'Gastos com Pessoal'!$I$532:$AJ$532&amp;'Gastos com Pessoal'!$I$6:$AJ$6,0),500,1)),0)
+_xlfn.IFNA(SUM((AD$3&gt;='Gastos com Pessoal'!$E$7:$E$506)*(AD$3&lt;='Gastos com Pessoal'!$F$7:$F$506)*(IF('Gastos com Pessoal'!$AE$7:$AE$506&lt;=AD$3,1,0))*OFFSET('Gastos com Pessoal'!$H$6,1,MATCH(5&amp;$B56,'Gastos com Pessoal'!$I$532:$AJ$532&amp;'Gastos com Pessoal'!$I$6:$AJ$6,0),500,1)),0)
+_xlfn.IFNA(SUM((AD$3&gt;='Gastos com Pessoal'!$E$513:$E$522)*(AD$3&lt;='Gastos com Pessoal'!$F$513:$F$522)*(IF('Gastos com Pessoal'!$G$513:$G$522&lt;=AD$3,1,0))*OFFSET('Gastos com Pessoal'!$H$512,1,MATCH(1&amp;$B56,'Gastos com Pessoal'!$I$532:$AJ$532&amp;'Gastos com Pessoal'!$I$512:$AJ$512,0),10,1)),0)
+_xlfn.IFNA(SUM((AD$3&gt;='Gastos com Pessoal'!$E$513:$E$522)*(AD$3&lt;='Gastos com Pessoal'!$F$513:$F$522)*(IF('Gastos com Pessoal'!$M$513:$M$522&lt;=AD$3,1,0))*OFFSET('Gastos com Pessoal'!$H$512,1,MATCH(2&amp;$B56,'Gastos com Pessoal'!$I$532:$AJ$532&amp;'Gastos com Pessoal'!$I$512:$AJ$512,0),10,1)),0)
+_xlfn.IFNA(SUM((AD$3&gt;='Gastos com Pessoal'!$E$513:$E$522)*(AD$3&lt;='Gastos com Pessoal'!$F$513:$F$522)*(IF('Gastos com Pessoal'!$S$513:$S$522&lt;=AD$3,1,0))*OFFSET('Gastos com Pessoal'!$H$512,1,MATCH(3&amp;$B56,'Gastos com Pessoal'!$I$532:$AJ$532&amp;'Gastos com Pessoal'!$I$512:$AJ$512,0),10,1)),0)
+_xlfn.IFNA(SUM((AD$3&gt;='Gastos com Pessoal'!$E$513:$E$522)*(AD$3&lt;='Gastos com Pessoal'!$F$513:$F$522)*(IF('Gastos com Pessoal'!$Y$513:$Y$522&lt;=AD$3,1,0))*OFFSET('Gastos com Pessoal'!$H$512,1,MATCH(4&amp;$B56,'Gastos com Pessoal'!$I$532:$AJ$532&amp;'Gastos com Pessoal'!$I$512:$AJ$512,0),10,1)),0)
+_xlfn.IFNA(SUM((AD$3&gt;='Gastos com Pessoal'!$E$513:$E$522)*(AD$3&lt;='Gastos com Pessoal'!$F$513:$F$522)*(IF('Gastos com Pessoal'!$AE$513:$AE$522&lt;=AD$3,1,0))*OFFSET('Gastos com Pessoal'!$H$512,1,MATCH(5&amp;$B56,'Gastos com Pessoal'!$I$532:$AJ$532&amp;'Gastos com Pessoal'!$I$512:$AJ$512,0),10,1)),0)</f>
        <v>22002</v>
      </c>
      <c r="AE56" s="32">
        <f t="array" aca="1" ref="AE56" ca="1">_xlfn.IFNA(SUM((AE$3&gt;='Gastos com Pessoal'!$E$7:$E$506)*(AE$3&lt;='Gastos com Pessoal'!$F$7:$F$506)*OFFSET('Encargos e Benefícios'!$D$5,1,MATCH($B56,'Encargos e Benefícios'!$E$5:$AB$5,0),500,1)),0)
+_xlfn.IFNA(SUM((AE$3&gt;='Gastos com Pessoal'!$E$513:$E$522)*(AE$3&lt;='Gastos com Pessoal'!$F$513:$F$522)*OFFSET('Encargos e Benefícios'!$D$511,1,MATCH($B56,'Encargos e Benefícios'!$E$511:$AB$511,0),10,1)),0)
+_xlfn.IFNA(SUM((AE$3&gt;='Gastos com Pessoal'!$E$7:$E$506)*(AE$3&lt;='Gastos com Pessoal'!$F$7:$F$506)*(IF('Gastos com Pessoal'!$G$7:$G$506&lt;=AE$3,1,0))*OFFSET('Gastos com Pessoal'!$H$6,1,MATCH(1&amp;$B56,'Gastos com Pessoal'!$I$532:$AJ$532&amp;'Gastos com Pessoal'!$I$6:$AJ$6,0),500,1)),0)
+_xlfn.IFNA(SUM((AE$3&gt;='Gastos com Pessoal'!$E$7:$E$506)*(AE$3&lt;='Gastos com Pessoal'!$F$7:$F$506)*(IF('Gastos com Pessoal'!$M$7:$M$506&lt;=AE$3,1,0))*OFFSET('Gastos com Pessoal'!$H$6,1,MATCH(2&amp;$B56,'Gastos com Pessoal'!$I$532:$AJ$532&amp;'Gastos com Pessoal'!$I$6:$AJ$6,0),500,1)),0)
+_xlfn.IFNA(SUM((AE$3&gt;='Gastos com Pessoal'!$E$7:$E$506)*(AE$3&lt;='Gastos com Pessoal'!$F$7:$F$506)*(IF('Gastos com Pessoal'!$S$7:$S$506&lt;=AE$3,1,0))*OFFSET('Gastos com Pessoal'!$H$6,1,MATCH(3&amp;$B56,'Gastos com Pessoal'!$I$532:$AJ$532&amp;'Gastos com Pessoal'!$I$6:$AJ$6,0),500,1)),0)
+_xlfn.IFNA(SUM((AE$3&gt;='Gastos com Pessoal'!$E$7:$E$506)*(AE$3&lt;='Gastos com Pessoal'!$F$7:$F$506)*(IF('Gastos com Pessoal'!$Y$7:$Y$506&lt;=AE$3,1,0))*OFFSET('Gastos com Pessoal'!$H$6,1,MATCH(4&amp;$B56,'Gastos com Pessoal'!$I$532:$AJ$532&amp;'Gastos com Pessoal'!$I$6:$AJ$6,0),500,1)),0)
+_xlfn.IFNA(SUM((AE$3&gt;='Gastos com Pessoal'!$E$7:$E$506)*(AE$3&lt;='Gastos com Pessoal'!$F$7:$F$506)*(IF('Gastos com Pessoal'!$AE$7:$AE$506&lt;=AE$3,1,0))*OFFSET('Gastos com Pessoal'!$H$6,1,MATCH(5&amp;$B56,'Gastos com Pessoal'!$I$532:$AJ$532&amp;'Gastos com Pessoal'!$I$6:$AJ$6,0),500,1)),0)
+_xlfn.IFNA(SUM((AE$3&gt;='Gastos com Pessoal'!$E$513:$E$522)*(AE$3&lt;='Gastos com Pessoal'!$F$513:$F$522)*(IF('Gastos com Pessoal'!$G$513:$G$522&lt;=AE$3,1,0))*OFFSET('Gastos com Pessoal'!$H$512,1,MATCH(1&amp;$B56,'Gastos com Pessoal'!$I$532:$AJ$532&amp;'Gastos com Pessoal'!$I$512:$AJ$512,0),10,1)),0)
+_xlfn.IFNA(SUM((AE$3&gt;='Gastos com Pessoal'!$E$513:$E$522)*(AE$3&lt;='Gastos com Pessoal'!$F$513:$F$522)*(IF('Gastos com Pessoal'!$M$513:$M$522&lt;=AE$3,1,0))*OFFSET('Gastos com Pessoal'!$H$512,1,MATCH(2&amp;$B56,'Gastos com Pessoal'!$I$532:$AJ$532&amp;'Gastos com Pessoal'!$I$512:$AJ$512,0),10,1)),0)
+_xlfn.IFNA(SUM((AE$3&gt;='Gastos com Pessoal'!$E$513:$E$522)*(AE$3&lt;='Gastos com Pessoal'!$F$513:$F$522)*(IF('Gastos com Pessoal'!$S$513:$S$522&lt;=AE$3,1,0))*OFFSET('Gastos com Pessoal'!$H$512,1,MATCH(3&amp;$B56,'Gastos com Pessoal'!$I$532:$AJ$532&amp;'Gastos com Pessoal'!$I$512:$AJ$512,0),10,1)),0)
+_xlfn.IFNA(SUM((AE$3&gt;='Gastos com Pessoal'!$E$513:$E$522)*(AE$3&lt;='Gastos com Pessoal'!$F$513:$F$522)*(IF('Gastos com Pessoal'!$Y$513:$Y$522&lt;=AE$3,1,0))*OFFSET('Gastos com Pessoal'!$H$512,1,MATCH(4&amp;$B56,'Gastos com Pessoal'!$I$532:$AJ$532&amp;'Gastos com Pessoal'!$I$512:$AJ$512,0),10,1)),0)
+_xlfn.IFNA(SUM((AE$3&gt;='Gastos com Pessoal'!$E$513:$E$522)*(AE$3&lt;='Gastos com Pessoal'!$F$513:$F$522)*(IF('Gastos com Pessoal'!$AE$513:$AE$522&lt;=AE$3,1,0))*OFFSET('Gastos com Pessoal'!$H$512,1,MATCH(5&amp;$B56,'Gastos com Pessoal'!$I$532:$AJ$532&amp;'Gastos com Pessoal'!$I$512:$AJ$512,0),10,1)),0)</f>
        <v>22002</v>
      </c>
      <c r="AF56" s="32">
        <f t="array" aca="1" ref="AF56" ca="1">_xlfn.IFNA(SUM((AF$3&gt;='Gastos com Pessoal'!$E$7:$E$506)*(AF$3&lt;='Gastos com Pessoal'!$F$7:$F$506)*OFFSET('Encargos e Benefícios'!$D$5,1,MATCH($B56,'Encargos e Benefícios'!$E$5:$AB$5,0),500,1)),0)
+_xlfn.IFNA(SUM((AF$3&gt;='Gastos com Pessoal'!$E$513:$E$522)*(AF$3&lt;='Gastos com Pessoal'!$F$513:$F$522)*OFFSET('Encargos e Benefícios'!$D$511,1,MATCH($B56,'Encargos e Benefícios'!$E$511:$AB$511,0),10,1)),0)
+_xlfn.IFNA(SUM((AF$3&gt;='Gastos com Pessoal'!$E$7:$E$506)*(AF$3&lt;='Gastos com Pessoal'!$F$7:$F$506)*(IF('Gastos com Pessoal'!$G$7:$G$506&lt;=AF$3,1,0))*OFFSET('Gastos com Pessoal'!$H$6,1,MATCH(1&amp;$B56,'Gastos com Pessoal'!$I$532:$AJ$532&amp;'Gastos com Pessoal'!$I$6:$AJ$6,0),500,1)),0)
+_xlfn.IFNA(SUM((AF$3&gt;='Gastos com Pessoal'!$E$7:$E$506)*(AF$3&lt;='Gastos com Pessoal'!$F$7:$F$506)*(IF('Gastos com Pessoal'!$M$7:$M$506&lt;=AF$3,1,0))*OFFSET('Gastos com Pessoal'!$H$6,1,MATCH(2&amp;$B56,'Gastos com Pessoal'!$I$532:$AJ$532&amp;'Gastos com Pessoal'!$I$6:$AJ$6,0),500,1)),0)
+_xlfn.IFNA(SUM((AF$3&gt;='Gastos com Pessoal'!$E$7:$E$506)*(AF$3&lt;='Gastos com Pessoal'!$F$7:$F$506)*(IF('Gastos com Pessoal'!$S$7:$S$506&lt;=AF$3,1,0))*OFFSET('Gastos com Pessoal'!$H$6,1,MATCH(3&amp;$B56,'Gastos com Pessoal'!$I$532:$AJ$532&amp;'Gastos com Pessoal'!$I$6:$AJ$6,0),500,1)),0)
+_xlfn.IFNA(SUM((AF$3&gt;='Gastos com Pessoal'!$E$7:$E$506)*(AF$3&lt;='Gastos com Pessoal'!$F$7:$F$506)*(IF('Gastos com Pessoal'!$Y$7:$Y$506&lt;=AF$3,1,0))*OFFSET('Gastos com Pessoal'!$H$6,1,MATCH(4&amp;$B56,'Gastos com Pessoal'!$I$532:$AJ$532&amp;'Gastos com Pessoal'!$I$6:$AJ$6,0),500,1)),0)
+_xlfn.IFNA(SUM((AF$3&gt;='Gastos com Pessoal'!$E$7:$E$506)*(AF$3&lt;='Gastos com Pessoal'!$F$7:$F$506)*(IF('Gastos com Pessoal'!$AE$7:$AE$506&lt;=AF$3,1,0))*OFFSET('Gastos com Pessoal'!$H$6,1,MATCH(5&amp;$B56,'Gastos com Pessoal'!$I$532:$AJ$532&amp;'Gastos com Pessoal'!$I$6:$AJ$6,0),500,1)),0)
+_xlfn.IFNA(SUM((AF$3&gt;='Gastos com Pessoal'!$E$513:$E$522)*(AF$3&lt;='Gastos com Pessoal'!$F$513:$F$522)*(IF('Gastos com Pessoal'!$G$513:$G$522&lt;=AF$3,1,0))*OFFSET('Gastos com Pessoal'!$H$512,1,MATCH(1&amp;$B56,'Gastos com Pessoal'!$I$532:$AJ$532&amp;'Gastos com Pessoal'!$I$512:$AJ$512,0),10,1)),0)
+_xlfn.IFNA(SUM((AF$3&gt;='Gastos com Pessoal'!$E$513:$E$522)*(AF$3&lt;='Gastos com Pessoal'!$F$513:$F$522)*(IF('Gastos com Pessoal'!$M$513:$M$522&lt;=AF$3,1,0))*OFFSET('Gastos com Pessoal'!$H$512,1,MATCH(2&amp;$B56,'Gastos com Pessoal'!$I$532:$AJ$532&amp;'Gastos com Pessoal'!$I$512:$AJ$512,0),10,1)),0)
+_xlfn.IFNA(SUM((AF$3&gt;='Gastos com Pessoal'!$E$513:$E$522)*(AF$3&lt;='Gastos com Pessoal'!$F$513:$F$522)*(IF('Gastos com Pessoal'!$S$513:$S$522&lt;=AF$3,1,0))*OFFSET('Gastos com Pessoal'!$H$512,1,MATCH(3&amp;$B56,'Gastos com Pessoal'!$I$532:$AJ$532&amp;'Gastos com Pessoal'!$I$512:$AJ$512,0),10,1)),0)
+_xlfn.IFNA(SUM((AF$3&gt;='Gastos com Pessoal'!$E$513:$E$522)*(AF$3&lt;='Gastos com Pessoal'!$F$513:$F$522)*(IF('Gastos com Pessoal'!$Y$513:$Y$522&lt;=AF$3,1,0))*OFFSET('Gastos com Pessoal'!$H$512,1,MATCH(4&amp;$B56,'Gastos com Pessoal'!$I$532:$AJ$532&amp;'Gastos com Pessoal'!$I$512:$AJ$512,0),10,1)),0)
+_xlfn.IFNA(SUM((AF$3&gt;='Gastos com Pessoal'!$E$513:$E$522)*(AF$3&lt;='Gastos com Pessoal'!$F$513:$F$522)*(IF('Gastos com Pessoal'!$AE$513:$AE$522&lt;=AF$3,1,0))*OFFSET('Gastos com Pessoal'!$H$512,1,MATCH(5&amp;$B56,'Gastos com Pessoal'!$I$532:$AJ$532&amp;'Gastos com Pessoal'!$I$512:$AJ$512,0),10,1)),0)</f>
        <v>22002</v>
      </c>
      <c r="AG56" s="32">
        <f t="array" aca="1" ref="AG56" ca="1">_xlfn.IFNA(SUM((AG$3&gt;='Gastos com Pessoal'!$E$7:$E$506)*(AG$3&lt;='Gastos com Pessoal'!$F$7:$F$506)*OFFSET('Encargos e Benefícios'!$D$5,1,MATCH($B56,'Encargos e Benefícios'!$E$5:$AB$5,0),500,1)),0)
+_xlfn.IFNA(SUM((AG$3&gt;='Gastos com Pessoal'!$E$513:$E$522)*(AG$3&lt;='Gastos com Pessoal'!$F$513:$F$522)*OFFSET('Encargos e Benefícios'!$D$511,1,MATCH($B56,'Encargos e Benefícios'!$E$511:$AB$511,0),10,1)),0)
+_xlfn.IFNA(SUM((AG$3&gt;='Gastos com Pessoal'!$E$7:$E$506)*(AG$3&lt;='Gastos com Pessoal'!$F$7:$F$506)*(IF('Gastos com Pessoal'!$G$7:$G$506&lt;=AG$3,1,0))*OFFSET('Gastos com Pessoal'!$H$6,1,MATCH(1&amp;$B56,'Gastos com Pessoal'!$I$532:$AJ$532&amp;'Gastos com Pessoal'!$I$6:$AJ$6,0),500,1)),0)
+_xlfn.IFNA(SUM((AG$3&gt;='Gastos com Pessoal'!$E$7:$E$506)*(AG$3&lt;='Gastos com Pessoal'!$F$7:$F$506)*(IF('Gastos com Pessoal'!$M$7:$M$506&lt;=AG$3,1,0))*OFFSET('Gastos com Pessoal'!$H$6,1,MATCH(2&amp;$B56,'Gastos com Pessoal'!$I$532:$AJ$532&amp;'Gastos com Pessoal'!$I$6:$AJ$6,0),500,1)),0)
+_xlfn.IFNA(SUM((AG$3&gt;='Gastos com Pessoal'!$E$7:$E$506)*(AG$3&lt;='Gastos com Pessoal'!$F$7:$F$506)*(IF('Gastos com Pessoal'!$S$7:$S$506&lt;=AG$3,1,0))*OFFSET('Gastos com Pessoal'!$H$6,1,MATCH(3&amp;$B56,'Gastos com Pessoal'!$I$532:$AJ$532&amp;'Gastos com Pessoal'!$I$6:$AJ$6,0),500,1)),0)
+_xlfn.IFNA(SUM((AG$3&gt;='Gastos com Pessoal'!$E$7:$E$506)*(AG$3&lt;='Gastos com Pessoal'!$F$7:$F$506)*(IF('Gastos com Pessoal'!$Y$7:$Y$506&lt;=AG$3,1,0))*OFFSET('Gastos com Pessoal'!$H$6,1,MATCH(4&amp;$B56,'Gastos com Pessoal'!$I$532:$AJ$532&amp;'Gastos com Pessoal'!$I$6:$AJ$6,0),500,1)),0)
+_xlfn.IFNA(SUM((AG$3&gt;='Gastos com Pessoal'!$E$7:$E$506)*(AG$3&lt;='Gastos com Pessoal'!$F$7:$F$506)*(IF('Gastos com Pessoal'!$AE$7:$AE$506&lt;=AG$3,1,0))*OFFSET('Gastos com Pessoal'!$H$6,1,MATCH(5&amp;$B56,'Gastos com Pessoal'!$I$532:$AJ$532&amp;'Gastos com Pessoal'!$I$6:$AJ$6,0),500,1)),0)
+_xlfn.IFNA(SUM((AG$3&gt;='Gastos com Pessoal'!$E$513:$E$522)*(AG$3&lt;='Gastos com Pessoal'!$F$513:$F$522)*(IF('Gastos com Pessoal'!$G$513:$G$522&lt;=AG$3,1,0))*OFFSET('Gastos com Pessoal'!$H$512,1,MATCH(1&amp;$B56,'Gastos com Pessoal'!$I$532:$AJ$532&amp;'Gastos com Pessoal'!$I$512:$AJ$512,0),10,1)),0)
+_xlfn.IFNA(SUM((AG$3&gt;='Gastos com Pessoal'!$E$513:$E$522)*(AG$3&lt;='Gastos com Pessoal'!$F$513:$F$522)*(IF('Gastos com Pessoal'!$M$513:$M$522&lt;=AG$3,1,0))*OFFSET('Gastos com Pessoal'!$H$512,1,MATCH(2&amp;$B56,'Gastos com Pessoal'!$I$532:$AJ$532&amp;'Gastos com Pessoal'!$I$512:$AJ$512,0),10,1)),0)
+_xlfn.IFNA(SUM((AG$3&gt;='Gastos com Pessoal'!$E$513:$E$522)*(AG$3&lt;='Gastos com Pessoal'!$F$513:$F$522)*(IF('Gastos com Pessoal'!$S$513:$S$522&lt;=AG$3,1,0))*OFFSET('Gastos com Pessoal'!$H$512,1,MATCH(3&amp;$B56,'Gastos com Pessoal'!$I$532:$AJ$532&amp;'Gastos com Pessoal'!$I$512:$AJ$512,0),10,1)),0)
+_xlfn.IFNA(SUM((AG$3&gt;='Gastos com Pessoal'!$E$513:$E$522)*(AG$3&lt;='Gastos com Pessoal'!$F$513:$F$522)*(IF('Gastos com Pessoal'!$Y$513:$Y$522&lt;=AG$3,1,0))*OFFSET('Gastos com Pessoal'!$H$512,1,MATCH(4&amp;$B56,'Gastos com Pessoal'!$I$532:$AJ$532&amp;'Gastos com Pessoal'!$I$512:$AJ$512,0),10,1)),0)
+_xlfn.IFNA(SUM((AG$3&gt;='Gastos com Pessoal'!$E$513:$E$522)*(AG$3&lt;='Gastos com Pessoal'!$F$513:$F$522)*(IF('Gastos com Pessoal'!$AE$513:$AE$522&lt;=AG$3,1,0))*OFFSET('Gastos com Pessoal'!$H$512,1,MATCH(5&amp;$B56,'Gastos com Pessoal'!$I$532:$AJ$532&amp;'Gastos com Pessoal'!$I$512:$AJ$512,0),10,1)),0)</f>
        <v>22002</v>
      </c>
      <c r="AH56" s="32">
        <f t="array" aca="1" ref="AH56" ca="1">_xlfn.IFNA(SUM((AH$3&gt;='Gastos com Pessoal'!$E$7:$E$506)*(AH$3&lt;='Gastos com Pessoal'!$F$7:$F$506)*OFFSET('Encargos e Benefícios'!$D$5,1,MATCH($B56,'Encargos e Benefícios'!$E$5:$AB$5,0),500,1)),0)
+_xlfn.IFNA(SUM((AH$3&gt;='Gastos com Pessoal'!$E$513:$E$522)*(AH$3&lt;='Gastos com Pessoal'!$F$513:$F$522)*OFFSET('Encargos e Benefícios'!$D$511,1,MATCH($B56,'Encargos e Benefícios'!$E$511:$AB$511,0),10,1)),0)
+_xlfn.IFNA(SUM((AH$3&gt;='Gastos com Pessoal'!$E$7:$E$506)*(AH$3&lt;='Gastos com Pessoal'!$F$7:$F$506)*(IF('Gastos com Pessoal'!$G$7:$G$506&lt;=AH$3,1,0))*OFFSET('Gastos com Pessoal'!$H$6,1,MATCH(1&amp;$B56,'Gastos com Pessoal'!$I$532:$AJ$532&amp;'Gastos com Pessoal'!$I$6:$AJ$6,0),500,1)),0)
+_xlfn.IFNA(SUM((AH$3&gt;='Gastos com Pessoal'!$E$7:$E$506)*(AH$3&lt;='Gastos com Pessoal'!$F$7:$F$506)*(IF('Gastos com Pessoal'!$M$7:$M$506&lt;=AH$3,1,0))*OFFSET('Gastos com Pessoal'!$H$6,1,MATCH(2&amp;$B56,'Gastos com Pessoal'!$I$532:$AJ$532&amp;'Gastos com Pessoal'!$I$6:$AJ$6,0),500,1)),0)
+_xlfn.IFNA(SUM((AH$3&gt;='Gastos com Pessoal'!$E$7:$E$506)*(AH$3&lt;='Gastos com Pessoal'!$F$7:$F$506)*(IF('Gastos com Pessoal'!$S$7:$S$506&lt;=AH$3,1,0))*OFFSET('Gastos com Pessoal'!$H$6,1,MATCH(3&amp;$B56,'Gastos com Pessoal'!$I$532:$AJ$532&amp;'Gastos com Pessoal'!$I$6:$AJ$6,0),500,1)),0)
+_xlfn.IFNA(SUM((AH$3&gt;='Gastos com Pessoal'!$E$7:$E$506)*(AH$3&lt;='Gastos com Pessoal'!$F$7:$F$506)*(IF('Gastos com Pessoal'!$Y$7:$Y$506&lt;=AH$3,1,0))*OFFSET('Gastos com Pessoal'!$H$6,1,MATCH(4&amp;$B56,'Gastos com Pessoal'!$I$532:$AJ$532&amp;'Gastos com Pessoal'!$I$6:$AJ$6,0),500,1)),0)
+_xlfn.IFNA(SUM((AH$3&gt;='Gastos com Pessoal'!$E$7:$E$506)*(AH$3&lt;='Gastos com Pessoal'!$F$7:$F$506)*(IF('Gastos com Pessoal'!$AE$7:$AE$506&lt;=AH$3,1,0))*OFFSET('Gastos com Pessoal'!$H$6,1,MATCH(5&amp;$B56,'Gastos com Pessoal'!$I$532:$AJ$532&amp;'Gastos com Pessoal'!$I$6:$AJ$6,0),500,1)),0)
+_xlfn.IFNA(SUM((AH$3&gt;='Gastos com Pessoal'!$E$513:$E$522)*(AH$3&lt;='Gastos com Pessoal'!$F$513:$F$522)*(IF('Gastos com Pessoal'!$G$513:$G$522&lt;=AH$3,1,0))*OFFSET('Gastos com Pessoal'!$H$512,1,MATCH(1&amp;$B56,'Gastos com Pessoal'!$I$532:$AJ$532&amp;'Gastos com Pessoal'!$I$512:$AJ$512,0),10,1)),0)
+_xlfn.IFNA(SUM((AH$3&gt;='Gastos com Pessoal'!$E$513:$E$522)*(AH$3&lt;='Gastos com Pessoal'!$F$513:$F$522)*(IF('Gastos com Pessoal'!$M$513:$M$522&lt;=AH$3,1,0))*OFFSET('Gastos com Pessoal'!$H$512,1,MATCH(2&amp;$B56,'Gastos com Pessoal'!$I$532:$AJ$532&amp;'Gastos com Pessoal'!$I$512:$AJ$512,0),10,1)),0)
+_xlfn.IFNA(SUM((AH$3&gt;='Gastos com Pessoal'!$E$513:$E$522)*(AH$3&lt;='Gastos com Pessoal'!$F$513:$F$522)*(IF('Gastos com Pessoal'!$S$513:$S$522&lt;=AH$3,1,0))*OFFSET('Gastos com Pessoal'!$H$512,1,MATCH(3&amp;$B56,'Gastos com Pessoal'!$I$532:$AJ$532&amp;'Gastos com Pessoal'!$I$512:$AJ$512,0),10,1)),0)
+_xlfn.IFNA(SUM((AH$3&gt;='Gastos com Pessoal'!$E$513:$E$522)*(AH$3&lt;='Gastos com Pessoal'!$F$513:$F$522)*(IF('Gastos com Pessoal'!$Y$513:$Y$522&lt;=AH$3,1,0))*OFFSET('Gastos com Pessoal'!$H$512,1,MATCH(4&amp;$B56,'Gastos com Pessoal'!$I$532:$AJ$532&amp;'Gastos com Pessoal'!$I$512:$AJ$512,0),10,1)),0)
+_xlfn.IFNA(SUM((AH$3&gt;='Gastos com Pessoal'!$E$513:$E$522)*(AH$3&lt;='Gastos com Pessoal'!$F$513:$F$522)*(IF('Gastos com Pessoal'!$AE$513:$AE$522&lt;=AH$3,1,0))*OFFSET('Gastos com Pessoal'!$H$512,1,MATCH(5&amp;$B56,'Gastos com Pessoal'!$I$532:$AJ$532&amp;'Gastos com Pessoal'!$I$512:$AJ$512,0),10,1)),0)</f>
        <v>22002</v>
      </c>
      <c r="AI56" s="32">
        <f t="array" aca="1" ref="AI56" ca="1">_xlfn.IFNA(SUM((AI$3&gt;='Gastos com Pessoal'!$E$7:$E$506)*(AI$3&lt;='Gastos com Pessoal'!$F$7:$F$506)*OFFSET('Encargos e Benefícios'!$D$5,1,MATCH($B56,'Encargos e Benefícios'!$E$5:$AB$5,0),500,1)),0)
+_xlfn.IFNA(SUM((AI$3&gt;='Gastos com Pessoal'!$E$513:$E$522)*(AI$3&lt;='Gastos com Pessoal'!$F$513:$F$522)*OFFSET('Encargos e Benefícios'!$D$511,1,MATCH($B56,'Encargos e Benefícios'!$E$511:$AB$511,0),10,1)),0)
+_xlfn.IFNA(SUM((AI$3&gt;='Gastos com Pessoal'!$E$7:$E$506)*(AI$3&lt;='Gastos com Pessoal'!$F$7:$F$506)*(IF('Gastos com Pessoal'!$G$7:$G$506&lt;=AI$3,1,0))*OFFSET('Gastos com Pessoal'!$H$6,1,MATCH(1&amp;$B56,'Gastos com Pessoal'!$I$532:$AJ$532&amp;'Gastos com Pessoal'!$I$6:$AJ$6,0),500,1)),0)
+_xlfn.IFNA(SUM((AI$3&gt;='Gastos com Pessoal'!$E$7:$E$506)*(AI$3&lt;='Gastos com Pessoal'!$F$7:$F$506)*(IF('Gastos com Pessoal'!$M$7:$M$506&lt;=AI$3,1,0))*OFFSET('Gastos com Pessoal'!$H$6,1,MATCH(2&amp;$B56,'Gastos com Pessoal'!$I$532:$AJ$532&amp;'Gastos com Pessoal'!$I$6:$AJ$6,0),500,1)),0)
+_xlfn.IFNA(SUM((AI$3&gt;='Gastos com Pessoal'!$E$7:$E$506)*(AI$3&lt;='Gastos com Pessoal'!$F$7:$F$506)*(IF('Gastos com Pessoal'!$S$7:$S$506&lt;=AI$3,1,0))*OFFSET('Gastos com Pessoal'!$H$6,1,MATCH(3&amp;$B56,'Gastos com Pessoal'!$I$532:$AJ$532&amp;'Gastos com Pessoal'!$I$6:$AJ$6,0),500,1)),0)
+_xlfn.IFNA(SUM((AI$3&gt;='Gastos com Pessoal'!$E$7:$E$506)*(AI$3&lt;='Gastos com Pessoal'!$F$7:$F$506)*(IF('Gastos com Pessoal'!$Y$7:$Y$506&lt;=AI$3,1,0))*OFFSET('Gastos com Pessoal'!$H$6,1,MATCH(4&amp;$B56,'Gastos com Pessoal'!$I$532:$AJ$532&amp;'Gastos com Pessoal'!$I$6:$AJ$6,0),500,1)),0)
+_xlfn.IFNA(SUM((AI$3&gt;='Gastos com Pessoal'!$E$7:$E$506)*(AI$3&lt;='Gastos com Pessoal'!$F$7:$F$506)*(IF('Gastos com Pessoal'!$AE$7:$AE$506&lt;=AI$3,1,0))*OFFSET('Gastos com Pessoal'!$H$6,1,MATCH(5&amp;$B56,'Gastos com Pessoal'!$I$532:$AJ$532&amp;'Gastos com Pessoal'!$I$6:$AJ$6,0),500,1)),0)
+_xlfn.IFNA(SUM((AI$3&gt;='Gastos com Pessoal'!$E$513:$E$522)*(AI$3&lt;='Gastos com Pessoal'!$F$513:$F$522)*(IF('Gastos com Pessoal'!$G$513:$G$522&lt;=AI$3,1,0))*OFFSET('Gastos com Pessoal'!$H$512,1,MATCH(1&amp;$B56,'Gastos com Pessoal'!$I$532:$AJ$532&amp;'Gastos com Pessoal'!$I$512:$AJ$512,0),10,1)),0)
+_xlfn.IFNA(SUM((AI$3&gt;='Gastos com Pessoal'!$E$513:$E$522)*(AI$3&lt;='Gastos com Pessoal'!$F$513:$F$522)*(IF('Gastos com Pessoal'!$M$513:$M$522&lt;=AI$3,1,0))*OFFSET('Gastos com Pessoal'!$H$512,1,MATCH(2&amp;$B56,'Gastos com Pessoal'!$I$532:$AJ$532&amp;'Gastos com Pessoal'!$I$512:$AJ$512,0),10,1)),0)
+_xlfn.IFNA(SUM((AI$3&gt;='Gastos com Pessoal'!$E$513:$E$522)*(AI$3&lt;='Gastos com Pessoal'!$F$513:$F$522)*(IF('Gastos com Pessoal'!$S$513:$S$522&lt;=AI$3,1,0))*OFFSET('Gastos com Pessoal'!$H$512,1,MATCH(3&amp;$B56,'Gastos com Pessoal'!$I$532:$AJ$532&amp;'Gastos com Pessoal'!$I$512:$AJ$512,0),10,1)),0)
+_xlfn.IFNA(SUM((AI$3&gt;='Gastos com Pessoal'!$E$513:$E$522)*(AI$3&lt;='Gastos com Pessoal'!$F$513:$F$522)*(IF('Gastos com Pessoal'!$Y$513:$Y$522&lt;=AI$3,1,0))*OFFSET('Gastos com Pessoal'!$H$512,1,MATCH(4&amp;$B56,'Gastos com Pessoal'!$I$532:$AJ$532&amp;'Gastos com Pessoal'!$I$512:$AJ$512,0),10,1)),0)
+_xlfn.IFNA(SUM((AI$3&gt;='Gastos com Pessoal'!$E$513:$E$522)*(AI$3&lt;='Gastos com Pessoal'!$F$513:$F$522)*(IF('Gastos com Pessoal'!$AE$513:$AE$522&lt;=AI$3,1,0))*OFFSET('Gastos com Pessoal'!$H$512,1,MATCH(5&amp;$B56,'Gastos com Pessoal'!$I$532:$AJ$532&amp;'Gastos com Pessoal'!$I$512:$AJ$512,0),10,1)),0)</f>
        <v>22002</v>
      </c>
      <c r="AJ56" s="32">
        <f t="array" aca="1" ref="AJ56" ca="1">_xlfn.IFNA(SUM((AJ$3&gt;='Gastos com Pessoal'!$E$7:$E$506)*(AJ$3&lt;='Gastos com Pessoal'!$F$7:$F$506)*OFFSET('Encargos e Benefícios'!$D$5,1,MATCH($B56,'Encargos e Benefícios'!$E$5:$AB$5,0),500,1)),0)
+_xlfn.IFNA(SUM((AJ$3&gt;='Gastos com Pessoal'!$E$513:$E$522)*(AJ$3&lt;='Gastos com Pessoal'!$F$513:$F$522)*OFFSET('Encargos e Benefícios'!$D$511,1,MATCH($B56,'Encargos e Benefícios'!$E$511:$AB$511,0),10,1)),0)
+_xlfn.IFNA(SUM((AJ$3&gt;='Gastos com Pessoal'!$E$7:$E$506)*(AJ$3&lt;='Gastos com Pessoal'!$F$7:$F$506)*(IF('Gastos com Pessoal'!$G$7:$G$506&lt;=AJ$3,1,0))*OFFSET('Gastos com Pessoal'!$H$6,1,MATCH(1&amp;$B56,'Gastos com Pessoal'!$I$532:$AJ$532&amp;'Gastos com Pessoal'!$I$6:$AJ$6,0),500,1)),0)
+_xlfn.IFNA(SUM((AJ$3&gt;='Gastos com Pessoal'!$E$7:$E$506)*(AJ$3&lt;='Gastos com Pessoal'!$F$7:$F$506)*(IF('Gastos com Pessoal'!$M$7:$M$506&lt;=AJ$3,1,0))*OFFSET('Gastos com Pessoal'!$H$6,1,MATCH(2&amp;$B56,'Gastos com Pessoal'!$I$532:$AJ$532&amp;'Gastos com Pessoal'!$I$6:$AJ$6,0),500,1)),0)
+_xlfn.IFNA(SUM((AJ$3&gt;='Gastos com Pessoal'!$E$7:$E$506)*(AJ$3&lt;='Gastos com Pessoal'!$F$7:$F$506)*(IF('Gastos com Pessoal'!$S$7:$S$506&lt;=AJ$3,1,0))*OFFSET('Gastos com Pessoal'!$H$6,1,MATCH(3&amp;$B56,'Gastos com Pessoal'!$I$532:$AJ$532&amp;'Gastos com Pessoal'!$I$6:$AJ$6,0),500,1)),0)
+_xlfn.IFNA(SUM((AJ$3&gt;='Gastos com Pessoal'!$E$7:$E$506)*(AJ$3&lt;='Gastos com Pessoal'!$F$7:$F$506)*(IF('Gastos com Pessoal'!$Y$7:$Y$506&lt;=AJ$3,1,0))*OFFSET('Gastos com Pessoal'!$H$6,1,MATCH(4&amp;$B56,'Gastos com Pessoal'!$I$532:$AJ$532&amp;'Gastos com Pessoal'!$I$6:$AJ$6,0),500,1)),0)
+_xlfn.IFNA(SUM((AJ$3&gt;='Gastos com Pessoal'!$E$7:$E$506)*(AJ$3&lt;='Gastos com Pessoal'!$F$7:$F$506)*(IF('Gastos com Pessoal'!$AE$7:$AE$506&lt;=AJ$3,1,0))*OFFSET('Gastos com Pessoal'!$H$6,1,MATCH(5&amp;$B56,'Gastos com Pessoal'!$I$532:$AJ$532&amp;'Gastos com Pessoal'!$I$6:$AJ$6,0),500,1)),0)
+_xlfn.IFNA(SUM((AJ$3&gt;='Gastos com Pessoal'!$E$513:$E$522)*(AJ$3&lt;='Gastos com Pessoal'!$F$513:$F$522)*(IF('Gastos com Pessoal'!$G$513:$G$522&lt;=AJ$3,1,0))*OFFSET('Gastos com Pessoal'!$H$512,1,MATCH(1&amp;$B56,'Gastos com Pessoal'!$I$532:$AJ$532&amp;'Gastos com Pessoal'!$I$512:$AJ$512,0),10,1)),0)
+_xlfn.IFNA(SUM((AJ$3&gt;='Gastos com Pessoal'!$E$513:$E$522)*(AJ$3&lt;='Gastos com Pessoal'!$F$513:$F$522)*(IF('Gastos com Pessoal'!$M$513:$M$522&lt;=AJ$3,1,0))*OFFSET('Gastos com Pessoal'!$H$512,1,MATCH(2&amp;$B56,'Gastos com Pessoal'!$I$532:$AJ$532&amp;'Gastos com Pessoal'!$I$512:$AJ$512,0),10,1)),0)
+_xlfn.IFNA(SUM((AJ$3&gt;='Gastos com Pessoal'!$E$513:$E$522)*(AJ$3&lt;='Gastos com Pessoal'!$F$513:$F$522)*(IF('Gastos com Pessoal'!$S$513:$S$522&lt;=AJ$3,1,0))*OFFSET('Gastos com Pessoal'!$H$512,1,MATCH(3&amp;$B56,'Gastos com Pessoal'!$I$532:$AJ$532&amp;'Gastos com Pessoal'!$I$512:$AJ$512,0),10,1)),0)
+_xlfn.IFNA(SUM((AJ$3&gt;='Gastos com Pessoal'!$E$513:$E$522)*(AJ$3&lt;='Gastos com Pessoal'!$F$513:$F$522)*(IF('Gastos com Pessoal'!$Y$513:$Y$522&lt;=AJ$3,1,0))*OFFSET('Gastos com Pessoal'!$H$512,1,MATCH(4&amp;$B56,'Gastos com Pessoal'!$I$532:$AJ$532&amp;'Gastos com Pessoal'!$I$512:$AJ$512,0),10,1)),0)
+_xlfn.IFNA(SUM((AJ$3&gt;='Gastos com Pessoal'!$E$513:$E$522)*(AJ$3&lt;='Gastos com Pessoal'!$F$513:$F$522)*(IF('Gastos com Pessoal'!$AE$513:$AE$522&lt;=AJ$3,1,0))*OFFSET('Gastos com Pessoal'!$H$512,1,MATCH(5&amp;$B56,'Gastos com Pessoal'!$I$532:$AJ$532&amp;'Gastos com Pessoal'!$I$512:$AJ$512,0),10,1)),0)</f>
        <v>22002</v>
      </c>
      <c r="AK56" s="32">
        <f t="array" aca="1" ref="AK56" ca="1">_xlfn.IFNA(SUM((AK$3&gt;='Gastos com Pessoal'!$E$7:$E$506)*(AK$3&lt;='Gastos com Pessoal'!$F$7:$F$506)*OFFSET('Encargos e Benefícios'!$D$5,1,MATCH($B56,'Encargos e Benefícios'!$E$5:$AB$5,0),500,1)),0)
+_xlfn.IFNA(SUM((AK$3&gt;='Gastos com Pessoal'!$E$513:$E$522)*(AK$3&lt;='Gastos com Pessoal'!$F$513:$F$522)*OFFSET('Encargos e Benefícios'!$D$511,1,MATCH($B56,'Encargos e Benefícios'!$E$511:$AB$511,0),10,1)),0)
+_xlfn.IFNA(SUM((AK$3&gt;='Gastos com Pessoal'!$E$7:$E$506)*(AK$3&lt;='Gastos com Pessoal'!$F$7:$F$506)*(IF('Gastos com Pessoal'!$G$7:$G$506&lt;=AK$3,1,0))*OFFSET('Gastos com Pessoal'!$H$6,1,MATCH(1&amp;$B56,'Gastos com Pessoal'!$I$532:$AJ$532&amp;'Gastos com Pessoal'!$I$6:$AJ$6,0),500,1)),0)
+_xlfn.IFNA(SUM((AK$3&gt;='Gastos com Pessoal'!$E$7:$E$506)*(AK$3&lt;='Gastos com Pessoal'!$F$7:$F$506)*(IF('Gastos com Pessoal'!$M$7:$M$506&lt;=AK$3,1,0))*OFFSET('Gastos com Pessoal'!$H$6,1,MATCH(2&amp;$B56,'Gastos com Pessoal'!$I$532:$AJ$532&amp;'Gastos com Pessoal'!$I$6:$AJ$6,0),500,1)),0)
+_xlfn.IFNA(SUM((AK$3&gt;='Gastos com Pessoal'!$E$7:$E$506)*(AK$3&lt;='Gastos com Pessoal'!$F$7:$F$506)*(IF('Gastos com Pessoal'!$S$7:$S$506&lt;=AK$3,1,0))*OFFSET('Gastos com Pessoal'!$H$6,1,MATCH(3&amp;$B56,'Gastos com Pessoal'!$I$532:$AJ$532&amp;'Gastos com Pessoal'!$I$6:$AJ$6,0),500,1)),0)
+_xlfn.IFNA(SUM((AK$3&gt;='Gastos com Pessoal'!$E$7:$E$506)*(AK$3&lt;='Gastos com Pessoal'!$F$7:$F$506)*(IF('Gastos com Pessoal'!$Y$7:$Y$506&lt;=AK$3,1,0))*OFFSET('Gastos com Pessoal'!$H$6,1,MATCH(4&amp;$B56,'Gastos com Pessoal'!$I$532:$AJ$532&amp;'Gastos com Pessoal'!$I$6:$AJ$6,0),500,1)),0)
+_xlfn.IFNA(SUM((AK$3&gt;='Gastos com Pessoal'!$E$7:$E$506)*(AK$3&lt;='Gastos com Pessoal'!$F$7:$F$506)*(IF('Gastos com Pessoal'!$AE$7:$AE$506&lt;=AK$3,1,0))*OFFSET('Gastos com Pessoal'!$H$6,1,MATCH(5&amp;$B56,'Gastos com Pessoal'!$I$532:$AJ$532&amp;'Gastos com Pessoal'!$I$6:$AJ$6,0),500,1)),0)
+_xlfn.IFNA(SUM((AK$3&gt;='Gastos com Pessoal'!$E$513:$E$522)*(AK$3&lt;='Gastos com Pessoal'!$F$513:$F$522)*(IF('Gastos com Pessoal'!$G$513:$G$522&lt;=AK$3,1,0))*OFFSET('Gastos com Pessoal'!$H$512,1,MATCH(1&amp;$B56,'Gastos com Pessoal'!$I$532:$AJ$532&amp;'Gastos com Pessoal'!$I$512:$AJ$512,0),10,1)),0)
+_xlfn.IFNA(SUM((AK$3&gt;='Gastos com Pessoal'!$E$513:$E$522)*(AK$3&lt;='Gastos com Pessoal'!$F$513:$F$522)*(IF('Gastos com Pessoal'!$M$513:$M$522&lt;=AK$3,1,0))*OFFSET('Gastos com Pessoal'!$H$512,1,MATCH(2&amp;$B56,'Gastos com Pessoal'!$I$532:$AJ$532&amp;'Gastos com Pessoal'!$I$512:$AJ$512,0),10,1)),0)
+_xlfn.IFNA(SUM((AK$3&gt;='Gastos com Pessoal'!$E$513:$E$522)*(AK$3&lt;='Gastos com Pessoal'!$F$513:$F$522)*(IF('Gastos com Pessoal'!$S$513:$S$522&lt;=AK$3,1,0))*OFFSET('Gastos com Pessoal'!$H$512,1,MATCH(3&amp;$B56,'Gastos com Pessoal'!$I$532:$AJ$532&amp;'Gastos com Pessoal'!$I$512:$AJ$512,0),10,1)),0)
+_xlfn.IFNA(SUM((AK$3&gt;='Gastos com Pessoal'!$E$513:$E$522)*(AK$3&lt;='Gastos com Pessoal'!$F$513:$F$522)*(IF('Gastos com Pessoal'!$Y$513:$Y$522&lt;=AK$3,1,0))*OFFSET('Gastos com Pessoal'!$H$512,1,MATCH(4&amp;$B56,'Gastos com Pessoal'!$I$532:$AJ$532&amp;'Gastos com Pessoal'!$I$512:$AJ$512,0),10,1)),0)
+_xlfn.IFNA(SUM((AK$3&gt;='Gastos com Pessoal'!$E$513:$E$522)*(AK$3&lt;='Gastos com Pessoal'!$F$513:$F$522)*(IF('Gastos com Pessoal'!$AE$513:$AE$522&lt;=AK$3,1,0))*OFFSET('Gastos com Pessoal'!$H$512,1,MATCH(5&amp;$B56,'Gastos com Pessoal'!$I$532:$AJ$532&amp;'Gastos com Pessoal'!$I$512:$AJ$512,0),10,1)),0)</f>
        <v>22002</v>
      </c>
      <c r="AL56" s="32">
        <f t="array" aca="1" ref="AL56" ca="1">_xlfn.IFNA(SUM((AL$3&gt;='Gastos com Pessoal'!$E$7:$E$506)*(AL$3&lt;='Gastos com Pessoal'!$F$7:$F$506)*OFFSET('Encargos e Benefícios'!$D$5,1,MATCH($B56,'Encargos e Benefícios'!$E$5:$AB$5,0),500,1)),0)
+_xlfn.IFNA(SUM((AL$3&gt;='Gastos com Pessoal'!$E$513:$E$522)*(AL$3&lt;='Gastos com Pessoal'!$F$513:$F$522)*OFFSET('Encargos e Benefícios'!$D$511,1,MATCH($B56,'Encargos e Benefícios'!$E$511:$AB$511,0),10,1)),0)
+_xlfn.IFNA(SUM((AL$3&gt;='Gastos com Pessoal'!$E$7:$E$506)*(AL$3&lt;='Gastos com Pessoal'!$F$7:$F$506)*(IF('Gastos com Pessoal'!$G$7:$G$506&lt;=AL$3,1,0))*OFFSET('Gastos com Pessoal'!$H$6,1,MATCH(1&amp;$B56,'Gastos com Pessoal'!$I$532:$AJ$532&amp;'Gastos com Pessoal'!$I$6:$AJ$6,0),500,1)),0)
+_xlfn.IFNA(SUM((AL$3&gt;='Gastos com Pessoal'!$E$7:$E$506)*(AL$3&lt;='Gastos com Pessoal'!$F$7:$F$506)*(IF('Gastos com Pessoal'!$M$7:$M$506&lt;=AL$3,1,0))*OFFSET('Gastos com Pessoal'!$H$6,1,MATCH(2&amp;$B56,'Gastos com Pessoal'!$I$532:$AJ$532&amp;'Gastos com Pessoal'!$I$6:$AJ$6,0),500,1)),0)
+_xlfn.IFNA(SUM((AL$3&gt;='Gastos com Pessoal'!$E$7:$E$506)*(AL$3&lt;='Gastos com Pessoal'!$F$7:$F$506)*(IF('Gastos com Pessoal'!$S$7:$S$506&lt;=AL$3,1,0))*OFFSET('Gastos com Pessoal'!$H$6,1,MATCH(3&amp;$B56,'Gastos com Pessoal'!$I$532:$AJ$532&amp;'Gastos com Pessoal'!$I$6:$AJ$6,0),500,1)),0)
+_xlfn.IFNA(SUM((AL$3&gt;='Gastos com Pessoal'!$E$7:$E$506)*(AL$3&lt;='Gastos com Pessoal'!$F$7:$F$506)*(IF('Gastos com Pessoal'!$Y$7:$Y$506&lt;=AL$3,1,0))*OFFSET('Gastos com Pessoal'!$H$6,1,MATCH(4&amp;$B56,'Gastos com Pessoal'!$I$532:$AJ$532&amp;'Gastos com Pessoal'!$I$6:$AJ$6,0),500,1)),0)
+_xlfn.IFNA(SUM((AL$3&gt;='Gastos com Pessoal'!$E$7:$E$506)*(AL$3&lt;='Gastos com Pessoal'!$F$7:$F$506)*(IF('Gastos com Pessoal'!$AE$7:$AE$506&lt;=AL$3,1,0))*OFFSET('Gastos com Pessoal'!$H$6,1,MATCH(5&amp;$B56,'Gastos com Pessoal'!$I$532:$AJ$532&amp;'Gastos com Pessoal'!$I$6:$AJ$6,0),500,1)),0)
+_xlfn.IFNA(SUM((AL$3&gt;='Gastos com Pessoal'!$E$513:$E$522)*(AL$3&lt;='Gastos com Pessoal'!$F$513:$F$522)*(IF('Gastos com Pessoal'!$G$513:$G$522&lt;=AL$3,1,0))*OFFSET('Gastos com Pessoal'!$H$512,1,MATCH(1&amp;$B56,'Gastos com Pessoal'!$I$532:$AJ$532&amp;'Gastos com Pessoal'!$I$512:$AJ$512,0),10,1)),0)
+_xlfn.IFNA(SUM((AL$3&gt;='Gastos com Pessoal'!$E$513:$E$522)*(AL$3&lt;='Gastos com Pessoal'!$F$513:$F$522)*(IF('Gastos com Pessoal'!$M$513:$M$522&lt;=AL$3,1,0))*OFFSET('Gastos com Pessoal'!$H$512,1,MATCH(2&amp;$B56,'Gastos com Pessoal'!$I$532:$AJ$532&amp;'Gastos com Pessoal'!$I$512:$AJ$512,0),10,1)),0)
+_xlfn.IFNA(SUM((AL$3&gt;='Gastos com Pessoal'!$E$513:$E$522)*(AL$3&lt;='Gastos com Pessoal'!$F$513:$F$522)*(IF('Gastos com Pessoal'!$S$513:$S$522&lt;=AL$3,1,0))*OFFSET('Gastos com Pessoal'!$H$512,1,MATCH(3&amp;$B56,'Gastos com Pessoal'!$I$532:$AJ$532&amp;'Gastos com Pessoal'!$I$512:$AJ$512,0),10,1)),0)
+_xlfn.IFNA(SUM((AL$3&gt;='Gastos com Pessoal'!$E$513:$E$522)*(AL$3&lt;='Gastos com Pessoal'!$F$513:$F$522)*(IF('Gastos com Pessoal'!$Y$513:$Y$522&lt;=AL$3,1,0))*OFFSET('Gastos com Pessoal'!$H$512,1,MATCH(4&amp;$B56,'Gastos com Pessoal'!$I$532:$AJ$532&amp;'Gastos com Pessoal'!$I$512:$AJ$512,0),10,1)),0)
+_xlfn.IFNA(SUM((AL$3&gt;='Gastos com Pessoal'!$E$513:$E$522)*(AL$3&lt;='Gastos com Pessoal'!$F$513:$F$522)*(IF('Gastos com Pessoal'!$AE$513:$AE$522&lt;=AL$3,1,0))*OFFSET('Gastos com Pessoal'!$H$512,1,MATCH(5&amp;$B56,'Gastos com Pessoal'!$I$532:$AJ$532&amp;'Gastos com Pessoal'!$I$512:$AJ$512,0),10,1)),0)</f>
        <v>22002</v>
      </c>
      <c r="AM56" s="32">
        <f t="array" aca="1" ref="AM56" ca="1">_xlfn.IFNA(SUM((AM$3&gt;='Gastos com Pessoal'!$E$7:$E$506)*(AM$3&lt;='Gastos com Pessoal'!$F$7:$F$506)*OFFSET('Encargos e Benefícios'!$D$5,1,MATCH($B56,'Encargos e Benefícios'!$E$5:$AB$5,0),500,1)),0)
+_xlfn.IFNA(SUM((AM$3&gt;='Gastos com Pessoal'!$E$513:$E$522)*(AM$3&lt;='Gastos com Pessoal'!$F$513:$F$522)*OFFSET('Encargos e Benefícios'!$D$511,1,MATCH($B56,'Encargos e Benefícios'!$E$511:$AB$511,0),10,1)),0)
+_xlfn.IFNA(SUM((AM$3&gt;='Gastos com Pessoal'!$E$7:$E$506)*(AM$3&lt;='Gastos com Pessoal'!$F$7:$F$506)*(IF('Gastos com Pessoal'!$G$7:$G$506&lt;=AM$3,1,0))*OFFSET('Gastos com Pessoal'!$H$6,1,MATCH(1&amp;$B56,'Gastos com Pessoal'!$I$532:$AJ$532&amp;'Gastos com Pessoal'!$I$6:$AJ$6,0),500,1)),0)
+_xlfn.IFNA(SUM((AM$3&gt;='Gastos com Pessoal'!$E$7:$E$506)*(AM$3&lt;='Gastos com Pessoal'!$F$7:$F$506)*(IF('Gastos com Pessoal'!$M$7:$M$506&lt;=AM$3,1,0))*OFFSET('Gastos com Pessoal'!$H$6,1,MATCH(2&amp;$B56,'Gastos com Pessoal'!$I$532:$AJ$532&amp;'Gastos com Pessoal'!$I$6:$AJ$6,0),500,1)),0)
+_xlfn.IFNA(SUM((AM$3&gt;='Gastos com Pessoal'!$E$7:$E$506)*(AM$3&lt;='Gastos com Pessoal'!$F$7:$F$506)*(IF('Gastos com Pessoal'!$S$7:$S$506&lt;=AM$3,1,0))*OFFSET('Gastos com Pessoal'!$H$6,1,MATCH(3&amp;$B56,'Gastos com Pessoal'!$I$532:$AJ$532&amp;'Gastos com Pessoal'!$I$6:$AJ$6,0),500,1)),0)
+_xlfn.IFNA(SUM((AM$3&gt;='Gastos com Pessoal'!$E$7:$E$506)*(AM$3&lt;='Gastos com Pessoal'!$F$7:$F$506)*(IF('Gastos com Pessoal'!$Y$7:$Y$506&lt;=AM$3,1,0))*OFFSET('Gastos com Pessoal'!$H$6,1,MATCH(4&amp;$B56,'Gastos com Pessoal'!$I$532:$AJ$532&amp;'Gastos com Pessoal'!$I$6:$AJ$6,0),500,1)),0)
+_xlfn.IFNA(SUM((AM$3&gt;='Gastos com Pessoal'!$E$7:$E$506)*(AM$3&lt;='Gastos com Pessoal'!$F$7:$F$506)*(IF('Gastos com Pessoal'!$AE$7:$AE$506&lt;=AM$3,1,0))*OFFSET('Gastos com Pessoal'!$H$6,1,MATCH(5&amp;$B56,'Gastos com Pessoal'!$I$532:$AJ$532&amp;'Gastos com Pessoal'!$I$6:$AJ$6,0),500,1)),0)
+_xlfn.IFNA(SUM((AM$3&gt;='Gastos com Pessoal'!$E$513:$E$522)*(AM$3&lt;='Gastos com Pessoal'!$F$513:$F$522)*(IF('Gastos com Pessoal'!$G$513:$G$522&lt;=AM$3,1,0))*OFFSET('Gastos com Pessoal'!$H$512,1,MATCH(1&amp;$B56,'Gastos com Pessoal'!$I$532:$AJ$532&amp;'Gastos com Pessoal'!$I$512:$AJ$512,0),10,1)),0)
+_xlfn.IFNA(SUM((AM$3&gt;='Gastos com Pessoal'!$E$513:$E$522)*(AM$3&lt;='Gastos com Pessoal'!$F$513:$F$522)*(IF('Gastos com Pessoal'!$M$513:$M$522&lt;=AM$3,1,0))*OFFSET('Gastos com Pessoal'!$H$512,1,MATCH(2&amp;$B56,'Gastos com Pessoal'!$I$532:$AJ$532&amp;'Gastos com Pessoal'!$I$512:$AJ$512,0),10,1)),0)
+_xlfn.IFNA(SUM((AM$3&gt;='Gastos com Pessoal'!$E$513:$E$522)*(AM$3&lt;='Gastos com Pessoal'!$F$513:$F$522)*(IF('Gastos com Pessoal'!$S$513:$S$522&lt;=AM$3,1,0))*OFFSET('Gastos com Pessoal'!$H$512,1,MATCH(3&amp;$B56,'Gastos com Pessoal'!$I$532:$AJ$532&amp;'Gastos com Pessoal'!$I$512:$AJ$512,0),10,1)),0)
+_xlfn.IFNA(SUM((AM$3&gt;='Gastos com Pessoal'!$E$513:$E$522)*(AM$3&lt;='Gastos com Pessoal'!$F$513:$F$522)*(IF('Gastos com Pessoal'!$Y$513:$Y$522&lt;=AM$3,1,0))*OFFSET('Gastos com Pessoal'!$H$512,1,MATCH(4&amp;$B56,'Gastos com Pessoal'!$I$532:$AJ$532&amp;'Gastos com Pessoal'!$I$512:$AJ$512,0),10,1)),0)
+_xlfn.IFNA(SUM((AM$3&gt;='Gastos com Pessoal'!$E$513:$E$522)*(AM$3&lt;='Gastos com Pessoal'!$F$513:$F$522)*(IF('Gastos com Pessoal'!$AE$513:$AE$522&lt;=AM$3,1,0))*OFFSET('Gastos com Pessoal'!$H$512,1,MATCH(5&amp;$B56,'Gastos com Pessoal'!$I$532:$AJ$532&amp;'Gastos com Pessoal'!$I$512:$AJ$512,0),10,1)),0)</f>
        <v>0</v>
      </c>
      <c r="AN56" s="32">
        <f t="array" aca="1" ref="AN56" ca="1">_xlfn.IFNA(SUM((AN$3&gt;='Gastos com Pessoal'!$E$7:$E$506)*(AN$3&lt;='Gastos com Pessoal'!$F$7:$F$506)*OFFSET('Encargos e Benefícios'!$D$5,1,MATCH($B56,'Encargos e Benefícios'!$E$5:$AB$5,0),500,1)),0)
+_xlfn.IFNA(SUM((AN$3&gt;='Gastos com Pessoal'!$E$513:$E$522)*(AN$3&lt;='Gastos com Pessoal'!$F$513:$F$522)*OFFSET('Encargos e Benefícios'!$D$511,1,MATCH($B56,'Encargos e Benefícios'!$E$511:$AB$511,0),10,1)),0)
+_xlfn.IFNA(SUM((AN$3&gt;='Gastos com Pessoal'!$E$7:$E$506)*(AN$3&lt;='Gastos com Pessoal'!$F$7:$F$506)*(IF('Gastos com Pessoal'!$G$7:$G$506&lt;=AN$3,1,0))*OFFSET('Gastos com Pessoal'!$H$6,1,MATCH(1&amp;$B56,'Gastos com Pessoal'!$I$532:$AJ$532&amp;'Gastos com Pessoal'!$I$6:$AJ$6,0),500,1)),0)
+_xlfn.IFNA(SUM((AN$3&gt;='Gastos com Pessoal'!$E$7:$E$506)*(AN$3&lt;='Gastos com Pessoal'!$F$7:$F$506)*(IF('Gastos com Pessoal'!$M$7:$M$506&lt;=AN$3,1,0))*OFFSET('Gastos com Pessoal'!$H$6,1,MATCH(2&amp;$B56,'Gastos com Pessoal'!$I$532:$AJ$532&amp;'Gastos com Pessoal'!$I$6:$AJ$6,0),500,1)),0)
+_xlfn.IFNA(SUM((AN$3&gt;='Gastos com Pessoal'!$E$7:$E$506)*(AN$3&lt;='Gastos com Pessoal'!$F$7:$F$506)*(IF('Gastos com Pessoal'!$S$7:$S$506&lt;=AN$3,1,0))*OFFSET('Gastos com Pessoal'!$H$6,1,MATCH(3&amp;$B56,'Gastos com Pessoal'!$I$532:$AJ$532&amp;'Gastos com Pessoal'!$I$6:$AJ$6,0),500,1)),0)
+_xlfn.IFNA(SUM((AN$3&gt;='Gastos com Pessoal'!$E$7:$E$506)*(AN$3&lt;='Gastos com Pessoal'!$F$7:$F$506)*(IF('Gastos com Pessoal'!$Y$7:$Y$506&lt;=AN$3,1,0))*OFFSET('Gastos com Pessoal'!$H$6,1,MATCH(4&amp;$B56,'Gastos com Pessoal'!$I$532:$AJ$532&amp;'Gastos com Pessoal'!$I$6:$AJ$6,0),500,1)),0)
+_xlfn.IFNA(SUM((AN$3&gt;='Gastos com Pessoal'!$E$7:$E$506)*(AN$3&lt;='Gastos com Pessoal'!$F$7:$F$506)*(IF('Gastos com Pessoal'!$AE$7:$AE$506&lt;=AN$3,1,0))*OFFSET('Gastos com Pessoal'!$H$6,1,MATCH(5&amp;$B56,'Gastos com Pessoal'!$I$532:$AJ$532&amp;'Gastos com Pessoal'!$I$6:$AJ$6,0),500,1)),0)
+_xlfn.IFNA(SUM((AN$3&gt;='Gastos com Pessoal'!$E$513:$E$522)*(AN$3&lt;='Gastos com Pessoal'!$F$513:$F$522)*(IF('Gastos com Pessoal'!$G$513:$G$522&lt;=AN$3,1,0))*OFFSET('Gastos com Pessoal'!$H$512,1,MATCH(1&amp;$B56,'Gastos com Pessoal'!$I$532:$AJ$532&amp;'Gastos com Pessoal'!$I$512:$AJ$512,0),10,1)),0)
+_xlfn.IFNA(SUM((AN$3&gt;='Gastos com Pessoal'!$E$513:$E$522)*(AN$3&lt;='Gastos com Pessoal'!$F$513:$F$522)*(IF('Gastos com Pessoal'!$M$513:$M$522&lt;=AN$3,1,0))*OFFSET('Gastos com Pessoal'!$H$512,1,MATCH(2&amp;$B56,'Gastos com Pessoal'!$I$532:$AJ$532&amp;'Gastos com Pessoal'!$I$512:$AJ$512,0),10,1)),0)
+_xlfn.IFNA(SUM((AN$3&gt;='Gastos com Pessoal'!$E$513:$E$522)*(AN$3&lt;='Gastos com Pessoal'!$F$513:$F$522)*(IF('Gastos com Pessoal'!$S$513:$S$522&lt;=AN$3,1,0))*OFFSET('Gastos com Pessoal'!$H$512,1,MATCH(3&amp;$B56,'Gastos com Pessoal'!$I$532:$AJ$532&amp;'Gastos com Pessoal'!$I$512:$AJ$512,0),10,1)),0)
+_xlfn.IFNA(SUM((AN$3&gt;='Gastos com Pessoal'!$E$513:$E$522)*(AN$3&lt;='Gastos com Pessoal'!$F$513:$F$522)*(IF('Gastos com Pessoal'!$Y$513:$Y$522&lt;=AN$3,1,0))*OFFSET('Gastos com Pessoal'!$H$512,1,MATCH(4&amp;$B56,'Gastos com Pessoal'!$I$532:$AJ$532&amp;'Gastos com Pessoal'!$I$512:$AJ$512,0),10,1)),0)
+_xlfn.IFNA(SUM((AN$3&gt;='Gastos com Pessoal'!$E$513:$E$522)*(AN$3&lt;='Gastos com Pessoal'!$F$513:$F$522)*(IF('Gastos com Pessoal'!$AE$513:$AE$522&lt;=AN$3,1,0))*OFFSET('Gastos com Pessoal'!$H$512,1,MATCH(5&amp;$B56,'Gastos com Pessoal'!$I$532:$AJ$532&amp;'Gastos com Pessoal'!$I$512:$AJ$512,0),10,1)),0)</f>
        <v>0</v>
      </c>
      <c r="AO56" s="32">
        <f t="array" aca="1" ref="AO56" ca="1">_xlfn.IFNA(SUM((AO$3&gt;='Gastos com Pessoal'!$E$7:$E$506)*(AO$3&lt;='Gastos com Pessoal'!$F$7:$F$506)*OFFSET('Encargos e Benefícios'!$D$5,1,MATCH($B56,'Encargos e Benefícios'!$E$5:$AB$5,0),500,1)),0)
+_xlfn.IFNA(SUM((AO$3&gt;='Gastos com Pessoal'!$E$513:$E$522)*(AO$3&lt;='Gastos com Pessoal'!$F$513:$F$522)*OFFSET('Encargos e Benefícios'!$D$511,1,MATCH($B56,'Encargos e Benefícios'!$E$511:$AB$511,0),10,1)),0)
+_xlfn.IFNA(SUM((AO$3&gt;='Gastos com Pessoal'!$E$7:$E$506)*(AO$3&lt;='Gastos com Pessoal'!$F$7:$F$506)*(IF('Gastos com Pessoal'!$G$7:$G$506&lt;=AO$3,1,0))*OFFSET('Gastos com Pessoal'!$H$6,1,MATCH(1&amp;$B56,'Gastos com Pessoal'!$I$532:$AJ$532&amp;'Gastos com Pessoal'!$I$6:$AJ$6,0),500,1)),0)
+_xlfn.IFNA(SUM((AO$3&gt;='Gastos com Pessoal'!$E$7:$E$506)*(AO$3&lt;='Gastos com Pessoal'!$F$7:$F$506)*(IF('Gastos com Pessoal'!$M$7:$M$506&lt;=AO$3,1,0))*OFFSET('Gastos com Pessoal'!$H$6,1,MATCH(2&amp;$B56,'Gastos com Pessoal'!$I$532:$AJ$532&amp;'Gastos com Pessoal'!$I$6:$AJ$6,0),500,1)),0)
+_xlfn.IFNA(SUM((AO$3&gt;='Gastos com Pessoal'!$E$7:$E$506)*(AO$3&lt;='Gastos com Pessoal'!$F$7:$F$506)*(IF('Gastos com Pessoal'!$S$7:$S$506&lt;=AO$3,1,0))*OFFSET('Gastos com Pessoal'!$H$6,1,MATCH(3&amp;$B56,'Gastos com Pessoal'!$I$532:$AJ$532&amp;'Gastos com Pessoal'!$I$6:$AJ$6,0),500,1)),0)
+_xlfn.IFNA(SUM((AO$3&gt;='Gastos com Pessoal'!$E$7:$E$506)*(AO$3&lt;='Gastos com Pessoal'!$F$7:$F$506)*(IF('Gastos com Pessoal'!$Y$7:$Y$506&lt;=AO$3,1,0))*OFFSET('Gastos com Pessoal'!$H$6,1,MATCH(4&amp;$B56,'Gastos com Pessoal'!$I$532:$AJ$532&amp;'Gastos com Pessoal'!$I$6:$AJ$6,0),500,1)),0)
+_xlfn.IFNA(SUM((AO$3&gt;='Gastos com Pessoal'!$E$7:$E$506)*(AO$3&lt;='Gastos com Pessoal'!$F$7:$F$506)*(IF('Gastos com Pessoal'!$AE$7:$AE$506&lt;=AO$3,1,0))*OFFSET('Gastos com Pessoal'!$H$6,1,MATCH(5&amp;$B56,'Gastos com Pessoal'!$I$532:$AJ$532&amp;'Gastos com Pessoal'!$I$6:$AJ$6,0),500,1)),0)
+_xlfn.IFNA(SUM((AO$3&gt;='Gastos com Pessoal'!$E$513:$E$522)*(AO$3&lt;='Gastos com Pessoal'!$F$513:$F$522)*(IF('Gastos com Pessoal'!$G$513:$G$522&lt;=AO$3,1,0))*OFFSET('Gastos com Pessoal'!$H$512,1,MATCH(1&amp;$B56,'Gastos com Pessoal'!$I$532:$AJ$532&amp;'Gastos com Pessoal'!$I$512:$AJ$512,0),10,1)),0)
+_xlfn.IFNA(SUM((AO$3&gt;='Gastos com Pessoal'!$E$513:$E$522)*(AO$3&lt;='Gastos com Pessoal'!$F$513:$F$522)*(IF('Gastos com Pessoal'!$M$513:$M$522&lt;=AO$3,1,0))*OFFSET('Gastos com Pessoal'!$H$512,1,MATCH(2&amp;$B56,'Gastos com Pessoal'!$I$532:$AJ$532&amp;'Gastos com Pessoal'!$I$512:$AJ$512,0),10,1)),0)
+_xlfn.IFNA(SUM((AO$3&gt;='Gastos com Pessoal'!$E$513:$E$522)*(AO$3&lt;='Gastos com Pessoal'!$F$513:$F$522)*(IF('Gastos com Pessoal'!$S$513:$S$522&lt;=AO$3,1,0))*OFFSET('Gastos com Pessoal'!$H$512,1,MATCH(3&amp;$B56,'Gastos com Pessoal'!$I$532:$AJ$532&amp;'Gastos com Pessoal'!$I$512:$AJ$512,0),10,1)),0)
+_xlfn.IFNA(SUM((AO$3&gt;='Gastos com Pessoal'!$E$513:$E$522)*(AO$3&lt;='Gastos com Pessoal'!$F$513:$F$522)*(IF('Gastos com Pessoal'!$Y$513:$Y$522&lt;=AO$3,1,0))*OFFSET('Gastos com Pessoal'!$H$512,1,MATCH(4&amp;$B56,'Gastos com Pessoal'!$I$532:$AJ$532&amp;'Gastos com Pessoal'!$I$512:$AJ$512,0),10,1)),0)
+_xlfn.IFNA(SUM((AO$3&gt;='Gastos com Pessoal'!$E$513:$E$522)*(AO$3&lt;='Gastos com Pessoal'!$F$513:$F$522)*(IF('Gastos com Pessoal'!$AE$513:$AE$522&lt;=AO$3,1,0))*OFFSET('Gastos com Pessoal'!$H$512,1,MATCH(5&amp;$B56,'Gastos com Pessoal'!$I$532:$AJ$532&amp;'Gastos com Pessoal'!$I$512:$AJ$512,0),10,1)),0)</f>
        <v>0</v>
      </c>
      <c r="AP56" s="32">
        <f t="array" aca="1" ref="AP56" ca="1">_xlfn.IFNA(SUM((AP$3&gt;='Gastos com Pessoal'!$E$7:$E$506)*(AP$3&lt;='Gastos com Pessoal'!$F$7:$F$506)*OFFSET('Encargos e Benefícios'!$D$5,1,MATCH($B56,'Encargos e Benefícios'!$E$5:$AB$5,0),500,1)),0)
+_xlfn.IFNA(SUM((AP$3&gt;='Gastos com Pessoal'!$E$513:$E$522)*(AP$3&lt;='Gastos com Pessoal'!$F$513:$F$522)*OFFSET('Encargos e Benefícios'!$D$511,1,MATCH($B56,'Encargos e Benefícios'!$E$511:$AB$511,0),10,1)),0)
+_xlfn.IFNA(SUM((AP$3&gt;='Gastos com Pessoal'!$E$7:$E$506)*(AP$3&lt;='Gastos com Pessoal'!$F$7:$F$506)*(IF('Gastos com Pessoal'!$G$7:$G$506&lt;=AP$3,1,0))*OFFSET('Gastos com Pessoal'!$H$6,1,MATCH(1&amp;$B56,'Gastos com Pessoal'!$I$532:$AJ$532&amp;'Gastos com Pessoal'!$I$6:$AJ$6,0),500,1)),0)
+_xlfn.IFNA(SUM((AP$3&gt;='Gastos com Pessoal'!$E$7:$E$506)*(AP$3&lt;='Gastos com Pessoal'!$F$7:$F$506)*(IF('Gastos com Pessoal'!$M$7:$M$506&lt;=AP$3,1,0))*OFFSET('Gastos com Pessoal'!$H$6,1,MATCH(2&amp;$B56,'Gastos com Pessoal'!$I$532:$AJ$532&amp;'Gastos com Pessoal'!$I$6:$AJ$6,0),500,1)),0)
+_xlfn.IFNA(SUM((AP$3&gt;='Gastos com Pessoal'!$E$7:$E$506)*(AP$3&lt;='Gastos com Pessoal'!$F$7:$F$506)*(IF('Gastos com Pessoal'!$S$7:$S$506&lt;=AP$3,1,0))*OFFSET('Gastos com Pessoal'!$H$6,1,MATCH(3&amp;$B56,'Gastos com Pessoal'!$I$532:$AJ$532&amp;'Gastos com Pessoal'!$I$6:$AJ$6,0),500,1)),0)
+_xlfn.IFNA(SUM((AP$3&gt;='Gastos com Pessoal'!$E$7:$E$506)*(AP$3&lt;='Gastos com Pessoal'!$F$7:$F$506)*(IF('Gastos com Pessoal'!$Y$7:$Y$506&lt;=AP$3,1,0))*OFFSET('Gastos com Pessoal'!$H$6,1,MATCH(4&amp;$B56,'Gastos com Pessoal'!$I$532:$AJ$532&amp;'Gastos com Pessoal'!$I$6:$AJ$6,0),500,1)),0)
+_xlfn.IFNA(SUM((AP$3&gt;='Gastos com Pessoal'!$E$7:$E$506)*(AP$3&lt;='Gastos com Pessoal'!$F$7:$F$506)*(IF('Gastos com Pessoal'!$AE$7:$AE$506&lt;=AP$3,1,0))*OFFSET('Gastos com Pessoal'!$H$6,1,MATCH(5&amp;$B56,'Gastos com Pessoal'!$I$532:$AJ$532&amp;'Gastos com Pessoal'!$I$6:$AJ$6,0),500,1)),0)
+_xlfn.IFNA(SUM((AP$3&gt;='Gastos com Pessoal'!$E$513:$E$522)*(AP$3&lt;='Gastos com Pessoal'!$F$513:$F$522)*(IF('Gastos com Pessoal'!$G$513:$G$522&lt;=AP$3,1,0))*OFFSET('Gastos com Pessoal'!$H$512,1,MATCH(1&amp;$B56,'Gastos com Pessoal'!$I$532:$AJ$532&amp;'Gastos com Pessoal'!$I$512:$AJ$512,0),10,1)),0)
+_xlfn.IFNA(SUM((AP$3&gt;='Gastos com Pessoal'!$E$513:$E$522)*(AP$3&lt;='Gastos com Pessoal'!$F$513:$F$522)*(IF('Gastos com Pessoal'!$M$513:$M$522&lt;=AP$3,1,0))*OFFSET('Gastos com Pessoal'!$H$512,1,MATCH(2&amp;$B56,'Gastos com Pessoal'!$I$532:$AJ$532&amp;'Gastos com Pessoal'!$I$512:$AJ$512,0),10,1)),0)
+_xlfn.IFNA(SUM((AP$3&gt;='Gastos com Pessoal'!$E$513:$E$522)*(AP$3&lt;='Gastos com Pessoal'!$F$513:$F$522)*(IF('Gastos com Pessoal'!$S$513:$S$522&lt;=AP$3,1,0))*OFFSET('Gastos com Pessoal'!$H$512,1,MATCH(3&amp;$B56,'Gastos com Pessoal'!$I$532:$AJ$532&amp;'Gastos com Pessoal'!$I$512:$AJ$512,0),10,1)),0)
+_xlfn.IFNA(SUM((AP$3&gt;='Gastos com Pessoal'!$E$513:$E$522)*(AP$3&lt;='Gastos com Pessoal'!$F$513:$F$522)*(IF('Gastos com Pessoal'!$Y$513:$Y$522&lt;=AP$3,1,0))*OFFSET('Gastos com Pessoal'!$H$512,1,MATCH(4&amp;$B56,'Gastos com Pessoal'!$I$532:$AJ$532&amp;'Gastos com Pessoal'!$I$512:$AJ$512,0),10,1)),0)
+_xlfn.IFNA(SUM((AP$3&gt;='Gastos com Pessoal'!$E$513:$E$522)*(AP$3&lt;='Gastos com Pessoal'!$F$513:$F$522)*(IF('Gastos com Pessoal'!$AE$513:$AE$522&lt;=AP$3,1,0))*OFFSET('Gastos com Pessoal'!$H$512,1,MATCH(5&amp;$B56,'Gastos com Pessoal'!$I$532:$AJ$532&amp;'Gastos com Pessoal'!$I$512:$AJ$512,0),10,1)),0)</f>
        <v>0</v>
      </c>
      <c r="AQ56" s="32">
        <f t="array" aca="1" ref="AQ56" ca="1">_xlfn.IFNA(SUM((AQ$3&gt;='Gastos com Pessoal'!$E$7:$E$506)*(AQ$3&lt;='Gastos com Pessoal'!$F$7:$F$506)*OFFSET('Encargos e Benefícios'!$D$5,1,MATCH($B56,'Encargos e Benefícios'!$E$5:$AB$5,0),500,1)),0)
+_xlfn.IFNA(SUM((AQ$3&gt;='Gastos com Pessoal'!$E$513:$E$522)*(AQ$3&lt;='Gastos com Pessoal'!$F$513:$F$522)*OFFSET('Encargos e Benefícios'!$D$511,1,MATCH($B56,'Encargos e Benefícios'!$E$511:$AB$511,0),10,1)),0)
+_xlfn.IFNA(SUM((AQ$3&gt;='Gastos com Pessoal'!$E$7:$E$506)*(AQ$3&lt;='Gastos com Pessoal'!$F$7:$F$506)*(IF('Gastos com Pessoal'!$G$7:$G$506&lt;=AQ$3,1,0))*OFFSET('Gastos com Pessoal'!$H$6,1,MATCH(1&amp;$B56,'Gastos com Pessoal'!$I$532:$AJ$532&amp;'Gastos com Pessoal'!$I$6:$AJ$6,0),500,1)),0)
+_xlfn.IFNA(SUM((AQ$3&gt;='Gastos com Pessoal'!$E$7:$E$506)*(AQ$3&lt;='Gastos com Pessoal'!$F$7:$F$506)*(IF('Gastos com Pessoal'!$M$7:$M$506&lt;=AQ$3,1,0))*OFFSET('Gastos com Pessoal'!$H$6,1,MATCH(2&amp;$B56,'Gastos com Pessoal'!$I$532:$AJ$532&amp;'Gastos com Pessoal'!$I$6:$AJ$6,0),500,1)),0)
+_xlfn.IFNA(SUM((AQ$3&gt;='Gastos com Pessoal'!$E$7:$E$506)*(AQ$3&lt;='Gastos com Pessoal'!$F$7:$F$506)*(IF('Gastos com Pessoal'!$S$7:$S$506&lt;=AQ$3,1,0))*OFFSET('Gastos com Pessoal'!$H$6,1,MATCH(3&amp;$B56,'Gastos com Pessoal'!$I$532:$AJ$532&amp;'Gastos com Pessoal'!$I$6:$AJ$6,0),500,1)),0)
+_xlfn.IFNA(SUM((AQ$3&gt;='Gastos com Pessoal'!$E$7:$E$506)*(AQ$3&lt;='Gastos com Pessoal'!$F$7:$F$506)*(IF('Gastos com Pessoal'!$Y$7:$Y$506&lt;=AQ$3,1,0))*OFFSET('Gastos com Pessoal'!$H$6,1,MATCH(4&amp;$B56,'Gastos com Pessoal'!$I$532:$AJ$532&amp;'Gastos com Pessoal'!$I$6:$AJ$6,0),500,1)),0)
+_xlfn.IFNA(SUM((AQ$3&gt;='Gastos com Pessoal'!$E$7:$E$506)*(AQ$3&lt;='Gastos com Pessoal'!$F$7:$F$506)*(IF('Gastos com Pessoal'!$AE$7:$AE$506&lt;=AQ$3,1,0))*OFFSET('Gastos com Pessoal'!$H$6,1,MATCH(5&amp;$B56,'Gastos com Pessoal'!$I$532:$AJ$532&amp;'Gastos com Pessoal'!$I$6:$AJ$6,0),500,1)),0)
+_xlfn.IFNA(SUM((AQ$3&gt;='Gastos com Pessoal'!$E$513:$E$522)*(AQ$3&lt;='Gastos com Pessoal'!$F$513:$F$522)*(IF('Gastos com Pessoal'!$G$513:$G$522&lt;=AQ$3,1,0))*OFFSET('Gastos com Pessoal'!$H$512,1,MATCH(1&amp;$B56,'Gastos com Pessoal'!$I$532:$AJ$532&amp;'Gastos com Pessoal'!$I$512:$AJ$512,0),10,1)),0)
+_xlfn.IFNA(SUM((AQ$3&gt;='Gastos com Pessoal'!$E$513:$E$522)*(AQ$3&lt;='Gastos com Pessoal'!$F$513:$F$522)*(IF('Gastos com Pessoal'!$M$513:$M$522&lt;=AQ$3,1,0))*OFFSET('Gastos com Pessoal'!$H$512,1,MATCH(2&amp;$B56,'Gastos com Pessoal'!$I$532:$AJ$532&amp;'Gastos com Pessoal'!$I$512:$AJ$512,0),10,1)),0)
+_xlfn.IFNA(SUM((AQ$3&gt;='Gastos com Pessoal'!$E$513:$E$522)*(AQ$3&lt;='Gastos com Pessoal'!$F$513:$F$522)*(IF('Gastos com Pessoal'!$S$513:$S$522&lt;=AQ$3,1,0))*OFFSET('Gastos com Pessoal'!$H$512,1,MATCH(3&amp;$B56,'Gastos com Pessoal'!$I$532:$AJ$532&amp;'Gastos com Pessoal'!$I$512:$AJ$512,0),10,1)),0)
+_xlfn.IFNA(SUM((AQ$3&gt;='Gastos com Pessoal'!$E$513:$E$522)*(AQ$3&lt;='Gastos com Pessoal'!$F$513:$F$522)*(IF('Gastos com Pessoal'!$Y$513:$Y$522&lt;=AQ$3,1,0))*OFFSET('Gastos com Pessoal'!$H$512,1,MATCH(4&amp;$B56,'Gastos com Pessoal'!$I$532:$AJ$532&amp;'Gastos com Pessoal'!$I$512:$AJ$512,0),10,1)),0)
+_xlfn.IFNA(SUM((AQ$3&gt;='Gastos com Pessoal'!$E$513:$E$522)*(AQ$3&lt;='Gastos com Pessoal'!$F$513:$F$522)*(IF('Gastos com Pessoal'!$AE$513:$AE$522&lt;=AQ$3,1,0))*OFFSET('Gastos com Pessoal'!$H$512,1,MATCH(5&amp;$B56,'Gastos com Pessoal'!$I$532:$AJ$532&amp;'Gastos com Pessoal'!$I$512:$AJ$512,0),10,1)),0)</f>
        <v>0</v>
      </c>
      <c r="AR56" s="32">
        <f t="array" aca="1" ref="AR56" ca="1">_xlfn.IFNA(SUM((AR$3&gt;='Gastos com Pessoal'!$E$7:$E$506)*(AR$3&lt;='Gastos com Pessoal'!$F$7:$F$506)*OFFSET('Encargos e Benefícios'!$D$5,1,MATCH($B56,'Encargos e Benefícios'!$E$5:$AB$5,0),500,1)),0)
+_xlfn.IFNA(SUM((AR$3&gt;='Gastos com Pessoal'!$E$513:$E$522)*(AR$3&lt;='Gastos com Pessoal'!$F$513:$F$522)*OFFSET('Encargos e Benefícios'!$D$511,1,MATCH($B56,'Encargos e Benefícios'!$E$511:$AB$511,0),10,1)),0)
+_xlfn.IFNA(SUM((AR$3&gt;='Gastos com Pessoal'!$E$7:$E$506)*(AR$3&lt;='Gastos com Pessoal'!$F$7:$F$506)*(IF('Gastos com Pessoal'!$G$7:$G$506&lt;=AR$3,1,0))*OFFSET('Gastos com Pessoal'!$H$6,1,MATCH(1&amp;$B56,'Gastos com Pessoal'!$I$532:$AJ$532&amp;'Gastos com Pessoal'!$I$6:$AJ$6,0),500,1)),0)
+_xlfn.IFNA(SUM((AR$3&gt;='Gastos com Pessoal'!$E$7:$E$506)*(AR$3&lt;='Gastos com Pessoal'!$F$7:$F$506)*(IF('Gastos com Pessoal'!$M$7:$M$506&lt;=AR$3,1,0))*OFFSET('Gastos com Pessoal'!$H$6,1,MATCH(2&amp;$B56,'Gastos com Pessoal'!$I$532:$AJ$532&amp;'Gastos com Pessoal'!$I$6:$AJ$6,0),500,1)),0)
+_xlfn.IFNA(SUM((AR$3&gt;='Gastos com Pessoal'!$E$7:$E$506)*(AR$3&lt;='Gastos com Pessoal'!$F$7:$F$506)*(IF('Gastos com Pessoal'!$S$7:$S$506&lt;=AR$3,1,0))*OFFSET('Gastos com Pessoal'!$H$6,1,MATCH(3&amp;$B56,'Gastos com Pessoal'!$I$532:$AJ$532&amp;'Gastos com Pessoal'!$I$6:$AJ$6,0),500,1)),0)
+_xlfn.IFNA(SUM((AR$3&gt;='Gastos com Pessoal'!$E$7:$E$506)*(AR$3&lt;='Gastos com Pessoal'!$F$7:$F$506)*(IF('Gastos com Pessoal'!$Y$7:$Y$506&lt;=AR$3,1,0))*OFFSET('Gastos com Pessoal'!$H$6,1,MATCH(4&amp;$B56,'Gastos com Pessoal'!$I$532:$AJ$532&amp;'Gastos com Pessoal'!$I$6:$AJ$6,0),500,1)),0)
+_xlfn.IFNA(SUM((AR$3&gt;='Gastos com Pessoal'!$E$7:$E$506)*(AR$3&lt;='Gastos com Pessoal'!$F$7:$F$506)*(IF('Gastos com Pessoal'!$AE$7:$AE$506&lt;=AR$3,1,0))*OFFSET('Gastos com Pessoal'!$H$6,1,MATCH(5&amp;$B56,'Gastos com Pessoal'!$I$532:$AJ$532&amp;'Gastos com Pessoal'!$I$6:$AJ$6,0),500,1)),0)
+_xlfn.IFNA(SUM((AR$3&gt;='Gastos com Pessoal'!$E$513:$E$522)*(AR$3&lt;='Gastos com Pessoal'!$F$513:$F$522)*(IF('Gastos com Pessoal'!$G$513:$G$522&lt;=AR$3,1,0))*OFFSET('Gastos com Pessoal'!$H$512,1,MATCH(1&amp;$B56,'Gastos com Pessoal'!$I$532:$AJ$532&amp;'Gastos com Pessoal'!$I$512:$AJ$512,0),10,1)),0)
+_xlfn.IFNA(SUM((AR$3&gt;='Gastos com Pessoal'!$E$513:$E$522)*(AR$3&lt;='Gastos com Pessoal'!$F$513:$F$522)*(IF('Gastos com Pessoal'!$M$513:$M$522&lt;=AR$3,1,0))*OFFSET('Gastos com Pessoal'!$H$512,1,MATCH(2&amp;$B56,'Gastos com Pessoal'!$I$532:$AJ$532&amp;'Gastos com Pessoal'!$I$512:$AJ$512,0),10,1)),0)
+_xlfn.IFNA(SUM((AR$3&gt;='Gastos com Pessoal'!$E$513:$E$522)*(AR$3&lt;='Gastos com Pessoal'!$F$513:$F$522)*(IF('Gastos com Pessoal'!$S$513:$S$522&lt;=AR$3,1,0))*OFFSET('Gastos com Pessoal'!$H$512,1,MATCH(3&amp;$B56,'Gastos com Pessoal'!$I$532:$AJ$532&amp;'Gastos com Pessoal'!$I$512:$AJ$512,0),10,1)),0)
+_xlfn.IFNA(SUM((AR$3&gt;='Gastos com Pessoal'!$E$513:$E$522)*(AR$3&lt;='Gastos com Pessoal'!$F$513:$F$522)*(IF('Gastos com Pessoal'!$Y$513:$Y$522&lt;=AR$3,1,0))*OFFSET('Gastos com Pessoal'!$H$512,1,MATCH(4&amp;$B56,'Gastos com Pessoal'!$I$532:$AJ$532&amp;'Gastos com Pessoal'!$I$512:$AJ$512,0),10,1)),0)
+_xlfn.IFNA(SUM((AR$3&gt;='Gastos com Pessoal'!$E$513:$E$522)*(AR$3&lt;='Gastos com Pessoal'!$F$513:$F$522)*(IF('Gastos com Pessoal'!$AE$513:$AE$522&lt;=AR$3,1,0))*OFFSET('Gastos com Pessoal'!$H$512,1,MATCH(5&amp;$B56,'Gastos com Pessoal'!$I$532:$AJ$532&amp;'Gastos com Pessoal'!$I$512:$AJ$512,0),10,1)),0)</f>
        <v>0</v>
      </c>
      <c r="AS56" s="32">
        <f t="array" aca="1" ref="AS56" ca="1">_xlfn.IFNA(SUM((AS$3&gt;='Gastos com Pessoal'!$E$7:$E$506)*(AS$3&lt;='Gastos com Pessoal'!$F$7:$F$506)*OFFSET('Encargos e Benefícios'!$D$5,1,MATCH($B56,'Encargos e Benefícios'!$E$5:$AB$5,0),500,1)),0)
+_xlfn.IFNA(SUM((AS$3&gt;='Gastos com Pessoal'!$E$513:$E$522)*(AS$3&lt;='Gastos com Pessoal'!$F$513:$F$522)*OFFSET('Encargos e Benefícios'!$D$511,1,MATCH($B56,'Encargos e Benefícios'!$E$511:$AB$511,0),10,1)),0)
+_xlfn.IFNA(SUM((AS$3&gt;='Gastos com Pessoal'!$E$7:$E$506)*(AS$3&lt;='Gastos com Pessoal'!$F$7:$F$506)*(IF('Gastos com Pessoal'!$G$7:$G$506&lt;=AS$3,1,0))*OFFSET('Gastos com Pessoal'!$H$6,1,MATCH(1&amp;$B56,'Gastos com Pessoal'!$I$532:$AJ$532&amp;'Gastos com Pessoal'!$I$6:$AJ$6,0),500,1)),0)
+_xlfn.IFNA(SUM((AS$3&gt;='Gastos com Pessoal'!$E$7:$E$506)*(AS$3&lt;='Gastos com Pessoal'!$F$7:$F$506)*(IF('Gastos com Pessoal'!$M$7:$M$506&lt;=AS$3,1,0))*OFFSET('Gastos com Pessoal'!$H$6,1,MATCH(2&amp;$B56,'Gastos com Pessoal'!$I$532:$AJ$532&amp;'Gastos com Pessoal'!$I$6:$AJ$6,0),500,1)),0)
+_xlfn.IFNA(SUM((AS$3&gt;='Gastos com Pessoal'!$E$7:$E$506)*(AS$3&lt;='Gastos com Pessoal'!$F$7:$F$506)*(IF('Gastos com Pessoal'!$S$7:$S$506&lt;=AS$3,1,0))*OFFSET('Gastos com Pessoal'!$H$6,1,MATCH(3&amp;$B56,'Gastos com Pessoal'!$I$532:$AJ$532&amp;'Gastos com Pessoal'!$I$6:$AJ$6,0),500,1)),0)
+_xlfn.IFNA(SUM((AS$3&gt;='Gastos com Pessoal'!$E$7:$E$506)*(AS$3&lt;='Gastos com Pessoal'!$F$7:$F$506)*(IF('Gastos com Pessoal'!$Y$7:$Y$506&lt;=AS$3,1,0))*OFFSET('Gastos com Pessoal'!$H$6,1,MATCH(4&amp;$B56,'Gastos com Pessoal'!$I$532:$AJ$532&amp;'Gastos com Pessoal'!$I$6:$AJ$6,0),500,1)),0)
+_xlfn.IFNA(SUM((AS$3&gt;='Gastos com Pessoal'!$E$7:$E$506)*(AS$3&lt;='Gastos com Pessoal'!$F$7:$F$506)*(IF('Gastos com Pessoal'!$AE$7:$AE$506&lt;=AS$3,1,0))*OFFSET('Gastos com Pessoal'!$H$6,1,MATCH(5&amp;$B56,'Gastos com Pessoal'!$I$532:$AJ$532&amp;'Gastos com Pessoal'!$I$6:$AJ$6,0),500,1)),0)
+_xlfn.IFNA(SUM((AS$3&gt;='Gastos com Pessoal'!$E$513:$E$522)*(AS$3&lt;='Gastos com Pessoal'!$F$513:$F$522)*(IF('Gastos com Pessoal'!$G$513:$G$522&lt;=AS$3,1,0))*OFFSET('Gastos com Pessoal'!$H$512,1,MATCH(1&amp;$B56,'Gastos com Pessoal'!$I$532:$AJ$532&amp;'Gastos com Pessoal'!$I$512:$AJ$512,0),10,1)),0)
+_xlfn.IFNA(SUM((AS$3&gt;='Gastos com Pessoal'!$E$513:$E$522)*(AS$3&lt;='Gastos com Pessoal'!$F$513:$F$522)*(IF('Gastos com Pessoal'!$M$513:$M$522&lt;=AS$3,1,0))*OFFSET('Gastos com Pessoal'!$H$512,1,MATCH(2&amp;$B56,'Gastos com Pessoal'!$I$532:$AJ$532&amp;'Gastos com Pessoal'!$I$512:$AJ$512,0),10,1)),0)
+_xlfn.IFNA(SUM((AS$3&gt;='Gastos com Pessoal'!$E$513:$E$522)*(AS$3&lt;='Gastos com Pessoal'!$F$513:$F$522)*(IF('Gastos com Pessoal'!$S$513:$S$522&lt;=AS$3,1,0))*OFFSET('Gastos com Pessoal'!$H$512,1,MATCH(3&amp;$B56,'Gastos com Pessoal'!$I$532:$AJ$532&amp;'Gastos com Pessoal'!$I$512:$AJ$512,0),10,1)),0)
+_xlfn.IFNA(SUM((AS$3&gt;='Gastos com Pessoal'!$E$513:$E$522)*(AS$3&lt;='Gastos com Pessoal'!$F$513:$F$522)*(IF('Gastos com Pessoal'!$Y$513:$Y$522&lt;=AS$3,1,0))*OFFSET('Gastos com Pessoal'!$H$512,1,MATCH(4&amp;$B56,'Gastos com Pessoal'!$I$532:$AJ$532&amp;'Gastos com Pessoal'!$I$512:$AJ$512,0),10,1)),0)
+_xlfn.IFNA(SUM((AS$3&gt;='Gastos com Pessoal'!$E$513:$E$522)*(AS$3&lt;='Gastos com Pessoal'!$F$513:$F$522)*(IF('Gastos com Pessoal'!$AE$513:$AE$522&lt;=AS$3,1,0))*OFFSET('Gastos com Pessoal'!$H$512,1,MATCH(5&amp;$B56,'Gastos com Pessoal'!$I$532:$AJ$532&amp;'Gastos com Pessoal'!$I$512:$AJ$512,0),10,1)),0)</f>
        <v>0</v>
      </c>
      <c r="AT56" s="32">
        <f t="array" aca="1" ref="AT56" ca="1">_xlfn.IFNA(SUM((AT$3&gt;='Gastos com Pessoal'!$E$7:$E$506)*(AT$3&lt;='Gastos com Pessoal'!$F$7:$F$506)*OFFSET('Encargos e Benefícios'!$D$5,1,MATCH($B56,'Encargos e Benefícios'!$E$5:$AB$5,0),500,1)),0)
+_xlfn.IFNA(SUM((AT$3&gt;='Gastos com Pessoal'!$E$513:$E$522)*(AT$3&lt;='Gastos com Pessoal'!$F$513:$F$522)*OFFSET('Encargos e Benefícios'!$D$511,1,MATCH($B56,'Encargos e Benefícios'!$E$511:$AB$511,0),10,1)),0)
+_xlfn.IFNA(SUM((AT$3&gt;='Gastos com Pessoal'!$E$7:$E$506)*(AT$3&lt;='Gastos com Pessoal'!$F$7:$F$506)*(IF('Gastos com Pessoal'!$G$7:$G$506&lt;=AT$3,1,0))*OFFSET('Gastos com Pessoal'!$H$6,1,MATCH(1&amp;$B56,'Gastos com Pessoal'!$I$532:$AJ$532&amp;'Gastos com Pessoal'!$I$6:$AJ$6,0),500,1)),0)
+_xlfn.IFNA(SUM((AT$3&gt;='Gastos com Pessoal'!$E$7:$E$506)*(AT$3&lt;='Gastos com Pessoal'!$F$7:$F$506)*(IF('Gastos com Pessoal'!$M$7:$M$506&lt;=AT$3,1,0))*OFFSET('Gastos com Pessoal'!$H$6,1,MATCH(2&amp;$B56,'Gastos com Pessoal'!$I$532:$AJ$532&amp;'Gastos com Pessoal'!$I$6:$AJ$6,0),500,1)),0)
+_xlfn.IFNA(SUM((AT$3&gt;='Gastos com Pessoal'!$E$7:$E$506)*(AT$3&lt;='Gastos com Pessoal'!$F$7:$F$506)*(IF('Gastos com Pessoal'!$S$7:$S$506&lt;=AT$3,1,0))*OFFSET('Gastos com Pessoal'!$H$6,1,MATCH(3&amp;$B56,'Gastos com Pessoal'!$I$532:$AJ$532&amp;'Gastos com Pessoal'!$I$6:$AJ$6,0),500,1)),0)
+_xlfn.IFNA(SUM((AT$3&gt;='Gastos com Pessoal'!$E$7:$E$506)*(AT$3&lt;='Gastos com Pessoal'!$F$7:$F$506)*(IF('Gastos com Pessoal'!$Y$7:$Y$506&lt;=AT$3,1,0))*OFFSET('Gastos com Pessoal'!$H$6,1,MATCH(4&amp;$B56,'Gastos com Pessoal'!$I$532:$AJ$532&amp;'Gastos com Pessoal'!$I$6:$AJ$6,0),500,1)),0)
+_xlfn.IFNA(SUM((AT$3&gt;='Gastos com Pessoal'!$E$7:$E$506)*(AT$3&lt;='Gastos com Pessoal'!$F$7:$F$506)*(IF('Gastos com Pessoal'!$AE$7:$AE$506&lt;=AT$3,1,0))*OFFSET('Gastos com Pessoal'!$H$6,1,MATCH(5&amp;$B56,'Gastos com Pessoal'!$I$532:$AJ$532&amp;'Gastos com Pessoal'!$I$6:$AJ$6,0),500,1)),0)
+_xlfn.IFNA(SUM((AT$3&gt;='Gastos com Pessoal'!$E$513:$E$522)*(AT$3&lt;='Gastos com Pessoal'!$F$513:$F$522)*(IF('Gastos com Pessoal'!$G$513:$G$522&lt;=AT$3,1,0))*OFFSET('Gastos com Pessoal'!$H$512,1,MATCH(1&amp;$B56,'Gastos com Pessoal'!$I$532:$AJ$532&amp;'Gastos com Pessoal'!$I$512:$AJ$512,0),10,1)),0)
+_xlfn.IFNA(SUM((AT$3&gt;='Gastos com Pessoal'!$E$513:$E$522)*(AT$3&lt;='Gastos com Pessoal'!$F$513:$F$522)*(IF('Gastos com Pessoal'!$M$513:$M$522&lt;=AT$3,1,0))*OFFSET('Gastos com Pessoal'!$H$512,1,MATCH(2&amp;$B56,'Gastos com Pessoal'!$I$532:$AJ$532&amp;'Gastos com Pessoal'!$I$512:$AJ$512,0),10,1)),0)
+_xlfn.IFNA(SUM((AT$3&gt;='Gastos com Pessoal'!$E$513:$E$522)*(AT$3&lt;='Gastos com Pessoal'!$F$513:$F$522)*(IF('Gastos com Pessoal'!$S$513:$S$522&lt;=AT$3,1,0))*OFFSET('Gastos com Pessoal'!$H$512,1,MATCH(3&amp;$B56,'Gastos com Pessoal'!$I$532:$AJ$532&amp;'Gastos com Pessoal'!$I$512:$AJ$512,0),10,1)),0)
+_xlfn.IFNA(SUM((AT$3&gt;='Gastos com Pessoal'!$E$513:$E$522)*(AT$3&lt;='Gastos com Pessoal'!$F$513:$F$522)*(IF('Gastos com Pessoal'!$Y$513:$Y$522&lt;=AT$3,1,0))*OFFSET('Gastos com Pessoal'!$H$512,1,MATCH(4&amp;$B56,'Gastos com Pessoal'!$I$532:$AJ$532&amp;'Gastos com Pessoal'!$I$512:$AJ$512,0),10,1)),0)
+_xlfn.IFNA(SUM((AT$3&gt;='Gastos com Pessoal'!$E$513:$E$522)*(AT$3&lt;='Gastos com Pessoal'!$F$513:$F$522)*(IF('Gastos com Pessoal'!$AE$513:$AE$522&lt;=AT$3,1,0))*OFFSET('Gastos com Pessoal'!$H$512,1,MATCH(5&amp;$B56,'Gastos com Pessoal'!$I$532:$AJ$532&amp;'Gastos com Pessoal'!$I$512:$AJ$512,0),10,1)),0)</f>
        <v>0</v>
      </c>
      <c r="AU56" s="32">
        <f t="array" aca="1" ref="AU56" ca="1">_xlfn.IFNA(SUM((AU$3&gt;='Gastos com Pessoal'!$E$7:$E$506)*(AU$3&lt;='Gastos com Pessoal'!$F$7:$F$506)*OFFSET('Encargos e Benefícios'!$D$5,1,MATCH($B56,'Encargos e Benefícios'!$E$5:$AB$5,0),500,1)),0)
+_xlfn.IFNA(SUM((AU$3&gt;='Gastos com Pessoal'!$E$513:$E$522)*(AU$3&lt;='Gastos com Pessoal'!$F$513:$F$522)*OFFSET('Encargos e Benefícios'!$D$511,1,MATCH($B56,'Encargos e Benefícios'!$E$511:$AB$511,0),10,1)),0)
+_xlfn.IFNA(SUM((AU$3&gt;='Gastos com Pessoal'!$E$7:$E$506)*(AU$3&lt;='Gastos com Pessoal'!$F$7:$F$506)*(IF('Gastos com Pessoal'!$G$7:$G$506&lt;=AU$3,1,0))*OFFSET('Gastos com Pessoal'!$H$6,1,MATCH(1&amp;$B56,'Gastos com Pessoal'!$I$532:$AJ$532&amp;'Gastos com Pessoal'!$I$6:$AJ$6,0),500,1)),0)
+_xlfn.IFNA(SUM((AU$3&gt;='Gastos com Pessoal'!$E$7:$E$506)*(AU$3&lt;='Gastos com Pessoal'!$F$7:$F$506)*(IF('Gastos com Pessoal'!$M$7:$M$506&lt;=AU$3,1,0))*OFFSET('Gastos com Pessoal'!$H$6,1,MATCH(2&amp;$B56,'Gastos com Pessoal'!$I$532:$AJ$532&amp;'Gastos com Pessoal'!$I$6:$AJ$6,0),500,1)),0)
+_xlfn.IFNA(SUM((AU$3&gt;='Gastos com Pessoal'!$E$7:$E$506)*(AU$3&lt;='Gastos com Pessoal'!$F$7:$F$506)*(IF('Gastos com Pessoal'!$S$7:$S$506&lt;=AU$3,1,0))*OFFSET('Gastos com Pessoal'!$H$6,1,MATCH(3&amp;$B56,'Gastos com Pessoal'!$I$532:$AJ$532&amp;'Gastos com Pessoal'!$I$6:$AJ$6,0),500,1)),0)
+_xlfn.IFNA(SUM((AU$3&gt;='Gastos com Pessoal'!$E$7:$E$506)*(AU$3&lt;='Gastos com Pessoal'!$F$7:$F$506)*(IF('Gastos com Pessoal'!$Y$7:$Y$506&lt;=AU$3,1,0))*OFFSET('Gastos com Pessoal'!$H$6,1,MATCH(4&amp;$B56,'Gastos com Pessoal'!$I$532:$AJ$532&amp;'Gastos com Pessoal'!$I$6:$AJ$6,0),500,1)),0)
+_xlfn.IFNA(SUM((AU$3&gt;='Gastos com Pessoal'!$E$7:$E$506)*(AU$3&lt;='Gastos com Pessoal'!$F$7:$F$506)*(IF('Gastos com Pessoal'!$AE$7:$AE$506&lt;=AU$3,1,0))*OFFSET('Gastos com Pessoal'!$H$6,1,MATCH(5&amp;$B56,'Gastos com Pessoal'!$I$532:$AJ$532&amp;'Gastos com Pessoal'!$I$6:$AJ$6,0),500,1)),0)
+_xlfn.IFNA(SUM((AU$3&gt;='Gastos com Pessoal'!$E$513:$E$522)*(AU$3&lt;='Gastos com Pessoal'!$F$513:$F$522)*(IF('Gastos com Pessoal'!$G$513:$G$522&lt;=AU$3,1,0))*OFFSET('Gastos com Pessoal'!$H$512,1,MATCH(1&amp;$B56,'Gastos com Pessoal'!$I$532:$AJ$532&amp;'Gastos com Pessoal'!$I$512:$AJ$512,0),10,1)),0)
+_xlfn.IFNA(SUM((AU$3&gt;='Gastos com Pessoal'!$E$513:$E$522)*(AU$3&lt;='Gastos com Pessoal'!$F$513:$F$522)*(IF('Gastos com Pessoal'!$M$513:$M$522&lt;=AU$3,1,0))*OFFSET('Gastos com Pessoal'!$H$512,1,MATCH(2&amp;$B56,'Gastos com Pessoal'!$I$532:$AJ$532&amp;'Gastos com Pessoal'!$I$512:$AJ$512,0),10,1)),0)
+_xlfn.IFNA(SUM((AU$3&gt;='Gastos com Pessoal'!$E$513:$E$522)*(AU$3&lt;='Gastos com Pessoal'!$F$513:$F$522)*(IF('Gastos com Pessoal'!$S$513:$S$522&lt;=AU$3,1,0))*OFFSET('Gastos com Pessoal'!$H$512,1,MATCH(3&amp;$B56,'Gastos com Pessoal'!$I$532:$AJ$532&amp;'Gastos com Pessoal'!$I$512:$AJ$512,0),10,1)),0)
+_xlfn.IFNA(SUM((AU$3&gt;='Gastos com Pessoal'!$E$513:$E$522)*(AU$3&lt;='Gastos com Pessoal'!$F$513:$F$522)*(IF('Gastos com Pessoal'!$Y$513:$Y$522&lt;=AU$3,1,0))*OFFSET('Gastos com Pessoal'!$H$512,1,MATCH(4&amp;$B56,'Gastos com Pessoal'!$I$532:$AJ$532&amp;'Gastos com Pessoal'!$I$512:$AJ$512,0),10,1)),0)
+_xlfn.IFNA(SUM((AU$3&gt;='Gastos com Pessoal'!$E$513:$E$522)*(AU$3&lt;='Gastos com Pessoal'!$F$513:$F$522)*(IF('Gastos com Pessoal'!$AE$513:$AE$522&lt;=AU$3,1,0))*OFFSET('Gastos com Pessoal'!$H$512,1,MATCH(5&amp;$B56,'Gastos com Pessoal'!$I$532:$AJ$532&amp;'Gastos com Pessoal'!$I$512:$AJ$512,0),10,1)),0)</f>
        <v>0</v>
      </c>
      <c r="AV56" s="32">
        <f t="array" aca="1" ref="AV56" ca="1">_xlfn.IFNA(SUM((AV$3&gt;='Gastos com Pessoal'!$E$7:$E$506)*(AV$3&lt;='Gastos com Pessoal'!$F$7:$F$506)*OFFSET('Encargos e Benefícios'!$D$5,1,MATCH($B56,'Encargos e Benefícios'!$E$5:$AB$5,0),500,1)),0)
+_xlfn.IFNA(SUM((AV$3&gt;='Gastos com Pessoal'!$E$513:$E$522)*(AV$3&lt;='Gastos com Pessoal'!$F$513:$F$522)*OFFSET('Encargos e Benefícios'!$D$511,1,MATCH($B56,'Encargos e Benefícios'!$E$511:$AB$511,0),10,1)),0)
+_xlfn.IFNA(SUM((AV$3&gt;='Gastos com Pessoal'!$E$7:$E$506)*(AV$3&lt;='Gastos com Pessoal'!$F$7:$F$506)*(IF('Gastos com Pessoal'!$G$7:$G$506&lt;=AV$3,1,0))*OFFSET('Gastos com Pessoal'!$H$6,1,MATCH(1&amp;$B56,'Gastos com Pessoal'!$I$532:$AJ$532&amp;'Gastos com Pessoal'!$I$6:$AJ$6,0),500,1)),0)
+_xlfn.IFNA(SUM((AV$3&gt;='Gastos com Pessoal'!$E$7:$E$506)*(AV$3&lt;='Gastos com Pessoal'!$F$7:$F$506)*(IF('Gastos com Pessoal'!$M$7:$M$506&lt;=AV$3,1,0))*OFFSET('Gastos com Pessoal'!$H$6,1,MATCH(2&amp;$B56,'Gastos com Pessoal'!$I$532:$AJ$532&amp;'Gastos com Pessoal'!$I$6:$AJ$6,0),500,1)),0)
+_xlfn.IFNA(SUM((AV$3&gt;='Gastos com Pessoal'!$E$7:$E$506)*(AV$3&lt;='Gastos com Pessoal'!$F$7:$F$506)*(IF('Gastos com Pessoal'!$S$7:$S$506&lt;=AV$3,1,0))*OFFSET('Gastos com Pessoal'!$H$6,1,MATCH(3&amp;$B56,'Gastos com Pessoal'!$I$532:$AJ$532&amp;'Gastos com Pessoal'!$I$6:$AJ$6,0),500,1)),0)
+_xlfn.IFNA(SUM((AV$3&gt;='Gastos com Pessoal'!$E$7:$E$506)*(AV$3&lt;='Gastos com Pessoal'!$F$7:$F$506)*(IF('Gastos com Pessoal'!$Y$7:$Y$506&lt;=AV$3,1,0))*OFFSET('Gastos com Pessoal'!$H$6,1,MATCH(4&amp;$B56,'Gastos com Pessoal'!$I$532:$AJ$532&amp;'Gastos com Pessoal'!$I$6:$AJ$6,0),500,1)),0)
+_xlfn.IFNA(SUM((AV$3&gt;='Gastos com Pessoal'!$E$7:$E$506)*(AV$3&lt;='Gastos com Pessoal'!$F$7:$F$506)*(IF('Gastos com Pessoal'!$AE$7:$AE$506&lt;=AV$3,1,0))*OFFSET('Gastos com Pessoal'!$H$6,1,MATCH(5&amp;$B56,'Gastos com Pessoal'!$I$532:$AJ$532&amp;'Gastos com Pessoal'!$I$6:$AJ$6,0),500,1)),0)
+_xlfn.IFNA(SUM((AV$3&gt;='Gastos com Pessoal'!$E$513:$E$522)*(AV$3&lt;='Gastos com Pessoal'!$F$513:$F$522)*(IF('Gastos com Pessoal'!$G$513:$G$522&lt;=AV$3,1,0))*OFFSET('Gastos com Pessoal'!$H$512,1,MATCH(1&amp;$B56,'Gastos com Pessoal'!$I$532:$AJ$532&amp;'Gastos com Pessoal'!$I$512:$AJ$512,0),10,1)),0)
+_xlfn.IFNA(SUM((AV$3&gt;='Gastos com Pessoal'!$E$513:$E$522)*(AV$3&lt;='Gastos com Pessoal'!$F$513:$F$522)*(IF('Gastos com Pessoal'!$M$513:$M$522&lt;=AV$3,1,0))*OFFSET('Gastos com Pessoal'!$H$512,1,MATCH(2&amp;$B56,'Gastos com Pessoal'!$I$532:$AJ$532&amp;'Gastos com Pessoal'!$I$512:$AJ$512,0),10,1)),0)
+_xlfn.IFNA(SUM((AV$3&gt;='Gastos com Pessoal'!$E$513:$E$522)*(AV$3&lt;='Gastos com Pessoal'!$F$513:$F$522)*(IF('Gastos com Pessoal'!$S$513:$S$522&lt;=AV$3,1,0))*OFFSET('Gastos com Pessoal'!$H$512,1,MATCH(3&amp;$B56,'Gastos com Pessoal'!$I$532:$AJ$532&amp;'Gastos com Pessoal'!$I$512:$AJ$512,0),10,1)),0)
+_xlfn.IFNA(SUM((AV$3&gt;='Gastos com Pessoal'!$E$513:$E$522)*(AV$3&lt;='Gastos com Pessoal'!$F$513:$F$522)*(IF('Gastos com Pessoal'!$Y$513:$Y$522&lt;=AV$3,1,0))*OFFSET('Gastos com Pessoal'!$H$512,1,MATCH(4&amp;$B56,'Gastos com Pessoal'!$I$532:$AJ$532&amp;'Gastos com Pessoal'!$I$512:$AJ$512,0),10,1)),0)
+_xlfn.IFNA(SUM((AV$3&gt;='Gastos com Pessoal'!$E$513:$E$522)*(AV$3&lt;='Gastos com Pessoal'!$F$513:$F$522)*(IF('Gastos com Pessoal'!$AE$513:$AE$522&lt;=AV$3,1,0))*OFFSET('Gastos com Pessoal'!$H$512,1,MATCH(5&amp;$B56,'Gastos com Pessoal'!$I$532:$AJ$532&amp;'Gastos com Pessoal'!$I$512:$AJ$512,0),10,1)),0)</f>
        <v>0</v>
      </c>
      <c r="AW56" s="32">
        <f t="array" aca="1" ref="AW56" ca="1">_xlfn.IFNA(SUM((AW$3&gt;='Gastos com Pessoal'!$E$7:$E$506)*(AW$3&lt;='Gastos com Pessoal'!$F$7:$F$506)*OFFSET('Encargos e Benefícios'!$D$5,1,MATCH($B56,'Encargos e Benefícios'!$E$5:$AB$5,0),500,1)),0)
+_xlfn.IFNA(SUM((AW$3&gt;='Gastos com Pessoal'!$E$513:$E$522)*(AW$3&lt;='Gastos com Pessoal'!$F$513:$F$522)*OFFSET('Encargos e Benefícios'!$D$511,1,MATCH($B56,'Encargos e Benefícios'!$E$511:$AB$511,0),10,1)),0)
+_xlfn.IFNA(SUM((AW$3&gt;='Gastos com Pessoal'!$E$7:$E$506)*(AW$3&lt;='Gastos com Pessoal'!$F$7:$F$506)*(IF('Gastos com Pessoal'!$G$7:$G$506&lt;=AW$3,1,0))*OFFSET('Gastos com Pessoal'!$H$6,1,MATCH(1&amp;$B56,'Gastos com Pessoal'!$I$532:$AJ$532&amp;'Gastos com Pessoal'!$I$6:$AJ$6,0),500,1)),0)
+_xlfn.IFNA(SUM((AW$3&gt;='Gastos com Pessoal'!$E$7:$E$506)*(AW$3&lt;='Gastos com Pessoal'!$F$7:$F$506)*(IF('Gastos com Pessoal'!$M$7:$M$506&lt;=AW$3,1,0))*OFFSET('Gastos com Pessoal'!$H$6,1,MATCH(2&amp;$B56,'Gastos com Pessoal'!$I$532:$AJ$532&amp;'Gastos com Pessoal'!$I$6:$AJ$6,0),500,1)),0)
+_xlfn.IFNA(SUM((AW$3&gt;='Gastos com Pessoal'!$E$7:$E$506)*(AW$3&lt;='Gastos com Pessoal'!$F$7:$F$506)*(IF('Gastos com Pessoal'!$S$7:$S$506&lt;=AW$3,1,0))*OFFSET('Gastos com Pessoal'!$H$6,1,MATCH(3&amp;$B56,'Gastos com Pessoal'!$I$532:$AJ$532&amp;'Gastos com Pessoal'!$I$6:$AJ$6,0),500,1)),0)
+_xlfn.IFNA(SUM((AW$3&gt;='Gastos com Pessoal'!$E$7:$E$506)*(AW$3&lt;='Gastos com Pessoal'!$F$7:$F$506)*(IF('Gastos com Pessoal'!$Y$7:$Y$506&lt;=AW$3,1,0))*OFFSET('Gastos com Pessoal'!$H$6,1,MATCH(4&amp;$B56,'Gastos com Pessoal'!$I$532:$AJ$532&amp;'Gastos com Pessoal'!$I$6:$AJ$6,0),500,1)),0)
+_xlfn.IFNA(SUM((AW$3&gt;='Gastos com Pessoal'!$E$7:$E$506)*(AW$3&lt;='Gastos com Pessoal'!$F$7:$F$506)*(IF('Gastos com Pessoal'!$AE$7:$AE$506&lt;=AW$3,1,0))*OFFSET('Gastos com Pessoal'!$H$6,1,MATCH(5&amp;$B56,'Gastos com Pessoal'!$I$532:$AJ$532&amp;'Gastos com Pessoal'!$I$6:$AJ$6,0),500,1)),0)
+_xlfn.IFNA(SUM((AW$3&gt;='Gastos com Pessoal'!$E$513:$E$522)*(AW$3&lt;='Gastos com Pessoal'!$F$513:$F$522)*(IF('Gastos com Pessoal'!$G$513:$G$522&lt;=AW$3,1,0))*OFFSET('Gastos com Pessoal'!$H$512,1,MATCH(1&amp;$B56,'Gastos com Pessoal'!$I$532:$AJ$532&amp;'Gastos com Pessoal'!$I$512:$AJ$512,0),10,1)),0)
+_xlfn.IFNA(SUM((AW$3&gt;='Gastos com Pessoal'!$E$513:$E$522)*(AW$3&lt;='Gastos com Pessoal'!$F$513:$F$522)*(IF('Gastos com Pessoal'!$M$513:$M$522&lt;=AW$3,1,0))*OFFSET('Gastos com Pessoal'!$H$512,1,MATCH(2&amp;$B56,'Gastos com Pessoal'!$I$532:$AJ$532&amp;'Gastos com Pessoal'!$I$512:$AJ$512,0),10,1)),0)
+_xlfn.IFNA(SUM((AW$3&gt;='Gastos com Pessoal'!$E$513:$E$522)*(AW$3&lt;='Gastos com Pessoal'!$F$513:$F$522)*(IF('Gastos com Pessoal'!$S$513:$S$522&lt;=AW$3,1,0))*OFFSET('Gastos com Pessoal'!$H$512,1,MATCH(3&amp;$B56,'Gastos com Pessoal'!$I$532:$AJ$532&amp;'Gastos com Pessoal'!$I$512:$AJ$512,0),10,1)),0)
+_xlfn.IFNA(SUM((AW$3&gt;='Gastos com Pessoal'!$E$513:$E$522)*(AW$3&lt;='Gastos com Pessoal'!$F$513:$F$522)*(IF('Gastos com Pessoal'!$Y$513:$Y$522&lt;=AW$3,1,0))*OFFSET('Gastos com Pessoal'!$H$512,1,MATCH(4&amp;$B56,'Gastos com Pessoal'!$I$532:$AJ$532&amp;'Gastos com Pessoal'!$I$512:$AJ$512,0),10,1)),0)
+_xlfn.IFNA(SUM((AW$3&gt;='Gastos com Pessoal'!$E$513:$E$522)*(AW$3&lt;='Gastos com Pessoal'!$F$513:$F$522)*(IF('Gastos com Pessoal'!$AE$513:$AE$522&lt;=AW$3,1,0))*OFFSET('Gastos com Pessoal'!$H$512,1,MATCH(5&amp;$B56,'Gastos com Pessoal'!$I$532:$AJ$532&amp;'Gastos com Pessoal'!$I$512:$AJ$512,0),10,1)),0)</f>
        <v>0</v>
      </c>
      <c r="AX56" s="32">
        <f t="array" aca="1" ref="AX56" ca="1">_xlfn.IFNA(SUM((AX$3&gt;='Gastos com Pessoal'!$E$7:$E$506)*(AX$3&lt;='Gastos com Pessoal'!$F$7:$F$506)*OFFSET('Encargos e Benefícios'!$D$5,1,MATCH($B56,'Encargos e Benefícios'!$E$5:$AB$5,0),500,1)),0)
+_xlfn.IFNA(SUM((AX$3&gt;='Gastos com Pessoal'!$E$513:$E$522)*(AX$3&lt;='Gastos com Pessoal'!$F$513:$F$522)*OFFSET('Encargos e Benefícios'!$D$511,1,MATCH($B56,'Encargos e Benefícios'!$E$511:$AB$511,0),10,1)),0)
+_xlfn.IFNA(SUM((AX$3&gt;='Gastos com Pessoal'!$E$7:$E$506)*(AX$3&lt;='Gastos com Pessoal'!$F$7:$F$506)*(IF('Gastos com Pessoal'!$G$7:$G$506&lt;=AX$3,1,0))*OFFSET('Gastos com Pessoal'!$H$6,1,MATCH(1&amp;$B56,'Gastos com Pessoal'!$I$532:$AJ$532&amp;'Gastos com Pessoal'!$I$6:$AJ$6,0),500,1)),0)
+_xlfn.IFNA(SUM((AX$3&gt;='Gastos com Pessoal'!$E$7:$E$506)*(AX$3&lt;='Gastos com Pessoal'!$F$7:$F$506)*(IF('Gastos com Pessoal'!$M$7:$M$506&lt;=AX$3,1,0))*OFFSET('Gastos com Pessoal'!$H$6,1,MATCH(2&amp;$B56,'Gastos com Pessoal'!$I$532:$AJ$532&amp;'Gastos com Pessoal'!$I$6:$AJ$6,0),500,1)),0)
+_xlfn.IFNA(SUM((AX$3&gt;='Gastos com Pessoal'!$E$7:$E$506)*(AX$3&lt;='Gastos com Pessoal'!$F$7:$F$506)*(IF('Gastos com Pessoal'!$S$7:$S$506&lt;=AX$3,1,0))*OFFSET('Gastos com Pessoal'!$H$6,1,MATCH(3&amp;$B56,'Gastos com Pessoal'!$I$532:$AJ$532&amp;'Gastos com Pessoal'!$I$6:$AJ$6,0),500,1)),0)
+_xlfn.IFNA(SUM((AX$3&gt;='Gastos com Pessoal'!$E$7:$E$506)*(AX$3&lt;='Gastos com Pessoal'!$F$7:$F$506)*(IF('Gastos com Pessoal'!$Y$7:$Y$506&lt;=AX$3,1,0))*OFFSET('Gastos com Pessoal'!$H$6,1,MATCH(4&amp;$B56,'Gastos com Pessoal'!$I$532:$AJ$532&amp;'Gastos com Pessoal'!$I$6:$AJ$6,0),500,1)),0)
+_xlfn.IFNA(SUM((AX$3&gt;='Gastos com Pessoal'!$E$7:$E$506)*(AX$3&lt;='Gastos com Pessoal'!$F$7:$F$506)*(IF('Gastos com Pessoal'!$AE$7:$AE$506&lt;=AX$3,1,0))*OFFSET('Gastos com Pessoal'!$H$6,1,MATCH(5&amp;$B56,'Gastos com Pessoal'!$I$532:$AJ$532&amp;'Gastos com Pessoal'!$I$6:$AJ$6,0),500,1)),0)
+_xlfn.IFNA(SUM((AX$3&gt;='Gastos com Pessoal'!$E$513:$E$522)*(AX$3&lt;='Gastos com Pessoal'!$F$513:$F$522)*(IF('Gastos com Pessoal'!$G$513:$G$522&lt;=AX$3,1,0))*OFFSET('Gastos com Pessoal'!$H$512,1,MATCH(1&amp;$B56,'Gastos com Pessoal'!$I$532:$AJ$532&amp;'Gastos com Pessoal'!$I$512:$AJ$512,0),10,1)),0)
+_xlfn.IFNA(SUM((AX$3&gt;='Gastos com Pessoal'!$E$513:$E$522)*(AX$3&lt;='Gastos com Pessoal'!$F$513:$F$522)*(IF('Gastos com Pessoal'!$M$513:$M$522&lt;=AX$3,1,0))*OFFSET('Gastos com Pessoal'!$H$512,1,MATCH(2&amp;$B56,'Gastos com Pessoal'!$I$532:$AJ$532&amp;'Gastos com Pessoal'!$I$512:$AJ$512,0),10,1)),0)
+_xlfn.IFNA(SUM((AX$3&gt;='Gastos com Pessoal'!$E$513:$E$522)*(AX$3&lt;='Gastos com Pessoal'!$F$513:$F$522)*(IF('Gastos com Pessoal'!$S$513:$S$522&lt;=AX$3,1,0))*OFFSET('Gastos com Pessoal'!$H$512,1,MATCH(3&amp;$B56,'Gastos com Pessoal'!$I$532:$AJ$532&amp;'Gastos com Pessoal'!$I$512:$AJ$512,0),10,1)),0)
+_xlfn.IFNA(SUM((AX$3&gt;='Gastos com Pessoal'!$E$513:$E$522)*(AX$3&lt;='Gastos com Pessoal'!$F$513:$F$522)*(IF('Gastos com Pessoal'!$Y$513:$Y$522&lt;=AX$3,1,0))*OFFSET('Gastos com Pessoal'!$H$512,1,MATCH(4&amp;$B56,'Gastos com Pessoal'!$I$532:$AJ$532&amp;'Gastos com Pessoal'!$I$512:$AJ$512,0),10,1)),0)
+_xlfn.IFNA(SUM((AX$3&gt;='Gastos com Pessoal'!$E$513:$E$522)*(AX$3&lt;='Gastos com Pessoal'!$F$513:$F$522)*(IF('Gastos com Pessoal'!$AE$513:$AE$522&lt;=AX$3,1,0))*OFFSET('Gastos com Pessoal'!$H$512,1,MATCH(5&amp;$B56,'Gastos com Pessoal'!$I$532:$AJ$532&amp;'Gastos com Pessoal'!$I$512:$AJ$512,0),10,1)),0)</f>
        <v>0</v>
      </c>
      <c r="AY56" s="32">
        <f t="array" aca="1" ref="AY56" ca="1">_xlfn.IFNA(SUM((AY$3&gt;='Gastos com Pessoal'!$E$7:$E$506)*(AY$3&lt;='Gastos com Pessoal'!$F$7:$F$506)*OFFSET('Encargos e Benefícios'!$D$5,1,MATCH($B56,'Encargos e Benefícios'!$E$5:$AB$5,0),500,1)),0)
+_xlfn.IFNA(SUM((AY$3&gt;='Gastos com Pessoal'!$E$513:$E$522)*(AY$3&lt;='Gastos com Pessoal'!$F$513:$F$522)*OFFSET('Encargos e Benefícios'!$D$511,1,MATCH($B56,'Encargos e Benefícios'!$E$511:$AB$511,0),10,1)),0)
+_xlfn.IFNA(SUM((AY$3&gt;='Gastos com Pessoal'!$E$7:$E$506)*(AY$3&lt;='Gastos com Pessoal'!$F$7:$F$506)*(IF('Gastos com Pessoal'!$G$7:$G$506&lt;=AY$3,1,0))*OFFSET('Gastos com Pessoal'!$H$6,1,MATCH(1&amp;$B56,'Gastos com Pessoal'!$I$532:$AJ$532&amp;'Gastos com Pessoal'!$I$6:$AJ$6,0),500,1)),0)
+_xlfn.IFNA(SUM((AY$3&gt;='Gastos com Pessoal'!$E$7:$E$506)*(AY$3&lt;='Gastos com Pessoal'!$F$7:$F$506)*(IF('Gastos com Pessoal'!$M$7:$M$506&lt;=AY$3,1,0))*OFFSET('Gastos com Pessoal'!$H$6,1,MATCH(2&amp;$B56,'Gastos com Pessoal'!$I$532:$AJ$532&amp;'Gastos com Pessoal'!$I$6:$AJ$6,0),500,1)),0)
+_xlfn.IFNA(SUM((AY$3&gt;='Gastos com Pessoal'!$E$7:$E$506)*(AY$3&lt;='Gastos com Pessoal'!$F$7:$F$506)*(IF('Gastos com Pessoal'!$S$7:$S$506&lt;=AY$3,1,0))*OFFSET('Gastos com Pessoal'!$H$6,1,MATCH(3&amp;$B56,'Gastos com Pessoal'!$I$532:$AJ$532&amp;'Gastos com Pessoal'!$I$6:$AJ$6,0),500,1)),0)
+_xlfn.IFNA(SUM((AY$3&gt;='Gastos com Pessoal'!$E$7:$E$506)*(AY$3&lt;='Gastos com Pessoal'!$F$7:$F$506)*(IF('Gastos com Pessoal'!$Y$7:$Y$506&lt;=AY$3,1,0))*OFFSET('Gastos com Pessoal'!$H$6,1,MATCH(4&amp;$B56,'Gastos com Pessoal'!$I$532:$AJ$532&amp;'Gastos com Pessoal'!$I$6:$AJ$6,0),500,1)),0)
+_xlfn.IFNA(SUM((AY$3&gt;='Gastos com Pessoal'!$E$7:$E$506)*(AY$3&lt;='Gastos com Pessoal'!$F$7:$F$506)*(IF('Gastos com Pessoal'!$AE$7:$AE$506&lt;=AY$3,1,0))*OFFSET('Gastos com Pessoal'!$H$6,1,MATCH(5&amp;$B56,'Gastos com Pessoal'!$I$532:$AJ$532&amp;'Gastos com Pessoal'!$I$6:$AJ$6,0),500,1)),0)
+_xlfn.IFNA(SUM((AY$3&gt;='Gastos com Pessoal'!$E$513:$E$522)*(AY$3&lt;='Gastos com Pessoal'!$F$513:$F$522)*(IF('Gastos com Pessoal'!$G$513:$G$522&lt;=AY$3,1,0))*OFFSET('Gastos com Pessoal'!$H$512,1,MATCH(1&amp;$B56,'Gastos com Pessoal'!$I$532:$AJ$532&amp;'Gastos com Pessoal'!$I$512:$AJ$512,0),10,1)),0)
+_xlfn.IFNA(SUM((AY$3&gt;='Gastos com Pessoal'!$E$513:$E$522)*(AY$3&lt;='Gastos com Pessoal'!$F$513:$F$522)*(IF('Gastos com Pessoal'!$M$513:$M$522&lt;=AY$3,1,0))*OFFSET('Gastos com Pessoal'!$H$512,1,MATCH(2&amp;$B56,'Gastos com Pessoal'!$I$532:$AJ$532&amp;'Gastos com Pessoal'!$I$512:$AJ$512,0),10,1)),0)
+_xlfn.IFNA(SUM((AY$3&gt;='Gastos com Pessoal'!$E$513:$E$522)*(AY$3&lt;='Gastos com Pessoal'!$F$513:$F$522)*(IF('Gastos com Pessoal'!$S$513:$S$522&lt;=AY$3,1,0))*OFFSET('Gastos com Pessoal'!$H$512,1,MATCH(3&amp;$B56,'Gastos com Pessoal'!$I$532:$AJ$532&amp;'Gastos com Pessoal'!$I$512:$AJ$512,0),10,1)),0)
+_xlfn.IFNA(SUM((AY$3&gt;='Gastos com Pessoal'!$E$513:$E$522)*(AY$3&lt;='Gastos com Pessoal'!$F$513:$F$522)*(IF('Gastos com Pessoal'!$Y$513:$Y$522&lt;=AY$3,1,0))*OFFSET('Gastos com Pessoal'!$H$512,1,MATCH(4&amp;$B56,'Gastos com Pessoal'!$I$532:$AJ$532&amp;'Gastos com Pessoal'!$I$512:$AJ$512,0),10,1)),0)
+_xlfn.IFNA(SUM((AY$3&gt;='Gastos com Pessoal'!$E$513:$E$522)*(AY$3&lt;='Gastos com Pessoal'!$F$513:$F$522)*(IF('Gastos com Pessoal'!$AE$513:$AE$522&lt;=AY$3,1,0))*OFFSET('Gastos com Pessoal'!$H$512,1,MATCH(5&amp;$B56,'Gastos com Pessoal'!$I$532:$AJ$532&amp;'Gastos com Pessoal'!$I$512:$AJ$512,0),10,1)),0)</f>
        <v>0</v>
      </c>
      <c r="AZ56" s="32">
        <f t="array" aca="1" ref="AZ56" ca="1">_xlfn.IFNA(SUM((AZ$3&gt;='Gastos com Pessoal'!$E$7:$E$506)*(AZ$3&lt;='Gastos com Pessoal'!$F$7:$F$506)*OFFSET('Encargos e Benefícios'!$D$5,1,MATCH($B56,'Encargos e Benefícios'!$E$5:$AB$5,0),500,1)),0)
+_xlfn.IFNA(SUM((AZ$3&gt;='Gastos com Pessoal'!$E$513:$E$522)*(AZ$3&lt;='Gastos com Pessoal'!$F$513:$F$522)*OFFSET('Encargos e Benefícios'!$D$511,1,MATCH($B56,'Encargos e Benefícios'!$E$511:$AB$511,0),10,1)),0)
+_xlfn.IFNA(SUM((AZ$3&gt;='Gastos com Pessoal'!$E$7:$E$506)*(AZ$3&lt;='Gastos com Pessoal'!$F$7:$F$506)*(IF('Gastos com Pessoal'!$G$7:$G$506&lt;=AZ$3,1,0))*OFFSET('Gastos com Pessoal'!$H$6,1,MATCH(1&amp;$B56,'Gastos com Pessoal'!$I$532:$AJ$532&amp;'Gastos com Pessoal'!$I$6:$AJ$6,0),500,1)),0)
+_xlfn.IFNA(SUM((AZ$3&gt;='Gastos com Pessoal'!$E$7:$E$506)*(AZ$3&lt;='Gastos com Pessoal'!$F$7:$F$506)*(IF('Gastos com Pessoal'!$M$7:$M$506&lt;=AZ$3,1,0))*OFFSET('Gastos com Pessoal'!$H$6,1,MATCH(2&amp;$B56,'Gastos com Pessoal'!$I$532:$AJ$532&amp;'Gastos com Pessoal'!$I$6:$AJ$6,0),500,1)),0)
+_xlfn.IFNA(SUM((AZ$3&gt;='Gastos com Pessoal'!$E$7:$E$506)*(AZ$3&lt;='Gastos com Pessoal'!$F$7:$F$506)*(IF('Gastos com Pessoal'!$S$7:$S$506&lt;=AZ$3,1,0))*OFFSET('Gastos com Pessoal'!$H$6,1,MATCH(3&amp;$B56,'Gastos com Pessoal'!$I$532:$AJ$532&amp;'Gastos com Pessoal'!$I$6:$AJ$6,0),500,1)),0)
+_xlfn.IFNA(SUM((AZ$3&gt;='Gastos com Pessoal'!$E$7:$E$506)*(AZ$3&lt;='Gastos com Pessoal'!$F$7:$F$506)*(IF('Gastos com Pessoal'!$Y$7:$Y$506&lt;=AZ$3,1,0))*OFFSET('Gastos com Pessoal'!$H$6,1,MATCH(4&amp;$B56,'Gastos com Pessoal'!$I$532:$AJ$532&amp;'Gastos com Pessoal'!$I$6:$AJ$6,0),500,1)),0)
+_xlfn.IFNA(SUM((AZ$3&gt;='Gastos com Pessoal'!$E$7:$E$506)*(AZ$3&lt;='Gastos com Pessoal'!$F$7:$F$506)*(IF('Gastos com Pessoal'!$AE$7:$AE$506&lt;=AZ$3,1,0))*OFFSET('Gastos com Pessoal'!$H$6,1,MATCH(5&amp;$B56,'Gastos com Pessoal'!$I$532:$AJ$532&amp;'Gastos com Pessoal'!$I$6:$AJ$6,0),500,1)),0)
+_xlfn.IFNA(SUM((AZ$3&gt;='Gastos com Pessoal'!$E$513:$E$522)*(AZ$3&lt;='Gastos com Pessoal'!$F$513:$F$522)*(IF('Gastos com Pessoal'!$G$513:$G$522&lt;=AZ$3,1,0))*OFFSET('Gastos com Pessoal'!$H$512,1,MATCH(1&amp;$B56,'Gastos com Pessoal'!$I$532:$AJ$532&amp;'Gastos com Pessoal'!$I$512:$AJ$512,0),10,1)),0)
+_xlfn.IFNA(SUM((AZ$3&gt;='Gastos com Pessoal'!$E$513:$E$522)*(AZ$3&lt;='Gastos com Pessoal'!$F$513:$F$522)*(IF('Gastos com Pessoal'!$M$513:$M$522&lt;=AZ$3,1,0))*OFFSET('Gastos com Pessoal'!$H$512,1,MATCH(2&amp;$B56,'Gastos com Pessoal'!$I$532:$AJ$532&amp;'Gastos com Pessoal'!$I$512:$AJ$512,0),10,1)),0)
+_xlfn.IFNA(SUM((AZ$3&gt;='Gastos com Pessoal'!$E$513:$E$522)*(AZ$3&lt;='Gastos com Pessoal'!$F$513:$F$522)*(IF('Gastos com Pessoal'!$S$513:$S$522&lt;=AZ$3,1,0))*OFFSET('Gastos com Pessoal'!$H$512,1,MATCH(3&amp;$B56,'Gastos com Pessoal'!$I$532:$AJ$532&amp;'Gastos com Pessoal'!$I$512:$AJ$512,0),10,1)),0)
+_xlfn.IFNA(SUM((AZ$3&gt;='Gastos com Pessoal'!$E$513:$E$522)*(AZ$3&lt;='Gastos com Pessoal'!$F$513:$F$522)*(IF('Gastos com Pessoal'!$Y$513:$Y$522&lt;=AZ$3,1,0))*OFFSET('Gastos com Pessoal'!$H$512,1,MATCH(4&amp;$B56,'Gastos com Pessoal'!$I$532:$AJ$532&amp;'Gastos com Pessoal'!$I$512:$AJ$512,0),10,1)),0)
+_xlfn.IFNA(SUM((AZ$3&gt;='Gastos com Pessoal'!$E$513:$E$522)*(AZ$3&lt;='Gastos com Pessoal'!$F$513:$F$522)*(IF('Gastos com Pessoal'!$AE$513:$AE$522&lt;=AZ$3,1,0))*OFFSET('Gastos com Pessoal'!$H$512,1,MATCH(5&amp;$B56,'Gastos com Pessoal'!$I$532:$AJ$532&amp;'Gastos com Pessoal'!$I$512:$AJ$512,0),10,1)),0)</f>
        <v>0</v>
      </c>
      <c r="BA56" s="32">
        <f t="array" aca="1" ref="BA56" ca="1">_xlfn.IFNA(SUM((BA$3&gt;='Gastos com Pessoal'!$E$7:$E$506)*(BA$3&lt;='Gastos com Pessoal'!$F$7:$F$506)*OFFSET('Encargos e Benefícios'!$D$5,1,MATCH($B56,'Encargos e Benefícios'!$E$5:$AB$5,0),500,1)),0)
+_xlfn.IFNA(SUM((BA$3&gt;='Gastos com Pessoal'!$E$513:$E$522)*(BA$3&lt;='Gastos com Pessoal'!$F$513:$F$522)*OFFSET('Encargos e Benefícios'!$D$511,1,MATCH($B56,'Encargos e Benefícios'!$E$511:$AB$511,0),10,1)),0)
+_xlfn.IFNA(SUM((BA$3&gt;='Gastos com Pessoal'!$E$7:$E$506)*(BA$3&lt;='Gastos com Pessoal'!$F$7:$F$506)*(IF('Gastos com Pessoal'!$G$7:$G$506&lt;=BA$3,1,0))*OFFSET('Gastos com Pessoal'!$H$6,1,MATCH(1&amp;$B56,'Gastos com Pessoal'!$I$532:$AJ$532&amp;'Gastos com Pessoal'!$I$6:$AJ$6,0),500,1)),0)
+_xlfn.IFNA(SUM((BA$3&gt;='Gastos com Pessoal'!$E$7:$E$506)*(BA$3&lt;='Gastos com Pessoal'!$F$7:$F$506)*(IF('Gastos com Pessoal'!$M$7:$M$506&lt;=BA$3,1,0))*OFFSET('Gastos com Pessoal'!$H$6,1,MATCH(2&amp;$B56,'Gastos com Pessoal'!$I$532:$AJ$532&amp;'Gastos com Pessoal'!$I$6:$AJ$6,0),500,1)),0)
+_xlfn.IFNA(SUM((BA$3&gt;='Gastos com Pessoal'!$E$7:$E$506)*(BA$3&lt;='Gastos com Pessoal'!$F$7:$F$506)*(IF('Gastos com Pessoal'!$S$7:$S$506&lt;=BA$3,1,0))*OFFSET('Gastos com Pessoal'!$H$6,1,MATCH(3&amp;$B56,'Gastos com Pessoal'!$I$532:$AJ$532&amp;'Gastos com Pessoal'!$I$6:$AJ$6,0),500,1)),0)
+_xlfn.IFNA(SUM((BA$3&gt;='Gastos com Pessoal'!$E$7:$E$506)*(BA$3&lt;='Gastos com Pessoal'!$F$7:$F$506)*(IF('Gastos com Pessoal'!$Y$7:$Y$506&lt;=BA$3,1,0))*OFFSET('Gastos com Pessoal'!$H$6,1,MATCH(4&amp;$B56,'Gastos com Pessoal'!$I$532:$AJ$532&amp;'Gastos com Pessoal'!$I$6:$AJ$6,0),500,1)),0)
+_xlfn.IFNA(SUM((BA$3&gt;='Gastos com Pessoal'!$E$7:$E$506)*(BA$3&lt;='Gastos com Pessoal'!$F$7:$F$506)*(IF('Gastos com Pessoal'!$AE$7:$AE$506&lt;=BA$3,1,0))*OFFSET('Gastos com Pessoal'!$H$6,1,MATCH(5&amp;$B56,'Gastos com Pessoal'!$I$532:$AJ$532&amp;'Gastos com Pessoal'!$I$6:$AJ$6,0),500,1)),0)
+_xlfn.IFNA(SUM((BA$3&gt;='Gastos com Pessoal'!$E$513:$E$522)*(BA$3&lt;='Gastos com Pessoal'!$F$513:$F$522)*(IF('Gastos com Pessoal'!$G$513:$G$522&lt;=BA$3,1,0))*OFFSET('Gastos com Pessoal'!$H$512,1,MATCH(1&amp;$B56,'Gastos com Pessoal'!$I$532:$AJ$532&amp;'Gastos com Pessoal'!$I$512:$AJ$512,0),10,1)),0)
+_xlfn.IFNA(SUM((BA$3&gt;='Gastos com Pessoal'!$E$513:$E$522)*(BA$3&lt;='Gastos com Pessoal'!$F$513:$F$522)*(IF('Gastos com Pessoal'!$M$513:$M$522&lt;=BA$3,1,0))*OFFSET('Gastos com Pessoal'!$H$512,1,MATCH(2&amp;$B56,'Gastos com Pessoal'!$I$532:$AJ$532&amp;'Gastos com Pessoal'!$I$512:$AJ$512,0),10,1)),0)
+_xlfn.IFNA(SUM((BA$3&gt;='Gastos com Pessoal'!$E$513:$E$522)*(BA$3&lt;='Gastos com Pessoal'!$F$513:$F$522)*(IF('Gastos com Pessoal'!$S$513:$S$522&lt;=BA$3,1,0))*OFFSET('Gastos com Pessoal'!$H$512,1,MATCH(3&amp;$B56,'Gastos com Pessoal'!$I$532:$AJ$532&amp;'Gastos com Pessoal'!$I$512:$AJ$512,0),10,1)),0)
+_xlfn.IFNA(SUM((BA$3&gt;='Gastos com Pessoal'!$E$513:$E$522)*(BA$3&lt;='Gastos com Pessoal'!$F$513:$F$522)*(IF('Gastos com Pessoal'!$Y$513:$Y$522&lt;=BA$3,1,0))*OFFSET('Gastos com Pessoal'!$H$512,1,MATCH(4&amp;$B56,'Gastos com Pessoal'!$I$532:$AJ$532&amp;'Gastos com Pessoal'!$I$512:$AJ$512,0),10,1)),0)
+_xlfn.IFNA(SUM((BA$3&gt;='Gastos com Pessoal'!$E$513:$E$522)*(BA$3&lt;='Gastos com Pessoal'!$F$513:$F$522)*(IF('Gastos com Pessoal'!$AE$513:$AE$522&lt;=BA$3,1,0))*OFFSET('Gastos com Pessoal'!$H$512,1,MATCH(5&amp;$B56,'Gastos com Pessoal'!$I$532:$AJ$532&amp;'Gastos com Pessoal'!$I$512:$AJ$512,0),10,1)),0)</f>
        <v>0</v>
      </c>
      <c r="BB56" s="32">
        <f t="array" aca="1" ref="BB56" ca="1">_xlfn.IFNA(SUM((BB$3&gt;='Gastos com Pessoal'!$E$7:$E$506)*(BB$3&lt;='Gastos com Pessoal'!$F$7:$F$506)*OFFSET('Encargos e Benefícios'!$D$5,1,MATCH($B56,'Encargos e Benefícios'!$E$5:$AB$5,0),500,1)),0)
+_xlfn.IFNA(SUM((BB$3&gt;='Gastos com Pessoal'!$E$513:$E$522)*(BB$3&lt;='Gastos com Pessoal'!$F$513:$F$522)*OFFSET('Encargos e Benefícios'!$D$511,1,MATCH($B56,'Encargos e Benefícios'!$E$511:$AB$511,0),10,1)),0)
+_xlfn.IFNA(SUM((BB$3&gt;='Gastos com Pessoal'!$E$7:$E$506)*(BB$3&lt;='Gastos com Pessoal'!$F$7:$F$506)*(IF('Gastos com Pessoal'!$G$7:$G$506&lt;=BB$3,1,0))*OFFSET('Gastos com Pessoal'!$H$6,1,MATCH(1&amp;$B56,'Gastos com Pessoal'!$I$532:$AJ$532&amp;'Gastos com Pessoal'!$I$6:$AJ$6,0),500,1)),0)
+_xlfn.IFNA(SUM((BB$3&gt;='Gastos com Pessoal'!$E$7:$E$506)*(BB$3&lt;='Gastos com Pessoal'!$F$7:$F$506)*(IF('Gastos com Pessoal'!$M$7:$M$506&lt;=BB$3,1,0))*OFFSET('Gastos com Pessoal'!$H$6,1,MATCH(2&amp;$B56,'Gastos com Pessoal'!$I$532:$AJ$532&amp;'Gastos com Pessoal'!$I$6:$AJ$6,0),500,1)),0)
+_xlfn.IFNA(SUM((BB$3&gt;='Gastos com Pessoal'!$E$7:$E$506)*(BB$3&lt;='Gastos com Pessoal'!$F$7:$F$506)*(IF('Gastos com Pessoal'!$S$7:$S$506&lt;=BB$3,1,0))*OFFSET('Gastos com Pessoal'!$H$6,1,MATCH(3&amp;$B56,'Gastos com Pessoal'!$I$532:$AJ$532&amp;'Gastos com Pessoal'!$I$6:$AJ$6,0),500,1)),0)
+_xlfn.IFNA(SUM((BB$3&gt;='Gastos com Pessoal'!$E$7:$E$506)*(BB$3&lt;='Gastos com Pessoal'!$F$7:$F$506)*(IF('Gastos com Pessoal'!$Y$7:$Y$506&lt;=BB$3,1,0))*OFFSET('Gastos com Pessoal'!$H$6,1,MATCH(4&amp;$B56,'Gastos com Pessoal'!$I$532:$AJ$532&amp;'Gastos com Pessoal'!$I$6:$AJ$6,0),500,1)),0)
+_xlfn.IFNA(SUM((BB$3&gt;='Gastos com Pessoal'!$E$7:$E$506)*(BB$3&lt;='Gastos com Pessoal'!$F$7:$F$506)*(IF('Gastos com Pessoal'!$AE$7:$AE$506&lt;=BB$3,1,0))*OFFSET('Gastos com Pessoal'!$H$6,1,MATCH(5&amp;$B56,'Gastos com Pessoal'!$I$532:$AJ$532&amp;'Gastos com Pessoal'!$I$6:$AJ$6,0),500,1)),0)
+_xlfn.IFNA(SUM((BB$3&gt;='Gastos com Pessoal'!$E$513:$E$522)*(BB$3&lt;='Gastos com Pessoal'!$F$513:$F$522)*(IF('Gastos com Pessoal'!$G$513:$G$522&lt;=BB$3,1,0))*OFFSET('Gastos com Pessoal'!$H$512,1,MATCH(1&amp;$B56,'Gastos com Pessoal'!$I$532:$AJ$532&amp;'Gastos com Pessoal'!$I$512:$AJ$512,0),10,1)),0)
+_xlfn.IFNA(SUM((BB$3&gt;='Gastos com Pessoal'!$E$513:$E$522)*(BB$3&lt;='Gastos com Pessoal'!$F$513:$F$522)*(IF('Gastos com Pessoal'!$M$513:$M$522&lt;=BB$3,1,0))*OFFSET('Gastos com Pessoal'!$H$512,1,MATCH(2&amp;$B56,'Gastos com Pessoal'!$I$532:$AJ$532&amp;'Gastos com Pessoal'!$I$512:$AJ$512,0),10,1)),0)
+_xlfn.IFNA(SUM((BB$3&gt;='Gastos com Pessoal'!$E$513:$E$522)*(BB$3&lt;='Gastos com Pessoal'!$F$513:$F$522)*(IF('Gastos com Pessoal'!$S$513:$S$522&lt;=BB$3,1,0))*OFFSET('Gastos com Pessoal'!$H$512,1,MATCH(3&amp;$B56,'Gastos com Pessoal'!$I$532:$AJ$532&amp;'Gastos com Pessoal'!$I$512:$AJ$512,0),10,1)),0)
+_xlfn.IFNA(SUM((BB$3&gt;='Gastos com Pessoal'!$E$513:$E$522)*(BB$3&lt;='Gastos com Pessoal'!$F$513:$F$522)*(IF('Gastos com Pessoal'!$Y$513:$Y$522&lt;=BB$3,1,0))*OFFSET('Gastos com Pessoal'!$H$512,1,MATCH(4&amp;$B56,'Gastos com Pessoal'!$I$532:$AJ$532&amp;'Gastos com Pessoal'!$I$512:$AJ$512,0),10,1)),0)
+_xlfn.IFNA(SUM((BB$3&gt;='Gastos com Pessoal'!$E$513:$E$522)*(BB$3&lt;='Gastos com Pessoal'!$F$513:$F$522)*(IF('Gastos com Pessoal'!$AE$513:$AE$522&lt;=BB$3,1,0))*OFFSET('Gastos com Pessoal'!$H$512,1,MATCH(5&amp;$B56,'Gastos com Pessoal'!$I$532:$AJ$532&amp;'Gastos com Pessoal'!$I$512:$AJ$512,0),10,1)),0)</f>
        <v>0</v>
      </c>
      <c r="BC56" s="32">
        <f t="array" aca="1" ref="BC56" ca="1">_xlfn.IFNA(SUM((BC$3&gt;='Gastos com Pessoal'!$E$7:$E$506)*(BC$3&lt;='Gastos com Pessoal'!$F$7:$F$506)*OFFSET('Encargos e Benefícios'!$D$5,1,MATCH($B56,'Encargos e Benefícios'!$E$5:$AB$5,0),500,1)),0)
+_xlfn.IFNA(SUM((BC$3&gt;='Gastos com Pessoal'!$E$513:$E$522)*(BC$3&lt;='Gastos com Pessoal'!$F$513:$F$522)*OFFSET('Encargos e Benefícios'!$D$511,1,MATCH($B56,'Encargos e Benefícios'!$E$511:$AB$511,0),10,1)),0)
+_xlfn.IFNA(SUM((BC$3&gt;='Gastos com Pessoal'!$E$7:$E$506)*(BC$3&lt;='Gastos com Pessoal'!$F$7:$F$506)*(IF('Gastos com Pessoal'!$G$7:$G$506&lt;=BC$3,1,0))*OFFSET('Gastos com Pessoal'!$H$6,1,MATCH(1&amp;$B56,'Gastos com Pessoal'!$I$532:$AJ$532&amp;'Gastos com Pessoal'!$I$6:$AJ$6,0),500,1)),0)
+_xlfn.IFNA(SUM((BC$3&gt;='Gastos com Pessoal'!$E$7:$E$506)*(BC$3&lt;='Gastos com Pessoal'!$F$7:$F$506)*(IF('Gastos com Pessoal'!$M$7:$M$506&lt;=BC$3,1,0))*OFFSET('Gastos com Pessoal'!$H$6,1,MATCH(2&amp;$B56,'Gastos com Pessoal'!$I$532:$AJ$532&amp;'Gastos com Pessoal'!$I$6:$AJ$6,0),500,1)),0)
+_xlfn.IFNA(SUM((BC$3&gt;='Gastos com Pessoal'!$E$7:$E$506)*(BC$3&lt;='Gastos com Pessoal'!$F$7:$F$506)*(IF('Gastos com Pessoal'!$S$7:$S$506&lt;=BC$3,1,0))*OFFSET('Gastos com Pessoal'!$H$6,1,MATCH(3&amp;$B56,'Gastos com Pessoal'!$I$532:$AJ$532&amp;'Gastos com Pessoal'!$I$6:$AJ$6,0),500,1)),0)
+_xlfn.IFNA(SUM((BC$3&gt;='Gastos com Pessoal'!$E$7:$E$506)*(BC$3&lt;='Gastos com Pessoal'!$F$7:$F$506)*(IF('Gastos com Pessoal'!$Y$7:$Y$506&lt;=BC$3,1,0))*OFFSET('Gastos com Pessoal'!$H$6,1,MATCH(4&amp;$B56,'Gastos com Pessoal'!$I$532:$AJ$532&amp;'Gastos com Pessoal'!$I$6:$AJ$6,0),500,1)),0)
+_xlfn.IFNA(SUM((BC$3&gt;='Gastos com Pessoal'!$E$7:$E$506)*(BC$3&lt;='Gastos com Pessoal'!$F$7:$F$506)*(IF('Gastos com Pessoal'!$AE$7:$AE$506&lt;=BC$3,1,0))*OFFSET('Gastos com Pessoal'!$H$6,1,MATCH(5&amp;$B56,'Gastos com Pessoal'!$I$532:$AJ$532&amp;'Gastos com Pessoal'!$I$6:$AJ$6,0),500,1)),0)
+_xlfn.IFNA(SUM((BC$3&gt;='Gastos com Pessoal'!$E$513:$E$522)*(BC$3&lt;='Gastos com Pessoal'!$F$513:$F$522)*(IF('Gastos com Pessoal'!$G$513:$G$522&lt;=BC$3,1,0))*OFFSET('Gastos com Pessoal'!$H$512,1,MATCH(1&amp;$B56,'Gastos com Pessoal'!$I$532:$AJ$532&amp;'Gastos com Pessoal'!$I$512:$AJ$512,0),10,1)),0)
+_xlfn.IFNA(SUM((BC$3&gt;='Gastos com Pessoal'!$E$513:$E$522)*(BC$3&lt;='Gastos com Pessoal'!$F$513:$F$522)*(IF('Gastos com Pessoal'!$M$513:$M$522&lt;=BC$3,1,0))*OFFSET('Gastos com Pessoal'!$H$512,1,MATCH(2&amp;$B56,'Gastos com Pessoal'!$I$532:$AJ$532&amp;'Gastos com Pessoal'!$I$512:$AJ$512,0),10,1)),0)
+_xlfn.IFNA(SUM((BC$3&gt;='Gastos com Pessoal'!$E$513:$E$522)*(BC$3&lt;='Gastos com Pessoal'!$F$513:$F$522)*(IF('Gastos com Pessoal'!$S$513:$S$522&lt;=BC$3,1,0))*OFFSET('Gastos com Pessoal'!$H$512,1,MATCH(3&amp;$B56,'Gastos com Pessoal'!$I$532:$AJ$532&amp;'Gastos com Pessoal'!$I$512:$AJ$512,0),10,1)),0)
+_xlfn.IFNA(SUM((BC$3&gt;='Gastos com Pessoal'!$E$513:$E$522)*(BC$3&lt;='Gastos com Pessoal'!$F$513:$F$522)*(IF('Gastos com Pessoal'!$Y$513:$Y$522&lt;=BC$3,1,0))*OFFSET('Gastos com Pessoal'!$H$512,1,MATCH(4&amp;$B56,'Gastos com Pessoal'!$I$532:$AJ$532&amp;'Gastos com Pessoal'!$I$512:$AJ$512,0),10,1)),0)
+_xlfn.IFNA(SUM((BC$3&gt;='Gastos com Pessoal'!$E$513:$E$522)*(BC$3&lt;='Gastos com Pessoal'!$F$513:$F$522)*(IF('Gastos com Pessoal'!$AE$513:$AE$522&lt;=BC$3,1,0))*OFFSET('Gastos com Pessoal'!$H$512,1,MATCH(5&amp;$B56,'Gastos com Pessoal'!$I$532:$AJ$532&amp;'Gastos com Pessoal'!$I$512:$AJ$512,0),10,1)),0)</f>
        <v>0</v>
      </c>
      <c r="BD56" s="32">
        <f t="array" aca="1" ref="BD56" ca="1">_xlfn.IFNA(SUM((BD$3&gt;='Gastos com Pessoal'!$E$7:$E$506)*(BD$3&lt;='Gastos com Pessoal'!$F$7:$F$506)*OFFSET('Encargos e Benefícios'!$D$5,1,MATCH($B56,'Encargos e Benefícios'!$E$5:$AB$5,0),500,1)),0)
+_xlfn.IFNA(SUM((BD$3&gt;='Gastos com Pessoal'!$E$513:$E$522)*(BD$3&lt;='Gastos com Pessoal'!$F$513:$F$522)*OFFSET('Encargos e Benefícios'!$D$511,1,MATCH($B56,'Encargos e Benefícios'!$E$511:$AB$511,0),10,1)),0)
+_xlfn.IFNA(SUM((BD$3&gt;='Gastos com Pessoal'!$E$7:$E$506)*(BD$3&lt;='Gastos com Pessoal'!$F$7:$F$506)*(IF('Gastos com Pessoal'!$G$7:$G$506&lt;=BD$3,1,0))*OFFSET('Gastos com Pessoal'!$H$6,1,MATCH(1&amp;$B56,'Gastos com Pessoal'!$I$532:$AJ$532&amp;'Gastos com Pessoal'!$I$6:$AJ$6,0),500,1)),0)
+_xlfn.IFNA(SUM((BD$3&gt;='Gastos com Pessoal'!$E$7:$E$506)*(BD$3&lt;='Gastos com Pessoal'!$F$7:$F$506)*(IF('Gastos com Pessoal'!$M$7:$M$506&lt;=BD$3,1,0))*OFFSET('Gastos com Pessoal'!$H$6,1,MATCH(2&amp;$B56,'Gastos com Pessoal'!$I$532:$AJ$532&amp;'Gastos com Pessoal'!$I$6:$AJ$6,0),500,1)),0)
+_xlfn.IFNA(SUM((BD$3&gt;='Gastos com Pessoal'!$E$7:$E$506)*(BD$3&lt;='Gastos com Pessoal'!$F$7:$F$506)*(IF('Gastos com Pessoal'!$S$7:$S$506&lt;=BD$3,1,0))*OFFSET('Gastos com Pessoal'!$H$6,1,MATCH(3&amp;$B56,'Gastos com Pessoal'!$I$532:$AJ$532&amp;'Gastos com Pessoal'!$I$6:$AJ$6,0),500,1)),0)
+_xlfn.IFNA(SUM((BD$3&gt;='Gastos com Pessoal'!$E$7:$E$506)*(BD$3&lt;='Gastos com Pessoal'!$F$7:$F$506)*(IF('Gastos com Pessoal'!$Y$7:$Y$506&lt;=BD$3,1,0))*OFFSET('Gastos com Pessoal'!$H$6,1,MATCH(4&amp;$B56,'Gastos com Pessoal'!$I$532:$AJ$532&amp;'Gastos com Pessoal'!$I$6:$AJ$6,0),500,1)),0)
+_xlfn.IFNA(SUM((BD$3&gt;='Gastos com Pessoal'!$E$7:$E$506)*(BD$3&lt;='Gastos com Pessoal'!$F$7:$F$506)*(IF('Gastos com Pessoal'!$AE$7:$AE$506&lt;=BD$3,1,0))*OFFSET('Gastos com Pessoal'!$H$6,1,MATCH(5&amp;$B56,'Gastos com Pessoal'!$I$532:$AJ$532&amp;'Gastos com Pessoal'!$I$6:$AJ$6,0),500,1)),0)
+_xlfn.IFNA(SUM((BD$3&gt;='Gastos com Pessoal'!$E$513:$E$522)*(BD$3&lt;='Gastos com Pessoal'!$F$513:$F$522)*(IF('Gastos com Pessoal'!$G$513:$G$522&lt;=BD$3,1,0))*OFFSET('Gastos com Pessoal'!$H$512,1,MATCH(1&amp;$B56,'Gastos com Pessoal'!$I$532:$AJ$532&amp;'Gastos com Pessoal'!$I$512:$AJ$512,0),10,1)),0)
+_xlfn.IFNA(SUM((BD$3&gt;='Gastos com Pessoal'!$E$513:$E$522)*(BD$3&lt;='Gastos com Pessoal'!$F$513:$F$522)*(IF('Gastos com Pessoal'!$M$513:$M$522&lt;=BD$3,1,0))*OFFSET('Gastos com Pessoal'!$H$512,1,MATCH(2&amp;$B56,'Gastos com Pessoal'!$I$532:$AJ$532&amp;'Gastos com Pessoal'!$I$512:$AJ$512,0),10,1)),0)
+_xlfn.IFNA(SUM((BD$3&gt;='Gastos com Pessoal'!$E$513:$E$522)*(BD$3&lt;='Gastos com Pessoal'!$F$513:$F$522)*(IF('Gastos com Pessoal'!$S$513:$S$522&lt;=BD$3,1,0))*OFFSET('Gastos com Pessoal'!$H$512,1,MATCH(3&amp;$B56,'Gastos com Pessoal'!$I$532:$AJ$532&amp;'Gastos com Pessoal'!$I$512:$AJ$512,0),10,1)),0)
+_xlfn.IFNA(SUM((BD$3&gt;='Gastos com Pessoal'!$E$513:$E$522)*(BD$3&lt;='Gastos com Pessoal'!$F$513:$F$522)*(IF('Gastos com Pessoal'!$Y$513:$Y$522&lt;=BD$3,1,0))*OFFSET('Gastos com Pessoal'!$H$512,1,MATCH(4&amp;$B56,'Gastos com Pessoal'!$I$532:$AJ$532&amp;'Gastos com Pessoal'!$I$512:$AJ$512,0),10,1)),0)
+_xlfn.IFNA(SUM((BD$3&gt;='Gastos com Pessoal'!$E$513:$E$522)*(BD$3&lt;='Gastos com Pessoal'!$F$513:$F$522)*(IF('Gastos com Pessoal'!$AE$513:$AE$522&lt;=BD$3,1,0))*OFFSET('Gastos com Pessoal'!$H$512,1,MATCH(5&amp;$B56,'Gastos com Pessoal'!$I$532:$AJ$532&amp;'Gastos com Pessoal'!$I$512:$AJ$512,0),10,1)),0)</f>
        <v>0</v>
      </c>
      <c r="BE56" s="32">
        <f t="array" aca="1" ref="BE56" ca="1">_xlfn.IFNA(SUM((BE$3&gt;='Gastos com Pessoal'!$E$7:$E$506)*(BE$3&lt;='Gastos com Pessoal'!$F$7:$F$506)*OFFSET('Encargos e Benefícios'!$D$5,1,MATCH($B56,'Encargos e Benefícios'!$E$5:$AB$5,0),500,1)),0)
+_xlfn.IFNA(SUM((BE$3&gt;='Gastos com Pessoal'!$E$513:$E$522)*(BE$3&lt;='Gastos com Pessoal'!$F$513:$F$522)*OFFSET('Encargos e Benefícios'!$D$511,1,MATCH($B56,'Encargos e Benefícios'!$E$511:$AB$511,0),10,1)),0)
+_xlfn.IFNA(SUM((BE$3&gt;='Gastos com Pessoal'!$E$7:$E$506)*(BE$3&lt;='Gastos com Pessoal'!$F$7:$F$506)*(IF('Gastos com Pessoal'!$G$7:$G$506&lt;=BE$3,1,0))*OFFSET('Gastos com Pessoal'!$H$6,1,MATCH(1&amp;$B56,'Gastos com Pessoal'!$I$532:$AJ$532&amp;'Gastos com Pessoal'!$I$6:$AJ$6,0),500,1)),0)
+_xlfn.IFNA(SUM((BE$3&gt;='Gastos com Pessoal'!$E$7:$E$506)*(BE$3&lt;='Gastos com Pessoal'!$F$7:$F$506)*(IF('Gastos com Pessoal'!$M$7:$M$506&lt;=BE$3,1,0))*OFFSET('Gastos com Pessoal'!$H$6,1,MATCH(2&amp;$B56,'Gastos com Pessoal'!$I$532:$AJ$532&amp;'Gastos com Pessoal'!$I$6:$AJ$6,0),500,1)),0)
+_xlfn.IFNA(SUM((BE$3&gt;='Gastos com Pessoal'!$E$7:$E$506)*(BE$3&lt;='Gastos com Pessoal'!$F$7:$F$506)*(IF('Gastos com Pessoal'!$S$7:$S$506&lt;=BE$3,1,0))*OFFSET('Gastos com Pessoal'!$H$6,1,MATCH(3&amp;$B56,'Gastos com Pessoal'!$I$532:$AJ$532&amp;'Gastos com Pessoal'!$I$6:$AJ$6,0),500,1)),0)
+_xlfn.IFNA(SUM((BE$3&gt;='Gastos com Pessoal'!$E$7:$E$506)*(BE$3&lt;='Gastos com Pessoal'!$F$7:$F$506)*(IF('Gastos com Pessoal'!$Y$7:$Y$506&lt;=BE$3,1,0))*OFFSET('Gastos com Pessoal'!$H$6,1,MATCH(4&amp;$B56,'Gastos com Pessoal'!$I$532:$AJ$532&amp;'Gastos com Pessoal'!$I$6:$AJ$6,0),500,1)),0)
+_xlfn.IFNA(SUM((BE$3&gt;='Gastos com Pessoal'!$E$7:$E$506)*(BE$3&lt;='Gastos com Pessoal'!$F$7:$F$506)*(IF('Gastos com Pessoal'!$AE$7:$AE$506&lt;=BE$3,1,0))*OFFSET('Gastos com Pessoal'!$H$6,1,MATCH(5&amp;$B56,'Gastos com Pessoal'!$I$532:$AJ$532&amp;'Gastos com Pessoal'!$I$6:$AJ$6,0),500,1)),0)
+_xlfn.IFNA(SUM((BE$3&gt;='Gastos com Pessoal'!$E$513:$E$522)*(BE$3&lt;='Gastos com Pessoal'!$F$513:$F$522)*(IF('Gastos com Pessoal'!$G$513:$G$522&lt;=BE$3,1,0))*OFFSET('Gastos com Pessoal'!$H$512,1,MATCH(1&amp;$B56,'Gastos com Pessoal'!$I$532:$AJ$532&amp;'Gastos com Pessoal'!$I$512:$AJ$512,0),10,1)),0)
+_xlfn.IFNA(SUM((BE$3&gt;='Gastos com Pessoal'!$E$513:$E$522)*(BE$3&lt;='Gastos com Pessoal'!$F$513:$F$522)*(IF('Gastos com Pessoal'!$M$513:$M$522&lt;=BE$3,1,0))*OFFSET('Gastos com Pessoal'!$H$512,1,MATCH(2&amp;$B56,'Gastos com Pessoal'!$I$532:$AJ$532&amp;'Gastos com Pessoal'!$I$512:$AJ$512,0),10,1)),0)
+_xlfn.IFNA(SUM((BE$3&gt;='Gastos com Pessoal'!$E$513:$E$522)*(BE$3&lt;='Gastos com Pessoal'!$F$513:$F$522)*(IF('Gastos com Pessoal'!$S$513:$S$522&lt;=BE$3,1,0))*OFFSET('Gastos com Pessoal'!$H$512,1,MATCH(3&amp;$B56,'Gastos com Pessoal'!$I$532:$AJ$532&amp;'Gastos com Pessoal'!$I$512:$AJ$512,0),10,1)),0)
+_xlfn.IFNA(SUM((BE$3&gt;='Gastos com Pessoal'!$E$513:$E$522)*(BE$3&lt;='Gastos com Pessoal'!$F$513:$F$522)*(IF('Gastos com Pessoal'!$Y$513:$Y$522&lt;=BE$3,1,0))*OFFSET('Gastos com Pessoal'!$H$512,1,MATCH(4&amp;$B56,'Gastos com Pessoal'!$I$532:$AJ$532&amp;'Gastos com Pessoal'!$I$512:$AJ$512,0),10,1)),0)
+_xlfn.IFNA(SUM((BE$3&gt;='Gastos com Pessoal'!$E$513:$E$522)*(BE$3&lt;='Gastos com Pessoal'!$F$513:$F$522)*(IF('Gastos com Pessoal'!$AE$513:$AE$522&lt;=BE$3,1,0))*OFFSET('Gastos com Pessoal'!$H$512,1,MATCH(5&amp;$B56,'Gastos com Pessoal'!$I$532:$AJ$532&amp;'Gastos com Pessoal'!$I$512:$AJ$512,0),10,1)),0)</f>
        <v>0</v>
      </c>
      <c r="BF56" s="32">
        <f t="array" aca="1" ref="BF56" ca="1">_xlfn.IFNA(SUM((BF$3&gt;='Gastos com Pessoal'!$E$7:$E$506)*(BF$3&lt;='Gastos com Pessoal'!$F$7:$F$506)*OFFSET('Encargos e Benefícios'!$D$5,1,MATCH($B56,'Encargos e Benefícios'!$E$5:$AB$5,0),500,1)),0)
+_xlfn.IFNA(SUM((BF$3&gt;='Gastos com Pessoal'!$E$513:$E$522)*(BF$3&lt;='Gastos com Pessoal'!$F$513:$F$522)*OFFSET('Encargos e Benefícios'!$D$511,1,MATCH($B56,'Encargos e Benefícios'!$E$511:$AB$511,0),10,1)),0)
+_xlfn.IFNA(SUM((BF$3&gt;='Gastos com Pessoal'!$E$7:$E$506)*(BF$3&lt;='Gastos com Pessoal'!$F$7:$F$506)*(IF('Gastos com Pessoal'!$G$7:$G$506&lt;=BF$3,1,0))*OFFSET('Gastos com Pessoal'!$H$6,1,MATCH(1&amp;$B56,'Gastos com Pessoal'!$I$532:$AJ$532&amp;'Gastos com Pessoal'!$I$6:$AJ$6,0),500,1)),0)
+_xlfn.IFNA(SUM((BF$3&gt;='Gastos com Pessoal'!$E$7:$E$506)*(BF$3&lt;='Gastos com Pessoal'!$F$7:$F$506)*(IF('Gastos com Pessoal'!$M$7:$M$506&lt;=BF$3,1,0))*OFFSET('Gastos com Pessoal'!$H$6,1,MATCH(2&amp;$B56,'Gastos com Pessoal'!$I$532:$AJ$532&amp;'Gastos com Pessoal'!$I$6:$AJ$6,0),500,1)),0)
+_xlfn.IFNA(SUM((BF$3&gt;='Gastos com Pessoal'!$E$7:$E$506)*(BF$3&lt;='Gastos com Pessoal'!$F$7:$F$506)*(IF('Gastos com Pessoal'!$S$7:$S$506&lt;=BF$3,1,0))*OFFSET('Gastos com Pessoal'!$H$6,1,MATCH(3&amp;$B56,'Gastos com Pessoal'!$I$532:$AJ$532&amp;'Gastos com Pessoal'!$I$6:$AJ$6,0),500,1)),0)
+_xlfn.IFNA(SUM((BF$3&gt;='Gastos com Pessoal'!$E$7:$E$506)*(BF$3&lt;='Gastos com Pessoal'!$F$7:$F$506)*(IF('Gastos com Pessoal'!$Y$7:$Y$506&lt;=BF$3,1,0))*OFFSET('Gastos com Pessoal'!$H$6,1,MATCH(4&amp;$B56,'Gastos com Pessoal'!$I$532:$AJ$532&amp;'Gastos com Pessoal'!$I$6:$AJ$6,0),500,1)),0)
+_xlfn.IFNA(SUM((BF$3&gt;='Gastos com Pessoal'!$E$7:$E$506)*(BF$3&lt;='Gastos com Pessoal'!$F$7:$F$506)*(IF('Gastos com Pessoal'!$AE$7:$AE$506&lt;=BF$3,1,0))*OFFSET('Gastos com Pessoal'!$H$6,1,MATCH(5&amp;$B56,'Gastos com Pessoal'!$I$532:$AJ$532&amp;'Gastos com Pessoal'!$I$6:$AJ$6,0),500,1)),0)
+_xlfn.IFNA(SUM((BF$3&gt;='Gastos com Pessoal'!$E$513:$E$522)*(BF$3&lt;='Gastos com Pessoal'!$F$513:$F$522)*(IF('Gastos com Pessoal'!$G$513:$G$522&lt;=BF$3,1,0))*OFFSET('Gastos com Pessoal'!$H$512,1,MATCH(1&amp;$B56,'Gastos com Pessoal'!$I$532:$AJ$532&amp;'Gastos com Pessoal'!$I$512:$AJ$512,0),10,1)),0)
+_xlfn.IFNA(SUM((BF$3&gt;='Gastos com Pessoal'!$E$513:$E$522)*(BF$3&lt;='Gastos com Pessoal'!$F$513:$F$522)*(IF('Gastos com Pessoal'!$M$513:$M$522&lt;=BF$3,1,0))*OFFSET('Gastos com Pessoal'!$H$512,1,MATCH(2&amp;$B56,'Gastos com Pessoal'!$I$532:$AJ$532&amp;'Gastos com Pessoal'!$I$512:$AJ$512,0),10,1)),0)
+_xlfn.IFNA(SUM((BF$3&gt;='Gastos com Pessoal'!$E$513:$E$522)*(BF$3&lt;='Gastos com Pessoal'!$F$513:$F$522)*(IF('Gastos com Pessoal'!$S$513:$S$522&lt;=BF$3,1,0))*OFFSET('Gastos com Pessoal'!$H$512,1,MATCH(3&amp;$B56,'Gastos com Pessoal'!$I$532:$AJ$532&amp;'Gastos com Pessoal'!$I$512:$AJ$512,0),10,1)),0)
+_xlfn.IFNA(SUM((BF$3&gt;='Gastos com Pessoal'!$E$513:$E$522)*(BF$3&lt;='Gastos com Pessoal'!$F$513:$F$522)*(IF('Gastos com Pessoal'!$Y$513:$Y$522&lt;=BF$3,1,0))*OFFSET('Gastos com Pessoal'!$H$512,1,MATCH(4&amp;$B56,'Gastos com Pessoal'!$I$532:$AJ$532&amp;'Gastos com Pessoal'!$I$512:$AJ$512,0),10,1)),0)
+_xlfn.IFNA(SUM((BF$3&gt;='Gastos com Pessoal'!$E$513:$E$522)*(BF$3&lt;='Gastos com Pessoal'!$F$513:$F$522)*(IF('Gastos com Pessoal'!$AE$513:$AE$522&lt;=BF$3,1,0))*OFFSET('Gastos com Pessoal'!$H$512,1,MATCH(5&amp;$B56,'Gastos com Pessoal'!$I$532:$AJ$532&amp;'Gastos com Pessoal'!$I$512:$AJ$512,0),10,1)),0)</f>
        <v>0</v>
      </c>
      <c r="BG56" s="32">
        <f t="array" aca="1" ref="BG56" ca="1">_xlfn.IFNA(SUM((BG$3&gt;='Gastos com Pessoal'!$E$7:$E$506)*(BG$3&lt;='Gastos com Pessoal'!$F$7:$F$506)*OFFSET('Encargos e Benefícios'!$D$5,1,MATCH($B56,'Encargos e Benefícios'!$E$5:$AB$5,0),500,1)),0)
+_xlfn.IFNA(SUM((BG$3&gt;='Gastos com Pessoal'!$E$513:$E$522)*(BG$3&lt;='Gastos com Pessoal'!$F$513:$F$522)*OFFSET('Encargos e Benefícios'!$D$511,1,MATCH($B56,'Encargos e Benefícios'!$E$511:$AB$511,0),10,1)),0)
+_xlfn.IFNA(SUM((BG$3&gt;='Gastos com Pessoal'!$E$7:$E$506)*(BG$3&lt;='Gastos com Pessoal'!$F$7:$F$506)*(IF('Gastos com Pessoal'!$G$7:$G$506&lt;=BG$3,1,0))*OFFSET('Gastos com Pessoal'!$H$6,1,MATCH(1&amp;$B56,'Gastos com Pessoal'!$I$532:$AJ$532&amp;'Gastos com Pessoal'!$I$6:$AJ$6,0),500,1)),0)
+_xlfn.IFNA(SUM((BG$3&gt;='Gastos com Pessoal'!$E$7:$E$506)*(BG$3&lt;='Gastos com Pessoal'!$F$7:$F$506)*(IF('Gastos com Pessoal'!$M$7:$M$506&lt;=BG$3,1,0))*OFFSET('Gastos com Pessoal'!$H$6,1,MATCH(2&amp;$B56,'Gastos com Pessoal'!$I$532:$AJ$532&amp;'Gastos com Pessoal'!$I$6:$AJ$6,0),500,1)),0)
+_xlfn.IFNA(SUM((BG$3&gt;='Gastos com Pessoal'!$E$7:$E$506)*(BG$3&lt;='Gastos com Pessoal'!$F$7:$F$506)*(IF('Gastos com Pessoal'!$S$7:$S$506&lt;=BG$3,1,0))*OFFSET('Gastos com Pessoal'!$H$6,1,MATCH(3&amp;$B56,'Gastos com Pessoal'!$I$532:$AJ$532&amp;'Gastos com Pessoal'!$I$6:$AJ$6,0),500,1)),0)
+_xlfn.IFNA(SUM((BG$3&gt;='Gastos com Pessoal'!$E$7:$E$506)*(BG$3&lt;='Gastos com Pessoal'!$F$7:$F$506)*(IF('Gastos com Pessoal'!$Y$7:$Y$506&lt;=BG$3,1,0))*OFFSET('Gastos com Pessoal'!$H$6,1,MATCH(4&amp;$B56,'Gastos com Pessoal'!$I$532:$AJ$532&amp;'Gastos com Pessoal'!$I$6:$AJ$6,0),500,1)),0)
+_xlfn.IFNA(SUM((BG$3&gt;='Gastos com Pessoal'!$E$7:$E$506)*(BG$3&lt;='Gastos com Pessoal'!$F$7:$F$506)*(IF('Gastos com Pessoal'!$AE$7:$AE$506&lt;=BG$3,1,0))*OFFSET('Gastos com Pessoal'!$H$6,1,MATCH(5&amp;$B56,'Gastos com Pessoal'!$I$532:$AJ$532&amp;'Gastos com Pessoal'!$I$6:$AJ$6,0),500,1)),0)
+_xlfn.IFNA(SUM((BG$3&gt;='Gastos com Pessoal'!$E$513:$E$522)*(BG$3&lt;='Gastos com Pessoal'!$F$513:$F$522)*(IF('Gastos com Pessoal'!$G$513:$G$522&lt;=BG$3,1,0))*OFFSET('Gastos com Pessoal'!$H$512,1,MATCH(1&amp;$B56,'Gastos com Pessoal'!$I$532:$AJ$532&amp;'Gastos com Pessoal'!$I$512:$AJ$512,0),10,1)),0)
+_xlfn.IFNA(SUM((BG$3&gt;='Gastos com Pessoal'!$E$513:$E$522)*(BG$3&lt;='Gastos com Pessoal'!$F$513:$F$522)*(IF('Gastos com Pessoal'!$M$513:$M$522&lt;=BG$3,1,0))*OFFSET('Gastos com Pessoal'!$H$512,1,MATCH(2&amp;$B56,'Gastos com Pessoal'!$I$532:$AJ$532&amp;'Gastos com Pessoal'!$I$512:$AJ$512,0),10,1)),0)
+_xlfn.IFNA(SUM((BG$3&gt;='Gastos com Pessoal'!$E$513:$E$522)*(BG$3&lt;='Gastos com Pessoal'!$F$513:$F$522)*(IF('Gastos com Pessoal'!$S$513:$S$522&lt;=BG$3,1,0))*OFFSET('Gastos com Pessoal'!$H$512,1,MATCH(3&amp;$B56,'Gastos com Pessoal'!$I$532:$AJ$532&amp;'Gastos com Pessoal'!$I$512:$AJ$512,0),10,1)),0)
+_xlfn.IFNA(SUM((BG$3&gt;='Gastos com Pessoal'!$E$513:$E$522)*(BG$3&lt;='Gastos com Pessoal'!$F$513:$F$522)*(IF('Gastos com Pessoal'!$Y$513:$Y$522&lt;=BG$3,1,0))*OFFSET('Gastos com Pessoal'!$H$512,1,MATCH(4&amp;$B56,'Gastos com Pessoal'!$I$532:$AJ$532&amp;'Gastos com Pessoal'!$I$512:$AJ$512,0),10,1)),0)
+_xlfn.IFNA(SUM((BG$3&gt;='Gastos com Pessoal'!$E$513:$E$522)*(BG$3&lt;='Gastos com Pessoal'!$F$513:$F$522)*(IF('Gastos com Pessoal'!$AE$513:$AE$522&lt;=BG$3,1,0))*OFFSET('Gastos com Pessoal'!$H$512,1,MATCH(5&amp;$B56,'Gastos com Pessoal'!$I$532:$AJ$532&amp;'Gastos com Pessoal'!$I$512:$AJ$512,0),10,1)),0)</f>
        <v>0</v>
      </c>
      <c r="BH56" s="32">
        <f t="array" aca="1" ref="BH56" ca="1">_xlfn.IFNA(SUM((BH$3&gt;='Gastos com Pessoal'!$E$7:$E$506)*(BH$3&lt;='Gastos com Pessoal'!$F$7:$F$506)*OFFSET('Encargos e Benefícios'!$D$5,1,MATCH($B56,'Encargos e Benefícios'!$E$5:$AB$5,0),500,1)),0)
+_xlfn.IFNA(SUM((BH$3&gt;='Gastos com Pessoal'!$E$513:$E$522)*(BH$3&lt;='Gastos com Pessoal'!$F$513:$F$522)*OFFSET('Encargos e Benefícios'!$D$511,1,MATCH($B56,'Encargos e Benefícios'!$E$511:$AB$511,0),10,1)),0)
+_xlfn.IFNA(SUM((BH$3&gt;='Gastos com Pessoal'!$E$7:$E$506)*(BH$3&lt;='Gastos com Pessoal'!$F$7:$F$506)*(IF('Gastos com Pessoal'!$G$7:$G$506&lt;=BH$3,1,0))*OFFSET('Gastos com Pessoal'!$H$6,1,MATCH(1&amp;$B56,'Gastos com Pessoal'!$I$532:$AJ$532&amp;'Gastos com Pessoal'!$I$6:$AJ$6,0),500,1)),0)
+_xlfn.IFNA(SUM((BH$3&gt;='Gastos com Pessoal'!$E$7:$E$506)*(BH$3&lt;='Gastos com Pessoal'!$F$7:$F$506)*(IF('Gastos com Pessoal'!$M$7:$M$506&lt;=BH$3,1,0))*OFFSET('Gastos com Pessoal'!$H$6,1,MATCH(2&amp;$B56,'Gastos com Pessoal'!$I$532:$AJ$532&amp;'Gastos com Pessoal'!$I$6:$AJ$6,0),500,1)),0)
+_xlfn.IFNA(SUM((BH$3&gt;='Gastos com Pessoal'!$E$7:$E$506)*(BH$3&lt;='Gastos com Pessoal'!$F$7:$F$506)*(IF('Gastos com Pessoal'!$S$7:$S$506&lt;=BH$3,1,0))*OFFSET('Gastos com Pessoal'!$H$6,1,MATCH(3&amp;$B56,'Gastos com Pessoal'!$I$532:$AJ$532&amp;'Gastos com Pessoal'!$I$6:$AJ$6,0),500,1)),0)
+_xlfn.IFNA(SUM((BH$3&gt;='Gastos com Pessoal'!$E$7:$E$506)*(BH$3&lt;='Gastos com Pessoal'!$F$7:$F$506)*(IF('Gastos com Pessoal'!$Y$7:$Y$506&lt;=BH$3,1,0))*OFFSET('Gastos com Pessoal'!$H$6,1,MATCH(4&amp;$B56,'Gastos com Pessoal'!$I$532:$AJ$532&amp;'Gastos com Pessoal'!$I$6:$AJ$6,0),500,1)),0)
+_xlfn.IFNA(SUM((BH$3&gt;='Gastos com Pessoal'!$E$7:$E$506)*(BH$3&lt;='Gastos com Pessoal'!$F$7:$F$506)*(IF('Gastos com Pessoal'!$AE$7:$AE$506&lt;=BH$3,1,0))*OFFSET('Gastos com Pessoal'!$H$6,1,MATCH(5&amp;$B56,'Gastos com Pessoal'!$I$532:$AJ$532&amp;'Gastos com Pessoal'!$I$6:$AJ$6,0),500,1)),0)
+_xlfn.IFNA(SUM((BH$3&gt;='Gastos com Pessoal'!$E$513:$E$522)*(BH$3&lt;='Gastos com Pessoal'!$F$513:$F$522)*(IF('Gastos com Pessoal'!$G$513:$G$522&lt;=BH$3,1,0))*OFFSET('Gastos com Pessoal'!$H$512,1,MATCH(1&amp;$B56,'Gastos com Pessoal'!$I$532:$AJ$532&amp;'Gastos com Pessoal'!$I$512:$AJ$512,0),10,1)),0)
+_xlfn.IFNA(SUM((BH$3&gt;='Gastos com Pessoal'!$E$513:$E$522)*(BH$3&lt;='Gastos com Pessoal'!$F$513:$F$522)*(IF('Gastos com Pessoal'!$M$513:$M$522&lt;=BH$3,1,0))*OFFSET('Gastos com Pessoal'!$H$512,1,MATCH(2&amp;$B56,'Gastos com Pessoal'!$I$532:$AJ$532&amp;'Gastos com Pessoal'!$I$512:$AJ$512,0),10,1)),0)
+_xlfn.IFNA(SUM((BH$3&gt;='Gastos com Pessoal'!$E$513:$E$522)*(BH$3&lt;='Gastos com Pessoal'!$F$513:$F$522)*(IF('Gastos com Pessoal'!$S$513:$S$522&lt;=BH$3,1,0))*OFFSET('Gastos com Pessoal'!$H$512,1,MATCH(3&amp;$B56,'Gastos com Pessoal'!$I$532:$AJ$532&amp;'Gastos com Pessoal'!$I$512:$AJ$512,0),10,1)),0)
+_xlfn.IFNA(SUM((BH$3&gt;='Gastos com Pessoal'!$E$513:$E$522)*(BH$3&lt;='Gastos com Pessoal'!$F$513:$F$522)*(IF('Gastos com Pessoal'!$Y$513:$Y$522&lt;=BH$3,1,0))*OFFSET('Gastos com Pessoal'!$H$512,1,MATCH(4&amp;$B56,'Gastos com Pessoal'!$I$532:$AJ$532&amp;'Gastos com Pessoal'!$I$512:$AJ$512,0),10,1)),0)
+_xlfn.IFNA(SUM((BH$3&gt;='Gastos com Pessoal'!$E$513:$E$522)*(BH$3&lt;='Gastos com Pessoal'!$F$513:$F$522)*(IF('Gastos com Pessoal'!$AE$513:$AE$522&lt;=BH$3,1,0))*OFFSET('Gastos com Pessoal'!$H$512,1,MATCH(5&amp;$B56,'Gastos com Pessoal'!$I$532:$AJ$532&amp;'Gastos com Pessoal'!$I$512:$AJ$512,0),10,1)),0)</f>
        <v>0</v>
      </c>
      <c r="BI56" s="32">
        <f t="array" aca="1" ref="BI56" ca="1">_xlfn.IFNA(SUM((BI$3&gt;='Gastos com Pessoal'!$E$7:$E$506)*(BI$3&lt;='Gastos com Pessoal'!$F$7:$F$506)*OFFSET('Encargos e Benefícios'!$D$5,1,MATCH($B56,'Encargos e Benefícios'!$E$5:$AB$5,0),500,1)),0)
+_xlfn.IFNA(SUM((BI$3&gt;='Gastos com Pessoal'!$E$513:$E$522)*(BI$3&lt;='Gastos com Pessoal'!$F$513:$F$522)*OFFSET('Encargos e Benefícios'!$D$511,1,MATCH($B56,'Encargos e Benefícios'!$E$511:$AB$511,0),10,1)),0)
+_xlfn.IFNA(SUM((BI$3&gt;='Gastos com Pessoal'!$E$7:$E$506)*(BI$3&lt;='Gastos com Pessoal'!$F$7:$F$506)*(IF('Gastos com Pessoal'!$G$7:$G$506&lt;=BI$3,1,0))*OFFSET('Gastos com Pessoal'!$H$6,1,MATCH(1&amp;$B56,'Gastos com Pessoal'!$I$532:$AJ$532&amp;'Gastos com Pessoal'!$I$6:$AJ$6,0),500,1)),0)
+_xlfn.IFNA(SUM((BI$3&gt;='Gastos com Pessoal'!$E$7:$E$506)*(BI$3&lt;='Gastos com Pessoal'!$F$7:$F$506)*(IF('Gastos com Pessoal'!$M$7:$M$506&lt;=BI$3,1,0))*OFFSET('Gastos com Pessoal'!$H$6,1,MATCH(2&amp;$B56,'Gastos com Pessoal'!$I$532:$AJ$532&amp;'Gastos com Pessoal'!$I$6:$AJ$6,0),500,1)),0)
+_xlfn.IFNA(SUM((BI$3&gt;='Gastos com Pessoal'!$E$7:$E$506)*(BI$3&lt;='Gastos com Pessoal'!$F$7:$F$506)*(IF('Gastos com Pessoal'!$S$7:$S$506&lt;=BI$3,1,0))*OFFSET('Gastos com Pessoal'!$H$6,1,MATCH(3&amp;$B56,'Gastos com Pessoal'!$I$532:$AJ$532&amp;'Gastos com Pessoal'!$I$6:$AJ$6,0),500,1)),0)
+_xlfn.IFNA(SUM((BI$3&gt;='Gastos com Pessoal'!$E$7:$E$506)*(BI$3&lt;='Gastos com Pessoal'!$F$7:$F$506)*(IF('Gastos com Pessoal'!$Y$7:$Y$506&lt;=BI$3,1,0))*OFFSET('Gastos com Pessoal'!$H$6,1,MATCH(4&amp;$B56,'Gastos com Pessoal'!$I$532:$AJ$532&amp;'Gastos com Pessoal'!$I$6:$AJ$6,0),500,1)),0)
+_xlfn.IFNA(SUM((BI$3&gt;='Gastos com Pessoal'!$E$7:$E$506)*(BI$3&lt;='Gastos com Pessoal'!$F$7:$F$506)*(IF('Gastos com Pessoal'!$AE$7:$AE$506&lt;=BI$3,1,0))*OFFSET('Gastos com Pessoal'!$H$6,1,MATCH(5&amp;$B56,'Gastos com Pessoal'!$I$532:$AJ$532&amp;'Gastos com Pessoal'!$I$6:$AJ$6,0),500,1)),0)
+_xlfn.IFNA(SUM((BI$3&gt;='Gastos com Pessoal'!$E$513:$E$522)*(BI$3&lt;='Gastos com Pessoal'!$F$513:$F$522)*(IF('Gastos com Pessoal'!$G$513:$G$522&lt;=BI$3,1,0))*OFFSET('Gastos com Pessoal'!$H$512,1,MATCH(1&amp;$B56,'Gastos com Pessoal'!$I$532:$AJ$532&amp;'Gastos com Pessoal'!$I$512:$AJ$512,0),10,1)),0)
+_xlfn.IFNA(SUM((BI$3&gt;='Gastos com Pessoal'!$E$513:$E$522)*(BI$3&lt;='Gastos com Pessoal'!$F$513:$F$522)*(IF('Gastos com Pessoal'!$M$513:$M$522&lt;=BI$3,1,0))*OFFSET('Gastos com Pessoal'!$H$512,1,MATCH(2&amp;$B56,'Gastos com Pessoal'!$I$532:$AJ$532&amp;'Gastos com Pessoal'!$I$512:$AJ$512,0),10,1)),0)
+_xlfn.IFNA(SUM((BI$3&gt;='Gastos com Pessoal'!$E$513:$E$522)*(BI$3&lt;='Gastos com Pessoal'!$F$513:$F$522)*(IF('Gastos com Pessoal'!$S$513:$S$522&lt;=BI$3,1,0))*OFFSET('Gastos com Pessoal'!$H$512,1,MATCH(3&amp;$B56,'Gastos com Pessoal'!$I$532:$AJ$532&amp;'Gastos com Pessoal'!$I$512:$AJ$512,0),10,1)),0)
+_xlfn.IFNA(SUM((BI$3&gt;='Gastos com Pessoal'!$E$513:$E$522)*(BI$3&lt;='Gastos com Pessoal'!$F$513:$F$522)*(IF('Gastos com Pessoal'!$Y$513:$Y$522&lt;=BI$3,1,0))*OFFSET('Gastos com Pessoal'!$H$512,1,MATCH(4&amp;$B56,'Gastos com Pessoal'!$I$532:$AJ$532&amp;'Gastos com Pessoal'!$I$512:$AJ$512,0),10,1)),0)
+_xlfn.IFNA(SUM((BI$3&gt;='Gastos com Pessoal'!$E$513:$E$522)*(BI$3&lt;='Gastos com Pessoal'!$F$513:$F$522)*(IF('Gastos com Pessoal'!$AE$513:$AE$522&lt;=BI$3,1,0))*OFFSET('Gastos com Pessoal'!$H$512,1,MATCH(5&amp;$B56,'Gastos com Pessoal'!$I$532:$AJ$532&amp;'Gastos com Pessoal'!$I$512:$AJ$512,0),10,1)),0)</f>
        <v>0</v>
      </c>
      <c r="BJ56" s="32">
        <f t="array" aca="1" ref="BJ56" ca="1">_xlfn.IFNA(SUM((BJ$3&gt;='Gastos com Pessoal'!$E$7:$E$506)*(BJ$3&lt;='Gastos com Pessoal'!$F$7:$F$506)*OFFSET('Encargos e Benefícios'!$D$5,1,MATCH($B56,'Encargos e Benefícios'!$E$5:$AB$5,0),500,1)),0)
+_xlfn.IFNA(SUM((BJ$3&gt;='Gastos com Pessoal'!$E$513:$E$522)*(BJ$3&lt;='Gastos com Pessoal'!$F$513:$F$522)*OFFSET('Encargos e Benefícios'!$D$511,1,MATCH($B56,'Encargos e Benefícios'!$E$511:$AB$511,0),10,1)),0)
+_xlfn.IFNA(SUM((BJ$3&gt;='Gastos com Pessoal'!$E$7:$E$506)*(BJ$3&lt;='Gastos com Pessoal'!$F$7:$F$506)*(IF('Gastos com Pessoal'!$G$7:$G$506&lt;=BJ$3,1,0))*OFFSET('Gastos com Pessoal'!$H$6,1,MATCH(1&amp;$B56,'Gastos com Pessoal'!$I$532:$AJ$532&amp;'Gastos com Pessoal'!$I$6:$AJ$6,0),500,1)),0)
+_xlfn.IFNA(SUM((BJ$3&gt;='Gastos com Pessoal'!$E$7:$E$506)*(BJ$3&lt;='Gastos com Pessoal'!$F$7:$F$506)*(IF('Gastos com Pessoal'!$M$7:$M$506&lt;=BJ$3,1,0))*OFFSET('Gastos com Pessoal'!$H$6,1,MATCH(2&amp;$B56,'Gastos com Pessoal'!$I$532:$AJ$532&amp;'Gastos com Pessoal'!$I$6:$AJ$6,0),500,1)),0)
+_xlfn.IFNA(SUM((BJ$3&gt;='Gastos com Pessoal'!$E$7:$E$506)*(BJ$3&lt;='Gastos com Pessoal'!$F$7:$F$506)*(IF('Gastos com Pessoal'!$S$7:$S$506&lt;=BJ$3,1,0))*OFFSET('Gastos com Pessoal'!$H$6,1,MATCH(3&amp;$B56,'Gastos com Pessoal'!$I$532:$AJ$532&amp;'Gastos com Pessoal'!$I$6:$AJ$6,0),500,1)),0)
+_xlfn.IFNA(SUM((BJ$3&gt;='Gastos com Pessoal'!$E$7:$E$506)*(BJ$3&lt;='Gastos com Pessoal'!$F$7:$F$506)*(IF('Gastos com Pessoal'!$Y$7:$Y$506&lt;=BJ$3,1,0))*OFFSET('Gastos com Pessoal'!$H$6,1,MATCH(4&amp;$B56,'Gastos com Pessoal'!$I$532:$AJ$532&amp;'Gastos com Pessoal'!$I$6:$AJ$6,0),500,1)),0)
+_xlfn.IFNA(SUM((BJ$3&gt;='Gastos com Pessoal'!$E$7:$E$506)*(BJ$3&lt;='Gastos com Pessoal'!$F$7:$F$506)*(IF('Gastos com Pessoal'!$AE$7:$AE$506&lt;=BJ$3,1,0))*OFFSET('Gastos com Pessoal'!$H$6,1,MATCH(5&amp;$B56,'Gastos com Pessoal'!$I$532:$AJ$532&amp;'Gastos com Pessoal'!$I$6:$AJ$6,0),500,1)),0)
+_xlfn.IFNA(SUM((BJ$3&gt;='Gastos com Pessoal'!$E$513:$E$522)*(BJ$3&lt;='Gastos com Pessoal'!$F$513:$F$522)*(IF('Gastos com Pessoal'!$G$513:$G$522&lt;=BJ$3,1,0))*OFFSET('Gastos com Pessoal'!$H$512,1,MATCH(1&amp;$B56,'Gastos com Pessoal'!$I$532:$AJ$532&amp;'Gastos com Pessoal'!$I$512:$AJ$512,0),10,1)),0)
+_xlfn.IFNA(SUM((BJ$3&gt;='Gastos com Pessoal'!$E$513:$E$522)*(BJ$3&lt;='Gastos com Pessoal'!$F$513:$F$522)*(IF('Gastos com Pessoal'!$M$513:$M$522&lt;=BJ$3,1,0))*OFFSET('Gastos com Pessoal'!$H$512,1,MATCH(2&amp;$B56,'Gastos com Pessoal'!$I$532:$AJ$532&amp;'Gastos com Pessoal'!$I$512:$AJ$512,0),10,1)),0)
+_xlfn.IFNA(SUM((BJ$3&gt;='Gastos com Pessoal'!$E$513:$E$522)*(BJ$3&lt;='Gastos com Pessoal'!$F$513:$F$522)*(IF('Gastos com Pessoal'!$S$513:$S$522&lt;=BJ$3,1,0))*OFFSET('Gastos com Pessoal'!$H$512,1,MATCH(3&amp;$B56,'Gastos com Pessoal'!$I$532:$AJ$532&amp;'Gastos com Pessoal'!$I$512:$AJ$512,0),10,1)),0)
+_xlfn.IFNA(SUM((BJ$3&gt;='Gastos com Pessoal'!$E$513:$E$522)*(BJ$3&lt;='Gastos com Pessoal'!$F$513:$F$522)*(IF('Gastos com Pessoal'!$Y$513:$Y$522&lt;=BJ$3,1,0))*OFFSET('Gastos com Pessoal'!$H$512,1,MATCH(4&amp;$B56,'Gastos com Pessoal'!$I$532:$AJ$532&amp;'Gastos com Pessoal'!$I$512:$AJ$512,0),10,1)),0)
+_xlfn.IFNA(SUM((BJ$3&gt;='Gastos com Pessoal'!$E$513:$E$522)*(BJ$3&lt;='Gastos com Pessoal'!$F$513:$F$522)*(IF('Gastos com Pessoal'!$AE$513:$AE$522&lt;=BJ$3,1,0))*OFFSET('Gastos com Pessoal'!$H$512,1,MATCH(5&amp;$B56,'Gastos com Pessoal'!$I$532:$AJ$532&amp;'Gastos com Pessoal'!$I$512:$AJ$512,0),10,1)),0)</f>
        <v>0</v>
      </c>
      <c r="BK56" s="71">
        <f t="shared" ca="1" si="22"/>
        <v>792072</v>
      </c>
      <c r="BL56" s="76">
        <f t="shared" ca="1" si="21"/>
        <v>2.1604543400234677E-3</v>
      </c>
    </row>
    <row r="57" spans="1:64" s="49" customFormat="1" ht="23.25" customHeight="1" x14ac:dyDescent="0.2">
      <c r="A57" s="41"/>
      <c r="B57" s="42" t="s">
        <v>187</v>
      </c>
      <c r="C57" s="43">
        <f t="shared" ref="C57:M57" ca="1" si="23">SUBTOTAL(109,C48:C56)</f>
        <v>833904.99903957627</v>
      </c>
      <c r="D57" s="43">
        <f t="shared" ca="1" si="23"/>
        <v>833904.99903957627</v>
      </c>
      <c r="E57" s="43">
        <f t="shared" ca="1" si="23"/>
        <v>833904.99903957627</v>
      </c>
      <c r="F57" s="43">
        <f t="shared" ca="1" si="23"/>
        <v>833904.99903957627</v>
      </c>
      <c r="G57" s="43">
        <f t="shared" ca="1" si="23"/>
        <v>833904.99903957627</v>
      </c>
      <c r="H57" s="43">
        <f t="shared" ca="1" si="23"/>
        <v>833904.99903957627</v>
      </c>
      <c r="I57" s="43">
        <f t="shared" ca="1" si="23"/>
        <v>833904.99903957627</v>
      </c>
      <c r="J57" s="43">
        <f t="shared" ca="1" si="23"/>
        <v>833904.99903957627</v>
      </c>
      <c r="K57" s="43">
        <f t="shared" ca="1" si="23"/>
        <v>833904.99903957627</v>
      </c>
      <c r="L57" s="43">
        <f t="shared" ca="1" si="23"/>
        <v>833904.99903957627</v>
      </c>
      <c r="M57" s="43">
        <f t="shared" ca="1" si="23"/>
        <v>833904.99903957627</v>
      </c>
      <c r="N57" s="43">
        <f t="shared" ref="N57" ca="1" si="24">SUBTOTAL(109,N48:N56)</f>
        <v>833904.99903957627</v>
      </c>
      <c r="O57" s="43">
        <f t="shared" ref="O57:Y57" ca="1" si="25">SUBTOTAL(109,O48:O56)</f>
        <v>788821.59903957625</v>
      </c>
      <c r="P57" s="43">
        <f t="shared" ca="1" si="25"/>
        <v>788821.59903957625</v>
      </c>
      <c r="Q57" s="43">
        <f t="shared" ca="1" si="25"/>
        <v>788821.59903957625</v>
      </c>
      <c r="R57" s="43">
        <f t="shared" ca="1" si="25"/>
        <v>788821.59903957625</v>
      </c>
      <c r="S57" s="43">
        <f t="shared" ca="1" si="25"/>
        <v>788821.59903957625</v>
      </c>
      <c r="T57" s="43">
        <f t="shared" ca="1" si="25"/>
        <v>788821.59903957625</v>
      </c>
      <c r="U57" s="43">
        <f t="shared" ca="1" si="25"/>
        <v>788821.59903957625</v>
      </c>
      <c r="V57" s="43">
        <f t="shared" ca="1" si="25"/>
        <v>788821.59903957625</v>
      </c>
      <c r="W57" s="43">
        <f t="shared" ca="1" si="25"/>
        <v>788821.59903957625</v>
      </c>
      <c r="X57" s="43">
        <f t="shared" ca="1" si="25"/>
        <v>788821.59903957625</v>
      </c>
      <c r="Y57" s="43">
        <f t="shared" ca="1" si="25"/>
        <v>788821.59903957625</v>
      </c>
      <c r="Z57" s="43">
        <f t="shared" ref="Z57:AK57" ca="1" si="26">SUBTOTAL(109,Z48:Z56)</f>
        <v>788821.59903957625</v>
      </c>
      <c r="AA57" s="43">
        <f t="shared" ca="1" si="26"/>
        <v>788821.59903957625</v>
      </c>
      <c r="AB57" s="43">
        <f t="shared" ca="1" si="26"/>
        <v>788821.59903957625</v>
      </c>
      <c r="AC57" s="43">
        <f t="shared" ca="1" si="26"/>
        <v>788821.59903957625</v>
      </c>
      <c r="AD57" s="43">
        <f t="shared" ca="1" si="26"/>
        <v>788821.59903957625</v>
      </c>
      <c r="AE57" s="43">
        <f t="shared" ca="1" si="26"/>
        <v>788821.59903957625</v>
      </c>
      <c r="AF57" s="43">
        <f t="shared" ca="1" si="26"/>
        <v>788821.59903957625</v>
      </c>
      <c r="AG57" s="43">
        <f t="shared" ca="1" si="26"/>
        <v>788821.59903957625</v>
      </c>
      <c r="AH57" s="43">
        <f t="shared" ca="1" si="26"/>
        <v>788821.59903957625</v>
      </c>
      <c r="AI57" s="43">
        <f t="shared" ca="1" si="26"/>
        <v>788821.59903957625</v>
      </c>
      <c r="AJ57" s="43">
        <f t="shared" ca="1" si="26"/>
        <v>788821.59903957625</v>
      </c>
      <c r="AK57" s="43">
        <f t="shared" ca="1" si="26"/>
        <v>788821.59903957625</v>
      </c>
      <c r="AL57" s="43">
        <f t="shared" ref="AL57:AS57" ca="1" si="27">SUBTOTAL(109,AL48:AL56)</f>
        <v>788821.59903957625</v>
      </c>
      <c r="AM57" s="43">
        <f t="shared" ca="1" si="27"/>
        <v>0</v>
      </c>
      <c r="AN57" s="43">
        <f t="shared" ca="1" si="27"/>
        <v>0</v>
      </c>
      <c r="AO57" s="43">
        <f t="shared" ca="1" si="27"/>
        <v>0</v>
      </c>
      <c r="AP57" s="43">
        <f t="shared" ca="1" si="27"/>
        <v>0</v>
      </c>
      <c r="AQ57" s="43">
        <f t="shared" ca="1" si="27"/>
        <v>0</v>
      </c>
      <c r="AR57" s="43">
        <f t="shared" ca="1" si="27"/>
        <v>0</v>
      </c>
      <c r="AS57" s="43">
        <f t="shared" ca="1" si="27"/>
        <v>0</v>
      </c>
      <c r="AT57" s="43">
        <f t="shared" ref="AT57:BJ57" ca="1" si="28">SUBTOTAL(109,AT48:AT56)</f>
        <v>0</v>
      </c>
      <c r="AU57" s="43">
        <f t="shared" ca="1" si="28"/>
        <v>0</v>
      </c>
      <c r="AV57" s="43">
        <f t="shared" ca="1" si="28"/>
        <v>0</v>
      </c>
      <c r="AW57" s="43">
        <f t="shared" ca="1" si="28"/>
        <v>0</v>
      </c>
      <c r="AX57" s="43">
        <f t="shared" ca="1" si="28"/>
        <v>0</v>
      </c>
      <c r="AY57" s="43">
        <f t="shared" ca="1" si="28"/>
        <v>0</v>
      </c>
      <c r="AZ57" s="43">
        <f t="shared" ca="1" si="28"/>
        <v>0</v>
      </c>
      <c r="BA57" s="43">
        <f t="shared" ca="1" si="28"/>
        <v>0</v>
      </c>
      <c r="BB57" s="43">
        <f t="shared" ca="1" si="28"/>
        <v>0</v>
      </c>
      <c r="BC57" s="43">
        <f t="shared" ca="1" si="28"/>
        <v>0</v>
      </c>
      <c r="BD57" s="43">
        <f t="shared" ca="1" si="28"/>
        <v>0</v>
      </c>
      <c r="BE57" s="43">
        <f t="shared" ca="1" si="28"/>
        <v>0</v>
      </c>
      <c r="BF57" s="43">
        <f t="shared" ca="1" si="28"/>
        <v>0</v>
      </c>
      <c r="BG57" s="43">
        <f t="shared" ca="1" si="28"/>
        <v>0</v>
      </c>
      <c r="BH57" s="43">
        <f t="shared" ca="1" si="28"/>
        <v>0</v>
      </c>
      <c r="BI57" s="43">
        <f t="shared" ca="1" si="28"/>
        <v>0</v>
      </c>
      <c r="BJ57" s="43">
        <f t="shared" ca="1" si="28"/>
        <v>0</v>
      </c>
      <c r="BK57" s="43">
        <f ca="1">SUBTOTAL(109,BK48:BK56)</f>
        <v>28938578.365424745</v>
      </c>
      <c r="BL57" s="60">
        <f t="shared" ca="1" si="21"/>
        <v>7.8932820783579161E-2</v>
      </c>
    </row>
    <row r="58" spans="1:64" s="49" customFormat="1" ht="23.25" customHeight="1" thickBot="1" x14ac:dyDescent="0.25">
      <c r="A58" s="299"/>
      <c r="B58" s="300" t="s">
        <v>89</v>
      </c>
      <c r="C58" s="270">
        <f t="shared" ref="C58:AH58" ca="1" si="29">SUBTOTAL(109,C20:C57)</f>
        <v>7112547.5518153757</v>
      </c>
      <c r="D58" s="270">
        <f t="shared" ca="1" si="29"/>
        <v>7112547.5518153757</v>
      </c>
      <c r="E58" s="270">
        <f t="shared" ca="1" si="29"/>
        <v>7112547.5518153757</v>
      </c>
      <c r="F58" s="270">
        <f t="shared" ca="1" si="29"/>
        <v>7112547.5518153757</v>
      </c>
      <c r="G58" s="270">
        <f t="shared" ca="1" si="29"/>
        <v>7112547.5518153757</v>
      </c>
      <c r="H58" s="270">
        <f t="shared" ca="1" si="29"/>
        <v>7112547.5518153757</v>
      </c>
      <c r="I58" s="270">
        <f t="shared" ca="1" si="29"/>
        <v>7112547.5518153757</v>
      </c>
      <c r="J58" s="270">
        <f t="shared" ca="1" si="29"/>
        <v>7112547.5518153757</v>
      </c>
      <c r="K58" s="270">
        <f t="shared" ca="1" si="29"/>
        <v>7112547.5518153757</v>
      </c>
      <c r="L58" s="270">
        <f t="shared" ca="1" si="29"/>
        <v>7112547.5518153757</v>
      </c>
      <c r="M58" s="270">
        <f t="shared" ca="1" si="29"/>
        <v>7112547.5518153757</v>
      </c>
      <c r="N58" s="270">
        <f t="shared" ca="1" si="29"/>
        <v>7112547.5518153757</v>
      </c>
      <c r="O58" s="270">
        <f t="shared" ca="1" si="29"/>
        <v>6989647.3584123161</v>
      </c>
      <c r="P58" s="270">
        <f t="shared" ca="1" si="29"/>
        <v>6989647.3584123161</v>
      </c>
      <c r="Q58" s="270">
        <f t="shared" ca="1" si="29"/>
        <v>6989647.3584123161</v>
      </c>
      <c r="R58" s="270">
        <f t="shared" ca="1" si="29"/>
        <v>6989647.3584123161</v>
      </c>
      <c r="S58" s="270">
        <f t="shared" ca="1" si="29"/>
        <v>6989647.3584123161</v>
      </c>
      <c r="T58" s="270">
        <f t="shared" ca="1" si="29"/>
        <v>6989647.3584123161</v>
      </c>
      <c r="U58" s="270">
        <f t="shared" ca="1" si="29"/>
        <v>6989647.3584123161</v>
      </c>
      <c r="V58" s="270">
        <f t="shared" ca="1" si="29"/>
        <v>6989647.3584123161</v>
      </c>
      <c r="W58" s="270">
        <f t="shared" ca="1" si="29"/>
        <v>6989647.3584123161</v>
      </c>
      <c r="X58" s="270">
        <f t="shared" ca="1" si="29"/>
        <v>6989647.3584123161</v>
      </c>
      <c r="Y58" s="270">
        <f t="shared" ca="1" si="29"/>
        <v>6989647.3584123161</v>
      </c>
      <c r="Z58" s="270">
        <f t="shared" ca="1" si="29"/>
        <v>6989647.3584123161</v>
      </c>
      <c r="AA58" s="270">
        <f t="shared" ca="1" si="29"/>
        <v>7237080.3887872258</v>
      </c>
      <c r="AB58" s="270">
        <f t="shared" ca="1" si="29"/>
        <v>7237080.3887872258</v>
      </c>
      <c r="AC58" s="270">
        <f t="shared" ca="1" si="29"/>
        <v>7237080.3887872258</v>
      </c>
      <c r="AD58" s="270">
        <f t="shared" ca="1" si="29"/>
        <v>7237080.3887872258</v>
      </c>
      <c r="AE58" s="270">
        <f t="shared" ca="1" si="29"/>
        <v>7237080.3887872258</v>
      </c>
      <c r="AF58" s="270">
        <f t="shared" ca="1" si="29"/>
        <v>7237080.3887872258</v>
      </c>
      <c r="AG58" s="270">
        <f t="shared" ca="1" si="29"/>
        <v>7237080.3887872258</v>
      </c>
      <c r="AH58" s="270">
        <f t="shared" ca="1" si="29"/>
        <v>7237080.3887872258</v>
      </c>
      <c r="AI58" s="270">
        <f t="shared" ref="AI58:BK58" ca="1" si="30">SUBTOTAL(109,AI20:AI57)</f>
        <v>7237080.3887872258</v>
      </c>
      <c r="AJ58" s="270">
        <f t="shared" ca="1" si="30"/>
        <v>7237080.3887872258</v>
      </c>
      <c r="AK58" s="270">
        <f t="shared" ca="1" si="30"/>
        <v>7237080.3887872258</v>
      </c>
      <c r="AL58" s="270">
        <f t="shared" ca="1" si="30"/>
        <v>7237080.3887872258</v>
      </c>
      <c r="AM58" s="270">
        <f t="shared" ca="1" si="30"/>
        <v>0</v>
      </c>
      <c r="AN58" s="270">
        <f t="shared" ca="1" si="30"/>
        <v>0</v>
      </c>
      <c r="AO58" s="270">
        <f t="shared" ca="1" si="30"/>
        <v>0</v>
      </c>
      <c r="AP58" s="270">
        <f t="shared" ca="1" si="30"/>
        <v>0</v>
      </c>
      <c r="AQ58" s="270">
        <f t="shared" ca="1" si="30"/>
        <v>0</v>
      </c>
      <c r="AR58" s="270">
        <f t="shared" ca="1" si="30"/>
        <v>0</v>
      </c>
      <c r="AS58" s="270">
        <f t="shared" ca="1" si="30"/>
        <v>0</v>
      </c>
      <c r="AT58" s="270">
        <f t="shared" ca="1" si="30"/>
        <v>0</v>
      </c>
      <c r="AU58" s="270">
        <f t="shared" ca="1" si="30"/>
        <v>0</v>
      </c>
      <c r="AV58" s="270">
        <f t="shared" ca="1" si="30"/>
        <v>0</v>
      </c>
      <c r="AW58" s="270">
        <f t="shared" ca="1" si="30"/>
        <v>0</v>
      </c>
      <c r="AX58" s="270">
        <f t="shared" ca="1" si="30"/>
        <v>0</v>
      </c>
      <c r="AY58" s="270">
        <f t="shared" ca="1" si="30"/>
        <v>0</v>
      </c>
      <c r="AZ58" s="270">
        <f t="shared" ca="1" si="30"/>
        <v>0</v>
      </c>
      <c r="BA58" s="270">
        <f t="shared" ca="1" si="30"/>
        <v>0</v>
      </c>
      <c r="BB58" s="270">
        <f t="shared" ca="1" si="30"/>
        <v>0</v>
      </c>
      <c r="BC58" s="270">
        <f t="shared" ca="1" si="30"/>
        <v>0</v>
      </c>
      <c r="BD58" s="270">
        <f t="shared" ca="1" si="30"/>
        <v>0</v>
      </c>
      <c r="BE58" s="270">
        <f t="shared" ca="1" si="30"/>
        <v>0</v>
      </c>
      <c r="BF58" s="270">
        <f t="shared" ca="1" si="30"/>
        <v>0</v>
      </c>
      <c r="BG58" s="270">
        <f t="shared" ca="1" si="30"/>
        <v>0</v>
      </c>
      <c r="BH58" s="270">
        <f t="shared" ca="1" si="30"/>
        <v>0</v>
      </c>
      <c r="BI58" s="270">
        <f t="shared" ca="1" si="30"/>
        <v>0</v>
      </c>
      <c r="BJ58" s="270">
        <f t="shared" ca="1" si="30"/>
        <v>0</v>
      </c>
      <c r="BK58" s="270">
        <f t="shared" ca="1" si="30"/>
        <v>256071303.58817905</v>
      </c>
      <c r="BL58" s="271">
        <f t="shared" ca="1" si="21"/>
        <v>0.69845968446372098</v>
      </c>
    </row>
    <row r="59" spans="1:64" s="49" customFormat="1" ht="23.25" customHeight="1" thickBot="1" x14ac:dyDescent="0.25">
      <c r="A59" s="266" t="s">
        <v>90</v>
      </c>
      <c r="B59" s="267" t="s">
        <v>91</v>
      </c>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c r="AU59" s="268"/>
      <c r="AV59" s="268"/>
      <c r="AW59" s="268"/>
      <c r="AX59" s="268"/>
      <c r="AY59" s="268"/>
      <c r="AZ59" s="268"/>
      <c r="BA59" s="268"/>
      <c r="BB59" s="268"/>
      <c r="BC59" s="268"/>
      <c r="BD59" s="268"/>
      <c r="BE59" s="268"/>
      <c r="BF59" s="268"/>
      <c r="BG59" s="268"/>
      <c r="BH59" s="268"/>
      <c r="BI59" s="268"/>
      <c r="BJ59" s="268"/>
      <c r="BK59" s="268"/>
      <c r="BL59" s="244"/>
    </row>
    <row r="60" spans="1:64" s="49" customFormat="1" ht="23.25" customHeight="1" x14ac:dyDescent="0.2">
      <c r="A60" s="109" t="s">
        <v>188</v>
      </c>
      <c r="B60" s="110" t="s">
        <v>189</v>
      </c>
      <c r="C60" s="73">
        <f>SUMPRODUCT(-('Gastos Gerais'!$B$4:$B$615=Analítico!$B60),-(Analítico!C$3&gt;='Gastos Gerais'!$D$4:$D$615),-(Analítico!C$3&lt;='Gastos Gerais'!$E$4:$E$615),-('Gastos Gerais'!$C$4:$C$615))</f>
        <v>22000</v>
      </c>
      <c r="D60" s="73">
        <f>SUMPRODUCT(-('Gastos Gerais'!$B$4:$B$615=Analítico!$B60),-(Analítico!D$3&gt;='Gastos Gerais'!$D$4:$D$615),-(Analítico!D$3&lt;='Gastos Gerais'!$E$4:$E$615),-('Gastos Gerais'!$C$4:$C$615))</f>
        <v>22000</v>
      </c>
      <c r="E60" s="73">
        <f>SUMPRODUCT(-('Gastos Gerais'!$B$4:$B$615=Analítico!$B60),-(Analítico!E$3&gt;='Gastos Gerais'!$D$4:$D$615),-(Analítico!E$3&lt;='Gastos Gerais'!$E$4:$E$615),-('Gastos Gerais'!$C$4:$C$615))</f>
        <v>22000</v>
      </c>
      <c r="F60" s="73">
        <f>SUMPRODUCT(-('Gastos Gerais'!$B$4:$B$615=Analítico!$B60),-(Analítico!F$3&gt;='Gastos Gerais'!$D$4:$D$615),-(Analítico!F$3&lt;='Gastos Gerais'!$E$4:$E$615),-('Gastos Gerais'!$C$4:$C$615))</f>
        <v>22000</v>
      </c>
      <c r="G60" s="73">
        <f>SUMPRODUCT(-('Gastos Gerais'!$B$4:$B$615=Analítico!$B60),-(Analítico!G$3&gt;='Gastos Gerais'!$D$4:$D$615),-(Analítico!G$3&lt;='Gastos Gerais'!$E$4:$E$615),-('Gastos Gerais'!$C$4:$C$615))</f>
        <v>22000</v>
      </c>
      <c r="H60" s="73">
        <f>SUMPRODUCT(-('Gastos Gerais'!$B$4:$B$615=Analítico!$B60),-(Analítico!H$3&gt;='Gastos Gerais'!$D$4:$D$615),-(Analítico!H$3&lt;='Gastos Gerais'!$E$4:$E$615),-('Gastos Gerais'!$C$4:$C$615))</f>
        <v>22000</v>
      </c>
      <c r="I60" s="73">
        <f>SUMPRODUCT(-('Gastos Gerais'!$B$4:$B$615=Analítico!$B60),-(Analítico!I$3&gt;='Gastos Gerais'!$D$4:$D$615),-(Analítico!I$3&lt;='Gastos Gerais'!$E$4:$E$615),-('Gastos Gerais'!$C$4:$C$615))</f>
        <v>22000</v>
      </c>
      <c r="J60" s="73">
        <f>SUMPRODUCT(-('Gastos Gerais'!$B$4:$B$615=Analítico!$B60),-(Analítico!J$3&gt;='Gastos Gerais'!$D$4:$D$615),-(Analítico!J$3&lt;='Gastos Gerais'!$E$4:$E$615),-('Gastos Gerais'!$C$4:$C$615))</f>
        <v>22000</v>
      </c>
      <c r="K60" s="73">
        <f>SUMPRODUCT(-('Gastos Gerais'!$B$4:$B$615=Analítico!$B60),-(Analítico!K$3&gt;='Gastos Gerais'!$D$4:$D$615),-(Analítico!K$3&lt;='Gastos Gerais'!$E$4:$E$615),-('Gastos Gerais'!$C$4:$C$615))</f>
        <v>22000</v>
      </c>
      <c r="L60" s="73">
        <f>SUMPRODUCT(-('Gastos Gerais'!$B$4:$B$615=Analítico!$B60),-(Analítico!L$3&gt;='Gastos Gerais'!$D$4:$D$615),-(Analítico!L$3&lt;='Gastos Gerais'!$E$4:$E$615),-('Gastos Gerais'!$C$4:$C$615))</f>
        <v>22000</v>
      </c>
      <c r="M60" s="73">
        <f>SUMPRODUCT(-('Gastos Gerais'!$B$4:$B$615=Analítico!$B60),-(Analítico!M$3&gt;='Gastos Gerais'!$D$4:$D$615),-(Analítico!M$3&lt;='Gastos Gerais'!$E$4:$E$615),-('Gastos Gerais'!$C$4:$C$615))</f>
        <v>22000</v>
      </c>
      <c r="N60" s="73">
        <f>SUMPRODUCT(-('Gastos Gerais'!$B$4:$B$615=Analítico!$B60),-(Analítico!N$3&gt;='Gastos Gerais'!$D$4:$D$615),-(Analítico!N$3&lt;='Gastos Gerais'!$E$4:$E$615),-('Gastos Gerais'!$C$4:$C$615))</f>
        <v>22000</v>
      </c>
      <c r="O60" s="73">
        <f>SUMPRODUCT(-('Gastos Gerais'!$B$4:$B$615=Analítico!$B60),-(Analítico!O$3&gt;='Gastos Gerais'!$D$4:$D$615),-(Analítico!O$3&lt;='Gastos Gerais'!$E$4:$E$615),-('Gastos Gerais'!$C$4:$C$615))</f>
        <v>22000</v>
      </c>
      <c r="P60" s="73">
        <f>SUMPRODUCT(-('Gastos Gerais'!$B$4:$B$615=Analítico!$B60),-(Analítico!P$3&gt;='Gastos Gerais'!$D$4:$D$615),-(Analítico!P$3&lt;='Gastos Gerais'!$E$4:$E$615),-('Gastos Gerais'!$C$4:$C$615))</f>
        <v>22000</v>
      </c>
      <c r="Q60" s="73">
        <f>SUMPRODUCT(-('Gastos Gerais'!$B$4:$B$615=Analítico!$B60),-(Analítico!Q$3&gt;='Gastos Gerais'!$D$4:$D$615),-(Analítico!Q$3&lt;='Gastos Gerais'!$E$4:$E$615),-('Gastos Gerais'!$C$4:$C$615))</f>
        <v>22000</v>
      </c>
      <c r="R60" s="73">
        <f>SUMPRODUCT(-('Gastos Gerais'!$B$4:$B$615=Analítico!$B60),-(Analítico!R$3&gt;='Gastos Gerais'!$D$4:$D$615),-(Analítico!R$3&lt;='Gastos Gerais'!$E$4:$E$615),-('Gastos Gerais'!$C$4:$C$615))</f>
        <v>22000</v>
      </c>
      <c r="S60" s="73">
        <f>SUMPRODUCT(-('Gastos Gerais'!$B$4:$B$615=Analítico!$B60),-(Analítico!S$3&gt;='Gastos Gerais'!$D$4:$D$615),-(Analítico!S$3&lt;='Gastos Gerais'!$E$4:$E$615),-('Gastos Gerais'!$C$4:$C$615))</f>
        <v>22000</v>
      </c>
      <c r="T60" s="73">
        <f>SUMPRODUCT(-('Gastos Gerais'!$B$4:$B$615=Analítico!$B60),-(Analítico!T$3&gt;='Gastos Gerais'!$D$4:$D$615),-(Analítico!T$3&lt;='Gastos Gerais'!$E$4:$E$615),-('Gastos Gerais'!$C$4:$C$615))</f>
        <v>22000</v>
      </c>
      <c r="U60" s="73">
        <f>SUMPRODUCT(-('Gastos Gerais'!$B$4:$B$615=Analítico!$B60),-(Analítico!U$3&gt;='Gastos Gerais'!$D$4:$D$615),-(Analítico!U$3&lt;='Gastos Gerais'!$E$4:$E$615),-('Gastos Gerais'!$C$4:$C$615))</f>
        <v>22000</v>
      </c>
      <c r="V60" s="73">
        <f>SUMPRODUCT(-('Gastos Gerais'!$B$4:$B$615=Analítico!$B60),-(Analítico!V$3&gt;='Gastos Gerais'!$D$4:$D$615),-(Analítico!V$3&lt;='Gastos Gerais'!$E$4:$E$615),-('Gastos Gerais'!$C$4:$C$615))</f>
        <v>22000</v>
      </c>
      <c r="W60" s="73">
        <f>SUMPRODUCT(-('Gastos Gerais'!$B$4:$B$615=Analítico!$B60),-(Analítico!W$3&gt;='Gastos Gerais'!$D$4:$D$615),-(Analítico!W$3&lt;='Gastos Gerais'!$E$4:$E$615),-('Gastos Gerais'!$C$4:$C$615))</f>
        <v>22000</v>
      </c>
      <c r="X60" s="73">
        <f>SUMPRODUCT(-('Gastos Gerais'!$B$4:$B$615=Analítico!$B60),-(Analítico!X$3&gt;='Gastos Gerais'!$D$4:$D$615),-(Analítico!X$3&lt;='Gastos Gerais'!$E$4:$E$615),-('Gastos Gerais'!$C$4:$C$615))</f>
        <v>22000</v>
      </c>
      <c r="Y60" s="73">
        <f>SUMPRODUCT(-('Gastos Gerais'!$B$4:$B$615=Analítico!$B60),-(Analítico!Y$3&gt;='Gastos Gerais'!$D$4:$D$615),-(Analítico!Y$3&lt;='Gastos Gerais'!$E$4:$E$615),-('Gastos Gerais'!$C$4:$C$615))</f>
        <v>22000</v>
      </c>
      <c r="Z60" s="73">
        <f>SUMPRODUCT(-('Gastos Gerais'!$B$4:$B$615=Analítico!$B60),-(Analítico!Z$3&gt;='Gastos Gerais'!$D$4:$D$615),-(Analítico!Z$3&lt;='Gastos Gerais'!$E$4:$E$615),-('Gastos Gerais'!$C$4:$C$615))</f>
        <v>22000</v>
      </c>
      <c r="AA60" s="73">
        <f>SUMPRODUCT(-('Gastos Gerais'!$B$4:$B$615=Analítico!$B60),-(Analítico!AA$3&gt;='Gastos Gerais'!$D$4:$D$615),-(Analítico!AA$3&lt;='Gastos Gerais'!$E$4:$E$615),-('Gastos Gerais'!$C$4:$C$615))</f>
        <v>22000</v>
      </c>
      <c r="AB60" s="73">
        <f>SUMPRODUCT(-('Gastos Gerais'!$B$4:$B$615=Analítico!$B60),-(Analítico!AB$3&gt;='Gastos Gerais'!$D$4:$D$615),-(Analítico!AB$3&lt;='Gastos Gerais'!$E$4:$E$615),-('Gastos Gerais'!$C$4:$C$615))</f>
        <v>22000</v>
      </c>
      <c r="AC60" s="73">
        <f>SUMPRODUCT(-('Gastos Gerais'!$B$4:$B$615=Analítico!$B60),-(Analítico!AC$3&gt;='Gastos Gerais'!$D$4:$D$615),-(Analítico!AC$3&lt;='Gastos Gerais'!$E$4:$E$615),-('Gastos Gerais'!$C$4:$C$615))</f>
        <v>22000</v>
      </c>
      <c r="AD60" s="73">
        <f>SUMPRODUCT(-('Gastos Gerais'!$B$4:$B$615=Analítico!$B60),-(Analítico!AD$3&gt;='Gastos Gerais'!$D$4:$D$615),-(Analítico!AD$3&lt;='Gastos Gerais'!$E$4:$E$615),-('Gastos Gerais'!$C$4:$C$615))</f>
        <v>22000</v>
      </c>
      <c r="AE60" s="73">
        <f>SUMPRODUCT(-('Gastos Gerais'!$B$4:$B$615=Analítico!$B60),-(Analítico!AE$3&gt;='Gastos Gerais'!$D$4:$D$615),-(Analítico!AE$3&lt;='Gastos Gerais'!$E$4:$E$615),-('Gastos Gerais'!$C$4:$C$615))</f>
        <v>22000</v>
      </c>
      <c r="AF60" s="73">
        <f>SUMPRODUCT(-('Gastos Gerais'!$B$4:$B$615=Analítico!$B60),-(Analítico!AF$3&gt;='Gastos Gerais'!$D$4:$D$615),-(Analítico!AF$3&lt;='Gastos Gerais'!$E$4:$E$615),-('Gastos Gerais'!$C$4:$C$615))</f>
        <v>22000</v>
      </c>
      <c r="AG60" s="73">
        <f>SUMPRODUCT(-('Gastos Gerais'!$B$4:$B$615=Analítico!$B60),-(Analítico!AG$3&gt;='Gastos Gerais'!$D$4:$D$615),-(Analítico!AG$3&lt;='Gastos Gerais'!$E$4:$E$615),-('Gastos Gerais'!$C$4:$C$615))</f>
        <v>22000</v>
      </c>
      <c r="AH60" s="73">
        <f>SUMPRODUCT(-('Gastos Gerais'!$B$4:$B$615=Analítico!$B60),-(Analítico!AH$3&gt;='Gastos Gerais'!$D$4:$D$615),-(Analítico!AH$3&lt;='Gastos Gerais'!$E$4:$E$615),-('Gastos Gerais'!$C$4:$C$615))</f>
        <v>22000</v>
      </c>
      <c r="AI60" s="73">
        <f>SUMPRODUCT(-('Gastos Gerais'!$B$4:$B$615=Analítico!$B60),-(Analítico!AI$3&gt;='Gastos Gerais'!$D$4:$D$615),-(Analítico!AI$3&lt;='Gastos Gerais'!$E$4:$E$615),-('Gastos Gerais'!$C$4:$C$615))</f>
        <v>22000</v>
      </c>
      <c r="AJ60" s="73">
        <f>SUMPRODUCT(-('Gastos Gerais'!$B$4:$B$615=Analítico!$B60),-(Analítico!AJ$3&gt;='Gastos Gerais'!$D$4:$D$615),-(Analítico!AJ$3&lt;='Gastos Gerais'!$E$4:$E$615),-('Gastos Gerais'!$C$4:$C$615))</f>
        <v>22000</v>
      </c>
      <c r="AK60" s="73">
        <f>SUMPRODUCT(-('Gastos Gerais'!$B$4:$B$615=Analítico!$B60),-(Analítico!AK$3&gt;='Gastos Gerais'!$D$4:$D$615),-(Analítico!AK$3&lt;='Gastos Gerais'!$E$4:$E$615),-('Gastos Gerais'!$C$4:$C$615))</f>
        <v>22000</v>
      </c>
      <c r="AL60" s="73">
        <f>SUMPRODUCT(-('Gastos Gerais'!$B$4:$B$615=Analítico!$B60),-(Analítico!AL$3&gt;='Gastos Gerais'!$D$4:$D$615),-(Analítico!AL$3&lt;='Gastos Gerais'!$E$4:$E$615),-('Gastos Gerais'!$C$4:$C$615))</f>
        <v>22000</v>
      </c>
      <c r="AM60" s="73">
        <f>SUMPRODUCT(-('Gastos Gerais'!$B$4:$B$615=Analítico!$B60),-(Analítico!AM$3&gt;='Gastos Gerais'!$D$4:$D$615),-(Analítico!AM$3&lt;='Gastos Gerais'!$E$4:$E$615),-('Gastos Gerais'!$C$4:$C$615))</f>
        <v>0</v>
      </c>
      <c r="AN60" s="73">
        <f>SUMPRODUCT(-('Gastos Gerais'!$B$4:$B$615=Analítico!$B60),-(Analítico!AN$3&gt;='Gastos Gerais'!$D$4:$D$615),-(Analítico!AN$3&lt;='Gastos Gerais'!$E$4:$E$615),-('Gastos Gerais'!$C$4:$C$615))</f>
        <v>0</v>
      </c>
      <c r="AO60" s="73">
        <f>SUMPRODUCT(-('Gastos Gerais'!$B$4:$B$615=Analítico!$B60),-(Analítico!AO$3&gt;='Gastos Gerais'!$D$4:$D$615),-(Analítico!AO$3&lt;='Gastos Gerais'!$E$4:$E$615),-('Gastos Gerais'!$C$4:$C$615))</f>
        <v>0</v>
      </c>
      <c r="AP60" s="73">
        <f>SUMPRODUCT(-('Gastos Gerais'!$B$4:$B$615=Analítico!$B60),-(Analítico!AP$3&gt;='Gastos Gerais'!$D$4:$D$615),-(Analítico!AP$3&lt;='Gastos Gerais'!$E$4:$E$615),-('Gastos Gerais'!$C$4:$C$615))</f>
        <v>0</v>
      </c>
      <c r="AQ60" s="73">
        <f>SUMPRODUCT(-('Gastos Gerais'!$B$4:$B$615=Analítico!$B60),-(Analítico!AQ$3&gt;='Gastos Gerais'!$D$4:$D$615),-(Analítico!AQ$3&lt;='Gastos Gerais'!$E$4:$E$615),-('Gastos Gerais'!$C$4:$C$615))</f>
        <v>0</v>
      </c>
      <c r="AR60" s="73">
        <f>SUMPRODUCT(-('Gastos Gerais'!$B$4:$B$615=Analítico!$B60),-(Analítico!AR$3&gt;='Gastos Gerais'!$D$4:$D$615),-(Analítico!AR$3&lt;='Gastos Gerais'!$E$4:$E$615),-('Gastos Gerais'!$C$4:$C$615))</f>
        <v>0</v>
      </c>
      <c r="AS60" s="73">
        <f>SUMPRODUCT(-('Gastos Gerais'!$B$4:$B$615=Analítico!$B60),-(Analítico!AS$3&gt;='Gastos Gerais'!$D$4:$D$615),-(Analítico!AS$3&lt;='Gastos Gerais'!$E$4:$E$615),-('Gastos Gerais'!$C$4:$C$615))</f>
        <v>0</v>
      </c>
      <c r="AT60" s="73">
        <f>SUMPRODUCT(-('Gastos Gerais'!$B$4:$B$615=Analítico!$B60),-(Analítico!AT$3&gt;='Gastos Gerais'!$D$4:$D$615),-(Analítico!AT$3&lt;='Gastos Gerais'!$E$4:$E$615),-('Gastos Gerais'!$C$4:$C$615))</f>
        <v>0</v>
      </c>
      <c r="AU60" s="73">
        <f>SUMPRODUCT(-('Gastos Gerais'!$B$4:$B$615=Analítico!$B60),-(Analítico!AU$3&gt;='Gastos Gerais'!$D$4:$D$615),-(Analítico!AU$3&lt;='Gastos Gerais'!$E$4:$E$615),-('Gastos Gerais'!$C$4:$C$615))</f>
        <v>0</v>
      </c>
      <c r="AV60" s="73">
        <f>SUMPRODUCT(-('Gastos Gerais'!$B$4:$B$615=Analítico!$B60),-(Analítico!AV$3&gt;='Gastos Gerais'!$D$4:$D$615),-(Analítico!AV$3&lt;='Gastos Gerais'!$E$4:$E$615),-('Gastos Gerais'!$C$4:$C$615))</f>
        <v>0</v>
      </c>
      <c r="AW60" s="73">
        <f>SUMPRODUCT(-('Gastos Gerais'!$B$4:$B$615=Analítico!$B60),-(Analítico!AW$3&gt;='Gastos Gerais'!$D$4:$D$615),-(Analítico!AW$3&lt;='Gastos Gerais'!$E$4:$E$615),-('Gastos Gerais'!$C$4:$C$615))</f>
        <v>0</v>
      </c>
      <c r="AX60" s="73">
        <f>SUMPRODUCT(-('Gastos Gerais'!$B$4:$B$615=Analítico!$B60),-(Analítico!AX$3&gt;='Gastos Gerais'!$D$4:$D$615),-(Analítico!AX$3&lt;='Gastos Gerais'!$E$4:$E$615),-('Gastos Gerais'!$C$4:$C$615))</f>
        <v>0</v>
      </c>
      <c r="AY60" s="73">
        <f>SUMPRODUCT(-('Gastos Gerais'!$B$4:$B$615=Analítico!$B60),-(Analítico!AY$3&gt;='Gastos Gerais'!$D$4:$D$615),-(Analítico!AY$3&lt;='Gastos Gerais'!$E$4:$E$615),-('Gastos Gerais'!$C$4:$C$615))</f>
        <v>0</v>
      </c>
      <c r="AZ60" s="73">
        <f>SUMPRODUCT(-('Gastos Gerais'!$B$4:$B$615=Analítico!$B60),-(Analítico!AZ$3&gt;='Gastos Gerais'!$D$4:$D$615),-(Analítico!AZ$3&lt;='Gastos Gerais'!$E$4:$E$615),-('Gastos Gerais'!$C$4:$C$615))</f>
        <v>0</v>
      </c>
      <c r="BA60" s="73">
        <f>SUMPRODUCT(-('Gastos Gerais'!$B$4:$B$615=Analítico!$B60),-(Analítico!BA$3&gt;='Gastos Gerais'!$D$4:$D$615),-(Analítico!BA$3&lt;='Gastos Gerais'!$E$4:$E$615),-('Gastos Gerais'!$C$4:$C$615))</f>
        <v>0</v>
      </c>
      <c r="BB60" s="73">
        <f>SUMPRODUCT(-('Gastos Gerais'!$B$4:$B$615=Analítico!$B60),-(Analítico!BB$3&gt;='Gastos Gerais'!$D$4:$D$615),-(Analítico!BB$3&lt;='Gastos Gerais'!$E$4:$E$615),-('Gastos Gerais'!$C$4:$C$615))</f>
        <v>0</v>
      </c>
      <c r="BC60" s="73">
        <f>SUMPRODUCT(-('Gastos Gerais'!$B$4:$B$615=Analítico!$B60),-(Analítico!BC$3&gt;='Gastos Gerais'!$D$4:$D$615),-(Analítico!BC$3&lt;='Gastos Gerais'!$E$4:$E$615),-('Gastos Gerais'!$C$4:$C$615))</f>
        <v>0</v>
      </c>
      <c r="BD60" s="73">
        <f>SUMPRODUCT(-('Gastos Gerais'!$B$4:$B$615=Analítico!$B60),-(Analítico!BD$3&gt;='Gastos Gerais'!$D$4:$D$615),-(Analítico!BD$3&lt;='Gastos Gerais'!$E$4:$E$615),-('Gastos Gerais'!$C$4:$C$615))</f>
        <v>0</v>
      </c>
      <c r="BE60" s="73">
        <f>SUMPRODUCT(-('Gastos Gerais'!$B$4:$B$615=Analítico!$B60),-(Analítico!BE$3&gt;='Gastos Gerais'!$D$4:$D$615),-(Analítico!BE$3&lt;='Gastos Gerais'!$E$4:$E$615),-('Gastos Gerais'!$C$4:$C$615))</f>
        <v>0</v>
      </c>
      <c r="BF60" s="73">
        <f>SUMPRODUCT(-('Gastos Gerais'!$B$4:$B$615=Analítico!$B60),-(Analítico!BF$3&gt;='Gastos Gerais'!$D$4:$D$615),-(Analítico!BF$3&lt;='Gastos Gerais'!$E$4:$E$615),-('Gastos Gerais'!$C$4:$C$615))</f>
        <v>0</v>
      </c>
      <c r="BG60" s="73">
        <f>SUMPRODUCT(-('Gastos Gerais'!$B$4:$B$615=Analítico!$B60),-(Analítico!BG$3&gt;='Gastos Gerais'!$D$4:$D$615),-(Analítico!BG$3&lt;='Gastos Gerais'!$E$4:$E$615),-('Gastos Gerais'!$C$4:$C$615))</f>
        <v>0</v>
      </c>
      <c r="BH60" s="73">
        <f>SUMPRODUCT(-('Gastos Gerais'!$B$4:$B$615=Analítico!$B60),-(Analítico!BH$3&gt;='Gastos Gerais'!$D$4:$D$615),-(Analítico!BH$3&lt;='Gastos Gerais'!$E$4:$E$615),-('Gastos Gerais'!$C$4:$C$615))</f>
        <v>0</v>
      </c>
      <c r="BI60" s="73">
        <f>SUMPRODUCT(-('Gastos Gerais'!$B$4:$B$615=Analítico!$B60),-(Analítico!BI$3&gt;='Gastos Gerais'!$D$4:$D$615),-(Analítico!BI$3&lt;='Gastos Gerais'!$E$4:$E$615),-('Gastos Gerais'!$C$4:$C$615))</f>
        <v>0</v>
      </c>
      <c r="BJ60" s="73">
        <f>SUMPRODUCT(-('Gastos Gerais'!$B$4:$B$615=Analítico!$B60),-(Analítico!BJ$3&gt;='Gastos Gerais'!$D$4:$D$615),-(Analítico!BJ$3&lt;='Gastos Gerais'!$E$4:$E$615),-('Gastos Gerais'!$C$4:$C$615))</f>
        <v>0</v>
      </c>
      <c r="BK60" s="71">
        <f t="shared" ref="BK60:BK91" si="31">SUM(C60:BJ60)</f>
        <v>792000</v>
      </c>
      <c r="BL60" s="76">
        <f t="shared" ref="BL60:BL91" ca="1" si="32">IF($BK$155=0,0,BK60/$BK$155)</f>
        <v>2.1602579529368371E-3</v>
      </c>
    </row>
    <row r="61" spans="1:64" s="49" customFormat="1" ht="23.25" customHeight="1" x14ac:dyDescent="0.2">
      <c r="A61" s="109" t="s">
        <v>190</v>
      </c>
      <c r="B61" s="110" t="s">
        <v>191</v>
      </c>
      <c r="C61" s="73">
        <f>SUMPRODUCT(-('Gastos Gerais'!$B$4:$B$615=Analítico!$B61),-(Analítico!C$3&gt;='Gastos Gerais'!$D$4:$D$615),-(Analítico!C$3&lt;='Gastos Gerais'!$E$4:$E$615),-('Gastos Gerais'!$C$4:$C$615))</f>
        <v>4200</v>
      </c>
      <c r="D61" s="73">
        <f>SUMPRODUCT(-('Gastos Gerais'!$B$4:$B$615=Analítico!$B61),-(Analítico!D$3&gt;='Gastos Gerais'!$D$4:$D$615),-(Analítico!D$3&lt;='Gastos Gerais'!$E$4:$E$615),-('Gastos Gerais'!$C$4:$C$615))</f>
        <v>4200</v>
      </c>
      <c r="E61" s="73">
        <f>SUMPRODUCT(-('Gastos Gerais'!$B$4:$B$615=Analítico!$B61),-(Analítico!E$3&gt;='Gastos Gerais'!$D$4:$D$615),-(Analítico!E$3&lt;='Gastos Gerais'!$E$4:$E$615),-('Gastos Gerais'!$C$4:$C$615))</f>
        <v>4200</v>
      </c>
      <c r="F61" s="73">
        <f>SUMPRODUCT(-('Gastos Gerais'!$B$4:$B$615=Analítico!$B61),-(Analítico!F$3&gt;='Gastos Gerais'!$D$4:$D$615),-(Analítico!F$3&lt;='Gastos Gerais'!$E$4:$E$615),-('Gastos Gerais'!$C$4:$C$615))</f>
        <v>4200</v>
      </c>
      <c r="G61" s="73">
        <f>SUMPRODUCT(-('Gastos Gerais'!$B$4:$B$615=Analítico!$B61),-(Analítico!G$3&gt;='Gastos Gerais'!$D$4:$D$615),-(Analítico!G$3&lt;='Gastos Gerais'!$E$4:$E$615),-('Gastos Gerais'!$C$4:$C$615))</f>
        <v>4200</v>
      </c>
      <c r="H61" s="73">
        <f>SUMPRODUCT(-('Gastos Gerais'!$B$4:$B$615=Analítico!$B61),-(Analítico!H$3&gt;='Gastos Gerais'!$D$4:$D$615),-(Analítico!H$3&lt;='Gastos Gerais'!$E$4:$E$615),-('Gastos Gerais'!$C$4:$C$615))</f>
        <v>4200</v>
      </c>
      <c r="I61" s="73">
        <f>SUMPRODUCT(-('Gastos Gerais'!$B$4:$B$615=Analítico!$B61),-(Analítico!I$3&gt;='Gastos Gerais'!$D$4:$D$615),-(Analítico!I$3&lt;='Gastos Gerais'!$E$4:$E$615),-('Gastos Gerais'!$C$4:$C$615))</f>
        <v>4200</v>
      </c>
      <c r="J61" s="73">
        <f>SUMPRODUCT(-('Gastos Gerais'!$B$4:$B$615=Analítico!$B61),-(Analítico!J$3&gt;='Gastos Gerais'!$D$4:$D$615),-(Analítico!J$3&lt;='Gastos Gerais'!$E$4:$E$615),-('Gastos Gerais'!$C$4:$C$615))</f>
        <v>4200</v>
      </c>
      <c r="K61" s="73">
        <f>SUMPRODUCT(-('Gastos Gerais'!$B$4:$B$615=Analítico!$B61),-(Analítico!K$3&gt;='Gastos Gerais'!$D$4:$D$615),-(Analítico!K$3&lt;='Gastos Gerais'!$E$4:$E$615),-('Gastos Gerais'!$C$4:$C$615))</f>
        <v>4200</v>
      </c>
      <c r="L61" s="73">
        <f>SUMPRODUCT(-('Gastos Gerais'!$B$4:$B$615=Analítico!$B61),-(Analítico!L$3&gt;='Gastos Gerais'!$D$4:$D$615),-(Analítico!L$3&lt;='Gastos Gerais'!$E$4:$E$615),-('Gastos Gerais'!$C$4:$C$615))</f>
        <v>4200</v>
      </c>
      <c r="M61" s="73">
        <f>SUMPRODUCT(-('Gastos Gerais'!$B$4:$B$615=Analítico!$B61),-(Analítico!M$3&gt;='Gastos Gerais'!$D$4:$D$615),-(Analítico!M$3&lt;='Gastos Gerais'!$E$4:$E$615),-('Gastos Gerais'!$C$4:$C$615))</f>
        <v>4200</v>
      </c>
      <c r="N61" s="73">
        <f>SUMPRODUCT(-('Gastos Gerais'!$B$4:$B$615=Analítico!$B61),-(Analítico!N$3&gt;='Gastos Gerais'!$D$4:$D$615),-(Analítico!N$3&lt;='Gastos Gerais'!$E$4:$E$615),-('Gastos Gerais'!$C$4:$C$615))</f>
        <v>4200</v>
      </c>
      <c r="O61" s="73">
        <f>SUMPRODUCT(-('Gastos Gerais'!$B$4:$B$615=Analítico!$B61),-(Analítico!O$3&gt;='Gastos Gerais'!$D$4:$D$615),-(Analítico!O$3&lt;='Gastos Gerais'!$E$4:$E$615),-('Gastos Gerais'!$C$4:$C$615))</f>
        <v>4200</v>
      </c>
      <c r="P61" s="73">
        <f>SUMPRODUCT(-('Gastos Gerais'!$B$4:$B$615=Analítico!$B61),-(Analítico!P$3&gt;='Gastos Gerais'!$D$4:$D$615),-(Analítico!P$3&lt;='Gastos Gerais'!$E$4:$E$615),-('Gastos Gerais'!$C$4:$C$615))</f>
        <v>4200</v>
      </c>
      <c r="Q61" s="73">
        <f>SUMPRODUCT(-('Gastos Gerais'!$B$4:$B$615=Analítico!$B61),-(Analítico!Q$3&gt;='Gastos Gerais'!$D$4:$D$615),-(Analítico!Q$3&lt;='Gastos Gerais'!$E$4:$E$615),-('Gastos Gerais'!$C$4:$C$615))</f>
        <v>4200</v>
      </c>
      <c r="R61" s="73">
        <f>SUMPRODUCT(-('Gastos Gerais'!$B$4:$B$615=Analítico!$B61),-(Analítico!R$3&gt;='Gastos Gerais'!$D$4:$D$615),-(Analítico!R$3&lt;='Gastos Gerais'!$E$4:$E$615),-('Gastos Gerais'!$C$4:$C$615))</f>
        <v>4200</v>
      </c>
      <c r="S61" s="73">
        <f>SUMPRODUCT(-('Gastos Gerais'!$B$4:$B$615=Analítico!$B61),-(Analítico!S$3&gt;='Gastos Gerais'!$D$4:$D$615),-(Analítico!S$3&lt;='Gastos Gerais'!$E$4:$E$615),-('Gastos Gerais'!$C$4:$C$615))</f>
        <v>4200</v>
      </c>
      <c r="T61" s="73">
        <f>SUMPRODUCT(-('Gastos Gerais'!$B$4:$B$615=Analítico!$B61),-(Analítico!T$3&gt;='Gastos Gerais'!$D$4:$D$615),-(Analítico!T$3&lt;='Gastos Gerais'!$E$4:$E$615),-('Gastos Gerais'!$C$4:$C$615))</f>
        <v>4200</v>
      </c>
      <c r="U61" s="73">
        <f>SUMPRODUCT(-('Gastos Gerais'!$B$4:$B$615=Analítico!$B61),-(Analítico!U$3&gt;='Gastos Gerais'!$D$4:$D$615),-(Analítico!U$3&lt;='Gastos Gerais'!$E$4:$E$615),-('Gastos Gerais'!$C$4:$C$615))</f>
        <v>4200</v>
      </c>
      <c r="V61" s="73">
        <f>SUMPRODUCT(-('Gastos Gerais'!$B$4:$B$615=Analítico!$B61),-(Analítico!V$3&gt;='Gastos Gerais'!$D$4:$D$615),-(Analítico!V$3&lt;='Gastos Gerais'!$E$4:$E$615),-('Gastos Gerais'!$C$4:$C$615))</f>
        <v>4200</v>
      </c>
      <c r="W61" s="73">
        <f>SUMPRODUCT(-('Gastos Gerais'!$B$4:$B$615=Analítico!$B61),-(Analítico!W$3&gt;='Gastos Gerais'!$D$4:$D$615),-(Analítico!W$3&lt;='Gastos Gerais'!$E$4:$E$615),-('Gastos Gerais'!$C$4:$C$615))</f>
        <v>4200</v>
      </c>
      <c r="X61" s="73">
        <f>SUMPRODUCT(-('Gastos Gerais'!$B$4:$B$615=Analítico!$B61),-(Analítico!X$3&gt;='Gastos Gerais'!$D$4:$D$615),-(Analítico!X$3&lt;='Gastos Gerais'!$E$4:$E$615),-('Gastos Gerais'!$C$4:$C$615))</f>
        <v>4200</v>
      </c>
      <c r="Y61" s="73">
        <f>SUMPRODUCT(-('Gastos Gerais'!$B$4:$B$615=Analítico!$B61),-(Analítico!Y$3&gt;='Gastos Gerais'!$D$4:$D$615),-(Analítico!Y$3&lt;='Gastos Gerais'!$E$4:$E$615),-('Gastos Gerais'!$C$4:$C$615))</f>
        <v>4200</v>
      </c>
      <c r="Z61" s="73">
        <f>SUMPRODUCT(-('Gastos Gerais'!$B$4:$B$615=Analítico!$B61),-(Analítico!Z$3&gt;='Gastos Gerais'!$D$4:$D$615),-(Analítico!Z$3&lt;='Gastos Gerais'!$E$4:$E$615),-('Gastos Gerais'!$C$4:$C$615))</f>
        <v>4200</v>
      </c>
      <c r="AA61" s="73">
        <f>SUMPRODUCT(-('Gastos Gerais'!$B$4:$B$615=Analítico!$B61),-(Analítico!AA$3&gt;='Gastos Gerais'!$D$4:$D$615),-(Analítico!AA$3&lt;='Gastos Gerais'!$E$4:$E$615),-('Gastos Gerais'!$C$4:$C$615))</f>
        <v>4200</v>
      </c>
      <c r="AB61" s="73">
        <f>SUMPRODUCT(-('Gastos Gerais'!$B$4:$B$615=Analítico!$B61),-(Analítico!AB$3&gt;='Gastos Gerais'!$D$4:$D$615),-(Analítico!AB$3&lt;='Gastos Gerais'!$E$4:$E$615),-('Gastos Gerais'!$C$4:$C$615))</f>
        <v>4200</v>
      </c>
      <c r="AC61" s="73">
        <f>SUMPRODUCT(-('Gastos Gerais'!$B$4:$B$615=Analítico!$B61),-(Analítico!AC$3&gt;='Gastos Gerais'!$D$4:$D$615),-(Analítico!AC$3&lt;='Gastos Gerais'!$E$4:$E$615),-('Gastos Gerais'!$C$4:$C$615))</f>
        <v>4200</v>
      </c>
      <c r="AD61" s="73">
        <f>SUMPRODUCT(-('Gastos Gerais'!$B$4:$B$615=Analítico!$B61),-(Analítico!AD$3&gt;='Gastos Gerais'!$D$4:$D$615),-(Analítico!AD$3&lt;='Gastos Gerais'!$E$4:$E$615),-('Gastos Gerais'!$C$4:$C$615))</f>
        <v>4200</v>
      </c>
      <c r="AE61" s="73">
        <f>SUMPRODUCT(-('Gastos Gerais'!$B$4:$B$615=Analítico!$B61),-(Analítico!AE$3&gt;='Gastos Gerais'!$D$4:$D$615),-(Analítico!AE$3&lt;='Gastos Gerais'!$E$4:$E$615),-('Gastos Gerais'!$C$4:$C$615))</f>
        <v>4200</v>
      </c>
      <c r="AF61" s="73">
        <f>SUMPRODUCT(-('Gastos Gerais'!$B$4:$B$615=Analítico!$B61),-(Analítico!AF$3&gt;='Gastos Gerais'!$D$4:$D$615),-(Analítico!AF$3&lt;='Gastos Gerais'!$E$4:$E$615),-('Gastos Gerais'!$C$4:$C$615))</f>
        <v>4200</v>
      </c>
      <c r="AG61" s="73">
        <f>SUMPRODUCT(-('Gastos Gerais'!$B$4:$B$615=Analítico!$B61),-(Analítico!AG$3&gt;='Gastos Gerais'!$D$4:$D$615),-(Analítico!AG$3&lt;='Gastos Gerais'!$E$4:$E$615),-('Gastos Gerais'!$C$4:$C$615))</f>
        <v>4200</v>
      </c>
      <c r="AH61" s="73">
        <f>SUMPRODUCT(-('Gastos Gerais'!$B$4:$B$615=Analítico!$B61),-(Analítico!AH$3&gt;='Gastos Gerais'!$D$4:$D$615),-(Analítico!AH$3&lt;='Gastos Gerais'!$E$4:$E$615),-('Gastos Gerais'!$C$4:$C$615))</f>
        <v>4200</v>
      </c>
      <c r="AI61" s="73">
        <f>SUMPRODUCT(-('Gastos Gerais'!$B$4:$B$615=Analítico!$B61),-(Analítico!AI$3&gt;='Gastos Gerais'!$D$4:$D$615),-(Analítico!AI$3&lt;='Gastos Gerais'!$E$4:$E$615),-('Gastos Gerais'!$C$4:$C$615))</f>
        <v>4200</v>
      </c>
      <c r="AJ61" s="73">
        <f>SUMPRODUCT(-('Gastos Gerais'!$B$4:$B$615=Analítico!$B61),-(Analítico!AJ$3&gt;='Gastos Gerais'!$D$4:$D$615),-(Analítico!AJ$3&lt;='Gastos Gerais'!$E$4:$E$615),-('Gastos Gerais'!$C$4:$C$615))</f>
        <v>4200</v>
      </c>
      <c r="AK61" s="73">
        <f>SUMPRODUCT(-('Gastos Gerais'!$B$4:$B$615=Analítico!$B61),-(Analítico!AK$3&gt;='Gastos Gerais'!$D$4:$D$615),-(Analítico!AK$3&lt;='Gastos Gerais'!$E$4:$E$615),-('Gastos Gerais'!$C$4:$C$615))</f>
        <v>4200</v>
      </c>
      <c r="AL61" s="73">
        <f>SUMPRODUCT(-('Gastos Gerais'!$B$4:$B$615=Analítico!$B61),-(Analítico!AL$3&gt;='Gastos Gerais'!$D$4:$D$615),-(Analítico!AL$3&lt;='Gastos Gerais'!$E$4:$E$615),-('Gastos Gerais'!$C$4:$C$615))</f>
        <v>4200</v>
      </c>
      <c r="AM61" s="73">
        <f>SUMPRODUCT(-('Gastos Gerais'!$B$4:$B$615=Analítico!$B61),-(Analítico!AM$3&gt;='Gastos Gerais'!$D$4:$D$615),-(Analítico!AM$3&lt;='Gastos Gerais'!$E$4:$E$615),-('Gastos Gerais'!$C$4:$C$615))</f>
        <v>0</v>
      </c>
      <c r="AN61" s="73">
        <f>SUMPRODUCT(-('Gastos Gerais'!$B$4:$B$615=Analítico!$B61),-(Analítico!AN$3&gt;='Gastos Gerais'!$D$4:$D$615),-(Analítico!AN$3&lt;='Gastos Gerais'!$E$4:$E$615),-('Gastos Gerais'!$C$4:$C$615))</f>
        <v>0</v>
      </c>
      <c r="AO61" s="73">
        <f>SUMPRODUCT(-('Gastos Gerais'!$B$4:$B$615=Analítico!$B61),-(Analítico!AO$3&gt;='Gastos Gerais'!$D$4:$D$615),-(Analítico!AO$3&lt;='Gastos Gerais'!$E$4:$E$615),-('Gastos Gerais'!$C$4:$C$615))</f>
        <v>0</v>
      </c>
      <c r="AP61" s="73">
        <f>SUMPRODUCT(-('Gastos Gerais'!$B$4:$B$615=Analítico!$B61),-(Analítico!AP$3&gt;='Gastos Gerais'!$D$4:$D$615),-(Analítico!AP$3&lt;='Gastos Gerais'!$E$4:$E$615),-('Gastos Gerais'!$C$4:$C$615))</f>
        <v>0</v>
      </c>
      <c r="AQ61" s="73">
        <f>SUMPRODUCT(-('Gastos Gerais'!$B$4:$B$615=Analítico!$B61),-(Analítico!AQ$3&gt;='Gastos Gerais'!$D$4:$D$615),-(Analítico!AQ$3&lt;='Gastos Gerais'!$E$4:$E$615),-('Gastos Gerais'!$C$4:$C$615))</f>
        <v>0</v>
      </c>
      <c r="AR61" s="73">
        <f>SUMPRODUCT(-('Gastos Gerais'!$B$4:$B$615=Analítico!$B61),-(Analítico!AR$3&gt;='Gastos Gerais'!$D$4:$D$615),-(Analítico!AR$3&lt;='Gastos Gerais'!$E$4:$E$615),-('Gastos Gerais'!$C$4:$C$615))</f>
        <v>0</v>
      </c>
      <c r="AS61" s="73">
        <f>SUMPRODUCT(-('Gastos Gerais'!$B$4:$B$615=Analítico!$B61),-(Analítico!AS$3&gt;='Gastos Gerais'!$D$4:$D$615),-(Analítico!AS$3&lt;='Gastos Gerais'!$E$4:$E$615),-('Gastos Gerais'!$C$4:$C$615))</f>
        <v>0</v>
      </c>
      <c r="AT61" s="73">
        <f>SUMPRODUCT(-('Gastos Gerais'!$B$4:$B$615=Analítico!$B61),-(Analítico!AT$3&gt;='Gastos Gerais'!$D$4:$D$615),-(Analítico!AT$3&lt;='Gastos Gerais'!$E$4:$E$615),-('Gastos Gerais'!$C$4:$C$615))</f>
        <v>0</v>
      </c>
      <c r="AU61" s="73">
        <f>SUMPRODUCT(-('Gastos Gerais'!$B$4:$B$615=Analítico!$B61),-(Analítico!AU$3&gt;='Gastos Gerais'!$D$4:$D$615),-(Analítico!AU$3&lt;='Gastos Gerais'!$E$4:$E$615),-('Gastos Gerais'!$C$4:$C$615))</f>
        <v>0</v>
      </c>
      <c r="AV61" s="73">
        <f>SUMPRODUCT(-('Gastos Gerais'!$B$4:$B$615=Analítico!$B61),-(Analítico!AV$3&gt;='Gastos Gerais'!$D$4:$D$615),-(Analítico!AV$3&lt;='Gastos Gerais'!$E$4:$E$615),-('Gastos Gerais'!$C$4:$C$615))</f>
        <v>0</v>
      </c>
      <c r="AW61" s="73">
        <f>SUMPRODUCT(-('Gastos Gerais'!$B$4:$B$615=Analítico!$B61),-(Analítico!AW$3&gt;='Gastos Gerais'!$D$4:$D$615),-(Analítico!AW$3&lt;='Gastos Gerais'!$E$4:$E$615),-('Gastos Gerais'!$C$4:$C$615))</f>
        <v>0</v>
      </c>
      <c r="AX61" s="73">
        <f>SUMPRODUCT(-('Gastos Gerais'!$B$4:$B$615=Analítico!$B61),-(Analítico!AX$3&gt;='Gastos Gerais'!$D$4:$D$615),-(Analítico!AX$3&lt;='Gastos Gerais'!$E$4:$E$615),-('Gastos Gerais'!$C$4:$C$615))</f>
        <v>0</v>
      </c>
      <c r="AY61" s="73">
        <f>SUMPRODUCT(-('Gastos Gerais'!$B$4:$B$615=Analítico!$B61),-(Analítico!AY$3&gt;='Gastos Gerais'!$D$4:$D$615),-(Analítico!AY$3&lt;='Gastos Gerais'!$E$4:$E$615),-('Gastos Gerais'!$C$4:$C$615))</f>
        <v>0</v>
      </c>
      <c r="AZ61" s="73">
        <f>SUMPRODUCT(-('Gastos Gerais'!$B$4:$B$615=Analítico!$B61),-(Analítico!AZ$3&gt;='Gastos Gerais'!$D$4:$D$615),-(Analítico!AZ$3&lt;='Gastos Gerais'!$E$4:$E$615),-('Gastos Gerais'!$C$4:$C$615))</f>
        <v>0</v>
      </c>
      <c r="BA61" s="73">
        <f>SUMPRODUCT(-('Gastos Gerais'!$B$4:$B$615=Analítico!$B61),-(Analítico!BA$3&gt;='Gastos Gerais'!$D$4:$D$615),-(Analítico!BA$3&lt;='Gastos Gerais'!$E$4:$E$615),-('Gastos Gerais'!$C$4:$C$615))</f>
        <v>0</v>
      </c>
      <c r="BB61" s="73">
        <f>SUMPRODUCT(-('Gastos Gerais'!$B$4:$B$615=Analítico!$B61),-(Analítico!BB$3&gt;='Gastos Gerais'!$D$4:$D$615),-(Analítico!BB$3&lt;='Gastos Gerais'!$E$4:$E$615),-('Gastos Gerais'!$C$4:$C$615))</f>
        <v>0</v>
      </c>
      <c r="BC61" s="73">
        <f>SUMPRODUCT(-('Gastos Gerais'!$B$4:$B$615=Analítico!$B61),-(Analítico!BC$3&gt;='Gastos Gerais'!$D$4:$D$615),-(Analítico!BC$3&lt;='Gastos Gerais'!$E$4:$E$615),-('Gastos Gerais'!$C$4:$C$615))</f>
        <v>0</v>
      </c>
      <c r="BD61" s="73">
        <f>SUMPRODUCT(-('Gastos Gerais'!$B$4:$B$615=Analítico!$B61),-(Analítico!BD$3&gt;='Gastos Gerais'!$D$4:$D$615),-(Analítico!BD$3&lt;='Gastos Gerais'!$E$4:$E$615),-('Gastos Gerais'!$C$4:$C$615))</f>
        <v>0</v>
      </c>
      <c r="BE61" s="73">
        <f>SUMPRODUCT(-('Gastos Gerais'!$B$4:$B$615=Analítico!$B61),-(Analítico!BE$3&gt;='Gastos Gerais'!$D$4:$D$615),-(Analítico!BE$3&lt;='Gastos Gerais'!$E$4:$E$615),-('Gastos Gerais'!$C$4:$C$615))</f>
        <v>0</v>
      </c>
      <c r="BF61" s="73">
        <f>SUMPRODUCT(-('Gastos Gerais'!$B$4:$B$615=Analítico!$B61),-(Analítico!BF$3&gt;='Gastos Gerais'!$D$4:$D$615),-(Analítico!BF$3&lt;='Gastos Gerais'!$E$4:$E$615),-('Gastos Gerais'!$C$4:$C$615))</f>
        <v>0</v>
      </c>
      <c r="BG61" s="73">
        <f>SUMPRODUCT(-('Gastos Gerais'!$B$4:$B$615=Analítico!$B61),-(Analítico!BG$3&gt;='Gastos Gerais'!$D$4:$D$615),-(Analítico!BG$3&lt;='Gastos Gerais'!$E$4:$E$615),-('Gastos Gerais'!$C$4:$C$615))</f>
        <v>0</v>
      </c>
      <c r="BH61" s="73">
        <f>SUMPRODUCT(-('Gastos Gerais'!$B$4:$B$615=Analítico!$B61),-(Analítico!BH$3&gt;='Gastos Gerais'!$D$4:$D$615),-(Analítico!BH$3&lt;='Gastos Gerais'!$E$4:$E$615),-('Gastos Gerais'!$C$4:$C$615))</f>
        <v>0</v>
      </c>
      <c r="BI61" s="73">
        <f>SUMPRODUCT(-('Gastos Gerais'!$B$4:$B$615=Analítico!$B61),-(Analítico!BI$3&gt;='Gastos Gerais'!$D$4:$D$615),-(Analítico!BI$3&lt;='Gastos Gerais'!$E$4:$E$615),-('Gastos Gerais'!$C$4:$C$615))</f>
        <v>0</v>
      </c>
      <c r="BJ61" s="73">
        <f>SUMPRODUCT(-('Gastos Gerais'!$B$4:$B$615=Analítico!$B61),-(Analítico!BJ$3&gt;='Gastos Gerais'!$D$4:$D$615),-(Analítico!BJ$3&lt;='Gastos Gerais'!$E$4:$E$615),-('Gastos Gerais'!$C$4:$C$615))</f>
        <v>0</v>
      </c>
      <c r="BK61" s="71">
        <f t="shared" si="31"/>
        <v>151200</v>
      </c>
      <c r="BL61" s="76">
        <f t="shared" ca="1" si="32"/>
        <v>4.1241288192430525E-4</v>
      </c>
    </row>
    <row r="62" spans="1:64" s="49" customFormat="1" ht="23.25" customHeight="1" x14ac:dyDescent="0.2">
      <c r="A62" s="109" t="s">
        <v>192</v>
      </c>
      <c r="B62" s="110" t="s">
        <v>193</v>
      </c>
      <c r="C62" s="73">
        <f>SUMPRODUCT(-('Gastos Gerais'!$B$4:$B$615=Analítico!$B62),-(Analítico!C$3&gt;='Gastos Gerais'!$D$4:$D$615),-(Analítico!C$3&lt;='Gastos Gerais'!$E$4:$E$615),-('Gastos Gerais'!$C$4:$C$615))</f>
        <v>2300</v>
      </c>
      <c r="D62" s="73">
        <f>SUMPRODUCT(-('Gastos Gerais'!$B$4:$B$615=Analítico!$B62),-(Analítico!D$3&gt;='Gastos Gerais'!$D$4:$D$615),-(Analítico!D$3&lt;='Gastos Gerais'!$E$4:$E$615),-('Gastos Gerais'!$C$4:$C$615))</f>
        <v>2300</v>
      </c>
      <c r="E62" s="73">
        <f>SUMPRODUCT(-('Gastos Gerais'!$B$4:$B$615=Analítico!$B62),-(Analítico!E$3&gt;='Gastos Gerais'!$D$4:$D$615),-(Analítico!E$3&lt;='Gastos Gerais'!$E$4:$E$615),-('Gastos Gerais'!$C$4:$C$615))</f>
        <v>2300</v>
      </c>
      <c r="F62" s="73">
        <f>SUMPRODUCT(-('Gastos Gerais'!$B$4:$B$615=Analítico!$B62),-(Analítico!F$3&gt;='Gastos Gerais'!$D$4:$D$615),-(Analítico!F$3&lt;='Gastos Gerais'!$E$4:$E$615),-('Gastos Gerais'!$C$4:$C$615))</f>
        <v>2300</v>
      </c>
      <c r="G62" s="73">
        <f>SUMPRODUCT(-('Gastos Gerais'!$B$4:$B$615=Analítico!$B62),-(Analítico!G$3&gt;='Gastos Gerais'!$D$4:$D$615),-(Analítico!G$3&lt;='Gastos Gerais'!$E$4:$E$615),-('Gastos Gerais'!$C$4:$C$615))</f>
        <v>2300</v>
      </c>
      <c r="H62" s="73">
        <f>SUMPRODUCT(-('Gastos Gerais'!$B$4:$B$615=Analítico!$B62),-(Analítico!H$3&gt;='Gastos Gerais'!$D$4:$D$615),-(Analítico!H$3&lt;='Gastos Gerais'!$E$4:$E$615),-('Gastos Gerais'!$C$4:$C$615))</f>
        <v>2300</v>
      </c>
      <c r="I62" s="73">
        <f>SUMPRODUCT(-('Gastos Gerais'!$B$4:$B$615=Analítico!$B62),-(Analítico!I$3&gt;='Gastos Gerais'!$D$4:$D$615),-(Analítico!I$3&lt;='Gastos Gerais'!$E$4:$E$615),-('Gastos Gerais'!$C$4:$C$615))</f>
        <v>2300</v>
      </c>
      <c r="J62" s="73">
        <f>SUMPRODUCT(-('Gastos Gerais'!$B$4:$B$615=Analítico!$B62),-(Analítico!J$3&gt;='Gastos Gerais'!$D$4:$D$615),-(Analítico!J$3&lt;='Gastos Gerais'!$E$4:$E$615),-('Gastos Gerais'!$C$4:$C$615))</f>
        <v>2300</v>
      </c>
      <c r="K62" s="73">
        <f>SUMPRODUCT(-('Gastos Gerais'!$B$4:$B$615=Analítico!$B62),-(Analítico!K$3&gt;='Gastos Gerais'!$D$4:$D$615),-(Analítico!K$3&lt;='Gastos Gerais'!$E$4:$E$615),-('Gastos Gerais'!$C$4:$C$615))</f>
        <v>2300</v>
      </c>
      <c r="L62" s="73">
        <f>SUMPRODUCT(-('Gastos Gerais'!$B$4:$B$615=Analítico!$B62),-(Analítico!L$3&gt;='Gastos Gerais'!$D$4:$D$615),-(Analítico!L$3&lt;='Gastos Gerais'!$E$4:$E$615),-('Gastos Gerais'!$C$4:$C$615))</f>
        <v>2300</v>
      </c>
      <c r="M62" s="73">
        <f>SUMPRODUCT(-('Gastos Gerais'!$B$4:$B$615=Analítico!$B62),-(Analítico!M$3&gt;='Gastos Gerais'!$D$4:$D$615),-(Analítico!M$3&lt;='Gastos Gerais'!$E$4:$E$615),-('Gastos Gerais'!$C$4:$C$615))</f>
        <v>2300</v>
      </c>
      <c r="N62" s="73">
        <f>SUMPRODUCT(-('Gastos Gerais'!$B$4:$B$615=Analítico!$B62),-(Analítico!N$3&gt;='Gastos Gerais'!$D$4:$D$615),-(Analítico!N$3&lt;='Gastos Gerais'!$E$4:$E$615),-('Gastos Gerais'!$C$4:$C$615))</f>
        <v>2300</v>
      </c>
      <c r="O62" s="73">
        <f>SUMPRODUCT(-('Gastos Gerais'!$B$4:$B$615=Analítico!$B62),-(Analítico!O$3&gt;='Gastos Gerais'!$D$4:$D$615),-(Analítico!O$3&lt;='Gastos Gerais'!$E$4:$E$615),-('Gastos Gerais'!$C$4:$C$615))</f>
        <v>2300</v>
      </c>
      <c r="P62" s="73">
        <f>SUMPRODUCT(-('Gastos Gerais'!$B$4:$B$615=Analítico!$B62),-(Analítico!P$3&gt;='Gastos Gerais'!$D$4:$D$615),-(Analítico!P$3&lt;='Gastos Gerais'!$E$4:$E$615),-('Gastos Gerais'!$C$4:$C$615))</f>
        <v>2300</v>
      </c>
      <c r="Q62" s="73">
        <f>SUMPRODUCT(-('Gastos Gerais'!$B$4:$B$615=Analítico!$B62),-(Analítico!Q$3&gt;='Gastos Gerais'!$D$4:$D$615),-(Analítico!Q$3&lt;='Gastos Gerais'!$E$4:$E$615),-('Gastos Gerais'!$C$4:$C$615))</f>
        <v>2300</v>
      </c>
      <c r="R62" s="73">
        <f>SUMPRODUCT(-('Gastos Gerais'!$B$4:$B$615=Analítico!$B62),-(Analítico!R$3&gt;='Gastos Gerais'!$D$4:$D$615),-(Analítico!R$3&lt;='Gastos Gerais'!$E$4:$E$615),-('Gastos Gerais'!$C$4:$C$615))</f>
        <v>2300</v>
      </c>
      <c r="S62" s="73">
        <f>SUMPRODUCT(-('Gastos Gerais'!$B$4:$B$615=Analítico!$B62),-(Analítico!S$3&gt;='Gastos Gerais'!$D$4:$D$615),-(Analítico!S$3&lt;='Gastos Gerais'!$E$4:$E$615),-('Gastos Gerais'!$C$4:$C$615))</f>
        <v>2300</v>
      </c>
      <c r="T62" s="73">
        <f>SUMPRODUCT(-('Gastos Gerais'!$B$4:$B$615=Analítico!$B62),-(Analítico!T$3&gt;='Gastos Gerais'!$D$4:$D$615),-(Analítico!T$3&lt;='Gastos Gerais'!$E$4:$E$615),-('Gastos Gerais'!$C$4:$C$615))</f>
        <v>2300</v>
      </c>
      <c r="U62" s="73">
        <f>SUMPRODUCT(-('Gastos Gerais'!$B$4:$B$615=Analítico!$B62),-(Analítico!U$3&gt;='Gastos Gerais'!$D$4:$D$615),-(Analítico!U$3&lt;='Gastos Gerais'!$E$4:$E$615),-('Gastos Gerais'!$C$4:$C$615))</f>
        <v>2300</v>
      </c>
      <c r="V62" s="73">
        <f>SUMPRODUCT(-('Gastos Gerais'!$B$4:$B$615=Analítico!$B62),-(Analítico!V$3&gt;='Gastos Gerais'!$D$4:$D$615),-(Analítico!V$3&lt;='Gastos Gerais'!$E$4:$E$615),-('Gastos Gerais'!$C$4:$C$615))</f>
        <v>2300</v>
      </c>
      <c r="W62" s="73">
        <f>SUMPRODUCT(-('Gastos Gerais'!$B$4:$B$615=Analítico!$B62),-(Analítico!W$3&gt;='Gastos Gerais'!$D$4:$D$615),-(Analítico!W$3&lt;='Gastos Gerais'!$E$4:$E$615),-('Gastos Gerais'!$C$4:$C$615))</f>
        <v>2300</v>
      </c>
      <c r="X62" s="73">
        <f>SUMPRODUCT(-('Gastos Gerais'!$B$4:$B$615=Analítico!$B62),-(Analítico!X$3&gt;='Gastos Gerais'!$D$4:$D$615),-(Analítico!X$3&lt;='Gastos Gerais'!$E$4:$E$615),-('Gastos Gerais'!$C$4:$C$615))</f>
        <v>2300</v>
      </c>
      <c r="Y62" s="73">
        <f>SUMPRODUCT(-('Gastos Gerais'!$B$4:$B$615=Analítico!$B62),-(Analítico!Y$3&gt;='Gastos Gerais'!$D$4:$D$615),-(Analítico!Y$3&lt;='Gastos Gerais'!$E$4:$E$615),-('Gastos Gerais'!$C$4:$C$615))</f>
        <v>2300</v>
      </c>
      <c r="Z62" s="73">
        <f>SUMPRODUCT(-('Gastos Gerais'!$B$4:$B$615=Analítico!$B62),-(Analítico!Z$3&gt;='Gastos Gerais'!$D$4:$D$615),-(Analítico!Z$3&lt;='Gastos Gerais'!$E$4:$E$615),-('Gastos Gerais'!$C$4:$C$615))</f>
        <v>2300</v>
      </c>
      <c r="AA62" s="73">
        <f>SUMPRODUCT(-('Gastos Gerais'!$B$4:$B$615=Analítico!$B62),-(Analítico!AA$3&gt;='Gastos Gerais'!$D$4:$D$615),-(Analítico!AA$3&lt;='Gastos Gerais'!$E$4:$E$615),-('Gastos Gerais'!$C$4:$C$615))</f>
        <v>2300</v>
      </c>
      <c r="AB62" s="73">
        <f>SUMPRODUCT(-('Gastos Gerais'!$B$4:$B$615=Analítico!$B62),-(Analítico!AB$3&gt;='Gastos Gerais'!$D$4:$D$615),-(Analítico!AB$3&lt;='Gastos Gerais'!$E$4:$E$615),-('Gastos Gerais'!$C$4:$C$615))</f>
        <v>2300</v>
      </c>
      <c r="AC62" s="73">
        <f>SUMPRODUCT(-('Gastos Gerais'!$B$4:$B$615=Analítico!$B62),-(Analítico!AC$3&gt;='Gastos Gerais'!$D$4:$D$615),-(Analítico!AC$3&lt;='Gastos Gerais'!$E$4:$E$615),-('Gastos Gerais'!$C$4:$C$615))</f>
        <v>2300</v>
      </c>
      <c r="AD62" s="73">
        <f>SUMPRODUCT(-('Gastos Gerais'!$B$4:$B$615=Analítico!$B62),-(Analítico!AD$3&gt;='Gastos Gerais'!$D$4:$D$615),-(Analítico!AD$3&lt;='Gastos Gerais'!$E$4:$E$615),-('Gastos Gerais'!$C$4:$C$615))</f>
        <v>2300</v>
      </c>
      <c r="AE62" s="73">
        <f>SUMPRODUCT(-('Gastos Gerais'!$B$4:$B$615=Analítico!$B62),-(Analítico!AE$3&gt;='Gastos Gerais'!$D$4:$D$615),-(Analítico!AE$3&lt;='Gastos Gerais'!$E$4:$E$615),-('Gastos Gerais'!$C$4:$C$615))</f>
        <v>2300</v>
      </c>
      <c r="AF62" s="73">
        <f>SUMPRODUCT(-('Gastos Gerais'!$B$4:$B$615=Analítico!$B62),-(Analítico!AF$3&gt;='Gastos Gerais'!$D$4:$D$615),-(Analítico!AF$3&lt;='Gastos Gerais'!$E$4:$E$615),-('Gastos Gerais'!$C$4:$C$615))</f>
        <v>2300</v>
      </c>
      <c r="AG62" s="73">
        <f>SUMPRODUCT(-('Gastos Gerais'!$B$4:$B$615=Analítico!$B62),-(Analítico!AG$3&gt;='Gastos Gerais'!$D$4:$D$615),-(Analítico!AG$3&lt;='Gastos Gerais'!$E$4:$E$615),-('Gastos Gerais'!$C$4:$C$615))</f>
        <v>2300</v>
      </c>
      <c r="AH62" s="73">
        <f>SUMPRODUCT(-('Gastos Gerais'!$B$4:$B$615=Analítico!$B62),-(Analítico!AH$3&gt;='Gastos Gerais'!$D$4:$D$615),-(Analítico!AH$3&lt;='Gastos Gerais'!$E$4:$E$615),-('Gastos Gerais'!$C$4:$C$615))</f>
        <v>2300</v>
      </c>
      <c r="AI62" s="73">
        <f>SUMPRODUCT(-('Gastos Gerais'!$B$4:$B$615=Analítico!$B62),-(Analítico!AI$3&gt;='Gastos Gerais'!$D$4:$D$615),-(Analítico!AI$3&lt;='Gastos Gerais'!$E$4:$E$615),-('Gastos Gerais'!$C$4:$C$615))</f>
        <v>2300</v>
      </c>
      <c r="AJ62" s="73">
        <f>SUMPRODUCT(-('Gastos Gerais'!$B$4:$B$615=Analítico!$B62),-(Analítico!AJ$3&gt;='Gastos Gerais'!$D$4:$D$615),-(Analítico!AJ$3&lt;='Gastos Gerais'!$E$4:$E$615),-('Gastos Gerais'!$C$4:$C$615))</f>
        <v>2300</v>
      </c>
      <c r="AK62" s="73">
        <f>SUMPRODUCT(-('Gastos Gerais'!$B$4:$B$615=Analítico!$B62),-(Analítico!AK$3&gt;='Gastos Gerais'!$D$4:$D$615),-(Analítico!AK$3&lt;='Gastos Gerais'!$E$4:$E$615),-('Gastos Gerais'!$C$4:$C$615))</f>
        <v>2300</v>
      </c>
      <c r="AL62" s="73">
        <f>SUMPRODUCT(-('Gastos Gerais'!$B$4:$B$615=Analítico!$B62),-(Analítico!AL$3&gt;='Gastos Gerais'!$D$4:$D$615),-(Analítico!AL$3&lt;='Gastos Gerais'!$E$4:$E$615),-('Gastos Gerais'!$C$4:$C$615))</f>
        <v>2300</v>
      </c>
      <c r="AM62" s="73">
        <f>SUMPRODUCT(-('Gastos Gerais'!$B$4:$B$615=Analítico!$B62),-(Analítico!AM$3&gt;='Gastos Gerais'!$D$4:$D$615),-(Analítico!AM$3&lt;='Gastos Gerais'!$E$4:$E$615),-('Gastos Gerais'!$C$4:$C$615))</f>
        <v>0</v>
      </c>
      <c r="AN62" s="73">
        <f>SUMPRODUCT(-('Gastos Gerais'!$B$4:$B$615=Analítico!$B62),-(Analítico!AN$3&gt;='Gastos Gerais'!$D$4:$D$615),-(Analítico!AN$3&lt;='Gastos Gerais'!$E$4:$E$615),-('Gastos Gerais'!$C$4:$C$615))</f>
        <v>0</v>
      </c>
      <c r="AO62" s="73">
        <f>SUMPRODUCT(-('Gastos Gerais'!$B$4:$B$615=Analítico!$B62),-(Analítico!AO$3&gt;='Gastos Gerais'!$D$4:$D$615),-(Analítico!AO$3&lt;='Gastos Gerais'!$E$4:$E$615),-('Gastos Gerais'!$C$4:$C$615))</f>
        <v>0</v>
      </c>
      <c r="AP62" s="73">
        <f>SUMPRODUCT(-('Gastos Gerais'!$B$4:$B$615=Analítico!$B62),-(Analítico!AP$3&gt;='Gastos Gerais'!$D$4:$D$615),-(Analítico!AP$3&lt;='Gastos Gerais'!$E$4:$E$615),-('Gastos Gerais'!$C$4:$C$615))</f>
        <v>0</v>
      </c>
      <c r="AQ62" s="73">
        <f>SUMPRODUCT(-('Gastos Gerais'!$B$4:$B$615=Analítico!$B62),-(Analítico!AQ$3&gt;='Gastos Gerais'!$D$4:$D$615),-(Analítico!AQ$3&lt;='Gastos Gerais'!$E$4:$E$615),-('Gastos Gerais'!$C$4:$C$615))</f>
        <v>0</v>
      </c>
      <c r="AR62" s="73">
        <f>SUMPRODUCT(-('Gastos Gerais'!$B$4:$B$615=Analítico!$B62),-(Analítico!AR$3&gt;='Gastos Gerais'!$D$4:$D$615),-(Analítico!AR$3&lt;='Gastos Gerais'!$E$4:$E$615),-('Gastos Gerais'!$C$4:$C$615))</f>
        <v>0</v>
      </c>
      <c r="AS62" s="73">
        <f>SUMPRODUCT(-('Gastos Gerais'!$B$4:$B$615=Analítico!$B62),-(Analítico!AS$3&gt;='Gastos Gerais'!$D$4:$D$615),-(Analítico!AS$3&lt;='Gastos Gerais'!$E$4:$E$615),-('Gastos Gerais'!$C$4:$C$615))</f>
        <v>0</v>
      </c>
      <c r="AT62" s="73">
        <f>SUMPRODUCT(-('Gastos Gerais'!$B$4:$B$615=Analítico!$B62),-(Analítico!AT$3&gt;='Gastos Gerais'!$D$4:$D$615),-(Analítico!AT$3&lt;='Gastos Gerais'!$E$4:$E$615),-('Gastos Gerais'!$C$4:$C$615))</f>
        <v>0</v>
      </c>
      <c r="AU62" s="73">
        <f>SUMPRODUCT(-('Gastos Gerais'!$B$4:$B$615=Analítico!$B62),-(Analítico!AU$3&gt;='Gastos Gerais'!$D$4:$D$615),-(Analítico!AU$3&lt;='Gastos Gerais'!$E$4:$E$615),-('Gastos Gerais'!$C$4:$C$615))</f>
        <v>0</v>
      </c>
      <c r="AV62" s="73">
        <f>SUMPRODUCT(-('Gastos Gerais'!$B$4:$B$615=Analítico!$B62),-(Analítico!AV$3&gt;='Gastos Gerais'!$D$4:$D$615),-(Analítico!AV$3&lt;='Gastos Gerais'!$E$4:$E$615),-('Gastos Gerais'!$C$4:$C$615))</f>
        <v>0</v>
      </c>
      <c r="AW62" s="73">
        <f>SUMPRODUCT(-('Gastos Gerais'!$B$4:$B$615=Analítico!$B62),-(Analítico!AW$3&gt;='Gastos Gerais'!$D$4:$D$615),-(Analítico!AW$3&lt;='Gastos Gerais'!$E$4:$E$615),-('Gastos Gerais'!$C$4:$C$615))</f>
        <v>0</v>
      </c>
      <c r="AX62" s="73">
        <f>SUMPRODUCT(-('Gastos Gerais'!$B$4:$B$615=Analítico!$B62),-(Analítico!AX$3&gt;='Gastos Gerais'!$D$4:$D$615),-(Analítico!AX$3&lt;='Gastos Gerais'!$E$4:$E$615),-('Gastos Gerais'!$C$4:$C$615))</f>
        <v>0</v>
      </c>
      <c r="AY62" s="73">
        <f>SUMPRODUCT(-('Gastos Gerais'!$B$4:$B$615=Analítico!$B62),-(Analítico!AY$3&gt;='Gastos Gerais'!$D$4:$D$615),-(Analítico!AY$3&lt;='Gastos Gerais'!$E$4:$E$615),-('Gastos Gerais'!$C$4:$C$615))</f>
        <v>0</v>
      </c>
      <c r="AZ62" s="73">
        <f>SUMPRODUCT(-('Gastos Gerais'!$B$4:$B$615=Analítico!$B62),-(Analítico!AZ$3&gt;='Gastos Gerais'!$D$4:$D$615),-(Analítico!AZ$3&lt;='Gastos Gerais'!$E$4:$E$615),-('Gastos Gerais'!$C$4:$C$615))</f>
        <v>0</v>
      </c>
      <c r="BA62" s="73">
        <f>SUMPRODUCT(-('Gastos Gerais'!$B$4:$B$615=Analítico!$B62),-(Analítico!BA$3&gt;='Gastos Gerais'!$D$4:$D$615),-(Analítico!BA$3&lt;='Gastos Gerais'!$E$4:$E$615),-('Gastos Gerais'!$C$4:$C$615))</f>
        <v>0</v>
      </c>
      <c r="BB62" s="73">
        <f>SUMPRODUCT(-('Gastos Gerais'!$B$4:$B$615=Analítico!$B62),-(Analítico!BB$3&gt;='Gastos Gerais'!$D$4:$D$615),-(Analítico!BB$3&lt;='Gastos Gerais'!$E$4:$E$615),-('Gastos Gerais'!$C$4:$C$615))</f>
        <v>0</v>
      </c>
      <c r="BC62" s="73">
        <f>SUMPRODUCT(-('Gastos Gerais'!$B$4:$B$615=Analítico!$B62),-(Analítico!BC$3&gt;='Gastos Gerais'!$D$4:$D$615),-(Analítico!BC$3&lt;='Gastos Gerais'!$E$4:$E$615),-('Gastos Gerais'!$C$4:$C$615))</f>
        <v>0</v>
      </c>
      <c r="BD62" s="73">
        <f>SUMPRODUCT(-('Gastos Gerais'!$B$4:$B$615=Analítico!$B62),-(Analítico!BD$3&gt;='Gastos Gerais'!$D$4:$D$615),-(Analítico!BD$3&lt;='Gastos Gerais'!$E$4:$E$615),-('Gastos Gerais'!$C$4:$C$615))</f>
        <v>0</v>
      </c>
      <c r="BE62" s="73">
        <f>SUMPRODUCT(-('Gastos Gerais'!$B$4:$B$615=Analítico!$B62),-(Analítico!BE$3&gt;='Gastos Gerais'!$D$4:$D$615),-(Analítico!BE$3&lt;='Gastos Gerais'!$E$4:$E$615),-('Gastos Gerais'!$C$4:$C$615))</f>
        <v>0</v>
      </c>
      <c r="BF62" s="73">
        <f>SUMPRODUCT(-('Gastos Gerais'!$B$4:$B$615=Analítico!$B62),-(Analítico!BF$3&gt;='Gastos Gerais'!$D$4:$D$615),-(Analítico!BF$3&lt;='Gastos Gerais'!$E$4:$E$615),-('Gastos Gerais'!$C$4:$C$615))</f>
        <v>0</v>
      </c>
      <c r="BG62" s="73">
        <f>SUMPRODUCT(-('Gastos Gerais'!$B$4:$B$615=Analítico!$B62),-(Analítico!BG$3&gt;='Gastos Gerais'!$D$4:$D$615),-(Analítico!BG$3&lt;='Gastos Gerais'!$E$4:$E$615),-('Gastos Gerais'!$C$4:$C$615))</f>
        <v>0</v>
      </c>
      <c r="BH62" s="73">
        <f>SUMPRODUCT(-('Gastos Gerais'!$B$4:$B$615=Analítico!$B62),-(Analítico!BH$3&gt;='Gastos Gerais'!$D$4:$D$615),-(Analítico!BH$3&lt;='Gastos Gerais'!$E$4:$E$615),-('Gastos Gerais'!$C$4:$C$615))</f>
        <v>0</v>
      </c>
      <c r="BI62" s="73">
        <f>SUMPRODUCT(-('Gastos Gerais'!$B$4:$B$615=Analítico!$B62),-(Analítico!BI$3&gt;='Gastos Gerais'!$D$4:$D$615),-(Analítico!BI$3&lt;='Gastos Gerais'!$E$4:$E$615),-('Gastos Gerais'!$C$4:$C$615))</f>
        <v>0</v>
      </c>
      <c r="BJ62" s="73">
        <f>SUMPRODUCT(-('Gastos Gerais'!$B$4:$B$615=Analítico!$B62),-(Analítico!BJ$3&gt;='Gastos Gerais'!$D$4:$D$615),-(Analítico!BJ$3&lt;='Gastos Gerais'!$E$4:$E$615),-('Gastos Gerais'!$C$4:$C$615))</f>
        <v>0</v>
      </c>
      <c r="BK62" s="71">
        <f t="shared" si="31"/>
        <v>82800</v>
      </c>
      <c r="BL62" s="76">
        <f t="shared" ca="1" si="32"/>
        <v>2.258451496252148E-4</v>
      </c>
    </row>
    <row r="63" spans="1:64" s="49" customFormat="1" ht="23.25" customHeight="1" x14ac:dyDescent="0.2">
      <c r="A63" s="109" t="s">
        <v>194</v>
      </c>
      <c r="B63" s="110" t="s">
        <v>195</v>
      </c>
      <c r="C63" s="73">
        <f>SUMPRODUCT(-('Gastos Gerais'!$B$4:$B$615=Analítico!$B63),-(Analítico!C$3&gt;='Gastos Gerais'!$D$4:$D$615),-(Analítico!C$3&lt;='Gastos Gerais'!$E$4:$E$615),-('Gastos Gerais'!$C$4:$C$615))</f>
        <v>10000</v>
      </c>
      <c r="D63" s="73">
        <f>SUMPRODUCT(-('Gastos Gerais'!$B$4:$B$615=Analítico!$B63),-(Analítico!D$3&gt;='Gastos Gerais'!$D$4:$D$615),-(Analítico!D$3&lt;='Gastos Gerais'!$E$4:$E$615),-('Gastos Gerais'!$C$4:$C$615))</f>
        <v>0</v>
      </c>
      <c r="E63" s="73">
        <f>SUMPRODUCT(-('Gastos Gerais'!$B$4:$B$615=Analítico!$B63),-(Analítico!E$3&gt;='Gastos Gerais'!$D$4:$D$615),-(Analítico!E$3&lt;='Gastos Gerais'!$E$4:$E$615),-('Gastos Gerais'!$C$4:$C$615))</f>
        <v>0</v>
      </c>
      <c r="F63" s="73">
        <f>SUMPRODUCT(-('Gastos Gerais'!$B$4:$B$615=Analítico!$B63),-(Analítico!F$3&gt;='Gastos Gerais'!$D$4:$D$615),-(Analítico!F$3&lt;='Gastos Gerais'!$E$4:$E$615),-('Gastos Gerais'!$C$4:$C$615))</f>
        <v>0</v>
      </c>
      <c r="G63" s="73">
        <f>SUMPRODUCT(-('Gastos Gerais'!$B$4:$B$615=Analítico!$B63),-(Analítico!G$3&gt;='Gastos Gerais'!$D$4:$D$615),-(Analítico!G$3&lt;='Gastos Gerais'!$E$4:$E$615),-('Gastos Gerais'!$C$4:$C$615))</f>
        <v>0</v>
      </c>
      <c r="H63" s="73">
        <f>SUMPRODUCT(-('Gastos Gerais'!$B$4:$B$615=Analítico!$B63),-(Analítico!H$3&gt;='Gastos Gerais'!$D$4:$D$615),-(Analítico!H$3&lt;='Gastos Gerais'!$E$4:$E$615),-('Gastos Gerais'!$C$4:$C$615))</f>
        <v>0</v>
      </c>
      <c r="I63" s="73">
        <f>SUMPRODUCT(-('Gastos Gerais'!$B$4:$B$615=Analítico!$B63),-(Analítico!I$3&gt;='Gastos Gerais'!$D$4:$D$615),-(Analítico!I$3&lt;='Gastos Gerais'!$E$4:$E$615),-('Gastos Gerais'!$C$4:$C$615))</f>
        <v>0</v>
      </c>
      <c r="J63" s="73">
        <f>SUMPRODUCT(-('Gastos Gerais'!$B$4:$B$615=Analítico!$B63),-(Analítico!J$3&gt;='Gastos Gerais'!$D$4:$D$615),-(Analítico!J$3&lt;='Gastos Gerais'!$E$4:$E$615),-('Gastos Gerais'!$C$4:$C$615))</f>
        <v>0</v>
      </c>
      <c r="K63" s="73">
        <f>SUMPRODUCT(-('Gastos Gerais'!$B$4:$B$615=Analítico!$B63),-(Analítico!K$3&gt;='Gastos Gerais'!$D$4:$D$615),-(Analítico!K$3&lt;='Gastos Gerais'!$E$4:$E$615),-('Gastos Gerais'!$C$4:$C$615))</f>
        <v>0</v>
      </c>
      <c r="L63" s="73">
        <f>SUMPRODUCT(-('Gastos Gerais'!$B$4:$B$615=Analítico!$B63),-(Analítico!L$3&gt;='Gastos Gerais'!$D$4:$D$615),-(Analítico!L$3&lt;='Gastos Gerais'!$E$4:$E$615),-('Gastos Gerais'!$C$4:$C$615))</f>
        <v>0</v>
      </c>
      <c r="M63" s="73">
        <f>SUMPRODUCT(-('Gastos Gerais'!$B$4:$B$615=Analítico!$B63),-(Analítico!M$3&gt;='Gastos Gerais'!$D$4:$D$615),-(Analítico!M$3&lt;='Gastos Gerais'!$E$4:$E$615),-('Gastos Gerais'!$C$4:$C$615))</f>
        <v>0</v>
      </c>
      <c r="N63" s="73">
        <f>SUMPRODUCT(-('Gastos Gerais'!$B$4:$B$615=Analítico!$B63),-(Analítico!N$3&gt;='Gastos Gerais'!$D$4:$D$615),-(Analítico!N$3&lt;='Gastos Gerais'!$E$4:$E$615),-('Gastos Gerais'!$C$4:$C$615))</f>
        <v>0</v>
      </c>
      <c r="O63" s="73">
        <f>SUMPRODUCT(-('Gastos Gerais'!$B$4:$B$615=Analítico!$B63),-(Analítico!O$3&gt;='Gastos Gerais'!$D$4:$D$615),-(Analítico!O$3&lt;='Gastos Gerais'!$E$4:$E$615),-('Gastos Gerais'!$C$4:$C$615))</f>
        <v>10000</v>
      </c>
      <c r="P63" s="73">
        <f>SUMPRODUCT(-('Gastos Gerais'!$B$4:$B$615=Analítico!$B63),-(Analítico!P$3&gt;='Gastos Gerais'!$D$4:$D$615),-(Analítico!P$3&lt;='Gastos Gerais'!$E$4:$E$615),-('Gastos Gerais'!$C$4:$C$615))</f>
        <v>0</v>
      </c>
      <c r="Q63" s="73">
        <f>SUMPRODUCT(-('Gastos Gerais'!$B$4:$B$615=Analítico!$B63),-(Analítico!Q$3&gt;='Gastos Gerais'!$D$4:$D$615),-(Analítico!Q$3&lt;='Gastos Gerais'!$E$4:$E$615),-('Gastos Gerais'!$C$4:$C$615))</f>
        <v>0</v>
      </c>
      <c r="R63" s="73">
        <f>SUMPRODUCT(-('Gastos Gerais'!$B$4:$B$615=Analítico!$B63),-(Analítico!R$3&gt;='Gastos Gerais'!$D$4:$D$615),-(Analítico!R$3&lt;='Gastos Gerais'!$E$4:$E$615),-('Gastos Gerais'!$C$4:$C$615))</f>
        <v>0</v>
      </c>
      <c r="S63" s="73">
        <f>SUMPRODUCT(-('Gastos Gerais'!$B$4:$B$615=Analítico!$B63),-(Analítico!S$3&gt;='Gastos Gerais'!$D$4:$D$615),-(Analítico!S$3&lt;='Gastos Gerais'!$E$4:$E$615),-('Gastos Gerais'!$C$4:$C$615))</f>
        <v>0</v>
      </c>
      <c r="T63" s="73">
        <f>SUMPRODUCT(-('Gastos Gerais'!$B$4:$B$615=Analítico!$B63),-(Analítico!T$3&gt;='Gastos Gerais'!$D$4:$D$615),-(Analítico!T$3&lt;='Gastos Gerais'!$E$4:$E$615),-('Gastos Gerais'!$C$4:$C$615))</f>
        <v>0</v>
      </c>
      <c r="U63" s="73">
        <f>SUMPRODUCT(-('Gastos Gerais'!$B$4:$B$615=Analítico!$B63),-(Analítico!U$3&gt;='Gastos Gerais'!$D$4:$D$615),-(Analítico!U$3&lt;='Gastos Gerais'!$E$4:$E$615),-('Gastos Gerais'!$C$4:$C$615))</f>
        <v>0</v>
      </c>
      <c r="V63" s="73">
        <f>SUMPRODUCT(-('Gastos Gerais'!$B$4:$B$615=Analítico!$B63),-(Analítico!V$3&gt;='Gastos Gerais'!$D$4:$D$615),-(Analítico!V$3&lt;='Gastos Gerais'!$E$4:$E$615),-('Gastos Gerais'!$C$4:$C$615))</f>
        <v>0</v>
      </c>
      <c r="W63" s="73">
        <f>SUMPRODUCT(-('Gastos Gerais'!$B$4:$B$615=Analítico!$B63),-(Analítico!W$3&gt;='Gastos Gerais'!$D$4:$D$615),-(Analítico!W$3&lt;='Gastos Gerais'!$E$4:$E$615),-('Gastos Gerais'!$C$4:$C$615))</f>
        <v>0</v>
      </c>
      <c r="X63" s="73">
        <f>SUMPRODUCT(-('Gastos Gerais'!$B$4:$B$615=Analítico!$B63),-(Analítico!X$3&gt;='Gastos Gerais'!$D$4:$D$615),-(Analítico!X$3&lt;='Gastos Gerais'!$E$4:$E$615),-('Gastos Gerais'!$C$4:$C$615))</f>
        <v>0</v>
      </c>
      <c r="Y63" s="73">
        <f>SUMPRODUCT(-('Gastos Gerais'!$B$4:$B$615=Analítico!$B63),-(Analítico!Y$3&gt;='Gastos Gerais'!$D$4:$D$615),-(Analítico!Y$3&lt;='Gastos Gerais'!$E$4:$E$615),-('Gastos Gerais'!$C$4:$C$615))</f>
        <v>0</v>
      </c>
      <c r="Z63" s="73">
        <f>SUMPRODUCT(-('Gastos Gerais'!$B$4:$B$615=Analítico!$B63),-(Analítico!Z$3&gt;='Gastos Gerais'!$D$4:$D$615),-(Analítico!Z$3&lt;='Gastos Gerais'!$E$4:$E$615),-('Gastos Gerais'!$C$4:$C$615))</f>
        <v>0</v>
      </c>
      <c r="AA63" s="73">
        <f>SUMPRODUCT(-('Gastos Gerais'!$B$4:$B$615=Analítico!$B63),-(Analítico!AA$3&gt;='Gastos Gerais'!$D$4:$D$615),-(Analítico!AA$3&lt;='Gastos Gerais'!$E$4:$E$615),-('Gastos Gerais'!$C$4:$C$615))</f>
        <v>10000</v>
      </c>
      <c r="AB63" s="73">
        <f>SUMPRODUCT(-('Gastos Gerais'!$B$4:$B$615=Analítico!$B63),-(Analítico!AB$3&gt;='Gastos Gerais'!$D$4:$D$615),-(Analítico!AB$3&lt;='Gastos Gerais'!$E$4:$E$615),-('Gastos Gerais'!$C$4:$C$615))</f>
        <v>0</v>
      </c>
      <c r="AC63" s="73">
        <f>SUMPRODUCT(-('Gastos Gerais'!$B$4:$B$615=Analítico!$B63),-(Analítico!AC$3&gt;='Gastos Gerais'!$D$4:$D$615),-(Analítico!AC$3&lt;='Gastos Gerais'!$E$4:$E$615),-('Gastos Gerais'!$C$4:$C$615))</f>
        <v>0</v>
      </c>
      <c r="AD63" s="73">
        <f>SUMPRODUCT(-('Gastos Gerais'!$B$4:$B$615=Analítico!$B63),-(Analítico!AD$3&gt;='Gastos Gerais'!$D$4:$D$615),-(Analítico!AD$3&lt;='Gastos Gerais'!$E$4:$E$615),-('Gastos Gerais'!$C$4:$C$615))</f>
        <v>0</v>
      </c>
      <c r="AE63" s="73">
        <f>SUMPRODUCT(-('Gastos Gerais'!$B$4:$B$615=Analítico!$B63),-(Analítico!AE$3&gt;='Gastos Gerais'!$D$4:$D$615),-(Analítico!AE$3&lt;='Gastos Gerais'!$E$4:$E$615),-('Gastos Gerais'!$C$4:$C$615))</f>
        <v>0</v>
      </c>
      <c r="AF63" s="73">
        <f>SUMPRODUCT(-('Gastos Gerais'!$B$4:$B$615=Analítico!$B63),-(Analítico!AF$3&gt;='Gastos Gerais'!$D$4:$D$615),-(Analítico!AF$3&lt;='Gastos Gerais'!$E$4:$E$615),-('Gastos Gerais'!$C$4:$C$615))</f>
        <v>0</v>
      </c>
      <c r="AG63" s="73">
        <f>SUMPRODUCT(-('Gastos Gerais'!$B$4:$B$615=Analítico!$B63),-(Analítico!AG$3&gt;='Gastos Gerais'!$D$4:$D$615),-(Analítico!AG$3&lt;='Gastos Gerais'!$E$4:$E$615),-('Gastos Gerais'!$C$4:$C$615))</f>
        <v>0</v>
      </c>
      <c r="AH63" s="73">
        <f>SUMPRODUCT(-('Gastos Gerais'!$B$4:$B$615=Analítico!$B63),-(Analítico!AH$3&gt;='Gastos Gerais'!$D$4:$D$615),-(Analítico!AH$3&lt;='Gastos Gerais'!$E$4:$E$615),-('Gastos Gerais'!$C$4:$C$615))</f>
        <v>0</v>
      </c>
      <c r="AI63" s="73">
        <f>SUMPRODUCT(-('Gastos Gerais'!$B$4:$B$615=Analítico!$B63),-(Analítico!AI$3&gt;='Gastos Gerais'!$D$4:$D$615),-(Analítico!AI$3&lt;='Gastos Gerais'!$E$4:$E$615),-('Gastos Gerais'!$C$4:$C$615))</f>
        <v>0</v>
      </c>
      <c r="AJ63" s="73">
        <f>SUMPRODUCT(-('Gastos Gerais'!$B$4:$B$615=Analítico!$B63),-(Analítico!AJ$3&gt;='Gastos Gerais'!$D$4:$D$615),-(Analítico!AJ$3&lt;='Gastos Gerais'!$E$4:$E$615),-('Gastos Gerais'!$C$4:$C$615))</f>
        <v>0</v>
      </c>
      <c r="AK63" s="73">
        <f>SUMPRODUCT(-('Gastos Gerais'!$B$4:$B$615=Analítico!$B63),-(Analítico!AK$3&gt;='Gastos Gerais'!$D$4:$D$615),-(Analítico!AK$3&lt;='Gastos Gerais'!$E$4:$E$615),-('Gastos Gerais'!$C$4:$C$615))</f>
        <v>0</v>
      </c>
      <c r="AL63" s="73">
        <f>SUMPRODUCT(-('Gastos Gerais'!$B$4:$B$615=Analítico!$B63),-(Analítico!AL$3&gt;='Gastos Gerais'!$D$4:$D$615),-(Analítico!AL$3&lt;='Gastos Gerais'!$E$4:$E$615),-('Gastos Gerais'!$C$4:$C$615))</f>
        <v>0</v>
      </c>
      <c r="AM63" s="73">
        <f>SUMPRODUCT(-('Gastos Gerais'!$B$4:$B$615=Analítico!$B63),-(Analítico!AM$3&gt;='Gastos Gerais'!$D$4:$D$615),-(Analítico!AM$3&lt;='Gastos Gerais'!$E$4:$E$615),-('Gastos Gerais'!$C$4:$C$615))</f>
        <v>0</v>
      </c>
      <c r="AN63" s="73">
        <f>SUMPRODUCT(-('Gastos Gerais'!$B$4:$B$615=Analítico!$B63),-(Analítico!AN$3&gt;='Gastos Gerais'!$D$4:$D$615),-(Analítico!AN$3&lt;='Gastos Gerais'!$E$4:$E$615),-('Gastos Gerais'!$C$4:$C$615))</f>
        <v>0</v>
      </c>
      <c r="AO63" s="73">
        <f>SUMPRODUCT(-('Gastos Gerais'!$B$4:$B$615=Analítico!$B63),-(Analítico!AO$3&gt;='Gastos Gerais'!$D$4:$D$615),-(Analítico!AO$3&lt;='Gastos Gerais'!$E$4:$E$615),-('Gastos Gerais'!$C$4:$C$615))</f>
        <v>0</v>
      </c>
      <c r="AP63" s="73">
        <f>SUMPRODUCT(-('Gastos Gerais'!$B$4:$B$615=Analítico!$B63),-(Analítico!AP$3&gt;='Gastos Gerais'!$D$4:$D$615),-(Analítico!AP$3&lt;='Gastos Gerais'!$E$4:$E$615),-('Gastos Gerais'!$C$4:$C$615))</f>
        <v>0</v>
      </c>
      <c r="AQ63" s="73">
        <f>SUMPRODUCT(-('Gastos Gerais'!$B$4:$B$615=Analítico!$B63),-(Analítico!AQ$3&gt;='Gastos Gerais'!$D$4:$D$615),-(Analítico!AQ$3&lt;='Gastos Gerais'!$E$4:$E$615),-('Gastos Gerais'!$C$4:$C$615))</f>
        <v>0</v>
      </c>
      <c r="AR63" s="73">
        <f>SUMPRODUCT(-('Gastos Gerais'!$B$4:$B$615=Analítico!$B63),-(Analítico!AR$3&gt;='Gastos Gerais'!$D$4:$D$615),-(Analítico!AR$3&lt;='Gastos Gerais'!$E$4:$E$615),-('Gastos Gerais'!$C$4:$C$615))</f>
        <v>0</v>
      </c>
      <c r="AS63" s="73">
        <f>SUMPRODUCT(-('Gastos Gerais'!$B$4:$B$615=Analítico!$B63),-(Analítico!AS$3&gt;='Gastos Gerais'!$D$4:$D$615),-(Analítico!AS$3&lt;='Gastos Gerais'!$E$4:$E$615),-('Gastos Gerais'!$C$4:$C$615))</f>
        <v>0</v>
      </c>
      <c r="AT63" s="73">
        <f>SUMPRODUCT(-('Gastos Gerais'!$B$4:$B$615=Analítico!$B63),-(Analítico!AT$3&gt;='Gastos Gerais'!$D$4:$D$615),-(Analítico!AT$3&lt;='Gastos Gerais'!$E$4:$E$615),-('Gastos Gerais'!$C$4:$C$615))</f>
        <v>0</v>
      </c>
      <c r="AU63" s="73">
        <f>SUMPRODUCT(-('Gastos Gerais'!$B$4:$B$615=Analítico!$B63),-(Analítico!AU$3&gt;='Gastos Gerais'!$D$4:$D$615),-(Analítico!AU$3&lt;='Gastos Gerais'!$E$4:$E$615),-('Gastos Gerais'!$C$4:$C$615))</f>
        <v>0</v>
      </c>
      <c r="AV63" s="73">
        <f>SUMPRODUCT(-('Gastos Gerais'!$B$4:$B$615=Analítico!$B63),-(Analítico!AV$3&gt;='Gastos Gerais'!$D$4:$D$615),-(Analítico!AV$3&lt;='Gastos Gerais'!$E$4:$E$615),-('Gastos Gerais'!$C$4:$C$615))</f>
        <v>0</v>
      </c>
      <c r="AW63" s="73">
        <f>SUMPRODUCT(-('Gastos Gerais'!$B$4:$B$615=Analítico!$B63),-(Analítico!AW$3&gt;='Gastos Gerais'!$D$4:$D$615),-(Analítico!AW$3&lt;='Gastos Gerais'!$E$4:$E$615),-('Gastos Gerais'!$C$4:$C$615))</f>
        <v>0</v>
      </c>
      <c r="AX63" s="73">
        <f>SUMPRODUCT(-('Gastos Gerais'!$B$4:$B$615=Analítico!$B63),-(Analítico!AX$3&gt;='Gastos Gerais'!$D$4:$D$615),-(Analítico!AX$3&lt;='Gastos Gerais'!$E$4:$E$615),-('Gastos Gerais'!$C$4:$C$615))</f>
        <v>0</v>
      </c>
      <c r="AY63" s="73">
        <f>SUMPRODUCT(-('Gastos Gerais'!$B$4:$B$615=Analítico!$B63),-(Analítico!AY$3&gt;='Gastos Gerais'!$D$4:$D$615),-(Analítico!AY$3&lt;='Gastos Gerais'!$E$4:$E$615),-('Gastos Gerais'!$C$4:$C$615))</f>
        <v>0</v>
      </c>
      <c r="AZ63" s="73">
        <f>SUMPRODUCT(-('Gastos Gerais'!$B$4:$B$615=Analítico!$B63),-(Analítico!AZ$3&gt;='Gastos Gerais'!$D$4:$D$615),-(Analítico!AZ$3&lt;='Gastos Gerais'!$E$4:$E$615),-('Gastos Gerais'!$C$4:$C$615))</f>
        <v>0</v>
      </c>
      <c r="BA63" s="73">
        <f>SUMPRODUCT(-('Gastos Gerais'!$B$4:$B$615=Analítico!$B63),-(Analítico!BA$3&gt;='Gastos Gerais'!$D$4:$D$615),-(Analítico!BA$3&lt;='Gastos Gerais'!$E$4:$E$615),-('Gastos Gerais'!$C$4:$C$615))</f>
        <v>0</v>
      </c>
      <c r="BB63" s="73">
        <f>SUMPRODUCT(-('Gastos Gerais'!$B$4:$B$615=Analítico!$B63),-(Analítico!BB$3&gt;='Gastos Gerais'!$D$4:$D$615),-(Analítico!BB$3&lt;='Gastos Gerais'!$E$4:$E$615),-('Gastos Gerais'!$C$4:$C$615))</f>
        <v>0</v>
      </c>
      <c r="BC63" s="73">
        <f>SUMPRODUCT(-('Gastos Gerais'!$B$4:$B$615=Analítico!$B63),-(Analítico!BC$3&gt;='Gastos Gerais'!$D$4:$D$615),-(Analítico!BC$3&lt;='Gastos Gerais'!$E$4:$E$615),-('Gastos Gerais'!$C$4:$C$615))</f>
        <v>0</v>
      </c>
      <c r="BD63" s="73">
        <f>SUMPRODUCT(-('Gastos Gerais'!$B$4:$B$615=Analítico!$B63),-(Analítico!BD$3&gt;='Gastos Gerais'!$D$4:$D$615),-(Analítico!BD$3&lt;='Gastos Gerais'!$E$4:$E$615),-('Gastos Gerais'!$C$4:$C$615))</f>
        <v>0</v>
      </c>
      <c r="BE63" s="73">
        <f>SUMPRODUCT(-('Gastos Gerais'!$B$4:$B$615=Analítico!$B63),-(Analítico!BE$3&gt;='Gastos Gerais'!$D$4:$D$615),-(Analítico!BE$3&lt;='Gastos Gerais'!$E$4:$E$615),-('Gastos Gerais'!$C$4:$C$615))</f>
        <v>0</v>
      </c>
      <c r="BF63" s="73">
        <f>SUMPRODUCT(-('Gastos Gerais'!$B$4:$B$615=Analítico!$B63),-(Analítico!BF$3&gt;='Gastos Gerais'!$D$4:$D$615),-(Analítico!BF$3&lt;='Gastos Gerais'!$E$4:$E$615),-('Gastos Gerais'!$C$4:$C$615))</f>
        <v>0</v>
      </c>
      <c r="BG63" s="73">
        <f>SUMPRODUCT(-('Gastos Gerais'!$B$4:$B$615=Analítico!$B63),-(Analítico!BG$3&gt;='Gastos Gerais'!$D$4:$D$615),-(Analítico!BG$3&lt;='Gastos Gerais'!$E$4:$E$615),-('Gastos Gerais'!$C$4:$C$615))</f>
        <v>0</v>
      </c>
      <c r="BH63" s="73">
        <f>SUMPRODUCT(-('Gastos Gerais'!$B$4:$B$615=Analítico!$B63),-(Analítico!BH$3&gt;='Gastos Gerais'!$D$4:$D$615),-(Analítico!BH$3&lt;='Gastos Gerais'!$E$4:$E$615),-('Gastos Gerais'!$C$4:$C$615))</f>
        <v>0</v>
      </c>
      <c r="BI63" s="73">
        <f>SUMPRODUCT(-('Gastos Gerais'!$B$4:$B$615=Analítico!$B63),-(Analítico!BI$3&gt;='Gastos Gerais'!$D$4:$D$615),-(Analítico!BI$3&lt;='Gastos Gerais'!$E$4:$E$615),-('Gastos Gerais'!$C$4:$C$615))</f>
        <v>0</v>
      </c>
      <c r="BJ63" s="73">
        <f>SUMPRODUCT(-('Gastos Gerais'!$B$4:$B$615=Analítico!$B63),-(Analítico!BJ$3&gt;='Gastos Gerais'!$D$4:$D$615),-(Analítico!BJ$3&lt;='Gastos Gerais'!$E$4:$E$615),-('Gastos Gerais'!$C$4:$C$615))</f>
        <v>0</v>
      </c>
      <c r="BK63" s="71">
        <f t="shared" si="31"/>
        <v>30000</v>
      </c>
      <c r="BL63" s="76">
        <f t="shared" ca="1" si="32"/>
        <v>8.1827952762758975E-5</v>
      </c>
    </row>
    <row r="64" spans="1:64" s="49" customFormat="1" ht="23.25" customHeight="1" x14ac:dyDescent="0.2">
      <c r="A64" s="109" t="s">
        <v>196</v>
      </c>
      <c r="B64" s="110" t="s">
        <v>197</v>
      </c>
      <c r="C64" s="73">
        <f>SUMPRODUCT(-('Gastos Gerais'!$B$4:$B$615=Analítico!$B64),-(Analítico!C$3&gt;='Gastos Gerais'!$D$4:$D$615),-(Analítico!C$3&lt;='Gastos Gerais'!$E$4:$E$615),-('Gastos Gerais'!$C$4:$C$615))</f>
        <v>105000</v>
      </c>
      <c r="D64" s="73">
        <f>SUMPRODUCT(-('Gastos Gerais'!$B$4:$B$615=Analítico!$B64),-(Analítico!D$3&gt;='Gastos Gerais'!$D$4:$D$615),-(Analítico!D$3&lt;='Gastos Gerais'!$E$4:$E$615),-('Gastos Gerais'!$C$4:$C$615))</f>
        <v>105000</v>
      </c>
      <c r="E64" s="73">
        <f>SUMPRODUCT(-('Gastos Gerais'!$B$4:$B$615=Analítico!$B64),-(Analítico!E$3&gt;='Gastos Gerais'!$D$4:$D$615),-(Analítico!E$3&lt;='Gastos Gerais'!$E$4:$E$615),-('Gastos Gerais'!$C$4:$C$615))</f>
        <v>105000</v>
      </c>
      <c r="F64" s="73">
        <f>SUMPRODUCT(-('Gastos Gerais'!$B$4:$B$615=Analítico!$B64),-(Analítico!F$3&gt;='Gastos Gerais'!$D$4:$D$615),-(Analítico!F$3&lt;='Gastos Gerais'!$E$4:$E$615),-('Gastos Gerais'!$C$4:$C$615))</f>
        <v>105000</v>
      </c>
      <c r="G64" s="73">
        <f>SUMPRODUCT(-('Gastos Gerais'!$B$4:$B$615=Analítico!$B64),-(Analítico!G$3&gt;='Gastos Gerais'!$D$4:$D$615),-(Analítico!G$3&lt;='Gastos Gerais'!$E$4:$E$615),-('Gastos Gerais'!$C$4:$C$615))</f>
        <v>105000</v>
      </c>
      <c r="H64" s="73">
        <f>SUMPRODUCT(-('Gastos Gerais'!$B$4:$B$615=Analítico!$B64),-(Analítico!H$3&gt;='Gastos Gerais'!$D$4:$D$615),-(Analítico!H$3&lt;='Gastos Gerais'!$E$4:$E$615),-('Gastos Gerais'!$C$4:$C$615))</f>
        <v>105000</v>
      </c>
      <c r="I64" s="73">
        <f>SUMPRODUCT(-('Gastos Gerais'!$B$4:$B$615=Analítico!$B64),-(Analítico!I$3&gt;='Gastos Gerais'!$D$4:$D$615),-(Analítico!I$3&lt;='Gastos Gerais'!$E$4:$E$615),-('Gastos Gerais'!$C$4:$C$615))</f>
        <v>105000</v>
      </c>
      <c r="J64" s="73">
        <f>SUMPRODUCT(-('Gastos Gerais'!$B$4:$B$615=Analítico!$B64),-(Analítico!J$3&gt;='Gastos Gerais'!$D$4:$D$615),-(Analítico!J$3&lt;='Gastos Gerais'!$E$4:$E$615),-('Gastos Gerais'!$C$4:$C$615))</f>
        <v>105000</v>
      </c>
      <c r="K64" s="73">
        <f>SUMPRODUCT(-('Gastos Gerais'!$B$4:$B$615=Analítico!$B64),-(Analítico!K$3&gt;='Gastos Gerais'!$D$4:$D$615),-(Analítico!K$3&lt;='Gastos Gerais'!$E$4:$E$615),-('Gastos Gerais'!$C$4:$C$615))</f>
        <v>105000</v>
      </c>
      <c r="L64" s="73">
        <f>SUMPRODUCT(-('Gastos Gerais'!$B$4:$B$615=Analítico!$B64),-(Analítico!L$3&gt;='Gastos Gerais'!$D$4:$D$615),-(Analítico!L$3&lt;='Gastos Gerais'!$E$4:$E$615),-('Gastos Gerais'!$C$4:$C$615))</f>
        <v>105000</v>
      </c>
      <c r="M64" s="73">
        <f>SUMPRODUCT(-('Gastos Gerais'!$B$4:$B$615=Analítico!$B64),-(Analítico!M$3&gt;='Gastos Gerais'!$D$4:$D$615),-(Analítico!M$3&lt;='Gastos Gerais'!$E$4:$E$615),-('Gastos Gerais'!$C$4:$C$615))</f>
        <v>105000</v>
      </c>
      <c r="N64" s="73">
        <f>SUMPRODUCT(-('Gastos Gerais'!$B$4:$B$615=Analítico!$B64),-(Analítico!N$3&gt;='Gastos Gerais'!$D$4:$D$615),-(Analítico!N$3&lt;='Gastos Gerais'!$E$4:$E$615),-('Gastos Gerais'!$C$4:$C$615))</f>
        <v>105000</v>
      </c>
      <c r="O64" s="73">
        <f>SUMPRODUCT(-('Gastos Gerais'!$B$4:$B$615=Analítico!$B64),-(Analítico!O$3&gt;='Gastos Gerais'!$D$4:$D$615),-(Analítico!O$3&lt;='Gastos Gerais'!$E$4:$E$615),-('Gastos Gerais'!$C$4:$C$615))</f>
        <v>105000</v>
      </c>
      <c r="P64" s="73">
        <f>SUMPRODUCT(-('Gastos Gerais'!$B$4:$B$615=Analítico!$B64),-(Analítico!P$3&gt;='Gastos Gerais'!$D$4:$D$615),-(Analítico!P$3&lt;='Gastos Gerais'!$E$4:$E$615),-('Gastos Gerais'!$C$4:$C$615))</f>
        <v>105000</v>
      </c>
      <c r="Q64" s="73">
        <f>SUMPRODUCT(-('Gastos Gerais'!$B$4:$B$615=Analítico!$B64),-(Analítico!Q$3&gt;='Gastos Gerais'!$D$4:$D$615),-(Analítico!Q$3&lt;='Gastos Gerais'!$E$4:$E$615),-('Gastos Gerais'!$C$4:$C$615))</f>
        <v>105000</v>
      </c>
      <c r="R64" s="73">
        <f>SUMPRODUCT(-('Gastos Gerais'!$B$4:$B$615=Analítico!$B64),-(Analítico!R$3&gt;='Gastos Gerais'!$D$4:$D$615),-(Analítico!R$3&lt;='Gastos Gerais'!$E$4:$E$615),-('Gastos Gerais'!$C$4:$C$615))</f>
        <v>105000</v>
      </c>
      <c r="S64" s="73">
        <f>SUMPRODUCT(-('Gastos Gerais'!$B$4:$B$615=Analítico!$B64),-(Analítico!S$3&gt;='Gastos Gerais'!$D$4:$D$615),-(Analítico!S$3&lt;='Gastos Gerais'!$E$4:$E$615),-('Gastos Gerais'!$C$4:$C$615))</f>
        <v>105000</v>
      </c>
      <c r="T64" s="73">
        <f>SUMPRODUCT(-('Gastos Gerais'!$B$4:$B$615=Analítico!$B64),-(Analítico!T$3&gt;='Gastos Gerais'!$D$4:$D$615),-(Analítico!T$3&lt;='Gastos Gerais'!$E$4:$E$615),-('Gastos Gerais'!$C$4:$C$615))</f>
        <v>105000</v>
      </c>
      <c r="U64" s="73">
        <f>SUMPRODUCT(-('Gastos Gerais'!$B$4:$B$615=Analítico!$B64),-(Analítico!U$3&gt;='Gastos Gerais'!$D$4:$D$615),-(Analítico!U$3&lt;='Gastos Gerais'!$E$4:$E$615),-('Gastos Gerais'!$C$4:$C$615))</f>
        <v>105000</v>
      </c>
      <c r="V64" s="73">
        <f>SUMPRODUCT(-('Gastos Gerais'!$B$4:$B$615=Analítico!$B64),-(Analítico!V$3&gt;='Gastos Gerais'!$D$4:$D$615),-(Analítico!V$3&lt;='Gastos Gerais'!$E$4:$E$615),-('Gastos Gerais'!$C$4:$C$615))</f>
        <v>105000</v>
      </c>
      <c r="W64" s="73">
        <f>SUMPRODUCT(-('Gastos Gerais'!$B$4:$B$615=Analítico!$B64),-(Analítico!W$3&gt;='Gastos Gerais'!$D$4:$D$615),-(Analítico!W$3&lt;='Gastos Gerais'!$E$4:$E$615),-('Gastos Gerais'!$C$4:$C$615))</f>
        <v>105000</v>
      </c>
      <c r="X64" s="73">
        <f>SUMPRODUCT(-('Gastos Gerais'!$B$4:$B$615=Analítico!$B64),-(Analítico!X$3&gt;='Gastos Gerais'!$D$4:$D$615),-(Analítico!X$3&lt;='Gastos Gerais'!$E$4:$E$615),-('Gastos Gerais'!$C$4:$C$615))</f>
        <v>105000</v>
      </c>
      <c r="Y64" s="73">
        <f>SUMPRODUCT(-('Gastos Gerais'!$B$4:$B$615=Analítico!$B64),-(Analítico!Y$3&gt;='Gastos Gerais'!$D$4:$D$615),-(Analítico!Y$3&lt;='Gastos Gerais'!$E$4:$E$615),-('Gastos Gerais'!$C$4:$C$615))</f>
        <v>105000</v>
      </c>
      <c r="Z64" s="73">
        <f>SUMPRODUCT(-('Gastos Gerais'!$B$4:$B$615=Analítico!$B64),-(Analítico!Z$3&gt;='Gastos Gerais'!$D$4:$D$615),-(Analítico!Z$3&lt;='Gastos Gerais'!$E$4:$E$615),-('Gastos Gerais'!$C$4:$C$615))</f>
        <v>105000</v>
      </c>
      <c r="AA64" s="73">
        <f>SUMPRODUCT(-('Gastos Gerais'!$B$4:$B$615=Analítico!$B64),-(Analítico!AA$3&gt;='Gastos Gerais'!$D$4:$D$615),-(Analítico!AA$3&lt;='Gastos Gerais'!$E$4:$E$615),-('Gastos Gerais'!$C$4:$C$615))</f>
        <v>105000</v>
      </c>
      <c r="AB64" s="73">
        <f>SUMPRODUCT(-('Gastos Gerais'!$B$4:$B$615=Analítico!$B64),-(Analítico!AB$3&gt;='Gastos Gerais'!$D$4:$D$615),-(Analítico!AB$3&lt;='Gastos Gerais'!$E$4:$E$615),-('Gastos Gerais'!$C$4:$C$615))</f>
        <v>105000</v>
      </c>
      <c r="AC64" s="73">
        <f>SUMPRODUCT(-('Gastos Gerais'!$B$4:$B$615=Analítico!$B64),-(Analítico!AC$3&gt;='Gastos Gerais'!$D$4:$D$615),-(Analítico!AC$3&lt;='Gastos Gerais'!$E$4:$E$615),-('Gastos Gerais'!$C$4:$C$615))</f>
        <v>105000</v>
      </c>
      <c r="AD64" s="73">
        <f>SUMPRODUCT(-('Gastos Gerais'!$B$4:$B$615=Analítico!$B64),-(Analítico!AD$3&gt;='Gastos Gerais'!$D$4:$D$615),-(Analítico!AD$3&lt;='Gastos Gerais'!$E$4:$E$615),-('Gastos Gerais'!$C$4:$C$615))</f>
        <v>105000</v>
      </c>
      <c r="AE64" s="73">
        <f>SUMPRODUCT(-('Gastos Gerais'!$B$4:$B$615=Analítico!$B64),-(Analítico!AE$3&gt;='Gastos Gerais'!$D$4:$D$615),-(Analítico!AE$3&lt;='Gastos Gerais'!$E$4:$E$615),-('Gastos Gerais'!$C$4:$C$615))</f>
        <v>105000</v>
      </c>
      <c r="AF64" s="73">
        <f>SUMPRODUCT(-('Gastos Gerais'!$B$4:$B$615=Analítico!$B64),-(Analítico!AF$3&gt;='Gastos Gerais'!$D$4:$D$615),-(Analítico!AF$3&lt;='Gastos Gerais'!$E$4:$E$615),-('Gastos Gerais'!$C$4:$C$615))</f>
        <v>105000</v>
      </c>
      <c r="AG64" s="73">
        <f>SUMPRODUCT(-('Gastos Gerais'!$B$4:$B$615=Analítico!$B64),-(Analítico!AG$3&gt;='Gastos Gerais'!$D$4:$D$615),-(Analítico!AG$3&lt;='Gastos Gerais'!$E$4:$E$615),-('Gastos Gerais'!$C$4:$C$615))</f>
        <v>105000</v>
      </c>
      <c r="AH64" s="73">
        <f>SUMPRODUCT(-('Gastos Gerais'!$B$4:$B$615=Analítico!$B64),-(Analítico!AH$3&gt;='Gastos Gerais'!$D$4:$D$615),-(Analítico!AH$3&lt;='Gastos Gerais'!$E$4:$E$615),-('Gastos Gerais'!$C$4:$C$615))</f>
        <v>105000</v>
      </c>
      <c r="AI64" s="73">
        <f>SUMPRODUCT(-('Gastos Gerais'!$B$4:$B$615=Analítico!$B64),-(Analítico!AI$3&gt;='Gastos Gerais'!$D$4:$D$615),-(Analítico!AI$3&lt;='Gastos Gerais'!$E$4:$E$615),-('Gastos Gerais'!$C$4:$C$615))</f>
        <v>105000</v>
      </c>
      <c r="AJ64" s="73">
        <f>SUMPRODUCT(-('Gastos Gerais'!$B$4:$B$615=Analítico!$B64),-(Analítico!AJ$3&gt;='Gastos Gerais'!$D$4:$D$615),-(Analítico!AJ$3&lt;='Gastos Gerais'!$E$4:$E$615),-('Gastos Gerais'!$C$4:$C$615))</f>
        <v>105000</v>
      </c>
      <c r="AK64" s="73">
        <f>SUMPRODUCT(-('Gastos Gerais'!$B$4:$B$615=Analítico!$B64),-(Analítico!AK$3&gt;='Gastos Gerais'!$D$4:$D$615),-(Analítico!AK$3&lt;='Gastos Gerais'!$E$4:$E$615),-('Gastos Gerais'!$C$4:$C$615))</f>
        <v>105000</v>
      </c>
      <c r="AL64" s="73">
        <f>SUMPRODUCT(-('Gastos Gerais'!$B$4:$B$615=Analítico!$B64),-(Analítico!AL$3&gt;='Gastos Gerais'!$D$4:$D$615),-(Analítico!AL$3&lt;='Gastos Gerais'!$E$4:$E$615),-('Gastos Gerais'!$C$4:$C$615))</f>
        <v>105000</v>
      </c>
      <c r="AM64" s="73">
        <f>SUMPRODUCT(-('Gastos Gerais'!$B$4:$B$615=Analítico!$B64),-(Analítico!AM$3&gt;='Gastos Gerais'!$D$4:$D$615),-(Analítico!AM$3&lt;='Gastos Gerais'!$E$4:$E$615),-('Gastos Gerais'!$C$4:$C$615))</f>
        <v>0</v>
      </c>
      <c r="AN64" s="73">
        <f>SUMPRODUCT(-('Gastos Gerais'!$B$4:$B$615=Analítico!$B64),-(Analítico!AN$3&gt;='Gastos Gerais'!$D$4:$D$615),-(Analítico!AN$3&lt;='Gastos Gerais'!$E$4:$E$615),-('Gastos Gerais'!$C$4:$C$615))</f>
        <v>0</v>
      </c>
      <c r="AO64" s="73">
        <f>SUMPRODUCT(-('Gastos Gerais'!$B$4:$B$615=Analítico!$B64),-(Analítico!AO$3&gt;='Gastos Gerais'!$D$4:$D$615),-(Analítico!AO$3&lt;='Gastos Gerais'!$E$4:$E$615),-('Gastos Gerais'!$C$4:$C$615))</f>
        <v>0</v>
      </c>
      <c r="AP64" s="73">
        <f>SUMPRODUCT(-('Gastos Gerais'!$B$4:$B$615=Analítico!$B64),-(Analítico!AP$3&gt;='Gastos Gerais'!$D$4:$D$615),-(Analítico!AP$3&lt;='Gastos Gerais'!$E$4:$E$615),-('Gastos Gerais'!$C$4:$C$615))</f>
        <v>0</v>
      </c>
      <c r="AQ64" s="73">
        <f>SUMPRODUCT(-('Gastos Gerais'!$B$4:$B$615=Analítico!$B64),-(Analítico!AQ$3&gt;='Gastos Gerais'!$D$4:$D$615),-(Analítico!AQ$3&lt;='Gastos Gerais'!$E$4:$E$615),-('Gastos Gerais'!$C$4:$C$615))</f>
        <v>0</v>
      </c>
      <c r="AR64" s="73">
        <f>SUMPRODUCT(-('Gastos Gerais'!$B$4:$B$615=Analítico!$B64),-(Analítico!AR$3&gt;='Gastos Gerais'!$D$4:$D$615),-(Analítico!AR$3&lt;='Gastos Gerais'!$E$4:$E$615),-('Gastos Gerais'!$C$4:$C$615))</f>
        <v>0</v>
      </c>
      <c r="AS64" s="73">
        <f>SUMPRODUCT(-('Gastos Gerais'!$B$4:$B$615=Analítico!$B64),-(Analítico!AS$3&gt;='Gastos Gerais'!$D$4:$D$615),-(Analítico!AS$3&lt;='Gastos Gerais'!$E$4:$E$615),-('Gastos Gerais'!$C$4:$C$615))</f>
        <v>0</v>
      </c>
      <c r="AT64" s="73">
        <f>SUMPRODUCT(-('Gastos Gerais'!$B$4:$B$615=Analítico!$B64),-(Analítico!AT$3&gt;='Gastos Gerais'!$D$4:$D$615),-(Analítico!AT$3&lt;='Gastos Gerais'!$E$4:$E$615),-('Gastos Gerais'!$C$4:$C$615))</f>
        <v>0</v>
      </c>
      <c r="AU64" s="73">
        <f>SUMPRODUCT(-('Gastos Gerais'!$B$4:$B$615=Analítico!$B64),-(Analítico!AU$3&gt;='Gastos Gerais'!$D$4:$D$615),-(Analítico!AU$3&lt;='Gastos Gerais'!$E$4:$E$615),-('Gastos Gerais'!$C$4:$C$615))</f>
        <v>0</v>
      </c>
      <c r="AV64" s="73">
        <f>SUMPRODUCT(-('Gastos Gerais'!$B$4:$B$615=Analítico!$B64),-(Analítico!AV$3&gt;='Gastos Gerais'!$D$4:$D$615),-(Analítico!AV$3&lt;='Gastos Gerais'!$E$4:$E$615),-('Gastos Gerais'!$C$4:$C$615))</f>
        <v>0</v>
      </c>
      <c r="AW64" s="73">
        <f>SUMPRODUCT(-('Gastos Gerais'!$B$4:$B$615=Analítico!$B64),-(Analítico!AW$3&gt;='Gastos Gerais'!$D$4:$D$615),-(Analítico!AW$3&lt;='Gastos Gerais'!$E$4:$E$615),-('Gastos Gerais'!$C$4:$C$615))</f>
        <v>0</v>
      </c>
      <c r="AX64" s="73">
        <f>SUMPRODUCT(-('Gastos Gerais'!$B$4:$B$615=Analítico!$B64),-(Analítico!AX$3&gt;='Gastos Gerais'!$D$4:$D$615),-(Analítico!AX$3&lt;='Gastos Gerais'!$E$4:$E$615),-('Gastos Gerais'!$C$4:$C$615))</f>
        <v>0</v>
      </c>
      <c r="AY64" s="73">
        <f>SUMPRODUCT(-('Gastos Gerais'!$B$4:$B$615=Analítico!$B64),-(Analítico!AY$3&gt;='Gastos Gerais'!$D$4:$D$615),-(Analítico!AY$3&lt;='Gastos Gerais'!$E$4:$E$615),-('Gastos Gerais'!$C$4:$C$615))</f>
        <v>0</v>
      </c>
      <c r="AZ64" s="73">
        <f>SUMPRODUCT(-('Gastos Gerais'!$B$4:$B$615=Analítico!$B64),-(Analítico!AZ$3&gt;='Gastos Gerais'!$D$4:$D$615),-(Analítico!AZ$3&lt;='Gastos Gerais'!$E$4:$E$615),-('Gastos Gerais'!$C$4:$C$615))</f>
        <v>0</v>
      </c>
      <c r="BA64" s="73">
        <f>SUMPRODUCT(-('Gastos Gerais'!$B$4:$B$615=Analítico!$B64),-(Analítico!BA$3&gt;='Gastos Gerais'!$D$4:$D$615),-(Analítico!BA$3&lt;='Gastos Gerais'!$E$4:$E$615),-('Gastos Gerais'!$C$4:$C$615))</f>
        <v>0</v>
      </c>
      <c r="BB64" s="73">
        <f>SUMPRODUCT(-('Gastos Gerais'!$B$4:$B$615=Analítico!$B64),-(Analítico!BB$3&gt;='Gastos Gerais'!$D$4:$D$615),-(Analítico!BB$3&lt;='Gastos Gerais'!$E$4:$E$615),-('Gastos Gerais'!$C$4:$C$615))</f>
        <v>0</v>
      </c>
      <c r="BC64" s="73">
        <f>SUMPRODUCT(-('Gastos Gerais'!$B$4:$B$615=Analítico!$B64),-(Analítico!BC$3&gt;='Gastos Gerais'!$D$4:$D$615),-(Analítico!BC$3&lt;='Gastos Gerais'!$E$4:$E$615),-('Gastos Gerais'!$C$4:$C$615))</f>
        <v>0</v>
      </c>
      <c r="BD64" s="73">
        <f>SUMPRODUCT(-('Gastos Gerais'!$B$4:$B$615=Analítico!$B64),-(Analítico!BD$3&gt;='Gastos Gerais'!$D$4:$D$615),-(Analítico!BD$3&lt;='Gastos Gerais'!$E$4:$E$615),-('Gastos Gerais'!$C$4:$C$615))</f>
        <v>0</v>
      </c>
      <c r="BE64" s="73">
        <f>SUMPRODUCT(-('Gastos Gerais'!$B$4:$B$615=Analítico!$B64),-(Analítico!BE$3&gt;='Gastos Gerais'!$D$4:$D$615),-(Analítico!BE$3&lt;='Gastos Gerais'!$E$4:$E$615),-('Gastos Gerais'!$C$4:$C$615))</f>
        <v>0</v>
      </c>
      <c r="BF64" s="73">
        <f>SUMPRODUCT(-('Gastos Gerais'!$B$4:$B$615=Analítico!$B64),-(Analítico!BF$3&gt;='Gastos Gerais'!$D$4:$D$615),-(Analítico!BF$3&lt;='Gastos Gerais'!$E$4:$E$615),-('Gastos Gerais'!$C$4:$C$615))</f>
        <v>0</v>
      </c>
      <c r="BG64" s="73">
        <f>SUMPRODUCT(-('Gastos Gerais'!$B$4:$B$615=Analítico!$B64),-(Analítico!BG$3&gt;='Gastos Gerais'!$D$4:$D$615),-(Analítico!BG$3&lt;='Gastos Gerais'!$E$4:$E$615),-('Gastos Gerais'!$C$4:$C$615))</f>
        <v>0</v>
      </c>
      <c r="BH64" s="73">
        <f>SUMPRODUCT(-('Gastos Gerais'!$B$4:$B$615=Analítico!$B64),-(Analítico!BH$3&gt;='Gastos Gerais'!$D$4:$D$615),-(Analítico!BH$3&lt;='Gastos Gerais'!$E$4:$E$615),-('Gastos Gerais'!$C$4:$C$615))</f>
        <v>0</v>
      </c>
      <c r="BI64" s="73">
        <f>SUMPRODUCT(-('Gastos Gerais'!$B$4:$B$615=Analítico!$B64),-(Analítico!BI$3&gt;='Gastos Gerais'!$D$4:$D$615),-(Analítico!BI$3&lt;='Gastos Gerais'!$E$4:$E$615),-('Gastos Gerais'!$C$4:$C$615))</f>
        <v>0</v>
      </c>
      <c r="BJ64" s="73">
        <f>SUMPRODUCT(-('Gastos Gerais'!$B$4:$B$615=Analítico!$B64),-(Analítico!BJ$3&gt;='Gastos Gerais'!$D$4:$D$615),-(Analítico!BJ$3&lt;='Gastos Gerais'!$E$4:$E$615),-('Gastos Gerais'!$C$4:$C$615))</f>
        <v>0</v>
      </c>
      <c r="BK64" s="71">
        <f t="shared" si="31"/>
        <v>3780000</v>
      </c>
      <c r="BL64" s="76">
        <f t="shared" ca="1" si="32"/>
        <v>1.0310322048107631E-2</v>
      </c>
    </row>
    <row r="65" spans="1:64" s="49" customFormat="1" ht="23.25" customHeight="1" x14ac:dyDescent="0.2">
      <c r="A65" s="109" t="s">
        <v>198</v>
      </c>
      <c r="B65" s="110" t="s">
        <v>199</v>
      </c>
      <c r="C65" s="73">
        <f>SUMPRODUCT(-('Gastos Gerais'!$B$4:$B$615=Analítico!$B65),-(Analítico!C$3&gt;='Gastos Gerais'!$D$4:$D$615),-(Analítico!C$3&lt;='Gastos Gerais'!$E$4:$E$615),-('Gastos Gerais'!$C$4:$C$615))</f>
        <v>188000</v>
      </c>
      <c r="D65" s="73">
        <f>SUMPRODUCT(-('Gastos Gerais'!$B$4:$B$615=Analítico!$B65),-(Analítico!D$3&gt;='Gastos Gerais'!$D$4:$D$615),-(Analítico!D$3&lt;='Gastos Gerais'!$E$4:$E$615),-('Gastos Gerais'!$C$4:$C$615))</f>
        <v>188000</v>
      </c>
      <c r="E65" s="73">
        <f>SUMPRODUCT(-('Gastos Gerais'!$B$4:$B$615=Analítico!$B65),-(Analítico!E$3&gt;='Gastos Gerais'!$D$4:$D$615),-(Analítico!E$3&lt;='Gastos Gerais'!$E$4:$E$615),-('Gastos Gerais'!$C$4:$C$615))</f>
        <v>188000</v>
      </c>
      <c r="F65" s="73">
        <f>SUMPRODUCT(-('Gastos Gerais'!$B$4:$B$615=Analítico!$B65),-(Analítico!F$3&gt;='Gastos Gerais'!$D$4:$D$615),-(Analítico!F$3&lt;='Gastos Gerais'!$E$4:$E$615),-('Gastos Gerais'!$C$4:$C$615))</f>
        <v>188000</v>
      </c>
      <c r="G65" s="73">
        <f>SUMPRODUCT(-('Gastos Gerais'!$B$4:$B$615=Analítico!$B65),-(Analítico!G$3&gt;='Gastos Gerais'!$D$4:$D$615),-(Analítico!G$3&lt;='Gastos Gerais'!$E$4:$E$615),-('Gastos Gerais'!$C$4:$C$615))</f>
        <v>188000</v>
      </c>
      <c r="H65" s="73">
        <f>SUMPRODUCT(-('Gastos Gerais'!$B$4:$B$615=Analítico!$B65),-(Analítico!H$3&gt;='Gastos Gerais'!$D$4:$D$615),-(Analítico!H$3&lt;='Gastos Gerais'!$E$4:$E$615),-('Gastos Gerais'!$C$4:$C$615))</f>
        <v>188000</v>
      </c>
      <c r="I65" s="73">
        <f>SUMPRODUCT(-('Gastos Gerais'!$B$4:$B$615=Analítico!$B65),-(Analítico!I$3&gt;='Gastos Gerais'!$D$4:$D$615),-(Analítico!I$3&lt;='Gastos Gerais'!$E$4:$E$615),-('Gastos Gerais'!$C$4:$C$615))</f>
        <v>188000</v>
      </c>
      <c r="J65" s="73">
        <f>SUMPRODUCT(-('Gastos Gerais'!$B$4:$B$615=Analítico!$B65),-(Analítico!J$3&gt;='Gastos Gerais'!$D$4:$D$615),-(Analítico!J$3&lt;='Gastos Gerais'!$E$4:$E$615),-('Gastos Gerais'!$C$4:$C$615))</f>
        <v>188000</v>
      </c>
      <c r="K65" s="73">
        <f>SUMPRODUCT(-('Gastos Gerais'!$B$4:$B$615=Analítico!$B65),-(Analítico!K$3&gt;='Gastos Gerais'!$D$4:$D$615),-(Analítico!K$3&lt;='Gastos Gerais'!$E$4:$E$615),-('Gastos Gerais'!$C$4:$C$615))</f>
        <v>188000</v>
      </c>
      <c r="L65" s="73">
        <f>SUMPRODUCT(-('Gastos Gerais'!$B$4:$B$615=Analítico!$B65),-(Analítico!L$3&gt;='Gastos Gerais'!$D$4:$D$615),-(Analítico!L$3&lt;='Gastos Gerais'!$E$4:$E$615),-('Gastos Gerais'!$C$4:$C$615))</f>
        <v>188000</v>
      </c>
      <c r="M65" s="73">
        <f>SUMPRODUCT(-('Gastos Gerais'!$B$4:$B$615=Analítico!$B65),-(Analítico!M$3&gt;='Gastos Gerais'!$D$4:$D$615),-(Analítico!M$3&lt;='Gastos Gerais'!$E$4:$E$615),-('Gastos Gerais'!$C$4:$C$615))</f>
        <v>188000</v>
      </c>
      <c r="N65" s="73">
        <f>SUMPRODUCT(-('Gastos Gerais'!$B$4:$B$615=Analítico!$B65),-(Analítico!N$3&gt;='Gastos Gerais'!$D$4:$D$615),-(Analítico!N$3&lt;='Gastos Gerais'!$E$4:$E$615),-('Gastos Gerais'!$C$4:$C$615))</f>
        <v>188000</v>
      </c>
      <c r="O65" s="73">
        <f>SUMPRODUCT(-('Gastos Gerais'!$B$4:$B$615=Analítico!$B65),-(Analítico!O$3&gt;='Gastos Gerais'!$D$4:$D$615),-(Analítico!O$3&lt;='Gastos Gerais'!$E$4:$E$615),-('Gastos Gerais'!$C$4:$C$615))</f>
        <v>188000</v>
      </c>
      <c r="P65" s="73">
        <f>SUMPRODUCT(-('Gastos Gerais'!$B$4:$B$615=Analítico!$B65),-(Analítico!P$3&gt;='Gastos Gerais'!$D$4:$D$615),-(Analítico!P$3&lt;='Gastos Gerais'!$E$4:$E$615),-('Gastos Gerais'!$C$4:$C$615))</f>
        <v>188000</v>
      </c>
      <c r="Q65" s="73">
        <f>SUMPRODUCT(-('Gastos Gerais'!$B$4:$B$615=Analítico!$B65),-(Analítico!Q$3&gt;='Gastos Gerais'!$D$4:$D$615),-(Analítico!Q$3&lt;='Gastos Gerais'!$E$4:$E$615),-('Gastos Gerais'!$C$4:$C$615))</f>
        <v>188000</v>
      </c>
      <c r="R65" s="73">
        <f>SUMPRODUCT(-('Gastos Gerais'!$B$4:$B$615=Analítico!$B65),-(Analítico!R$3&gt;='Gastos Gerais'!$D$4:$D$615),-(Analítico!R$3&lt;='Gastos Gerais'!$E$4:$E$615),-('Gastos Gerais'!$C$4:$C$615))</f>
        <v>188000</v>
      </c>
      <c r="S65" s="73">
        <f>SUMPRODUCT(-('Gastos Gerais'!$B$4:$B$615=Analítico!$B65),-(Analítico!S$3&gt;='Gastos Gerais'!$D$4:$D$615),-(Analítico!S$3&lt;='Gastos Gerais'!$E$4:$E$615),-('Gastos Gerais'!$C$4:$C$615))</f>
        <v>188000</v>
      </c>
      <c r="T65" s="73">
        <f>SUMPRODUCT(-('Gastos Gerais'!$B$4:$B$615=Analítico!$B65),-(Analítico!T$3&gt;='Gastos Gerais'!$D$4:$D$615),-(Analítico!T$3&lt;='Gastos Gerais'!$E$4:$E$615),-('Gastos Gerais'!$C$4:$C$615))</f>
        <v>188000</v>
      </c>
      <c r="U65" s="73">
        <f>SUMPRODUCT(-('Gastos Gerais'!$B$4:$B$615=Analítico!$B65),-(Analítico!U$3&gt;='Gastos Gerais'!$D$4:$D$615),-(Analítico!U$3&lt;='Gastos Gerais'!$E$4:$E$615),-('Gastos Gerais'!$C$4:$C$615))</f>
        <v>188000</v>
      </c>
      <c r="V65" s="73">
        <f>SUMPRODUCT(-('Gastos Gerais'!$B$4:$B$615=Analítico!$B65),-(Analítico!V$3&gt;='Gastos Gerais'!$D$4:$D$615),-(Analítico!V$3&lt;='Gastos Gerais'!$E$4:$E$615),-('Gastos Gerais'!$C$4:$C$615))</f>
        <v>188000</v>
      </c>
      <c r="W65" s="73">
        <f>SUMPRODUCT(-('Gastos Gerais'!$B$4:$B$615=Analítico!$B65),-(Analítico!W$3&gt;='Gastos Gerais'!$D$4:$D$615),-(Analítico!W$3&lt;='Gastos Gerais'!$E$4:$E$615),-('Gastos Gerais'!$C$4:$C$615))</f>
        <v>188000</v>
      </c>
      <c r="X65" s="73">
        <f>SUMPRODUCT(-('Gastos Gerais'!$B$4:$B$615=Analítico!$B65),-(Analítico!X$3&gt;='Gastos Gerais'!$D$4:$D$615),-(Analítico!X$3&lt;='Gastos Gerais'!$E$4:$E$615),-('Gastos Gerais'!$C$4:$C$615))</f>
        <v>188000</v>
      </c>
      <c r="Y65" s="73">
        <f>SUMPRODUCT(-('Gastos Gerais'!$B$4:$B$615=Analítico!$B65),-(Analítico!Y$3&gt;='Gastos Gerais'!$D$4:$D$615),-(Analítico!Y$3&lt;='Gastos Gerais'!$E$4:$E$615),-('Gastos Gerais'!$C$4:$C$615))</f>
        <v>188000</v>
      </c>
      <c r="Z65" s="73">
        <f>SUMPRODUCT(-('Gastos Gerais'!$B$4:$B$615=Analítico!$B65),-(Analítico!Z$3&gt;='Gastos Gerais'!$D$4:$D$615),-(Analítico!Z$3&lt;='Gastos Gerais'!$E$4:$E$615),-('Gastos Gerais'!$C$4:$C$615))</f>
        <v>188000</v>
      </c>
      <c r="AA65" s="73">
        <f>SUMPRODUCT(-('Gastos Gerais'!$B$4:$B$615=Analítico!$B65),-(Analítico!AA$3&gt;='Gastos Gerais'!$D$4:$D$615),-(Analítico!AA$3&lt;='Gastos Gerais'!$E$4:$E$615),-('Gastos Gerais'!$C$4:$C$615))</f>
        <v>188000</v>
      </c>
      <c r="AB65" s="73">
        <f>SUMPRODUCT(-('Gastos Gerais'!$B$4:$B$615=Analítico!$B65),-(Analítico!AB$3&gt;='Gastos Gerais'!$D$4:$D$615),-(Analítico!AB$3&lt;='Gastos Gerais'!$E$4:$E$615),-('Gastos Gerais'!$C$4:$C$615))</f>
        <v>188000</v>
      </c>
      <c r="AC65" s="73">
        <f>SUMPRODUCT(-('Gastos Gerais'!$B$4:$B$615=Analítico!$B65),-(Analítico!AC$3&gt;='Gastos Gerais'!$D$4:$D$615),-(Analítico!AC$3&lt;='Gastos Gerais'!$E$4:$E$615),-('Gastos Gerais'!$C$4:$C$615))</f>
        <v>188000</v>
      </c>
      <c r="AD65" s="73">
        <f>SUMPRODUCT(-('Gastos Gerais'!$B$4:$B$615=Analítico!$B65),-(Analítico!AD$3&gt;='Gastos Gerais'!$D$4:$D$615),-(Analítico!AD$3&lt;='Gastos Gerais'!$E$4:$E$615),-('Gastos Gerais'!$C$4:$C$615))</f>
        <v>188000</v>
      </c>
      <c r="AE65" s="73">
        <f>SUMPRODUCT(-('Gastos Gerais'!$B$4:$B$615=Analítico!$B65),-(Analítico!AE$3&gt;='Gastos Gerais'!$D$4:$D$615),-(Analítico!AE$3&lt;='Gastos Gerais'!$E$4:$E$615),-('Gastos Gerais'!$C$4:$C$615))</f>
        <v>188000</v>
      </c>
      <c r="AF65" s="73">
        <f>SUMPRODUCT(-('Gastos Gerais'!$B$4:$B$615=Analítico!$B65),-(Analítico!AF$3&gt;='Gastos Gerais'!$D$4:$D$615),-(Analítico!AF$3&lt;='Gastos Gerais'!$E$4:$E$615),-('Gastos Gerais'!$C$4:$C$615))</f>
        <v>188000</v>
      </c>
      <c r="AG65" s="73">
        <f>SUMPRODUCT(-('Gastos Gerais'!$B$4:$B$615=Analítico!$B65),-(Analítico!AG$3&gt;='Gastos Gerais'!$D$4:$D$615),-(Analítico!AG$3&lt;='Gastos Gerais'!$E$4:$E$615),-('Gastos Gerais'!$C$4:$C$615))</f>
        <v>188000</v>
      </c>
      <c r="AH65" s="73">
        <f>SUMPRODUCT(-('Gastos Gerais'!$B$4:$B$615=Analítico!$B65),-(Analítico!AH$3&gt;='Gastos Gerais'!$D$4:$D$615),-(Analítico!AH$3&lt;='Gastos Gerais'!$E$4:$E$615),-('Gastos Gerais'!$C$4:$C$615))</f>
        <v>188000</v>
      </c>
      <c r="AI65" s="73">
        <f>SUMPRODUCT(-('Gastos Gerais'!$B$4:$B$615=Analítico!$B65),-(Analítico!AI$3&gt;='Gastos Gerais'!$D$4:$D$615),-(Analítico!AI$3&lt;='Gastos Gerais'!$E$4:$E$615),-('Gastos Gerais'!$C$4:$C$615))</f>
        <v>188000</v>
      </c>
      <c r="AJ65" s="73">
        <f>SUMPRODUCT(-('Gastos Gerais'!$B$4:$B$615=Analítico!$B65),-(Analítico!AJ$3&gt;='Gastos Gerais'!$D$4:$D$615),-(Analítico!AJ$3&lt;='Gastos Gerais'!$E$4:$E$615),-('Gastos Gerais'!$C$4:$C$615))</f>
        <v>188000</v>
      </c>
      <c r="AK65" s="73">
        <f>SUMPRODUCT(-('Gastos Gerais'!$B$4:$B$615=Analítico!$B65),-(Analítico!AK$3&gt;='Gastos Gerais'!$D$4:$D$615),-(Analítico!AK$3&lt;='Gastos Gerais'!$E$4:$E$615),-('Gastos Gerais'!$C$4:$C$615))</f>
        <v>188000</v>
      </c>
      <c r="AL65" s="73">
        <f>SUMPRODUCT(-('Gastos Gerais'!$B$4:$B$615=Analítico!$B65),-(Analítico!AL$3&gt;='Gastos Gerais'!$D$4:$D$615),-(Analítico!AL$3&lt;='Gastos Gerais'!$E$4:$E$615),-('Gastos Gerais'!$C$4:$C$615))</f>
        <v>188000</v>
      </c>
      <c r="AM65" s="73">
        <f>SUMPRODUCT(-('Gastos Gerais'!$B$4:$B$615=Analítico!$B65),-(Analítico!AM$3&gt;='Gastos Gerais'!$D$4:$D$615),-(Analítico!AM$3&lt;='Gastos Gerais'!$E$4:$E$615),-('Gastos Gerais'!$C$4:$C$615))</f>
        <v>0</v>
      </c>
      <c r="AN65" s="73">
        <f>SUMPRODUCT(-('Gastos Gerais'!$B$4:$B$615=Analítico!$B65),-(Analítico!AN$3&gt;='Gastos Gerais'!$D$4:$D$615),-(Analítico!AN$3&lt;='Gastos Gerais'!$E$4:$E$615),-('Gastos Gerais'!$C$4:$C$615))</f>
        <v>0</v>
      </c>
      <c r="AO65" s="73">
        <f>SUMPRODUCT(-('Gastos Gerais'!$B$4:$B$615=Analítico!$B65),-(Analítico!AO$3&gt;='Gastos Gerais'!$D$4:$D$615),-(Analítico!AO$3&lt;='Gastos Gerais'!$E$4:$E$615),-('Gastos Gerais'!$C$4:$C$615))</f>
        <v>0</v>
      </c>
      <c r="AP65" s="73">
        <f>SUMPRODUCT(-('Gastos Gerais'!$B$4:$B$615=Analítico!$B65),-(Analítico!AP$3&gt;='Gastos Gerais'!$D$4:$D$615),-(Analítico!AP$3&lt;='Gastos Gerais'!$E$4:$E$615),-('Gastos Gerais'!$C$4:$C$615))</f>
        <v>0</v>
      </c>
      <c r="AQ65" s="73">
        <f>SUMPRODUCT(-('Gastos Gerais'!$B$4:$B$615=Analítico!$B65),-(Analítico!AQ$3&gt;='Gastos Gerais'!$D$4:$D$615),-(Analítico!AQ$3&lt;='Gastos Gerais'!$E$4:$E$615),-('Gastos Gerais'!$C$4:$C$615))</f>
        <v>0</v>
      </c>
      <c r="AR65" s="73">
        <f>SUMPRODUCT(-('Gastos Gerais'!$B$4:$B$615=Analítico!$B65),-(Analítico!AR$3&gt;='Gastos Gerais'!$D$4:$D$615),-(Analítico!AR$3&lt;='Gastos Gerais'!$E$4:$E$615),-('Gastos Gerais'!$C$4:$C$615))</f>
        <v>0</v>
      </c>
      <c r="AS65" s="73">
        <f>SUMPRODUCT(-('Gastos Gerais'!$B$4:$B$615=Analítico!$B65),-(Analítico!AS$3&gt;='Gastos Gerais'!$D$4:$D$615),-(Analítico!AS$3&lt;='Gastos Gerais'!$E$4:$E$615),-('Gastos Gerais'!$C$4:$C$615))</f>
        <v>0</v>
      </c>
      <c r="AT65" s="73">
        <f>SUMPRODUCT(-('Gastos Gerais'!$B$4:$B$615=Analítico!$B65),-(Analítico!AT$3&gt;='Gastos Gerais'!$D$4:$D$615),-(Analítico!AT$3&lt;='Gastos Gerais'!$E$4:$E$615),-('Gastos Gerais'!$C$4:$C$615))</f>
        <v>0</v>
      </c>
      <c r="AU65" s="73">
        <f>SUMPRODUCT(-('Gastos Gerais'!$B$4:$B$615=Analítico!$B65),-(Analítico!AU$3&gt;='Gastos Gerais'!$D$4:$D$615),-(Analítico!AU$3&lt;='Gastos Gerais'!$E$4:$E$615),-('Gastos Gerais'!$C$4:$C$615))</f>
        <v>0</v>
      </c>
      <c r="AV65" s="73">
        <f>SUMPRODUCT(-('Gastos Gerais'!$B$4:$B$615=Analítico!$B65),-(Analítico!AV$3&gt;='Gastos Gerais'!$D$4:$D$615),-(Analítico!AV$3&lt;='Gastos Gerais'!$E$4:$E$615),-('Gastos Gerais'!$C$4:$C$615))</f>
        <v>0</v>
      </c>
      <c r="AW65" s="73">
        <f>SUMPRODUCT(-('Gastos Gerais'!$B$4:$B$615=Analítico!$B65),-(Analítico!AW$3&gt;='Gastos Gerais'!$D$4:$D$615),-(Analítico!AW$3&lt;='Gastos Gerais'!$E$4:$E$615),-('Gastos Gerais'!$C$4:$C$615))</f>
        <v>0</v>
      </c>
      <c r="AX65" s="73">
        <f>SUMPRODUCT(-('Gastos Gerais'!$B$4:$B$615=Analítico!$B65),-(Analítico!AX$3&gt;='Gastos Gerais'!$D$4:$D$615),-(Analítico!AX$3&lt;='Gastos Gerais'!$E$4:$E$615),-('Gastos Gerais'!$C$4:$C$615))</f>
        <v>0</v>
      </c>
      <c r="AY65" s="73">
        <f>SUMPRODUCT(-('Gastos Gerais'!$B$4:$B$615=Analítico!$B65),-(Analítico!AY$3&gt;='Gastos Gerais'!$D$4:$D$615),-(Analítico!AY$3&lt;='Gastos Gerais'!$E$4:$E$615),-('Gastos Gerais'!$C$4:$C$615))</f>
        <v>0</v>
      </c>
      <c r="AZ65" s="73">
        <f>SUMPRODUCT(-('Gastos Gerais'!$B$4:$B$615=Analítico!$B65),-(Analítico!AZ$3&gt;='Gastos Gerais'!$D$4:$D$615),-(Analítico!AZ$3&lt;='Gastos Gerais'!$E$4:$E$615),-('Gastos Gerais'!$C$4:$C$615))</f>
        <v>0</v>
      </c>
      <c r="BA65" s="73">
        <f>SUMPRODUCT(-('Gastos Gerais'!$B$4:$B$615=Analítico!$B65),-(Analítico!BA$3&gt;='Gastos Gerais'!$D$4:$D$615),-(Analítico!BA$3&lt;='Gastos Gerais'!$E$4:$E$615),-('Gastos Gerais'!$C$4:$C$615))</f>
        <v>0</v>
      </c>
      <c r="BB65" s="73">
        <f>SUMPRODUCT(-('Gastos Gerais'!$B$4:$B$615=Analítico!$B65),-(Analítico!BB$3&gt;='Gastos Gerais'!$D$4:$D$615),-(Analítico!BB$3&lt;='Gastos Gerais'!$E$4:$E$615),-('Gastos Gerais'!$C$4:$C$615))</f>
        <v>0</v>
      </c>
      <c r="BC65" s="73">
        <f>SUMPRODUCT(-('Gastos Gerais'!$B$4:$B$615=Analítico!$B65),-(Analítico!BC$3&gt;='Gastos Gerais'!$D$4:$D$615),-(Analítico!BC$3&lt;='Gastos Gerais'!$E$4:$E$615),-('Gastos Gerais'!$C$4:$C$615))</f>
        <v>0</v>
      </c>
      <c r="BD65" s="73">
        <f>SUMPRODUCT(-('Gastos Gerais'!$B$4:$B$615=Analítico!$B65),-(Analítico!BD$3&gt;='Gastos Gerais'!$D$4:$D$615),-(Analítico!BD$3&lt;='Gastos Gerais'!$E$4:$E$615),-('Gastos Gerais'!$C$4:$C$615))</f>
        <v>0</v>
      </c>
      <c r="BE65" s="73">
        <f>SUMPRODUCT(-('Gastos Gerais'!$B$4:$B$615=Analítico!$B65),-(Analítico!BE$3&gt;='Gastos Gerais'!$D$4:$D$615),-(Analítico!BE$3&lt;='Gastos Gerais'!$E$4:$E$615),-('Gastos Gerais'!$C$4:$C$615))</f>
        <v>0</v>
      </c>
      <c r="BF65" s="73">
        <f>SUMPRODUCT(-('Gastos Gerais'!$B$4:$B$615=Analítico!$B65),-(Analítico!BF$3&gt;='Gastos Gerais'!$D$4:$D$615),-(Analítico!BF$3&lt;='Gastos Gerais'!$E$4:$E$615),-('Gastos Gerais'!$C$4:$C$615))</f>
        <v>0</v>
      </c>
      <c r="BG65" s="73">
        <f>SUMPRODUCT(-('Gastos Gerais'!$B$4:$B$615=Analítico!$B65),-(Analítico!BG$3&gt;='Gastos Gerais'!$D$4:$D$615),-(Analítico!BG$3&lt;='Gastos Gerais'!$E$4:$E$615),-('Gastos Gerais'!$C$4:$C$615))</f>
        <v>0</v>
      </c>
      <c r="BH65" s="73">
        <f>SUMPRODUCT(-('Gastos Gerais'!$B$4:$B$615=Analítico!$B65),-(Analítico!BH$3&gt;='Gastos Gerais'!$D$4:$D$615),-(Analítico!BH$3&lt;='Gastos Gerais'!$E$4:$E$615),-('Gastos Gerais'!$C$4:$C$615))</f>
        <v>0</v>
      </c>
      <c r="BI65" s="73">
        <f>SUMPRODUCT(-('Gastos Gerais'!$B$4:$B$615=Analítico!$B65),-(Analítico!BI$3&gt;='Gastos Gerais'!$D$4:$D$615),-(Analítico!BI$3&lt;='Gastos Gerais'!$E$4:$E$615),-('Gastos Gerais'!$C$4:$C$615))</f>
        <v>0</v>
      </c>
      <c r="BJ65" s="73">
        <f>SUMPRODUCT(-('Gastos Gerais'!$B$4:$B$615=Analítico!$B65),-(Analítico!BJ$3&gt;='Gastos Gerais'!$D$4:$D$615),-(Analítico!BJ$3&lt;='Gastos Gerais'!$E$4:$E$615),-('Gastos Gerais'!$C$4:$C$615))</f>
        <v>0</v>
      </c>
      <c r="BK65" s="71">
        <f t="shared" si="31"/>
        <v>6768000</v>
      </c>
      <c r="BL65" s="76">
        <f t="shared" ca="1" si="32"/>
        <v>1.8460386143278426E-2</v>
      </c>
    </row>
    <row r="66" spans="1:64" s="49" customFormat="1" ht="23.25" customHeight="1" x14ac:dyDescent="0.2">
      <c r="A66" s="109" t="s">
        <v>200</v>
      </c>
      <c r="B66" s="110" t="s">
        <v>201</v>
      </c>
      <c r="C66" s="73">
        <f>SUMPRODUCT(-('Gastos Gerais'!$B$4:$B$615=Analítico!$B66),-(Analítico!C$3&gt;='Gastos Gerais'!$D$4:$D$615),-(Analítico!C$3&lt;='Gastos Gerais'!$E$4:$E$615),-('Gastos Gerais'!$C$4:$C$615))</f>
        <v>22700</v>
      </c>
      <c r="D66" s="73">
        <f>SUMPRODUCT(-('Gastos Gerais'!$B$4:$B$615=Analítico!$B66),-(Analítico!D$3&gt;='Gastos Gerais'!$D$4:$D$615),-(Analítico!D$3&lt;='Gastos Gerais'!$E$4:$E$615),-('Gastos Gerais'!$C$4:$C$615))</f>
        <v>22700</v>
      </c>
      <c r="E66" s="73">
        <f>SUMPRODUCT(-('Gastos Gerais'!$B$4:$B$615=Analítico!$B66),-(Analítico!E$3&gt;='Gastos Gerais'!$D$4:$D$615),-(Analítico!E$3&lt;='Gastos Gerais'!$E$4:$E$615),-('Gastos Gerais'!$C$4:$C$615))</f>
        <v>22700</v>
      </c>
      <c r="F66" s="73">
        <f>SUMPRODUCT(-('Gastos Gerais'!$B$4:$B$615=Analítico!$B66),-(Analítico!F$3&gt;='Gastos Gerais'!$D$4:$D$615),-(Analítico!F$3&lt;='Gastos Gerais'!$E$4:$E$615),-('Gastos Gerais'!$C$4:$C$615))</f>
        <v>22700</v>
      </c>
      <c r="G66" s="73">
        <f>SUMPRODUCT(-('Gastos Gerais'!$B$4:$B$615=Analítico!$B66),-(Analítico!G$3&gt;='Gastos Gerais'!$D$4:$D$615),-(Analítico!G$3&lt;='Gastos Gerais'!$E$4:$E$615),-('Gastos Gerais'!$C$4:$C$615))</f>
        <v>22700</v>
      </c>
      <c r="H66" s="73">
        <f>SUMPRODUCT(-('Gastos Gerais'!$B$4:$B$615=Analítico!$B66),-(Analítico!H$3&gt;='Gastos Gerais'!$D$4:$D$615),-(Analítico!H$3&lt;='Gastos Gerais'!$E$4:$E$615),-('Gastos Gerais'!$C$4:$C$615))</f>
        <v>22700</v>
      </c>
      <c r="I66" s="73">
        <f>SUMPRODUCT(-('Gastos Gerais'!$B$4:$B$615=Analítico!$B66),-(Analítico!I$3&gt;='Gastos Gerais'!$D$4:$D$615),-(Analítico!I$3&lt;='Gastos Gerais'!$E$4:$E$615),-('Gastos Gerais'!$C$4:$C$615))</f>
        <v>22700</v>
      </c>
      <c r="J66" s="73">
        <f>SUMPRODUCT(-('Gastos Gerais'!$B$4:$B$615=Analítico!$B66),-(Analítico!J$3&gt;='Gastos Gerais'!$D$4:$D$615),-(Analítico!J$3&lt;='Gastos Gerais'!$E$4:$E$615),-('Gastos Gerais'!$C$4:$C$615))</f>
        <v>22700</v>
      </c>
      <c r="K66" s="73">
        <f>SUMPRODUCT(-('Gastos Gerais'!$B$4:$B$615=Analítico!$B66),-(Analítico!K$3&gt;='Gastos Gerais'!$D$4:$D$615),-(Analítico!K$3&lt;='Gastos Gerais'!$E$4:$E$615),-('Gastos Gerais'!$C$4:$C$615))</f>
        <v>22700</v>
      </c>
      <c r="L66" s="73">
        <f>SUMPRODUCT(-('Gastos Gerais'!$B$4:$B$615=Analítico!$B66),-(Analítico!L$3&gt;='Gastos Gerais'!$D$4:$D$615),-(Analítico!L$3&lt;='Gastos Gerais'!$E$4:$E$615),-('Gastos Gerais'!$C$4:$C$615))</f>
        <v>22700</v>
      </c>
      <c r="M66" s="73">
        <f>SUMPRODUCT(-('Gastos Gerais'!$B$4:$B$615=Analítico!$B66),-(Analítico!M$3&gt;='Gastos Gerais'!$D$4:$D$615),-(Analítico!M$3&lt;='Gastos Gerais'!$E$4:$E$615),-('Gastos Gerais'!$C$4:$C$615))</f>
        <v>22700</v>
      </c>
      <c r="N66" s="73">
        <f>SUMPRODUCT(-('Gastos Gerais'!$B$4:$B$615=Analítico!$B66),-(Analítico!N$3&gt;='Gastos Gerais'!$D$4:$D$615),-(Analítico!N$3&lt;='Gastos Gerais'!$E$4:$E$615),-('Gastos Gerais'!$C$4:$C$615))</f>
        <v>22700</v>
      </c>
      <c r="O66" s="73">
        <f>SUMPRODUCT(-('Gastos Gerais'!$B$4:$B$615=Analítico!$B66),-(Analítico!O$3&gt;='Gastos Gerais'!$D$4:$D$615),-(Analítico!O$3&lt;='Gastos Gerais'!$E$4:$E$615),-('Gastos Gerais'!$C$4:$C$615))</f>
        <v>22700</v>
      </c>
      <c r="P66" s="73">
        <f>SUMPRODUCT(-('Gastos Gerais'!$B$4:$B$615=Analítico!$B66),-(Analítico!P$3&gt;='Gastos Gerais'!$D$4:$D$615),-(Analítico!P$3&lt;='Gastos Gerais'!$E$4:$E$615),-('Gastos Gerais'!$C$4:$C$615))</f>
        <v>22700</v>
      </c>
      <c r="Q66" s="73">
        <f>SUMPRODUCT(-('Gastos Gerais'!$B$4:$B$615=Analítico!$B66),-(Analítico!Q$3&gt;='Gastos Gerais'!$D$4:$D$615),-(Analítico!Q$3&lt;='Gastos Gerais'!$E$4:$E$615),-('Gastos Gerais'!$C$4:$C$615))</f>
        <v>22700</v>
      </c>
      <c r="R66" s="73">
        <f>SUMPRODUCT(-('Gastos Gerais'!$B$4:$B$615=Analítico!$B66),-(Analítico!R$3&gt;='Gastos Gerais'!$D$4:$D$615),-(Analítico!R$3&lt;='Gastos Gerais'!$E$4:$E$615),-('Gastos Gerais'!$C$4:$C$615))</f>
        <v>22700</v>
      </c>
      <c r="S66" s="73">
        <f>SUMPRODUCT(-('Gastos Gerais'!$B$4:$B$615=Analítico!$B66),-(Analítico!S$3&gt;='Gastos Gerais'!$D$4:$D$615),-(Analítico!S$3&lt;='Gastos Gerais'!$E$4:$E$615),-('Gastos Gerais'!$C$4:$C$615))</f>
        <v>22700</v>
      </c>
      <c r="T66" s="73">
        <f>SUMPRODUCT(-('Gastos Gerais'!$B$4:$B$615=Analítico!$B66),-(Analítico!T$3&gt;='Gastos Gerais'!$D$4:$D$615),-(Analítico!T$3&lt;='Gastos Gerais'!$E$4:$E$615),-('Gastos Gerais'!$C$4:$C$615))</f>
        <v>22700</v>
      </c>
      <c r="U66" s="73">
        <f>SUMPRODUCT(-('Gastos Gerais'!$B$4:$B$615=Analítico!$B66),-(Analítico!U$3&gt;='Gastos Gerais'!$D$4:$D$615),-(Analítico!U$3&lt;='Gastos Gerais'!$E$4:$E$615),-('Gastos Gerais'!$C$4:$C$615))</f>
        <v>22700</v>
      </c>
      <c r="V66" s="73">
        <f>SUMPRODUCT(-('Gastos Gerais'!$B$4:$B$615=Analítico!$B66),-(Analítico!V$3&gt;='Gastos Gerais'!$D$4:$D$615),-(Analítico!V$3&lt;='Gastos Gerais'!$E$4:$E$615),-('Gastos Gerais'!$C$4:$C$615))</f>
        <v>22700</v>
      </c>
      <c r="W66" s="73">
        <f>SUMPRODUCT(-('Gastos Gerais'!$B$4:$B$615=Analítico!$B66),-(Analítico!W$3&gt;='Gastos Gerais'!$D$4:$D$615),-(Analítico!W$3&lt;='Gastos Gerais'!$E$4:$E$615),-('Gastos Gerais'!$C$4:$C$615))</f>
        <v>22700</v>
      </c>
      <c r="X66" s="73">
        <f>SUMPRODUCT(-('Gastos Gerais'!$B$4:$B$615=Analítico!$B66),-(Analítico!X$3&gt;='Gastos Gerais'!$D$4:$D$615),-(Analítico!X$3&lt;='Gastos Gerais'!$E$4:$E$615),-('Gastos Gerais'!$C$4:$C$615))</f>
        <v>22700</v>
      </c>
      <c r="Y66" s="73">
        <f>SUMPRODUCT(-('Gastos Gerais'!$B$4:$B$615=Analítico!$B66),-(Analítico!Y$3&gt;='Gastos Gerais'!$D$4:$D$615),-(Analítico!Y$3&lt;='Gastos Gerais'!$E$4:$E$615),-('Gastos Gerais'!$C$4:$C$615))</f>
        <v>22700</v>
      </c>
      <c r="Z66" s="73">
        <f>SUMPRODUCT(-('Gastos Gerais'!$B$4:$B$615=Analítico!$B66),-(Analítico!Z$3&gt;='Gastos Gerais'!$D$4:$D$615),-(Analítico!Z$3&lt;='Gastos Gerais'!$E$4:$E$615),-('Gastos Gerais'!$C$4:$C$615))</f>
        <v>22700</v>
      </c>
      <c r="AA66" s="73">
        <f>SUMPRODUCT(-('Gastos Gerais'!$B$4:$B$615=Analítico!$B66),-(Analítico!AA$3&gt;='Gastos Gerais'!$D$4:$D$615),-(Analítico!AA$3&lt;='Gastos Gerais'!$E$4:$E$615),-('Gastos Gerais'!$C$4:$C$615))</f>
        <v>22700</v>
      </c>
      <c r="AB66" s="73">
        <f>SUMPRODUCT(-('Gastos Gerais'!$B$4:$B$615=Analítico!$B66),-(Analítico!AB$3&gt;='Gastos Gerais'!$D$4:$D$615),-(Analítico!AB$3&lt;='Gastos Gerais'!$E$4:$E$615),-('Gastos Gerais'!$C$4:$C$615))</f>
        <v>22700</v>
      </c>
      <c r="AC66" s="73">
        <f>SUMPRODUCT(-('Gastos Gerais'!$B$4:$B$615=Analítico!$B66),-(Analítico!AC$3&gt;='Gastos Gerais'!$D$4:$D$615),-(Analítico!AC$3&lt;='Gastos Gerais'!$E$4:$E$615),-('Gastos Gerais'!$C$4:$C$615))</f>
        <v>22700</v>
      </c>
      <c r="AD66" s="73">
        <f>SUMPRODUCT(-('Gastos Gerais'!$B$4:$B$615=Analítico!$B66),-(Analítico!AD$3&gt;='Gastos Gerais'!$D$4:$D$615),-(Analítico!AD$3&lt;='Gastos Gerais'!$E$4:$E$615),-('Gastos Gerais'!$C$4:$C$615))</f>
        <v>22700</v>
      </c>
      <c r="AE66" s="73">
        <f>SUMPRODUCT(-('Gastos Gerais'!$B$4:$B$615=Analítico!$B66),-(Analítico!AE$3&gt;='Gastos Gerais'!$D$4:$D$615),-(Analítico!AE$3&lt;='Gastos Gerais'!$E$4:$E$615),-('Gastos Gerais'!$C$4:$C$615))</f>
        <v>22700</v>
      </c>
      <c r="AF66" s="73">
        <f>SUMPRODUCT(-('Gastos Gerais'!$B$4:$B$615=Analítico!$B66),-(Analítico!AF$3&gt;='Gastos Gerais'!$D$4:$D$615),-(Analítico!AF$3&lt;='Gastos Gerais'!$E$4:$E$615),-('Gastos Gerais'!$C$4:$C$615))</f>
        <v>22700</v>
      </c>
      <c r="AG66" s="73">
        <f>SUMPRODUCT(-('Gastos Gerais'!$B$4:$B$615=Analítico!$B66),-(Analítico!AG$3&gt;='Gastos Gerais'!$D$4:$D$615),-(Analítico!AG$3&lt;='Gastos Gerais'!$E$4:$E$615),-('Gastos Gerais'!$C$4:$C$615))</f>
        <v>22700</v>
      </c>
      <c r="AH66" s="73">
        <f>SUMPRODUCT(-('Gastos Gerais'!$B$4:$B$615=Analítico!$B66),-(Analítico!AH$3&gt;='Gastos Gerais'!$D$4:$D$615),-(Analítico!AH$3&lt;='Gastos Gerais'!$E$4:$E$615),-('Gastos Gerais'!$C$4:$C$615))</f>
        <v>22700</v>
      </c>
      <c r="AI66" s="73">
        <f>SUMPRODUCT(-('Gastos Gerais'!$B$4:$B$615=Analítico!$B66),-(Analítico!AI$3&gt;='Gastos Gerais'!$D$4:$D$615),-(Analítico!AI$3&lt;='Gastos Gerais'!$E$4:$E$615),-('Gastos Gerais'!$C$4:$C$615))</f>
        <v>22700</v>
      </c>
      <c r="AJ66" s="73">
        <f>SUMPRODUCT(-('Gastos Gerais'!$B$4:$B$615=Analítico!$B66),-(Analítico!AJ$3&gt;='Gastos Gerais'!$D$4:$D$615),-(Analítico!AJ$3&lt;='Gastos Gerais'!$E$4:$E$615),-('Gastos Gerais'!$C$4:$C$615))</f>
        <v>22700</v>
      </c>
      <c r="AK66" s="73">
        <f>SUMPRODUCT(-('Gastos Gerais'!$B$4:$B$615=Analítico!$B66),-(Analítico!AK$3&gt;='Gastos Gerais'!$D$4:$D$615),-(Analítico!AK$3&lt;='Gastos Gerais'!$E$4:$E$615),-('Gastos Gerais'!$C$4:$C$615))</f>
        <v>22700</v>
      </c>
      <c r="AL66" s="73">
        <f>SUMPRODUCT(-('Gastos Gerais'!$B$4:$B$615=Analítico!$B66),-(Analítico!AL$3&gt;='Gastos Gerais'!$D$4:$D$615),-(Analítico!AL$3&lt;='Gastos Gerais'!$E$4:$E$615),-('Gastos Gerais'!$C$4:$C$615))</f>
        <v>22700</v>
      </c>
      <c r="AM66" s="73">
        <f>SUMPRODUCT(-('Gastos Gerais'!$B$4:$B$615=Analítico!$B66),-(Analítico!AM$3&gt;='Gastos Gerais'!$D$4:$D$615),-(Analítico!AM$3&lt;='Gastos Gerais'!$E$4:$E$615),-('Gastos Gerais'!$C$4:$C$615))</f>
        <v>0</v>
      </c>
      <c r="AN66" s="73">
        <f>SUMPRODUCT(-('Gastos Gerais'!$B$4:$B$615=Analítico!$B66),-(Analítico!AN$3&gt;='Gastos Gerais'!$D$4:$D$615),-(Analítico!AN$3&lt;='Gastos Gerais'!$E$4:$E$615),-('Gastos Gerais'!$C$4:$C$615))</f>
        <v>0</v>
      </c>
      <c r="AO66" s="73">
        <f>SUMPRODUCT(-('Gastos Gerais'!$B$4:$B$615=Analítico!$B66),-(Analítico!AO$3&gt;='Gastos Gerais'!$D$4:$D$615),-(Analítico!AO$3&lt;='Gastos Gerais'!$E$4:$E$615),-('Gastos Gerais'!$C$4:$C$615))</f>
        <v>0</v>
      </c>
      <c r="AP66" s="73">
        <f>SUMPRODUCT(-('Gastos Gerais'!$B$4:$B$615=Analítico!$B66),-(Analítico!AP$3&gt;='Gastos Gerais'!$D$4:$D$615),-(Analítico!AP$3&lt;='Gastos Gerais'!$E$4:$E$615),-('Gastos Gerais'!$C$4:$C$615))</f>
        <v>0</v>
      </c>
      <c r="AQ66" s="73">
        <f>SUMPRODUCT(-('Gastos Gerais'!$B$4:$B$615=Analítico!$B66),-(Analítico!AQ$3&gt;='Gastos Gerais'!$D$4:$D$615),-(Analítico!AQ$3&lt;='Gastos Gerais'!$E$4:$E$615),-('Gastos Gerais'!$C$4:$C$615))</f>
        <v>0</v>
      </c>
      <c r="AR66" s="73">
        <f>SUMPRODUCT(-('Gastos Gerais'!$B$4:$B$615=Analítico!$B66),-(Analítico!AR$3&gt;='Gastos Gerais'!$D$4:$D$615),-(Analítico!AR$3&lt;='Gastos Gerais'!$E$4:$E$615),-('Gastos Gerais'!$C$4:$C$615))</f>
        <v>0</v>
      </c>
      <c r="AS66" s="73">
        <f>SUMPRODUCT(-('Gastos Gerais'!$B$4:$B$615=Analítico!$B66),-(Analítico!AS$3&gt;='Gastos Gerais'!$D$4:$D$615),-(Analítico!AS$3&lt;='Gastos Gerais'!$E$4:$E$615),-('Gastos Gerais'!$C$4:$C$615))</f>
        <v>0</v>
      </c>
      <c r="AT66" s="73">
        <f>SUMPRODUCT(-('Gastos Gerais'!$B$4:$B$615=Analítico!$B66),-(Analítico!AT$3&gt;='Gastos Gerais'!$D$4:$D$615),-(Analítico!AT$3&lt;='Gastos Gerais'!$E$4:$E$615),-('Gastos Gerais'!$C$4:$C$615))</f>
        <v>0</v>
      </c>
      <c r="AU66" s="73">
        <f>SUMPRODUCT(-('Gastos Gerais'!$B$4:$B$615=Analítico!$B66),-(Analítico!AU$3&gt;='Gastos Gerais'!$D$4:$D$615),-(Analítico!AU$3&lt;='Gastos Gerais'!$E$4:$E$615),-('Gastos Gerais'!$C$4:$C$615))</f>
        <v>0</v>
      </c>
      <c r="AV66" s="73">
        <f>SUMPRODUCT(-('Gastos Gerais'!$B$4:$B$615=Analítico!$B66),-(Analítico!AV$3&gt;='Gastos Gerais'!$D$4:$D$615),-(Analítico!AV$3&lt;='Gastos Gerais'!$E$4:$E$615),-('Gastos Gerais'!$C$4:$C$615))</f>
        <v>0</v>
      </c>
      <c r="AW66" s="73">
        <f>SUMPRODUCT(-('Gastos Gerais'!$B$4:$B$615=Analítico!$B66),-(Analítico!AW$3&gt;='Gastos Gerais'!$D$4:$D$615),-(Analítico!AW$3&lt;='Gastos Gerais'!$E$4:$E$615),-('Gastos Gerais'!$C$4:$C$615))</f>
        <v>0</v>
      </c>
      <c r="AX66" s="73">
        <f>SUMPRODUCT(-('Gastos Gerais'!$B$4:$B$615=Analítico!$B66),-(Analítico!AX$3&gt;='Gastos Gerais'!$D$4:$D$615),-(Analítico!AX$3&lt;='Gastos Gerais'!$E$4:$E$615),-('Gastos Gerais'!$C$4:$C$615))</f>
        <v>0</v>
      </c>
      <c r="AY66" s="73">
        <f>SUMPRODUCT(-('Gastos Gerais'!$B$4:$B$615=Analítico!$B66),-(Analítico!AY$3&gt;='Gastos Gerais'!$D$4:$D$615),-(Analítico!AY$3&lt;='Gastos Gerais'!$E$4:$E$615),-('Gastos Gerais'!$C$4:$C$615))</f>
        <v>0</v>
      </c>
      <c r="AZ66" s="73">
        <f>SUMPRODUCT(-('Gastos Gerais'!$B$4:$B$615=Analítico!$B66),-(Analítico!AZ$3&gt;='Gastos Gerais'!$D$4:$D$615),-(Analítico!AZ$3&lt;='Gastos Gerais'!$E$4:$E$615),-('Gastos Gerais'!$C$4:$C$615))</f>
        <v>0</v>
      </c>
      <c r="BA66" s="73">
        <f>SUMPRODUCT(-('Gastos Gerais'!$B$4:$B$615=Analítico!$B66),-(Analítico!BA$3&gt;='Gastos Gerais'!$D$4:$D$615),-(Analítico!BA$3&lt;='Gastos Gerais'!$E$4:$E$615),-('Gastos Gerais'!$C$4:$C$615))</f>
        <v>0</v>
      </c>
      <c r="BB66" s="73">
        <f>SUMPRODUCT(-('Gastos Gerais'!$B$4:$B$615=Analítico!$B66),-(Analítico!BB$3&gt;='Gastos Gerais'!$D$4:$D$615),-(Analítico!BB$3&lt;='Gastos Gerais'!$E$4:$E$615),-('Gastos Gerais'!$C$4:$C$615))</f>
        <v>0</v>
      </c>
      <c r="BC66" s="73">
        <f>SUMPRODUCT(-('Gastos Gerais'!$B$4:$B$615=Analítico!$B66),-(Analítico!BC$3&gt;='Gastos Gerais'!$D$4:$D$615),-(Analítico!BC$3&lt;='Gastos Gerais'!$E$4:$E$615),-('Gastos Gerais'!$C$4:$C$615))</f>
        <v>0</v>
      </c>
      <c r="BD66" s="73">
        <f>SUMPRODUCT(-('Gastos Gerais'!$B$4:$B$615=Analítico!$B66),-(Analítico!BD$3&gt;='Gastos Gerais'!$D$4:$D$615),-(Analítico!BD$3&lt;='Gastos Gerais'!$E$4:$E$615),-('Gastos Gerais'!$C$4:$C$615))</f>
        <v>0</v>
      </c>
      <c r="BE66" s="73">
        <f>SUMPRODUCT(-('Gastos Gerais'!$B$4:$B$615=Analítico!$B66),-(Analítico!BE$3&gt;='Gastos Gerais'!$D$4:$D$615),-(Analítico!BE$3&lt;='Gastos Gerais'!$E$4:$E$615),-('Gastos Gerais'!$C$4:$C$615))</f>
        <v>0</v>
      </c>
      <c r="BF66" s="73">
        <f>SUMPRODUCT(-('Gastos Gerais'!$B$4:$B$615=Analítico!$B66),-(Analítico!BF$3&gt;='Gastos Gerais'!$D$4:$D$615),-(Analítico!BF$3&lt;='Gastos Gerais'!$E$4:$E$615),-('Gastos Gerais'!$C$4:$C$615))</f>
        <v>0</v>
      </c>
      <c r="BG66" s="73">
        <f>SUMPRODUCT(-('Gastos Gerais'!$B$4:$B$615=Analítico!$B66),-(Analítico!BG$3&gt;='Gastos Gerais'!$D$4:$D$615),-(Analítico!BG$3&lt;='Gastos Gerais'!$E$4:$E$615),-('Gastos Gerais'!$C$4:$C$615))</f>
        <v>0</v>
      </c>
      <c r="BH66" s="73">
        <f>SUMPRODUCT(-('Gastos Gerais'!$B$4:$B$615=Analítico!$B66),-(Analítico!BH$3&gt;='Gastos Gerais'!$D$4:$D$615),-(Analítico!BH$3&lt;='Gastos Gerais'!$E$4:$E$615),-('Gastos Gerais'!$C$4:$C$615))</f>
        <v>0</v>
      </c>
      <c r="BI66" s="73">
        <f>SUMPRODUCT(-('Gastos Gerais'!$B$4:$B$615=Analítico!$B66),-(Analítico!BI$3&gt;='Gastos Gerais'!$D$4:$D$615),-(Analítico!BI$3&lt;='Gastos Gerais'!$E$4:$E$615),-('Gastos Gerais'!$C$4:$C$615))</f>
        <v>0</v>
      </c>
      <c r="BJ66" s="73">
        <f>SUMPRODUCT(-('Gastos Gerais'!$B$4:$B$615=Analítico!$B66),-(Analítico!BJ$3&gt;='Gastos Gerais'!$D$4:$D$615),-(Analítico!BJ$3&lt;='Gastos Gerais'!$E$4:$E$615),-('Gastos Gerais'!$C$4:$C$615))</f>
        <v>0</v>
      </c>
      <c r="BK66" s="71">
        <f t="shared" si="31"/>
        <v>817200</v>
      </c>
      <c r="BL66" s="76">
        <f t="shared" ca="1" si="32"/>
        <v>2.2289934332575547E-3</v>
      </c>
    </row>
    <row r="67" spans="1:64" s="49" customFormat="1" ht="23.25" customHeight="1" x14ac:dyDescent="0.2">
      <c r="A67" s="109" t="s">
        <v>202</v>
      </c>
      <c r="B67" s="110" t="s">
        <v>203</v>
      </c>
      <c r="C67" s="73">
        <f>SUMPRODUCT(-('Gastos Gerais'!$B$4:$B$615=Analítico!$B67),-(Analítico!C$3&gt;='Gastos Gerais'!$D$4:$D$615),-(Analítico!C$3&lt;='Gastos Gerais'!$E$4:$E$615),-('Gastos Gerais'!$C$4:$C$615))</f>
        <v>10000</v>
      </c>
      <c r="D67" s="73">
        <f>SUMPRODUCT(-('Gastos Gerais'!$B$4:$B$615=Analítico!$B67),-(Analítico!D$3&gt;='Gastos Gerais'!$D$4:$D$615),-(Analítico!D$3&lt;='Gastos Gerais'!$E$4:$E$615),-('Gastos Gerais'!$C$4:$C$615))</f>
        <v>10000</v>
      </c>
      <c r="E67" s="73">
        <f>SUMPRODUCT(-('Gastos Gerais'!$B$4:$B$615=Analítico!$B67),-(Analítico!E$3&gt;='Gastos Gerais'!$D$4:$D$615),-(Analítico!E$3&lt;='Gastos Gerais'!$E$4:$E$615),-('Gastos Gerais'!$C$4:$C$615))</f>
        <v>10000</v>
      </c>
      <c r="F67" s="73">
        <f>SUMPRODUCT(-('Gastos Gerais'!$B$4:$B$615=Analítico!$B67),-(Analítico!F$3&gt;='Gastos Gerais'!$D$4:$D$615),-(Analítico!F$3&lt;='Gastos Gerais'!$E$4:$E$615),-('Gastos Gerais'!$C$4:$C$615))</f>
        <v>10000</v>
      </c>
      <c r="G67" s="73">
        <f>SUMPRODUCT(-('Gastos Gerais'!$B$4:$B$615=Analítico!$B67),-(Analítico!G$3&gt;='Gastos Gerais'!$D$4:$D$615),-(Analítico!G$3&lt;='Gastos Gerais'!$E$4:$E$615),-('Gastos Gerais'!$C$4:$C$615))</f>
        <v>10000</v>
      </c>
      <c r="H67" s="73">
        <f>SUMPRODUCT(-('Gastos Gerais'!$B$4:$B$615=Analítico!$B67),-(Analítico!H$3&gt;='Gastos Gerais'!$D$4:$D$615),-(Analítico!H$3&lt;='Gastos Gerais'!$E$4:$E$615),-('Gastos Gerais'!$C$4:$C$615))</f>
        <v>10000</v>
      </c>
      <c r="I67" s="73">
        <f>SUMPRODUCT(-('Gastos Gerais'!$B$4:$B$615=Analítico!$B67),-(Analítico!I$3&gt;='Gastos Gerais'!$D$4:$D$615),-(Analítico!I$3&lt;='Gastos Gerais'!$E$4:$E$615),-('Gastos Gerais'!$C$4:$C$615))</f>
        <v>10000</v>
      </c>
      <c r="J67" s="73">
        <f>SUMPRODUCT(-('Gastos Gerais'!$B$4:$B$615=Analítico!$B67),-(Analítico!J$3&gt;='Gastos Gerais'!$D$4:$D$615),-(Analítico!J$3&lt;='Gastos Gerais'!$E$4:$E$615),-('Gastos Gerais'!$C$4:$C$615))</f>
        <v>10000</v>
      </c>
      <c r="K67" s="73">
        <f>SUMPRODUCT(-('Gastos Gerais'!$B$4:$B$615=Analítico!$B67),-(Analítico!K$3&gt;='Gastos Gerais'!$D$4:$D$615),-(Analítico!K$3&lt;='Gastos Gerais'!$E$4:$E$615),-('Gastos Gerais'!$C$4:$C$615))</f>
        <v>10000</v>
      </c>
      <c r="L67" s="73">
        <f>SUMPRODUCT(-('Gastos Gerais'!$B$4:$B$615=Analítico!$B67),-(Analítico!L$3&gt;='Gastos Gerais'!$D$4:$D$615),-(Analítico!L$3&lt;='Gastos Gerais'!$E$4:$E$615),-('Gastos Gerais'!$C$4:$C$615))</f>
        <v>10000</v>
      </c>
      <c r="M67" s="73">
        <f>SUMPRODUCT(-('Gastos Gerais'!$B$4:$B$615=Analítico!$B67),-(Analítico!M$3&gt;='Gastos Gerais'!$D$4:$D$615),-(Analítico!M$3&lt;='Gastos Gerais'!$E$4:$E$615),-('Gastos Gerais'!$C$4:$C$615))</f>
        <v>10000</v>
      </c>
      <c r="N67" s="73">
        <f>SUMPRODUCT(-('Gastos Gerais'!$B$4:$B$615=Analítico!$B67),-(Analítico!N$3&gt;='Gastos Gerais'!$D$4:$D$615),-(Analítico!N$3&lt;='Gastos Gerais'!$E$4:$E$615),-('Gastos Gerais'!$C$4:$C$615))</f>
        <v>10000</v>
      </c>
      <c r="O67" s="73">
        <f>SUMPRODUCT(-('Gastos Gerais'!$B$4:$B$615=Analítico!$B67),-(Analítico!O$3&gt;='Gastos Gerais'!$D$4:$D$615),-(Analítico!O$3&lt;='Gastos Gerais'!$E$4:$E$615),-('Gastos Gerais'!$C$4:$C$615))</f>
        <v>10000</v>
      </c>
      <c r="P67" s="73">
        <f>SUMPRODUCT(-('Gastos Gerais'!$B$4:$B$615=Analítico!$B67),-(Analítico!P$3&gt;='Gastos Gerais'!$D$4:$D$615),-(Analítico!P$3&lt;='Gastos Gerais'!$E$4:$E$615),-('Gastos Gerais'!$C$4:$C$615))</f>
        <v>10000</v>
      </c>
      <c r="Q67" s="73">
        <f>SUMPRODUCT(-('Gastos Gerais'!$B$4:$B$615=Analítico!$B67),-(Analítico!Q$3&gt;='Gastos Gerais'!$D$4:$D$615),-(Analítico!Q$3&lt;='Gastos Gerais'!$E$4:$E$615),-('Gastos Gerais'!$C$4:$C$615))</f>
        <v>10000</v>
      </c>
      <c r="R67" s="73">
        <f>SUMPRODUCT(-('Gastos Gerais'!$B$4:$B$615=Analítico!$B67),-(Analítico!R$3&gt;='Gastos Gerais'!$D$4:$D$615),-(Analítico!R$3&lt;='Gastos Gerais'!$E$4:$E$615),-('Gastos Gerais'!$C$4:$C$615))</f>
        <v>10000</v>
      </c>
      <c r="S67" s="73">
        <f>SUMPRODUCT(-('Gastos Gerais'!$B$4:$B$615=Analítico!$B67),-(Analítico!S$3&gt;='Gastos Gerais'!$D$4:$D$615),-(Analítico!S$3&lt;='Gastos Gerais'!$E$4:$E$615),-('Gastos Gerais'!$C$4:$C$615))</f>
        <v>10000</v>
      </c>
      <c r="T67" s="73">
        <f>SUMPRODUCT(-('Gastos Gerais'!$B$4:$B$615=Analítico!$B67),-(Analítico!T$3&gt;='Gastos Gerais'!$D$4:$D$615),-(Analítico!T$3&lt;='Gastos Gerais'!$E$4:$E$615),-('Gastos Gerais'!$C$4:$C$615))</f>
        <v>10000</v>
      </c>
      <c r="U67" s="73">
        <f>SUMPRODUCT(-('Gastos Gerais'!$B$4:$B$615=Analítico!$B67),-(Analítico!U$3&gt;='Gastos Gerais'!$D$4:$D$615),-(Analítico!U$3&lt;='Gastos Gerais'!$E$4:$E$615),-('Gastos Gerais'!$C$4:$C$615))</f>
        <v>10000</v>
      </c>
      <c r="V67" s="73">
        <f>SUMPRODUCT(-('Gastos Gerais'!$B$4:$B$615=Analítico!$B67),-(Analítico!V$3&gt;='Gastos Gerais'!$D$4:$D$615),-(Analítico!V$3&lt;='Gastos Gerais'!$E$4:$E$615),-('Gastos Gerais'!$C$4:$C$615))</f>
        <v>10000</v>
      </c>
      <c r="W67" s="73">
        <f>SUMPRODUCT(-('Gastos Gerais'!$B$4:$B$615=Analítico!$B67),-(Analítico!W$3&gt;='Gastos Gerais'!$D$4:$D$615),-(Analítico!W$3&lt;='Gastos Gerais'!$E$4:$E$615),-('Gastos Gerais'!$C$4:$C$615))</f>
        <v>10000</v>
      </c>
      <c r="X67" s="73">
        <f>SUMPRODUCT(-('Gastos Gerais'!$B$4:$B$615=Analítico!$B67),-(Analítico!X$3&gt;='Gastos Gerais'!$D$4:$D$615),-(Analítico!X$3&lt;='Gastos Gerais'!$E$4:$E$615),-('Gastos Gerais'!$C$4:$C$615))</f>
        <v>10000</v>
      </c>
      <c r="Y67" s="73">
        <f>SUMPRODUCT(-('Gastos Gerais'!$B$4:$B$615=Analítico!$B67),-(Analítico!Y$3&gt;='Gastos Gerais'!$D$4:$D$615),-(Analítico!Y$3&lt;='Gastos Gerais'!$E$4:$E$615),-('Gastos Gerais'!$C$4:$C$615))</f>
        <v>10000</v>
      </c>
      <c r="Z67" s="73">
        <f>SUMPRODUCT(-('Gastos Gerais'!$B$4:$B$615=Analítico!$B67),-(Analítico!Z$3&gt;='Gastos Gerais'!$D$4:$D$615),-(Analítico!Z$3&lt;='Gastos Gerais'!$E$4:$E$615),-('Gastos Gerais'!$C$4:$C$615))</f>
        <v>10000</v>
      </c>
      <c r="AA67" s="73">
        <f>SUMPRODUCT(-('Gastos Gerais'!$B$4:$B$615=Analítico!$B67),-(Analítico!AA$3&gt;='Gastos Gerais'!$D$4:$D$615),-(Analítico!AA$3&lt;='Gastos Gerais'!$E$4:$E$615),-('Gastos Gerais'!$C$4:$C$615))</f>
        <v>10000</v>
      </c>
      <c r="AB67" s="73">
        <f>SUMPRODUCT(-('Gastos Gerais'!$B$4:$B$615=Analítico!$B67),-(Analítico!AB$3&gt;='Gastos Gerais'!$D$4:$D$615),-(Analítico!AB$3&lt;='Gastos Gerais'!$E$4:$E$615),-('Gastos Gerais'!$C$4:$C$615))</f>
        <v>10000</v>
      </c>
      <c r="AC67" s="73">
        <f>SUMPRODUCT(-('Gastos Gerais'!$B$4:$B$615=Analítico!$B67),-(Analítico!AC$3&gt;='Gastos Gerais'!$D$4:$D$615),-(Analítico!AC$3&lt;='Gastos Gerais'!$E$4:$E$615),-('Gastos Gerais'!$C$4:$C$615))</f>
        <v>10000</v>
      </c>
      <c r="AD67" s="73">
        <f>SUMPRODUCT(-('Gastos Gerais'!$B$4:$B$615=Analítico!$B67),-(Analítico!AD$3&gt;='Gastos Gerais'!$D$4:$D$615),-(Analítico!AD$3&lt;='Gastos Gerais'!$E$4:$E$615),-('Gastos Gerais'!$C$4:$C$615))</f>
        <v>10000</v>
      </c>
      <c r="AE67" s="73">
        <f>SUMPRODUCT(-('Gastos Gerais'!$B$4:$B$615=Analítico!$B67),-(Analítico!AE$3&gt;='Gastos Gerais'!$D$4:$D$615),-(Analítico!AE$3&lt;='Gastos Gerais'!$E$4:$E$615),-('Gastos Gerais'!$C$4:$C$615))</f>
        <v>10000</v>
      </c>
      <c r="AF67" s="73">
        <f>SUMPRODUCT(-('Gastos Gerais'!$B$4:$B$615=Analítico!$B67),-(Analítico!AF$3&gt;='Gastos Gerais'!$D$4:$D$615),-(Analítico!AF$3&lt;='Gastos Gerais'!$E$4:$E$615),-('Gastos Gerais'!$C$4:$C$615))</f>
        <v>10000</v>
      </c>
      <c r="AG67" s="73">
        <f>SUMPRODUCT(-('Gastos Gerais'!$B$4:$B$615=Analítico!$B67),-(Analítico!AG$3&gt;='Gastos Gerais'!$D$4:$D$615),-(Analítico!AG$3&lt;='Gastos Gerais'!$E$4:$E$615),-('Gastos Gerais'!$C$4:$C$615))</f>
        <v>10000</v>
      </c>
      <c r="AH67" s="73">
        <f>SUMPRODUCT(-('Gastos Gerais'!$B$4:$B$615=Analítico!$B67),-(Analítico!AH$3&gt;='Gastos Gerais'!$D$4:$D$615),-(Analítico!AH$3&lt;='Gastos Gerais'!$E$4:$E$615),-('Gastos Gerais'!$C$4:$C$615))</f>
        <v>10000</v>
      </c>
      <c r="AI67" s="73">
        <f>SUMPRODUCT(-('Gastos Gerais'!$B$4:$B$615=Analítico!$B67),-(Analítico!AI$3&gt;='Gastos Gerais'!$D$4:$D$615),-(Analítico!AI$3&lt;='Gastos Gerais'!$E$4:$E$615),-('Gastos Gerais'!$C$4:$C$615))</f>
        <v>10000</v>
      </c>
      <c r="AJ67" s="73">
        <f>SUMPRODUCT(-('Gastos Gerais'!$B$4:$B$615=Analítico!$B67),-(Analítico!AJ$3&gt;='Gastos Gerais'!$D$4:$D$615),-(Analítico!AJ$3&lt;='Gastos Gerais'!$E$4:$E$615),-('Gastos Gerais'!$C$4:$C$615))</f>
        <v>10000</v>
      </c>
      <c r="AK67" s="73">
        <f>SUMPRODUCT(-('Gastos Gerais'!$B$4:$B$615=Analítico!$B67),-(Analítico!AK$3&gt;='Gastos Gerais'!$D$4:$D$615),-(Analítico!AK$3&lt;='Gastos Gerais'!$E$4:$E$615),-('Gastos Gerais'!$C$4:$C$615))</f>
        <v>10000</v>
      </c>
      <c r="AL67" s="73">
        <f>SUMPRODUCT(-('Gastos Gerais'!$B$4:$B$615=Analítico!$B67),-(Analítico!AL$3&gt;='Gastos Gerais'!$D$4:$D$615),-(Analítico!AL$3&lt;='Gastos Gerais'!$E$4:$E$615),-('Gastos Gerais'!$C$4:$C$615))</f>
        <v>10000</v>
      </c>
      <c r="AM67" s="73">
        <f>SUMPRODUCT(-('Gastos Gerais'!$B$4:$B$615=Analítico!$B67),-(Analítico!AM$3&gt;='Gastos Gerais'!$D$4:$D$615),-(Analítico!AM$3&lt;='Gastos Gerais'!$E$4:$E$615),-('Gastos Gerais'!$C$4:$C$615))</f>
        <v>0</v>
      </c>
      <c r="AN67" s="73">
        <f>SUMPRODUCT(-('Gastos Gerais'!$B$4:$B$615=Analítico!$B67),-(Analítico!AN$3&gt;='Gastos Gerais'!$D$4:$D$615),-(Analítico!AN$3&lt;='Gastos Gerais'!$E$4:$E$615),-('Gastos Gerais'!$C$4:$C$615))</f>
        <v>0</v>
      </c>
      <c r="AO67" s="73">
        <f>SUMPRODUCT(-('Gastos Gerais'!$B$4:$B$615=Analítico!$B67),-(Analítico!AO$3&gt;='Gastos Gerais'!$D$4:$D$615),-(Analítico!AO$3&lt;='Gastos Gerais'!$E$4:$E$615),-('Gastos Gerais'!$C$4:$C$615))</f>
        <v>0</v>
      </c>
      <c r="AP67" s="73">
        <f>SUMPRODUCT(-('Gastos Gerais'!$B$4:$B$615=Analítico!$B67),-(Analítico!AP$3&gt;='Gastos Gerais'!$D$4:$D$615),-(Analítico!AP$3&lt;='Gastos Gerais'!$E$4:$E$615),-('Gastos Gerais'!$C$4:$C$615))</f>
        <v>0</v>
      </c>
      <c r="AQ67" s="73">
        <f>SUMPRODUCT(-('Gastos Gerais'!$B$4:$B$615=Analítico!$B67),-(Analítico!AQ$3&gt;='Gastos Gerais'!$D$4:$D$615),-(Analítico!AQ$3&lt;='Gastos Gerais'!$E$4:$E$615),-('Gastos Gerais'!$C$4:$C$615))</f>
        <v>0</v>
      </c>
      <c r="AR67" s="73">
        <f>SUMPRODUCT(-('Gastos Gerais'!$B$4:$B$615=Analítico!$B67),-(Analítico!AR$3&gt;='Gastos Gerais'!$D$4:$D$615),-(Analítico!AR$3&lt;='Gastos Gerais'!$E$4:$E$615),-('Gastos Gerais'!$C$4:$C$615))</f>
        <v>0</v>
      </c>
      <c r="AS67" s="73">
        <f>SUMPRODUCT(-('Gastos Gerais'!$B$4:$B$615=Analítico!$B67),-(Analítico!AS$3&gt;='Gastos Gerais'!$D$4:$D$615),-(Analítico!AS$3&lt;='Gastos Gerais'!$E$4:$E$615),-('Gastos Gerais'!$C$4:$C$615))</f>
        <v>0</v>
      </c>
      <c r="AT67" s="73">
        <f>SUMPRODUCT(-('Gastos Gerais'!$B$4:$B$615=Analítico!$B67),-(Analítico!AT$3&gt;='Gastos Gerais'!$D$4:$D$615),-(Analítico!AT$3&lt;='Gastos Gerais'!$E$4:$E$615),-('Gastos Gerais'!$C$4:$C$615))</f>
        <v>0</v>
      </c>
      <c r="AU67" s="73">
        <f>SUMPRODUCT(-('Gastos Gerais'!$B$4:$B$615=Analítico!$B67),-(Analítico!AU$3&gt;='Gastos Gerais'!$D$4:$D$615),-(Analítico!AU$3&lt;='Gastos Gerais'!$E$4:$E$615),-('Gastos Gerais'!$C$4:$C$615))</f>
        <v>0</v>
      </c>
      <c r="AV67" s="73">
        <f>SUMPRODUCT(-('Gastos Gerais'!$B$4:$B$615=Analítico!$B67),-(Analítico!AV$3&gt;='Gastos Gerais'!$D$4:$D$615),-(Analítico!AV$3&lt;='Gastos Gerais'!$E$4:$E$615),-('Gastos Gerais'!$C$4:$C$615))</f>
        <v>0</v>
      </c>
      <c r="AW67" s="73">
        <f>SUMPRODUCT(-('Gastos Gerais'!$B$4:$B$615=Analítico!$B67),-(Analítico!AW$3&gt;='Gastos Gerais'!$D$4:$D$615),-(Analítico!AW$3&lt;='Gastos Gerais'!$E$4:$E$615),-('Gastos Gerais'!$C$4:$C$615))</f>
        <v>0</v>
      </c>
      <c r="AX67" s="73">
        <f>SUMPRODUCT(-('Gastos Gerais'!$B$4:$B$615=Analítico!$B67),-(Analítico!AX$3&gt;='Gastos Gerais'!$D$4:$D$615),-(Analítico!AX$3&lt;='Gastos Gerais'!$E$4:$E$615),-('Gastos Gerais'!$C$4:$C$615))</f>
        <v>0</v>
      </c>
      <c r="AY67" s="73">
        <f>SUMPRODUCT(-('Gastos Gerais'!$B$4:$B$615=Analítico!$B67),-(Analítico!AY$3&gt;='Gastos Gerais'!$D$4:$D$615),-(Analítico!AY$3&lt;='Gastos Gerais'!$E$4:$E$615),-('Gastos Gerais'!$C$4:$C$615))</f>
        <v>0</v>
      </c>
      <c r="AZ67" s="73">
        <f>SUMPRODUCT(-('Gastos Gerais'!$B$4:$B$615=Analítico!$B67),-(Analítico!AZ$3&gt;='Gastos Gerais'!$D$4:$D$615),-(Analítico!AZ$3&lt;='Gastos Gerais'!$E$4:$E$615),-('Gastos Gerais'!$C$4:$C$615))</f>
        <v>0</v>
      </c>
      <c r="BA67" s="73">
        <f>SUMPRODUCT(-('Gastos Gerais'!$B$4:$B$615=Analítico!$B67),-(Analítico!BA$3&gt;='Gastos Gerais'!$D$4:$D$615),-(Analítico!BA$3&lt;='Gastos Gerais'!$E$4:$E$615),-('Gastos Gerais'!$C$4:$C$615))</f>
        <v>0</v>
      </c>
      <c r="BB67" s="73">
        <f>SUMPRODUCT(-('Gastos Gerais'!$B$4:$B$615=Analítico!$B67),-(Analítico!BB$3&gt;='Gastos Gerais'!$D$4:$D$615),-(Analítico!BB$3&lt;='Gastos Gerais'!$E$4:$E$615),-('Gastos Gerais'!$C$4:$C$615))</f>
        <v>0</v>
      </c>
      <c r="BC67" s="73">
        <f>SUMPRODUCT(-('Gastos Gerais'!$B$4:$B$615=Analítico!$B67),-(Analítico!BC$3&gt;='Gastos Gerais'!$D$4:$D$615),-(Analítico!BC$3&lt;='Gastos Gerais'!$E$4:$E$615),-('Gastos Gerais'!$C$4:$C$615))</f>
        <v>0</v>
      </c>
      <c r="BD67" s="73">
        <f>SUMPRODUCT(-('Gastos Gerais'!$B$4:$B$615=Analítico!$B67),-(Analítico!BD$3&gt;='Gastos Gerais'!$D$4:$D$615),-(Analítico!BD$3&lt;='Gastos Gerais'!$E$4:$E$615),-('Gastos Gerais'!$C$4:$C$615))</f>
        <v>0</v>
      </c>
      <c r="BE67" s="73">
        <f>SUMPRODUCT(-('Gastos Gerais'!$B$4:$B$615=Analítico!$B67),-(Analítico!BE$3&gt;='Gastos Gerais'!$D$4:$D$615),-(Analítico!BE$3&lt;='Gastos Gerais'!$E$4:$E$615),-('Gastos Gerais'!$C$4:$C$615))</f>
        <v>0</v>
      </c>
      <c r="BF67" s="73">
        <f>SUMPRODUCT(-('Gastos Gerais'!$B$4:$B$615=Analítico!$B67),-(Analítico!BF$3&gt;='Gastos Gerais'!$D$4:$D$615),-(Analítico!BF$3&lt;='Gastos Gerais'!$E$4:$E$615),-('Gastos Gerais'!$C$4:$C$615))</f>
        <v>0</v>
      </c>
      <c r="BG67" s="73">
        <f>SUMPRODUCT(-('Gastos Gerais'!$B$4:$B$615=Analítico!$B67),-(Analítico!BG$3&gt;='Gastos Gerais'!$D$4:$D$615),-(Analítico!BG$3&lt;='Gastos Gerais'!$E$4:$E$615),-('Gastos Gerais'!$C$4:$C$615))</f>
        <v>0</v>
      </c>
      <c r="BH67" s="73">
        <f>SUMPRODUCT(-('Gastos Gerais'!$B$4:$B$615=Analítico!$B67),-(Analítico!BH$3&gt;='Gastos Gerais'!$D$4:$D$615),-(Analítico!BH$3&lt;='Gastos Gerais'!$E$4:$E$615),-('Gastos Gerais'!$C$4:$C$615))</f>
        <v>0</v>
      </c>
      <c r="BI67" s="73">
        <f>SUMPRODUCT(-('Gastos Gerais'!$B$4:$B$615=Analítico!$B67),-(Analítico!BI$3&gt;='Gastos Gerais'!$D$4:$D$615),-(Analítico!BI$3&lt;='Gastos Gerais'!$E$4:$E$615),-('Gastos Gerais'!$C$4:$C$615))</f>
        <v>0</v>
      </c>
      <c r="BJ67" s="73">
        <f>SUMPRODUCT(-('Gastos Gerais'!$B$4:$B$615=Analítico!$B67),-(Analítico!BJ$3&gt;='Gastos Gerais'!$D$4:$D$615),-(Analítico!BJ$3&lt;='Gastos Gerais'!$E$4:$E$615),-('Gastos Gerais'!$C$4:$C$615))</f>
        <v>0</v>
      </c>
      <c r="BK67" s="71">
        <f t="shared" si="31"/>
        <v>360000</v>
      </c>
      <c r="BL67" s="76">
        <f t="shared" ca="1" si="32"/>
        <v>9.8193543315310775E-4</v>
      </c>
    </row>
    <row r="68" spans="1:64" s="49" customFormat="1" ht="23.25" customHeight="1" x14ac:dyDescent="0.2">
      <c r="A68" s="109" t="s">
        <v>204</v>
      </c>
      <c r="B68" s="110" t="s">
        <v>205</v>
      </c>
      <c r="C68" s="73">
        <f>SUMPRODUCT(-('Gastos Gerais'!$B$4:$B$615=Analítico!$B68),-(Analítico!C$3&gt;='Gastos Gerais'!$D$4:$D$615),-(Analítico!C$3&lt;='Gastos Gerais'!$E$4:$E$615),-('Gastos Gerais'!$C$4:$C$615))</f>
        <v>2000</v>
      </c>
      <c r="D68" s="73">
        <f>SUMPRODUCT(-('Gastos Gerais'!$B$4:$B$615=Analítico!$B68),-(Analítico!D$3&gt;='Gastos Gerais'!$D$4:$D$615),-(Analítico!D$3&lt;='Gastos Gerais'!$E$4:$E$615),-('Gastos Gerais'!$C$4:$C$615))</f>
        <v>2000</v>
      </c>
      <c r="E68" s="73">
        <f>SUMPRODUCT(-('Gastos Gerais'!$B$4:$B$615=Analítico!$B68),-(Analítico!E$3&gt;='Gastos Gerais'!$D$4:$D$615),-(Analítico!E$3&lt;='Gastos Gerais'!$E$4:$E$615),-('Gastos Gerais'!$C$4:$C$615))</f>
        <v>2000</v>
      </c>
      <c r="F68" s="73">
        <f>SUMPRODUCT(-('Gastos Gerais'!$B$4:$B$615=Analítico!$B68),-(Analítico!F$3&gt;='Gastos Gerais'!$D$4:$D$615),-(Analítico!F$3&lt;='Gastos Gerais'!$E$4:$E$615),-('Gastos Gerais'!$C$4:$C$615))</f>
        <v>2000</v>
      </c>
      <c r="G68" s="73">
        <f>SUMPRODUCT(-('Gastos Gerais'!$B$4:$B$615=Analítico!$B68),-(Analítico!G$3&gt;='Gastos Gerais'!$D$4:$D$615),-(Analítico!G$3&lt;='Gastos Gerais'!$E$4:$E$615),-('Gastos Gerais'!$C$4:$C$615))</f>
        <v>2000</v>
      </c>
      <c r="H68" s="73">
        <f>SUMPRODUCT(-('Gastos Gerais'!$B$4:$B$615=Analítico!$B68),-(Analítico!H$3&gt;='Gastos Gerais'!$D$4:$D$615),-(Analítico!H$3&lt;='Gastos Gerais'!$E$4:$E$615),-('Gastos Gerais'!$C$4:$C$615))</f>
        <v>2000</v>
      </c>
      <c r="I68" s="73">
        <f>SUMPRODUCT(-('Gastos Gerais'!$B$4:$B$615=Analítico!$B68),-(Analítico!I$3&gt;='Gastos Gerais'!$D$4:$D$615),-(Analítico!I$3&lt;='Gastos Gerais'!$E$4:$E$615),-('Gastos Gerais'!$C$4:$C$615))</f>
        <v>2000</v>
      </c>
      <c r="J68" s="73">
        <f>SUMPRODUCT(-('Gastos Gerais'!$B$4:$B$615=Analítico!$B68),-(Analítico!J$3&gt;='Gastos Gerais'!$D$4:$D$615),-(Analítico!J$3&lt;='Gastos Gerais'!$E$4:$E$615),-('Gastos Gerais'!$C$4:$C$615))</f>
        <v>2000</v>
      </c>
      <c r="K68" s="73">
        <f>SUMPRODUCT(-('Gastos Gerais'!$B$4:$B$615=Analítico!$B68),-(Analítico!K$3&gt;='Gastos Gerais'!$D$4:$D$615),-(Analítico!K$3&lt;='Gastos Gerais'!$E$4:$E$615),-('Gastos Gerais'!$C$4:$C$615))</f>
        <v>2000</v>
      </c>
      <c r="L68" s="73">
        <f>SUMPRODUCT(-('Gastos Gerais'!$B$4:$B$615=Analítico!$B68),-(Analítico!L$3&gt;='Gastos Gerais'!$D$4:$D$615),-(Analítico!L$3&lt;='Gastos Gerais'!$E$4:$E$615),-('Gastos Gerais'!$C$4:$C$615))</f>
        <v>2000</v>
      </c>
      <c r="M68" s="73">
        <f>SUMPRODUCT(-('Gastos Gerais'!$B$4:$B$615=Analítico!$B68),-(Analítico!M$3&gt;='Gastos Gerais'!$D$4:$D$615),-(Analítico!M$3&lt;='Gastos Gerais'!$E$4:$E$615),-('Gastos Gerais'!$C$4:$C$615))</f>
        <v>2000</v>
      </c>
      <c r="N68" s="73">
        <f>SUMPRODUCT(-('Gastos Gerais'!$B$4:$B$615=Analítico!$B68),-(Analítico!N$3&gt;='Gastos Gerais'!$D$4:$D$615),-(Analítico!N$3&lt;='Gastos Gerais'!$E$4:$E$615),-('Gastos Gerais'!$C$4:$C$615))</f>
        <v>2000</v>
      </c>
      <c r="O68" s="73">
        <f>SUMPRODUCT(-('Gastos Gerais'!$B$4:$B$615=Analítico!$B68),-(Analítico!O$3&gt;='Gastos Gerais'!$D$4:$D$615),-(Analítico!O$3&lt;='Gastos Gerais'!$E$4:$E$615),-('Gastos Gerais'!$C$4:$C$615))</f>
        <v>2000</v>
      </c>
      <c r="P68" s="73">
        <f>SUMPRODUCT(-('Gastos Gerais'!$B$4:$B$615=Analítico!$B68),-(Analítico!P$3&gt;='Gastos Gerais'!$D$4:$D$615),-(Analítico!P$3&lt;='Gastos Gerais'!$E$4:$E$615),-('Gastos Gerais'!$C$4:$C$615))</f>
        <v>2000</v>
      </c>
      <c r="Q68" s="73">
        <f>SUMPRODUCT(-('Gastos Gerais'!$B$4:$B$615=Analítico!$B68),-(Analítico!Q$3&gt;='Gastos Gerais'!$D$4:$D$615),-(Analítico!Q$3&lt;='Gastos Gerais'!$E$4:$E$615),-('Gastos Gerais'!$C$4:$C$615))</f>
        <v>2000</v>
      </c>
      <c r="R68" s="73">
        <f>SUMPRODUCT(-('Gastos Gerais'!$B$4:$B$615=Analítico!$B68),-(Analítico!R$3&gt;='Gastos Gerais'!$D$4:$D$615),-(Analítico!R$3&lt;='Gastos Gerais'!$E$4:$E$615),-('Gastos Gerais'!$C$4:$C$615))</f>
        <v>2000</v>
      </c>
      <c r="S68" s="73">
        <f>SUMPRODUCT(-('Gastos Gerais'!$B$4:$B$615=Analítico!$B68),-(Analítico!S$3&gt;='Gastos Gerais'!$D$4:$D$615),-(Analítico!S$3&lt;='Gastos Gerais'!$E$4:$E$615),-('Gastos Gerais'!$C$4:$C$615))</f>
        <v>2000</v>
      </c>
      <c r="T68" s="73">
        <f>SUMPRODUCT(-('Gastos Gerais'!$B$4:$B$615=Analítico!$B68),-(Analítico!T$3&gt;='Gastos Gerais'!$D$4:$D$615),-(Analítico!T$3&lt;='Gastos Gerais'!$E$4:$E$615),-('Gastos Gerais'!$C$4:$C$615))</f>
        <v>2000</v>
      </c>
      <c r="U68" s="73">
        <f>SUMPRODUCT(-('Gastos Gerais'!$B$4:$B$615=Analítico!$B68),-(Analítico!U$3&gt;='Gastos Gerais'!$D$4:$D$615),-(Analítico!U$3&lt;='Gastos Gerais'!$E$4:$E$615),-('Gastos Gerais'!$C$4:$C$615))</f>
        <v>2000</v>
      </c>
      <c r="V68" s="73">
        <f>SUMPRODUCT(-('Gastos Gerais'!$B$4:$B$615=Analítico!$B68),-(Analítico!V$3&gt;='Gastos Gerais'!$D$4:$D$615),-(Analítico!V$3&lt;='Gastos Gerais'!$E$4:$E$615),-('Gastos Gerais'!$C$4:$C$615))</f>
        <v>2000</v>
      </c>
      <c r="W68" s="73">
        <f>SUMPRODUCT(-('Gastos Gerais'!$B$4:$B$615=Analítico!$B68),-(Analítico!W$3&gt;='Gastos Gerais'!$D$4:$D$615),-(Analítico!W$3&lt;='Gastos Gerais'!$E$4:$E$615),-('Gastos Gerais'!$C$4:$C$615))</f>
        <v>2000</v>
      </c>
      <c r="X68" s="73">
        <f>SUMPRODUCT(-('Gastos Gerais'!$B$4:$B$615=Analítico!$B68),-(Analítico!X$3&gt;='Gastos Gerais'!$D$4:$D$615),-(Analítico!X$3&lt;='Gastos Gerais'!$E$4:$E$615),-('Gastos Gerais'!$C$4:$C$615))</f>
        <v>2000</v>
      </c>
      <c r="Y68" s="73">
        <f>SUMPRODUCT(-('Gastos Gerais'!$B$4:$B$615=Analítico!$B68),-(Analítico!Y$3&gt;='Gastos Gerais'!$D$4:$D$615),-(Analítico!Y$3&lt;='Gastos Gerais'!$E$4:$E$615),-('Gastos Gerais'!$C$4:$C$615))</f>
        <v>2000</v>
      </c>
      <c r="Z68" s="73">
        <f>SUMPRODUCT(-('Gastos Gerais'!$B$4:$B$615=Analítico!$B68),-(Analítico!Z$3&gt;='Gastos Gerais'!$D$4:$D$615),-(Analítico!Z$3&lt;='Gastos Gerais'!$E$4:$E$615),-('Gastos Gerais'!$C$4:$C$615))</f>
        <v>2000</v>
      </c>
      <c r="AA68" s="73">
        <f>SUMPRODUCT(-('Gastos Gerais'!$B$4:$B$615=Analítico!$B68),-(Analítico!AA$3&gt;='Gastos Gerais'!$D$4:$D$615),-(Analítico!AA$3&lt;='Gastos Gerais'!$E$4:$E$615),-('Gastos Gerais'!$C$4:$C$615))</f>
        <v>2000</v>
      </c>
      <c r="AB68" s="73">
        <f>SUMPRODUCT(-('Gastos Gerais'!$B$4:$B$615=Analítico!$B68),-(Analítico!AB$3&gt;='Gastos Gerais'!$D$4:$D$615),-(Analítico!AB$3&lt;='Gastos Gerais'!$E$4:$E$615),-('Gastos Gerais'!$C$4:$C$615))</f>
        <v>2000</v>
      </c>
      <c r="AC68" s="73">
        <f>SUMPRODUCT(-('Gastos Gerais'!$B$4:$B$615=Analítico!$B68),-(Analítico!AC$3&gt;='Gastos Gerais'!$D$4:$D$615),-(Analítico!AC$3&lt;='Gastos Gerais'!$E$4:$E$615),-('Gastos Gerais'!$C$4:$C$615))</f>
        <v>2000</v>
      </c>
      <c r="AD68" s="73">
        <f>SUMPRODUCT(-('Gastos Gerais'!$B$4:$B$615=Analítico!$B68),-(Analítico!AD$3&gt;='Gastos Gerais'!$D$4:$D$615),-(Analítico!AD$3&lt;='Gastos Gerais'!$E$4:$E$615),-('Gastos Gerais'!$C$4:$C$615))</f>
        <v>2000</v>
      </c>
      <c r="AE68" s="73">
        <f>SUMPRODUCT(-('Gastos Gerais'!$B$4:$B$615=Analítico!$B68),-(Analítico!AE$3&gt;='Gastos Gerais'!$D$4:$D$615),-(Analítico!AE$3&lt;='Gastos Gerais'!$E$4:$E$615),-('Gastos Gerais'!$C$4:$C$615))</f>
        <v>2000</v>
      </c>
      <c r="AF68" s="73">
        <f>SUMPRODUCT(-('Gastos Gerais'!$B$4:$B$615=Analítico!$B68),-(Analítico!AF$3&gt;='Gastos Gerais'!$D$4:$D$615),-(Analítico!AF$3&lt;='Gastos Gerais'!$E$4:$E$615),-('Gastos Gerais'!$C$4:$C$615))</f>
        <v>2000</v>
      </c>
      <c r="AG68" s="73">
        <f>SUMPRODUCT(-('Gastos Gerais'!$B$4:$B$615=Analítico!$B68),-(Analítico!AG$3&gt;='Gastos Gerais'!$D$4:$D$615),-(Analítico!AG$3&lt;='Gastos Gerais'!$E$4:$E$615),-('Gastos Gerais'!$C$4:$C$615))</f>
        <v>2000</v>
      </c>
      <c r="AH68" s="73">
        <f>SUMPRODUCT(-('Gastos Gerais'!$B$4:$B$615=Analítico!$B68),-(Analítico!AH$3&gt;='Gastos Gerais'!$D$4:$D$615),-(Analítico!AH$3&lt;='Gastos Gerais'!$E$4:$E$615),-('Gastos Gerais'!$C$4:$C$615))</f>
        <v>2000</v>
      </c>
      <c r="AI68" s="73">
        <f>SUMPRODUCT(-('Gastos Gerais'!$B$4:$B$615=Analítico!$B68),-(Analítico!AI$3&gt;='Gastos Gerais'!$D$4:$D$615),-(Analítico!AI$3&lt;='Gastos Gerais'!$E$4:$E$615),-('Gastos Gerais'!$C$4:$C$615))</f>
        <v>2000</v>
      </c>
      <c r="AJ68" s="73">
        <f>SUMPRODUCT(-('Gastos Gerais'!$B$4:$B$615=Analítico!$B68),-(Analítico!AJ$3&gt;='Gastos Gerais'!$D$4:$D$615),-(Analítico!AJ$3&lt;='Gastos Gerais'!$E$4:$E$615),-('Gastos Gerais'!$C$4:$C$615))</f>
        <v>2000</v>
      </c>
      <c r="AK68" s="73">
        <f>SUMPRODUCT(-('Gastos Gerais'!$B$4:$B$615=Analítico!$B68),-(Analítico!AK$3&gt;='Gastos Gerais'!$D$4:$D$615),-(Analítico!AK$3&lt;='Gastos Gerais'!$E$4:$E$615),-('Gastos Gerais'!$C$4:$C$615))</f>
        <v>2000</v>
      </c>
      <c r="AL68" s="73">
        <f>SUMPRODUCT(-('Gastos Gerais'!$B$4:$B$615=Analítico!$B68),-(Analítico!AL$3&gt;='Gastos Gerais'!$D$4:$D$615),-(Analítico!AL$3&lt;='Gastos Gerais'!$E$4:$E$615),-('Gastos Gerais'!$C$4:$C$615))</f>
        <v>2000</v>
      </c>
      <c r="AM68" s="73">
        <f>SUMPRODUCT(-('Gastos Gerais'!$B$4:$B$615=Analítico!$B68),-(Analítico!AM$3&gt;='Gastos Gerais'!$D$4:$D$615),-(Analítico!AM$3&lt;='Gastos Gerais'!$E$4:$E$615),-('Gastos Gerais'!$C$4:$C$615))</f>
        <v>0</v>
      </c>
      <c r="AN68" s="73">
        <f>SUMPRODUCT(-('Gastos Gerais'!$B$4:$B$615=Analítico!$B68),-(Analítico!AN$3&gt;='Gastos Gerais'!$D$4:$D$615),-(Analítico!AN$3&lt;='Gastos Gerais'!$E$4:$E$615),-('Gastos Gerais'!$C$4:$C$615))</f>
        <v>0</v>
      </c>
      <c r="AO68" s="73">
        <f>SUMPRODUCT(-('Gastos Gerais'!$B$4:$B$615=Analítico!$B68),-(Analítico!AO$3&gt;='Gastos Gerais'!$D$4:$D$615),-(Analítico!AO$3&lt;='Gastos Gerais'!$E$4:$E$615),-('Gastos Gerais'!$C$4:$C$615))</f>
        <v>0</v>
      </c>
      <c r="AP68" s="73">
        <f>SUMPRODUCT(-('Gastos Gerais'!$B$4:$B$615=Analítico!$B68),-(Analítico!AP$3&gt;='Gastos Gerais'!$D$4:$D$615),-(Analítico!AP$3&lt;='Gastos Gerais'!$E$4:$E$615),-('Gastos Gerais'!$C$4:$C$615))</f>
        <v>0</v>
      </c>
      <c r="AQ68" s="73">
        <f>SUMPRODUCT(-('Gastos Gerais'!$B$4:$B$615=Analítico!$B68),-(Analítico!AQ$3&gt;='Gastos Gerais'!$D$4:$D$615),-(Analítico!AQ$3&lt;='Gastos Gerais'!$E$4:$E$615),-('Gastos Gerais'!$C$4:$C$615))</f>
        <v>0</v>
      </c>
      <c r="AR68" s="73">
        <f>SUMPRODUCT(-('Gastos Gerais'!$B$4:$B$615=Analítico!$B68),-(Analítico!AR$3&gt;='Gastos Gerais'!$D$4:$D$615),-(Analítico!AR$3&lt;='Gastos Gerais'!$E$4:$E$615),-('Gastos Gerais'!$C$4:$C$615))</f>
        <v>0</v>
      </c>
      <c r="AS68" s="73">
        <f>SUMPRODUCT(-('Gastos Gerais'!$B$4:$B$615=Analítico!$B68),-(Analítico!AS$3&gt;='Gastos Gerais'!$D$4:$D$615),-(Analítico!AS$3&lt;='Gastos Gerais'!$E$4:$E$615),-('Gastos Gerais'!$C$4:$C$615))</f>
        <v>0</v>
      </c>
      <c r="AT68" s="73">
        <f>SUMPRODUCT(-('Gastos Gerais'!$B$4:$B$615=Analítico!$B68),-(Analítico!AT$3&gt;='Gastos Gerais'!$D$4:$D$615),-(Analítico!AT$3&lt;='Gastos Gerais'!$E$4:$E$615),-('Gastos Gerais'!$C$4:$C$615))</f>
        <v>0</v>
      </c>
      <c r="AU68" s="73">
        <f>SUMPRODUCT(-('Gastos Gerais'!$B$4:$B$615=Analítico!$B68),-(Analítico!AU$3&gt;='Gastos Gerais'!$D$4:$D$615),-(Analítico!AU$3&lt;='Gastos Gerais'!$E$4:$E$615),-('Gastos Gerais'!$C$4:$C$615))</f>
        <v>0</v>
      </c>
      <c r="AV68" s="73">
        <f>SUMPRODUCT(-('Gastos Gerais'!$B$4:$B$615=Analítico!$B68),-(Analítico!AV$3&gt;='Gastos Gerais'!$D$4:$D$615),-(Analítico!AV$3&lt;='Gastos Gerais'!$E$4:$E$615),-('Gastos Gerais'!$C$4:$C$615))</f>
        <v>0</v>
      </c>
      <c r="AW68" s="73">
        <f>SUMPRODUCT(-('Gastos Gerais'!$B$4:$B$615=Analítico!$B68),-(Analítico!AW$3&gt;='Gastos Gerais'!$D$4:$D$615),-(Analítico!AW$3&lt;='Gastos Gerais'!$E$4:$E$615),-('Gastos Gerais'!$C$4:$C$615))</f>
        <v>0</v>
      </c>
      <c r="AX68" s="73">
        <f>SUMPRODUCT(-('Gastos Gerais'!$B$4:$B$615=Analítico!$B68),-(Analítico!AX$3&gt;='Gastos Gerais'!$D$4:$D$615),-(Analítico!AX$3&lt;='Gastos Gerais'!$E$4:$E$615),-('Gastos Gerais'!$C$4:$C$615))</f>
        <v>0</v>
      </c>
      <c r="AY68" s="73">
        <f>SUMPRODUCT(-('Gastos Gerais'!$B$4:$B$615=Analítico!$B68),-(Analítico!AY$3&gt;='Gastos Gerais'!$D$4:$D$615),-(Analítico!AY$3&lt;='Gastos Gerais'!$E$4:$E$615),-('Gastos Gerais'!$C$4:$C$615))</f>
        <v>0</v>
      </c>
      <c r="AZ68" s="73">
        <f>SUMPRODUCT(-('Gastos Gerais'!$B$4:$B$615=Analítico!$B68),-(Analítico!AZ$3&gt;='Gastos Gerais'!$D$4:$D$615),-(Analítico!AZ$3&lt;='Gastos Gerais'!$E$4:$E$615),-('Gastos Gerais'!$C$4:$C$615))</f>
        <v>0</v>
      </c>
      <c r="BA68" s="73">
        <f>SUMPRODUCT(-('Gastos Gerais'!$B$4:$B$615=Analítico!$B68),-(Analítico!BA$3&gt;='Gastos Gerais'!$D$4:$D$615),-(Analítico!BA$3&lt;='Gastos Gerais'!$E$4:$E$615),-('Gastos Gerais'!$C$4:$C$615))</f>
        <v>0</v>
      </c>
      <c r="BB68" s="73">
        <f>SUMPRODUCT(-('Gastos Gerais'!$B$4:$B$615=Analítico!$B68),-(Analítico!BB$3&gt;='Gastos Gerais'!$D$4:$D$615),-(Analítico!BB$3&lt;='Gastos Gerais'!$E$4:$E$615),-('Gastos Gerais'!$C$4:$C$615))</f>
        <v>0</v>
      </c>
      <c r="BC68" s="73">
        <f>SUMPRODUCT(-('Gastos Gerais'!$B$4:$B$615=Analítico!$B68),-(Analítico!BC$3&gt;='Gastos Gerais'!$D$4:$D$615),-(Analítico!BC$3&lt;='Gastos Gerais'!$E$4:$E$615),-('Gastos Gerais'!$C$4:$C$615))</f>
        <v>0</v>
      </c>
      <c r="BD68" s="73">
        <f>SUMPRODUCT(-('Gastos Gerais'!$B$4:$B$615=Analítico!$B68),-(Analítico!BD$3&gt;='Gastos Gerais'!$D$4:$D$615),-(Analítico!BD$3&lt;='Gastos Gerais'!$E$4:$E$615),-('Gastos Gerais'!$C$4:$C$615))</f>
        <v>0</v>
      </c>
      <c r="BE68" s="73">
        <f>SUMPRODUCT(-('Gastos Gerais'!$B$4:$B$615=Analítico!$B68),-(Analítico!BE$3&gt;='Gastos Gerais'!$D$4:$D$615),-(Analítico!BE$3&lt;='Gastos Gerais'!$E$4:$E$615),-('Gastos Gerais'!$C$4:$C$615))</f>
        <v>0</v>
      </c>
      <c r="BF68" s="73">
        <f>SUMPRODUCT(-('Gastos Gerais'!$B$4:$B$615=Analítico!$B68),-(Analítico!BF$3&gt;='Gastos Gerais'!$D$4:$D$615),-(Analítico!BF$3&lt;='Gastos Gerais'!$E$4:$E$615),-('Gastos Gerais'!$C$4:$C$615))</f>
        <v>0</v>
      </c>
      <c r="BG68" s="73">
        <f>SUMPRODUCT(-('Gastos Gerais'!$B$4:$B$615=Analítico!$B68),-(Analítico!BG$3&gt;='Gastos Gerais'!$D$4:$D$615),-(Analítico!BG$3&lt;='Gastos Gerais'!$E$4:$E$615),-('Gastos Gerais'!$C$4:$C$615))</f>
        <v>0</v>
      </c>
      <c r="BH68" s="73">
        <f>SUMPRODUCT(-('Gastos Gerais'!$B$4:$B$615=Analítico!$B68),-(Analítico!BH$3&gt;='Gastos Gerais'!$D$4:$D$615),-(Analítico!BH$3&lt;='Gastos Gerais'!$E$4:$E$615),-('Gastos Gerais'!$C$4:$C$615))</f>
        <v>0</v>
      </c>
      <c r="BI68" s="73">
        <f>SUMPRODUCT(-('Gastos Gerais'!$B$4:$B$615=Analítico!$B68),-(Analítico!BI$3&gt;='Gastos Gerais'!$D$4:$D$615),-(Analítico!BI$3&lt;='Gastos Gerais'!$E$4:$E$615),-('Gastos Gerais'!$C$4:$C$615))</f>
        <v>0</v>
      </c>
      <c r="BJ68" s="73">
        <f>SUMPRODUCT(-('Gastos Gerais'!$B$4:$B$615=Analítico!$B68),-(Analítico!BJ$3&gt;='Gastos Gerais'!$D$4:$D$615),-(Analítico!BJ$3&lt;='Gastos Gerais'!$E$4:$E$615),-('Gastos Gerais'!$C$4:$C$615))</f>
        <v>0</v>
      </c>
      <c r="BK68" s="71">
        <f t="shared" si="31"/>
        <v>72000</v>
      </c>
      <c r="BL68" s="76">
        <f t="shared" ca="1" si="32"/>
        <v>1.9638708663062156E-4</v>
      </c>
    </row>
    <row r="69" spans="1:64" s="49" customFormat="1" ht="23.25" customHeight="1" x14ac:dyDescent="0.2">
      <c r="A69" s="109" t="s">
        <v>206</v>
      </c>
      <c r="B69" s="110" t="s">
        <v>207</v>
      </c>
      <c r="C69" s="73">
        <f>SUMPRODUCT(-('Gastos Gerais'!$B$4:$B$615=Analítico!$B69),-(Analítico!C$3&gt;='Gastos Gerais'!$D$4:$D$615),-(Analítico!C$3&lt;='Gastos Gerais'!$E$4:$E$615),-('Gastos Gerais'!$C$4:$C$615))</f>
        <v>2000</v>
      </c>
      <c r="D69" s="73">
        <f>SUMPRODUCT(-('Gastos Gerais'!$B$4:$B$615=Analítico!$B69),-(Analítico!D$3&gt;='Gastos Gerais'!$D$4:$D$615),-(Analítico!D$3&lt;='Gastos Gerais'!$E$4:$E$615),-('Gastos Gerais'!$C$4:$C$615))</f>
        <v>2000</v>
      </c>
      <c r="E69" s="73">
        <f>SUMPRODUCT(-('Gastos Gerais'!$B$4:$B$615=Analítico!$B69),-(Analítico!E$3&gt;='Gastos Gerais'!$D$4:$D$615),-(Analítico!E$3&lt;='Gastos Gerais'!$E$4:$E$615),-('Gastos Gerais'!$C$4:$C$615))</f>
        <v>2000</v>
      </c>
      <c r="F69" s="73">
        <f>SUMPRODUCT(-('Gastos Gerais'!$B$4:$B$615=Analítico!$B69),-(Analítico!F$3&gt;='Gastos Gerais'!$D$4:$D$615),-(Analítico!F$3&lt;='Gastos Gerais'!$E$4:$E$615),-('Gastos Gerais'!$C$4:$C$615))</f>
        <v>2000</v>
      </c>
      <c r="G69" s="73">
        <f>SUMPRODUCT(-('Gastos Gerais'!$B$4:$B$615=Analítico!$B69),-(Analítico!G$3&gt;='Gastos Gerais'!$D$4:$D$615),-(Analítico!G$3&lt;='Gastos Gerais'!$E$4:$E$615),-('Gastos Gerais'!$C$4:$C$615))</f>
        <v>2000</v>
      </c>
      <c r="H69" s="73">
        <f>SUMPRODUCT(-('Gastos Gerais'!$B$4:$B$615=Analítico!$B69),-(Analítico!H$3&gt;='Gastos Gerais'!$D$4:$D$615),-(Analítico!H$3&lt;='Gastos Gerais'!$E$4:$E$615),-('Gastos Gerais'!$C$4:$C$615))</f>
        <v>2000</v>
      </c>
      <c r="I69" s="73">
        <f>SUMPRODUCT(-('Gastos Gerais'!$B$4:$B$615=Analítico!$B69),-(Analítico!I$3&gt;='Gastos Gerais'!$D$4:$D$615),-(Analítico!I$3&lt;='Gastos Gerais'!$E$4:$E$615),-('Gastos Gerais'!$C$4:$C$615))</f>
        <v>2000</v>
      </c>
      <c r="J69" s="73">
        <f>SUMPRODUCT(-('Gastos Gerais'!$B$4:$B$615=Analítico!$B69),-(Analítico!J$3&gt;='Gastos Gerais'!$D$4:$D$615),-(Analítico!J$3&lt;='Gastos Gerais'!$E$4:$E$615),-('Gastos Gerais'!$C$4:$C$615))</f>
        <v>2000</v>
      </c>
      <c r="K69" s="73">
        <f>SUMPRODUCT(-('Gastos Gerais'!$B$4:$B$615=Analítico!$B69),-(Analítico!K$3&gt;='Gastos Gerais'!$D$4:$D$615),-(Analítico!K$3&lt;='Gastos Gerais'!$E$4:$E$615),-('Gastos Gerais'!$C$4:$C$615))</f>
        <v>2000</v>
      </c>
      <c r="L69" s="73">
        <f>SUMPRODUCT(-('Gastos Gerais'!$B$4:$B$615=Analítico!$B69),-(Analítico!L$3&gt;='Gastos Gerais'!$D$4:$D$615),-(Analítico!L$3&lt;='Gastos Gerais'!$E$4:$E$615),-('Gastos Gerais'!$C$4:$C$615))</f>
        <v>2000</v>
      </c>
      <c r="M69" s="73">
        <f>SUMPRODUCT(-('Gastos Gerais'!$B$4:$B$615=Analítico!$B69),-(Analítico!M$3&gt;='Gastos Gerais'!$D$4:$D$615),-(Analítico!M$3&lt;='Gastos Gerais'!$E$4:$E$615),-('Gastos Gerais'!$C$4:$C$615))</f>
        <v>2000</v>
      </c>
      <c r="N69" s="73">
        <f>SUMPRODUCT(-('Gastos Gerais'!$B$4:$B$615=Analítico!$B69),-(Analítico!N$3&gt;='Gastos Gerais'!$D$4:$D$615),-(Analítico!N$3&lt;='Gastos Gerais'!$E$4:$E$615),-('Gastos Gerais'!$C$4:$C$615))</f>
        <v>2000</v>
      </c>
      <c r="O69" s="73">
        <f>SUMPRODUCT(-('Gastos Gerais'!$B$4:$B$615=Analítico!$B69),-(Analítico!O$3&gt;='Gastos Gerais'!$D$4:$D$615),-(Analítico!O$3&lt;='Gastos Gerais'!$E$4:$E$615),-('Gastos Gerais'!$C$4:$C$615))</f>
        <v>2000</v>
      </c>
      <c r="P69" s="73">
        <f>SUMPRODUCT(-('Gastos Gerais'!$B$4:$B$615=Analítico!$B69),-(Analítico!P$3&gt;='Gastos Gerais'!$D$4:$D$615),-(Analítico!P$3&lt;='Gastos Gerais'!$E$4:$E$615),-('Gastos Gerais'!$C$4:$C$615))</f>
        <v>2000</v>
      </c>
      <c r="Q69" s="73">
        <f>SUMPRODUCT(-('Gastos Gerais'!$B$4:$B$615=Analítico!$B69),-(Analítico!Q$3&gt;='Gastos Gerais'!$D$4:$D$615),-(Analítico!Q$3&lt;='Gastos Gerais'!$E$4:$E$615),-('Gastos Gerais'!$C$4:$C$615))</f>
        <v>2000</v>
      </c>
      <c r="R69" s="73">
        <f>SUMPRODUCT(-('Gastos Gerais'!$B$4:$B$615=Analítico!$B69),-(Analítico!R$3&gt;='Gastos Gerais'!$D$4:$D$615),-(Analítico!R$3&lt;='Gastos Gerais'!$E$4:$E$615),-('Gastos Gerais'!$C$4:$C$615))</f>
        <v>2000</v>
      </c>
      <c r="S69" s="73">
        <f>SUMPRODUCT(-('Gastos Gerais'!$B$4:$B$615=Analítico!$B69),-(Analítico!S$3&gt;='Gastos Gerais'!$D$4:$D$615),-(Analítico!S$3&lt;='Gastos Gerais'!$E$4:$E$615),-('Gastos Gerais'!$C$4:$C$615))</f>
        <v>2000</v>
      </c>
      <c r="T69" s="73">
        <f>SUMPRODUCT(-('Gastos Gerais'!$B$4:$B$615=Analítico!$B69),-(Analítico!T$3&gt;='Gastos Gerais'!$D$4:$D$615),-(Analítico!T$3&lt;='Gastos Gerais'!$E$4:$E$615),-('Gastos Gerais'!$C$4:$C$615))</f>
        <v>2000</v>
      </c>
      <c r="U69" s="73">
        <f>SUMPRODUCT(-('Gastos Gerais'!$B$4:$B$615=Analítico!$B69),-(Analítico!U$3&gt;='Gastos Gerais'!$D$4:$D$615),-(Analítico!U$3&lt;='Gastos Gerais'!$E$4:$E$615),-('Gastos Gerais'!$C$4:$C$615))</f>
        <v>2000</v>
      </c>
      <c r="V69" s="73">
        <f>SUMPRODUCT(-('Gastos Gerais'!$B$4:$B$615=Analítico!$B69),-(Analítico!V$3&gt;='Gastos Gerais'!$D$4:$D$615),-(Analítico!V$3&lt;='Gastos Gerais'!$E$4:$E$615),-('Gastos Gerais'!$C$4:$C$615))</f>
        <v>2000</v>
      </c>
      <c r="W69" s="73">
        <f>SUMPRODUCT(-('Gastos Gerais'!$B$4:$B$615=Analítico!$B69),-(Analítico!W$3&gt;='Gastos Gerais'!$D$4:$D$615),-(Analítico!W$3&lt;='Gastos Gerais'!$E$4:$E$615),-('Gastos Gerais'!$C$4:$C$615))</f>
        <v>2000</v>
      </c>
      <c r="X69" s="73">
        <f>SUMPRODUCT(-('Gastos Gerais'!$B$4:$B$615=Analítico!$B69),-(Analítico!X$3&gt;='Gastos Gerais'!$D$4:$D$615),-(Analítico!X$3&lt;='Gastos Gerais'!$E$4:$E$615),-('Gastos Gerais'!$C$4:$C$615))</f>
        <v>2000</v>
      </c>
      <c r="Y69" s="73">
        <f>SUMPRODUCT(-('Gastos Gerais'!$B$4:$B$615=Analítico!$B69),-(Analítico!Y$3&gt;='Gastos Gerais'!$D$4:$D$615),-(Analítico!Y$3&lt;='Gastos Gerais'!$E$4:$E$615),-('Gastos Gerais'!$C$4:$C$615))</f>
        <v>2000</v>
      </c>
      <c r="Z69" s="73">
        <f>SUMPRODUCT(-('Gastos Gerais'!$B$4:$B$615=Analítico!$B69),-(Analítico!Z$3&gt;='Gastos Gerais'!$D$4:$D$615),-(Analítico!Z$3&lt;='Gastos Gerais'!$E$4:$E$615),-('Gastos Gerais'!$C$4:$C$615))</f>
        <v>2000</v>
      </c>
      <c r="AA69" s="73">
        <f>SUMPRODUCT(-('Gastos Gerais'!$B$4:$B$615=Analítico!$B69),-(Analítico!AA$3&gt;='Gastos Gerais'!$D$4:$D$615),-(Analítico!AA$3&lt;='Gastos Gerais'!$E$4:$E$615),-('Gastos Gerais'!$C$4:$C$615))</f>
        <v>2000</v>
      </c>
      <c r="AB69" s="73">
        <f>SUMPRODUCT(-('Gastos Gerais'!$B$4:$B$615=Analítico!$B69),-(Analítico!AB$3&gt;='Gastos Gerais'!$D$4:$D$615),-(Analítico!AB$3&lt;='Gastos Gerais'!$E$4:$E$615),-('Gastos Gerais'!$C$4:$C$615))</f>
        <v>2000</v>
      </c>
      <c r="AC69" s="73">
        <f>SUMPRODUCT(-('Gastos Gerais'!$B$4:$B$615=Analítico!$B69),-(Analítico!AC$3&gt;='Gastos Gerais'!$D$4:$D$615),-(Analítico!AC$3&lt;='Gastos Gerais'!$E$4:$E$615),-('Gastos Gerais'!$C$4:$C$615))</f>
        <v>2000</v>
      </c>
      <c r="AD69" s="73">
        <f>SUMPRODUCT(-('Gastos Gerais'!$B$4:$B$615=Analítico!$B69),-(Analítico!AD$3&gt;='Gastos Gerais'!$D$4:$D$615),-(Analítico!AD$3&lt;='Gastos Gerais'!$E$4:$E$615),-('Gastos Gerais'!$C$4:$C$615))</f>
        <v>2000</v>
      </c>
      <c r="AE69" s="73">
        <f>SUMPRODUCT(-('Gastos Gerais'!$B$4:$B$615=Analítico!$B69),-(Analítico!AE$3&gt;='Gastos Gerais'!$D$4:$D$615),-(Analítico!AE$3&lt;='Gastos Gerais'!$E$4:$E$615),-('Gastos Gerais'!$C$4:$C$615))</f>
        <v>2000</v>
      </c>
      <c r="AF69" s="73">
        <f>SUMPRODUCT(-('Gastos Gerais'!$B$4:$B$615=Analítico!$B69),-(Analítico!AF$3&gt;='Gastos Gerais'!$D$4:$D$615),-(Analítico!AF$3&lt;='Gastos Gerais'!$E$4:$E$615),-('Gastos Gerais'!$C$4:$C$615))</f>
        <v>2000</v>
      </c>
      <c r="AG69" s="73">
        <f>SUMPRODUCT(-('Gastos Gerais'!$B$4:$B$615=Analítico!$B69),-(Analítico!AG$3&gt;='Gastos Gerais'!$D$4:$D$615),-(Analítico!AG$3&lt;='Gastos Gerais'!$E$4:$E$615),-('Gastos Gerais'!$C$4:$C$615))</f>
        <v>2000</v>
      </c>
      <c r="AH69" s="73">
        <f>SUMPRODUCT(-('Gastos Gerais'!$B$4:$B$615=Analítico!$B69),-(Analítico!AH$3&gt;='Gastos Gerais'!$D$4:$D$615),-(Analítico!AH$3&lt;='Gastos Gerais'!$E$4:$E$615),-('Gastos Gerais'!$C$4:$C$615))</f>
        <v>2000</v>
      </c>
      <c r="AI69" s="73">
        <f>SUMPRODUCT(-('Gastos Gerais'!$B$4:$B$615=Analítico!$B69),-(Analítico!AI$3&gt;='Gastos Gerais'!$D$4:$D$615),-(Analítico!AI$3&lt;='Gastos Gerais'!$E$4:$E$615),-('Gastos Gerais'!$C$4:$C$615))</f>
        <v>2000</v>
      </c>
      <c r="AJ69" s="73">
        <f>SUMPRODUCT(-('Gastos Gerais'!$B$4:$B$615=Analítico!$B69),-(Analítico!AJ$3&gt;='Gastos Gerais'!$D$4:$D$615),-(Analítico!AJ$3&lt;='Gastos Gerais'!$E$4:$E$615),-('Gastos Gerais'!$C$4:$C$615))</f>
        <v>2000</v>
      </c>
      <c r="AK69" s="73">
        <f>SUMPRODUCT(-('Gastos Gerais'!$B$4:$B$615=Analítico!$B69),-(Analítico!AK$3&gt;='Gastos Gerais'!$D$4:$D$615),-(Analítico!AK$3&lt;='Gastos Gerais'!$E$4:$E$615),-('Gastos Gerais'!$C$4:$C$615))</f>
        <v>2000</v>
      </c>
      <c r="AL69" s="73">
        <f>SUMPRODUCT(-('Gastos Gerais'!$B$4:$B$615=Analítico!$B69),-(Analítico!AL$3&gt;='Gastos Gerais'!$D$4:$D$615),-(Analítico!AL$3&lt;='Gastos Gerais'!$E$4:$E$615),-('Gastos Gerais'!$C$4:$C$615))</f>
        <v>2000</v>
      </c>
      <c r="AM69" s="73">
        <f>SUMPRODUCT(-('Gastos Gerais'!$B$4:$B$615=Analítico!$B69),-(Analítico!AM$3&gt;='Gastos Gerais'!$D$4:$D$615),-(Analítico!AM$3&lt;='Gastos Gerais'!$E$4:$E$615),-('Gastos Gerais'!$C$4:$C$615))</f>
        <v>0</v>
      </c>
      <c r="AN69" s="73">
        <f>SUMPRODUCT(-('Gastos Gerais'!$B$4:$B$615=Analítico!$B69),-(Analítico!AN$3&gt;='Gastos Gerais'!$D$4:$D$615),-(Analítico!AN$3&lt;='Gastos Gerais'!$E$4:$E$615),-('Gastos Gerais'!$C$4:$C$615))</f>
        <v>0</v>
      </c>
      <c r="AO69" s="73">
        <f>SUMPRODUCT(-('Gastos Gerais'!$B$4:$B$615=Analítico!$B69),-(Analítico!AO$3&gt;='Gastos Gerais'!$D$4:$D$615),-(Analítico!AO$3&lt;='Gastos Gerais'!$E$4:$E$615),-('Gastos Gerais'!$C$4:$C$615))</f>
        <v>0</v>
      </c>
      <c r="AP69" s="73">
        <f>SUMPRODUCT(-('Gastos Gerais'!$B$4:$B$615=Analítico!$B69),-(Analítico!AP$3&gt;='Gastos Gerais'!$D$4:$D$615),-(Analítico!AP$3&lt;='Gastos Gerais'!$E$4:$E$615),-('Gastos Gerais'!$C$4:$C$615))</f>
        <v>0</v>
      </c>
      <c r="AQ69" s="73">
        <f>SUMPRODUCT(-('Gastos Gerais'!$B$4:$B$615=Analítico!$B69),-(Analítico!AQ$3&gt;='Gastos Gerais'!$D$4:$D$615),-(Analítico!AQ$3&lt;='Gastos Gerais'!$E$4:$E$615),-('Gastos Gerais'!$C$4:$C$615))</f>
        <v>0</v>
      </c>
      <c r="AR69" s="73">
        <f>SUMPRODUCT(-('Gastos Gerais'!$B$4:$B$615=Analítico!$B69),-(Analítico!AR$3&gt;='Gastos Gerais'!$D$4:$D$615),-(Analítico!AR$3&lt;='Gastos Gerais'!$E$4:$E$615),-('Gastos Gerais'!$C$4:$C$615))</f>
        <v>0</v>
      </c>
      <c r="AS69" s="73">
        <f>SUMPRODUCT(-('Gastos Gerais'!$B$4:$B$615=Analítico!$B69),-(Analítico!AS$3&gt;='Gastos Gerais'!$D$4:$D$615),-(Analítico!AS$3&lt;='Gastos Gerais'!$E$4:$E$615),-('Gastos Gerais'!$C$4:$C$615))</f>
        <v>0</v>
      </c>
      <c r="AT69" s="73">
        <f>SUMPRODUCT(-('Gastos Gerais'!$B$4:$B$615=Analítico!$B69),-(Analítico!AT$3&gt;='Gastos Gerais'!$D$4:$D$615),-(Analítico!AT$3&lt;='Gastos Gerais'!$E$4:$E$615),-('Gastos Gerais'!$C$4:$C$615))</f>
        <v>0</v>
      </c>
      <c r="AU69" s="73">
        <f>SUMPRODUCT(-('Gastos Gerais'!$B$4:$B$615=Analítico!$B69),-(Analítico!AU$3&gt;='Gastos Gerais'!$D$4:$D$615),-(Analítico!AU$3&lt;='Gastos Gerais'!$E$4:$E$615),-('Gastos Gerais'!$C$4:$C$615))</f>
        <v>0</v>
      </c>
      <c r="AV69" s="73">
        <f>SUMPRODUCT(-('Gastos Gerais'!$B$4:$B$615=Analítico!$B69),-(Analítico!AV$3&gt;='Gastos Gerais'!$D$4:$D$615),-(Analítico!AV$3&lt;='Gastos Gerais'!$E$4:$E$615),-('Gastos Gerais'!$C$4:$C$615))</f>
        <v>0</v>
      </c>
      <c r="AW69" s="73">
        <f>SUMPRODUCT(-('Gastos Gerais'!$B$4:$B$615=Analítico!$B69),-(Analítico!AW$3&gt;='Gastos Gerais'!$D$4:$D$615),-(Analítico!AW$3&lt;='Gastos Gerais'!$E$4:$E$615),-('Gastos Gerais'!$C$4:$C$615))</f>
        <v>0</v>
      </c>
      <c r="AX69" s="73">
        <f>SUMPRODUCT(-('Gastos Gerais'!$B$4:$B$615=Analítico!$B69),-(Analítico!AX$3&gt;='Gastos Gerais'!$D$4:$D$615),-(Analítico!AX$3&lt;='Gastos Gerais'!$E$4:$E$615),-('Gastos Gerais'!$C$4:$C$615))</f>
        <v>0</v>
      </c>
      <c r="AY69" s="73">
        <f>SUMPRODUCT(-('Gastos Gerais'!$B$4:$B$615=Analítico!$B69),-(Analítico!AY$3&gt;='Gastos Gerais'!$D$4:$D$615),-(Analítico!AY$3&lt;='Gastos Gerais'!$E$4:$E$615),-('Gastos Gerais'!$C$4:$C$615))</f>
        <v>0</v>
      </c>
      <c r="AZ69" s="73">
        <f>SUMPRODUCT(-('Gastos Gerais'!$B$4:$B$615=Analítico!$B69),-(Analítico!AZ$3&gt;='Gastos Gerais'!$D$4:$D$615),-(Analítico!AZ$3&lt;='Gastos Gerais'!$E$4:$E$615),-('Gastos Gerais'!$C$4:$C$615))</f>
        <v>0</v>
      </c>
      <c r="BA69" s="73">
        <f>SUMPRODUCT(-('Gastos Gerais'!$B$4:$B$615=Analítico!$B69),-(Analítico!BA$3&gt;='Gastos Gerais'!$D$4:$D$615),-(Analítico!BA$3&lt;='Gastos Gerais'!$E$4:$E$615),-('Gastos Gerais'!$C$4:$C$615))</f>
        <v>0</v>
      </c>
      <c r="BB69" s="73">
        <f>SUMPRODUCT(-('Gastos Gerais'!$B$4:$B$615=Analítico!$B69),-(Analítico!BB$3&gt;='Gastos Gerais'!$D$4:$D$615),-(Analítico!BB$3&lt;='Gastos Gerais'!$E$4:$E$615),-('Gastos Gerais'!$C$4:$C$615))</f>
        <v>0</v>
      </c>
      <c r="BC69" s="73">
        <f>SUMPRODUCT(-('Gastos Gerais'!$B$4:$B$615=Analítico!$B69),-(Analítico!BC$3&gt;='Gastos Gerais'!$D$4:$D$615),-(Analítico!BC$3&lt;='Gastos Gerais'!$E$4:$E$615),-('Gastos Gerais'!$C$4:$C$615))</f>
        <v>0</v>
      </c>
      <c r="BD69" s="73">
        <f>SUMPRODUCT(-('Gastos Gerais'!$B$4:$B$615=Analítico!$B69),-(Analítico!BD$3&gt;='Gastos Gerais'!$D$4:$D$615),-(Analítico!BD$3&lt;='Gastos Gerais'!$E$4:$E$615),-('Gastos Gerais'!$C$4:$C$615))</f>
        <v>0</v>
      </c>
      <c r="BE69" s="73">
        <f>SUMPRODUCT(-('Gastos Gerais'!$B$4:$B$615=Analítico!$B69),-(Analítico!BE$3&gt;='Gastos Gerais'!$D$4:$D$615),-(Analítico!BE$3&lt;='Gastos Gerais'!$E$4:$E$615),-('Gastos Gerais'!$C$4:$C$615))</f>
        <v>0</v>
      </c>
      <c r="BF69" s="73">
        <f>SUMPRODUCT(-('Gastos Gerais'!$B$4:$B$615=Analítico!$B69),-(Analítico!BF$3&gt;='Gastos Gerais'!$D$4:$D$615),-(Analítico!BF$3&lt;='Gastos Gerais'!$E$4:$E$615),-('Gastos Gerais'!$C$4:$C$615))</f>
        <v>0</v>
      </c>
      <c r="BG69" s="73">
        <f>SUMPRODUCT(-('Gastos Gerais'!$B$4:$B$615=Analítico!$B69),-(Analítico!BG$3&gt;='Gastos Gerais'!$D$4:$D$615),-(Analítico!BG$3&lt;='Gastos Gerais'!$E$4:$E$615),-('Gastos Gerais'!$C$4:$C$615))</f>
        <v>0</v>
      </c>
      <c r="BH69" s="73">
        <f>SUMPRODUCT(-('Gastos Gerais'!$B$4:$B$615=Analítico!$B69),-(Analítico!BH$3&gt;='Gastos Gerais'!$D$4:$D$615),-(Analítico!BH$3&lt;='Gastos Gerais'!$E$4:$E$615),-('Gastos Gerais'!$C$4:$C$615))</f>
        <v>0</v>
      </c>
      <c r="BI69" s="73">
        <f>SUMPRODUCT(-('Gastos Gerais'!$B$4:$B$615=Analítico!$B69),-(Analítico!BI$3&gt;='Gastos Gerais'!$D$4:$D$615),-(Analítico!BI$3&lt;='Gastos Gerais'!$E$4:$E$615),-('Gastos Gerais'!$C$4:$C$615))</f>
        <v>0</v>
      </c>
      <c r="BJ69" s="73">
        <f>SUMPRODUCT(-('Gastos Gerais'!$B$4:$B$615=Analítico!$B69),-(Analítico!BJ$3&gt;='Gastos Gerais'!$D$4:$D$615),-(Analítico!BJ$3&lt;='Gastos Gerais'!$E$4:$E$615),-('Gastos Gerais'!$C$4:$C$615))</f>
        <v>0</v>
      </c>
      <c r="BK69" s="71">
        <f t="shared" si="31"/>
        <v>72000</v>
      </c>
      <c r="BL69" s="76">
        <f t="shared" ca="1" si="32"/>
        <v>1.9638708663062156E-4</v>
      </c>
    </row>
    <row r="70" spans="1:64" s="49" customFormat="1" ht="23.25" customHeight="1" x14ac:dyDescent="0.2">
      <c r="A70" s="109" t="s">
        <v>208</v>
      </c>
      <c r="B70" s="110" t="s">
        <v>209</v>
      </c>
      <c r="C70" s="73">
        <f>SUMPRODUCT(-('Gastos Gerais'!$B$4:$B$615=Analítico!$B70),-(Analítico!C$3&gt;='Gastos Gerais'!$D$4:$D$615),-(Analítico!C$3&lt;='Gastos Gerais'!$E$4:$E$615),-('Gastos Gerais'!$C$4:$C$615))</f>
        <v>65000</v>
      </c>
      <c r="D70" s="73">
        <f>SUMPRODUCT(-('Gastos Gerais'!$B$4:$B$615=Analítico!$B70),-(Analítico!D$3&gt;='Gastos Gerais'!$D$4:$D$615),-(Analítico!D$3&lt;='Gastos Gerais'!$E$4:$E$615),-('Gastos Gerais'!$C$4:$C$615))</f>
        <v>65000</v>
      </c>
      <c r="E70" s="73">
        <f>SUMPRODUCT(-('Gastos Gerais'!$B$4:$B$615=Analítico!$B70),-(Analítico!E$3&gt;='Gastos Gerais'!$D$4:$D$615),-(Analítico!E$3&lt;='Gastos Gerais'!$E$4:$E$615),-('Gastos Gerais'!$C$4:$C$615))</f>
        <v>65000</v>
      </c>
      <c r="F70" s="73">
        <f>SUMPRODUCT(-('Gastos Gerais'!$B$4:$B$615=Analítico!$B70),-(Analítico!F$3&gt;='Gastos Gerais'!$D$4:$D$615),-(Analítico!F$3&lt;='Gastos Gerais'!$E$4:$E$615),-('Gastos Gerais'!$C$4:$C$615))</f>
        <v>65000</v>
      </c>
      <c r="G70" s="73">
        <f>SUMPRODUCT(-('Gastos Gerais'!$B$4:$B$615=Analítico!$B70),-(Analítico!G$3&gt;='Gastos Gerais'!$D$4:$D$615),-(Analítico!G$3&lt;='Gastos Gerais'!$E$4:$E$615),-('Gastos Gerais'!$C$4:$C$615))</f>
        <v>65000</v>
      </c>
      <c r="H70" s="73">
        <f>SUMPRODUCT(-('Gastos Gerais'!$B$4:$B$615=Analítico!$B70),-(Analítico!H$3&gt;='Gastos Gerais'!$D$4:$D$615),-(Analítico!H$3&lt;='Gastos Gerais'!$E$4:$E$615),-('Gastos Gerais'!$C$4:$C$615))</f>
        <v>65000</v>
      </c>
      <c r="I70" s="73">
        <f>SUMPRODUCT(-('Gastos Gerais'!$B$4:$B$615=Analítico!$B70),-(Analítico!I$3&gt;='Gastos Gerais'!$D$4:$D$615),-(Analítico!I$3&lt;='Gastos Gerais'!$E$4:$E$615),-('Gastos Gerais'!$C$4:$C$615))</f>
        <v>65000</v>
      </c>
      <c r="J70" s="73">
        <f>SUMPRODUCT(-('Gastos Gerais'!$B$4:$B$615=Analítico!$B70),-(Analítico!J$3&gt;='Gastos Gerais'!$D$4:$D$615),-(Analítico!J$3&lt;='Gastos Gerais'!$E$4:$E$615),-('Gastos Gerais'!$C$4:$C$615))</f>
        <v>65000</v>
      </c>
      <c r="K70" s="73">
        <f>SUMPRODUCT(-('Gastos Gerais'!$B$4:$B$615=Analítico!$B70),-(Analítico!K$3&gt;='Gastos Gerais'!$D$4:$D$615),-(Analítico!K$3&lt;='Gastos Gerais'!$E$4:$E$615),-('Gastos Gerais'!$C$4:$C$615))</f>
        <v>65000</v>
      </c>
      <c r="L70" s="73">
        <f>SUMPRODUCT(-('Gastos Gerais'!$B$4:$B$615=Analítico!$B70),-(Analítico!L$3&gt;='Gastos Gerais'!$D$4:$D$615),-(Analítico!L$3&lt;='Gastos Gerais'!$E$4:$E$615),-('Gastos Gerais'!$C$4:$C$615))</f>
        <v>65000</v>
      </c>
      <c r="M70" s="73">
        <f>SUMPRODUCT(-('Gastos Gerais'!$B$4:$B$615=Analítico!$B70),-(Analítico!M$3&gt;='Gastos Gerais'!$D$4:$D$615),-(Analítico!M$3&lt;='Gastos Gerais'!$E$4:$E$615),-('Gastos Gerais'!$C$4:$C$615))</f>
        <v>65000</v>
      </c>
      <c r="N70" s="73">
        <f>SUMPRODUCT(-('Gastos Gerais'!$B$4:$B$615=Analítico!$B70),-(Analítico!N$3&gt;='Gastos Gerais'!$D$4:$D$615),-(Analítico!N$3&lt;='Gastos Gerais'!$E$4:$E$615),-('Gastos Gerais'!$C$4:$C$615))</f>
        <v>130000</v>
      </c>
      <c r="O70" s="73">
        <f>SUMPRODUCT(-('Gastos Gerais'!$B$4:$B$615=Analítico!$B70),-(Analítico!O$3&gt;='Gastos Gerais'!$D$4:$D$615),-(Analítico!O$3&lt;='Gastos Gerais'!$E$4:$E$615),-('Gastos Gerais'!$C$4:$C$615))</f>
        <v>80000</v>
      </c>
      <c r="P70" s="73">
        <f>SUMPRODUCT(-('Gastos Gerais'!$B$4:$B$615=Analítico!$B70),-(Analítico!P$3&gt;='Gastos Gerais'!$D$4:$D$615),-(Analítico!P$3&lt;='Gastos Gerais'!$E$4:$E$615),-('Gastos Gerais'!$C$4:$C$615))</f>
        <v>80000</v>
      </c>
      <c r="Q70" s="73">
        <f>SUMPRODUCT(-('Gastos Gerais'!$B$4:$B$615=Analítico!$B70),-(Analítico!Q$3&gt;='Gastos Gerais'!$D$4:$D$615),-(Analítico!Q$3&lt;='Gastos Gerais'!$E$4:$E$615),-('Gastos Gerais'!$C$4:$C$615))</f>
        <v>80000</v>
      </c>
      <c r="R70" s="73">
        <f>SUMPRODUCT(-('Gastos Gerais'!$B$4:$B$615=Analítico!$B70),-(Analítico!R$3&gt;='Gastos Gerais'!$D$4:$D$615),-(Analítico!R$3&lt;='Gastos Gerais'!$E$4:$E$615),-('Gastos Gerais'!$C$4:$C$615))</f>
        <v>80000</v>
      </c>
      <c r="S70" s="73">
        <f>SUMPRODUCT(-('Gastos Gerais'!$B$4:$B$615=Analítico!$B70),-(Analítico!S$3&gt;='Gastos Gerais'!$D$4:$D$615),-(Analítico!S$3&lt;='Gastos Gerais'!$E$4:$E$615),-('Gastos Gerais'!$C$4:$C$615))</f>
        <v>80000</v>
      </c>
      <c r="T70" s="73">
        <f>SUMPRODUCT(-('Gastos Gerais'!$B$4:$B$615=Analítico!$B70),-(Analítico!T$3&gt;='Gastos Gerais'!$D$4:$D$615),-(Analítico!T$3&lt;='Gastos Gerais'!$E$4:$E$615),-('Gastos Gerais'!$C$4:$C$615))</f>
        <v>80000</v>
      </c>
      <c r="U70" s="73">
        <f>SUMPRODUCT(-('Gastos Gerais'!$B$4:$B$615=Analítico!$B70),-(Analítico!U$3&gt;='Gastos Gerais'!$D$4:$D$615),-(Analítico!U$3&lt;='Gastos Gerais'!$E$4:$E$615),-('Gastos Gerais'!$C$4:$C$615))</f>
        <v>80000</v>
      </c>
      <c r="V70" s="73">
        <f>SUMPRODUCT(-('Gastos Gerais'!$B$4:$B$615=Analítico!$B70),-(Analítico!V$3&gt;='Gastos Gerais'!$D$4:$D$615),-(Analítico!V$3&lt;='Gastos Gerais'!$E$4:$E$615),-('Gastos Gerais'!$C$4:$C$615))</f>
        <v>80000</v>
      </c>
      <c r="W70" s="73">
        <f>SUMPRODUCT(-('Gastos Gerais'!$B$4:$B$615=Analítico!$B70),-(Analítico!W$3&gt;='Gastos Gerais'!$D$4:$D$615),-(Analítico!W$3&lt;='Gastos Gerais'!$E$4:$E$615),-('Gastos Gerais'!$C$4:$C$615))</f>
        <v>80000</v>
      </c>
      <c r="X70" s="73">
        <f>SUMPRODUCT(-('Gastos Gerais'!$B$4:$B$615=Analítico!$B70),-(Analítico!X$3&gt;='Gastos Gerais'!$D$4:$D$615),-(Analítico!X$3&lt;='Gastos Gerais'!$E$4:$E$615),-('Gastos Gerais'!$C$4:$C$615))</f>
        <v>80000</v>
      </c>
      <c r="Y70" s="73">
        <f>SUMPRODUCT(-('Gastos Gerais'!$B$4:$B$615=Analítico!$B70),-(Analítico!Y$3&gt;='Gastos Gerais'!$D$4:$D$615),-(Analítico!Y$3&lt;='Gastos Gerais'!$E$4:$E$615),-('Gastos Gerais'!$C$4:$C$615))</f>
        <v>80000</v>
      </c>
      <c r="Z70" s="73">
        <f>SUMPRODUCT(-('Gastos Gerais'!$B$4:$B$615=Analítico!$B70),-(Analítico!Z$3&gt;='Gastos Gerais'!$D$4:$D$615),-(Analítico!Z$3&lt;='Gastos Gerais'!$E$4:$E$615),-('Gastos Gerais'!$C$4:$C$615))</f>
        <v>160000</v>
      </c>
      <c r="AA70" s="73">
        <f>SUMPRODUCT(-('Gastos Gerais'!$B$4:$B$615=Analítico!$B70),-(Analítico!AA$3&gt;='Gastos Gerais'!$D$4:$D$615),-(Analítico!AA$3&lt;='Gastos Gerais'!$E$4:$E$615),-('Gastos Gerais'!$C$4:$C$615))</f>
        <v>85000</v>
      </c>
      <c r="AB70" s="73">
        <f>SUMPRODUCT(-('Gastos Gerais'!$B$4:$B$615=Analítico!$B70),-(Analítico!AB$3&gt;='Gastos Gerais'!$D$4:$D$615),-(Analítico!AB$3&lt;='Gastos Gerais'!$E$4:$E$615),-('Gastos Gerais'!$C$4:$C$615))</f>
        <v>85000</v>
      </c>
      <c r="AC70" s="73">
        <f>SUMPRODUCT(-('Gastos Gerais'!$B$4:$B$615=Analítico!$B70),-(Analítico!AC$3&gt;='Gastos Gerais'!$D$4:$D$615),-(Analítico!AC$3&lt;='Gastos Gerais'!$E$4:$E$615),-('Gastos Gerais'!$C$4:$C$615))</f>
        <v>85000</v>
      </c>
      <c r="AD70" s="73">
        <f>SUMPRODUCT(-('Gastos Gerais'!$B$4:$B$615=Analítico!$B70),-(Analítico!AD$3&gt;='Gastos Gerais'!$D$4:$D$615),-(Analítico!AD$3&lt;='Gastos Gerais'!$E$4:$E$615),-('Gastos Gerais'!$C$4:$C$615))</f>
        <v>85000</v>
      </c>
      <c r="AE70" s="73">
        <f>SUMPRODUCT(-('Gastos Gerais'!$B$4:$B$615=Analítico!$B70),-(Analítico!AE$3&gt;='Gastos Gerais'!$D$4:$D$615),-(Analítico!AE$3&lt;='Gastos Gerais'!$E$4:$E$615),-('Gastos Gerais'!$C$4:$C$615))</f>
        <v>85000</v>
      </c>
      <c r="AF70" s="73">
        <f>SUMPRODUCT(-('Gastos Gerais'!$B$4:$B$615=Analítico!$B70),-(Analítico!AF$3&gt;='Gastos Gerais'!$D$4:$D$615),-(Analítico!AF$3&lt;='Gastos Gerais'!$E$4:$E$615),-('Gastos Gerais'!$C$4:$C$615))</f>
        <v>85000</v>
      </c>
      <c r="AG70" s="73">
        <f>SUMPRODUCT(-('Gastos Gerais'!$B$4:$B$615=Analítico!$B70),-(Analítico!AG$3&gt;='Gastos Gerais'!$D$4:$D$615),-(Analítico!AG$3&lt;='Gastos Gerais'!$E$4:$E$615),-('Gastos Gerais'!$C$4:$C$615))</f>
        <v>85000</v>
      </c>
      <c r="AH70" s="73">
        <f>SUMPRODUCT(-('Gastos Gerais'!$B$4:$B$615=Analítico!$B70),-(Analítico!AH$3&gt;='Gastos Gerais'!$D$4:$D$615),-(Analítico!AH$3&lt;='Gastos Gerais'!$E$4:$E$615),-('Gastos Gerais'!$C$4:$C$615))</f>
        <v>85000</v>
      </c>
      <c r="AI70" s="73">
        <f>SUMPRODUCT(-('Gastos Gerais'!$B$4:$B$615=Analítico!$B70),-(Analítico!AI$3&gt;='Gastos Gerais'!$D$4:$D$615),-(Analítico!AI$3&lt;='Gastos Gerais'!$E$4:$E$615),-('Gastos Gerais'!$C$4:$C$615))</f>
        <v>85000</v>
      </c>
      <c r="AJ70" s="73">
        <f>SUMPRODUCT(-('Gastos Gerais'!$B$4:$B$615=Analítico!$B70),-(Analítico!AJ$3&gt;='Gastos Gerais'!$D$4:$D$615),-(Analítico!AJ$3&lt;='Gastos Gerais'!$E$4:$E$615),-('Gastos Gerais'!$C$4:$C$615))</f>
        <v>85000</v>
      </c>
      <c r="AK70" s="73">
        <f>SUMPRODUCT(-('Gastos Gerais'!$B$4:$B$615=Analítico!$B70),-(Analítico!AK$3&gt;='Gastos Gerais'!$D$4:$D$615),-(Analítico!AK$3&lt;='Gastos Gerais'!$E$4:$E$615),-('Gastos Gerais'!$C$4:$C$615))</f>
        <v>85000</v>
      </c>
      <c r="AL70" s="73">
        <f>SUMPRODUCT(-('Gastos Gerais'!$B$4:$B$615=Analítico!$B70),-(Analítico!AL$3&gt;='Gastos Gerais'!$D$4:$D$615),-(Analítico!AL$3&lt;='Gastos Gerais'!$E$4:$E$615),-('Gastos Gerais'!$C$4:$C$615))</f>
        <v>170000</v>
      </c>
      <c r="AM70" s="73">
        <f>SUMPRODUCT(-('Gastos Gerais'!$B$4:$B$615=Analítico!$B70),-(Analítico!AM$3&gt;='Gastos Gerais'!$D$4:$D$615),-(Analítico!AM$3&lt;='Gastos Gerais'!$E$4:$E$615),-('Gastos Gerais'!$C$4:$C$615))</f>
        <v>0</v>
      </c>
      <c r="AN70" s="73">
        <f>SUMPRODUCT(-('Gastos Gerais'!$B$4:$B$615=Analítico!$B70),-(Analítico!AN$3&gt;='Gastos Gerais'!$D$4:$D$615),-(Analítico!AN$3&lt;='Gastos Gerais'!$E$4:$E$615),-('Gastos Gerais'!$C$4:$C$615))</f>
        <v>0</v>
      </c>
      <c r="AO70" s="73">
        <f>SUMPRODUCT(-('Gastos Gerais'!$B$4:$B$615=Analítico!$B70),-(Analítico!AO$3&gt;='Gastos Gerais'!$D$4:$D$615),-(Analítico!AO$3&lt;='Gastos Gerais'!$E$4:$E$615),-('Gastos Gerais'!$C$4:$C$615))</f>
        <v>0</v>
      </c>
      <c r="AP70" s="73">
        <f>SUMPRODUCT(-('Gastos Gerais'!$B$4:$B$615=Analítico!$B70),-(Analítico!AP$3&gt;='Gastos Gerais'!$D$4:$D$615),-(Analítico!AP$3&lt;='Gastos Gerais'!$E$4:$E$615),-('Gastos Gerais'!$C$4:$C$615))</f>
        <v>0</v>
      </c>
      <c r="AQ70" s="73">
        <f>SUMPRODUCT(-('Gastos Gerais'!$B$4:$B$615=Analítico!$B70),-(Analítico!AQ$3&gt;='Gastos Gerais'!$D$4:$D$615),-(Analítico!AQ$3&lt;='Gastos Gerais'!$E$4:$E$615),-('Gastos Gerais'!$C$4:$C$615))</f>
        <v>0</v>
      </c>
      <c r="AR70" s="73">
        <f>SUMPRODUCT(-('Gastos Gerais'!$B$4:$B$615=Analítico!$B70),-(Analítico!AR$3&gt;='Gastos Gerais'!$D$4:$D$615),-(Analítico!AR$3&lt;='Gastos Gerais'!$E$4:$E$615),-('Gastos Gerais'!$C$4:$C$615))</f>
        <v>0</v>
      </c>
      <c r="AS70" s="73">
        <f>SUMPRODUCT(-('Gastos Gerais'!$B$4:$B$615=Analítico!$B70),-(Analítico!AS$3&gt;='Gastos Gerais'!$D$4:$D$615),-(Analítico!AS$3&lt;='Gastos Gerais'!$E$4:$E$615),-('Gastos Gerais'!$C$4:$C$615))</f>
        <v>0</v>
      </c>
      <c r="AT70" s="73">
        <f>SUMPRODUCT(-('Gastos Gerais'!$B$4:$B$615=Analítico!$B70),-(Analítico!AT$3&gt;='Gastos Gerais'!$D$4:$D$615),-(Analítico!AT$3&lt;='Gastos Gerais'!$E$4:$E$615),-('Gastos Gerais'!$C$4:$C$615))</f>
        <v>0</v>
      </c>
      <c r="AU70" s="73">
        <f>SUMPRODUCT(-('Gastos Gerais'!$B$4:$B$615=Analítico!$B70),-(Analítico!AU$3&gt;='Gastos Gerais'!$D$4:$D$615),-(Analítico!AU$3&lt;='Gastos Gerais'!$E$4:$E$615),-('Gastos Gerais'!$C$4:$C$615))</f>
        <v>0</v>
      </c>
      <c r="AV70" s="73">
        <f>SUMPRODUCT(-('Gastos Gerais'!$B$4:$B$615=Analítico!$B70),-(Analítico!AV$3&gt;='Gastos Gerais'!$D$4:$D$615),-(Analítico!AV$3&lt;='Gastos Gerais'!$E$4:$E$615),-('Gastos Gerais'!$C$4:$C$615))</f>
        <v>0</v>
      </c>
      <c r="AW70" s="73">
        <f>SUMPRODUCT(-('Gastos Gerais'!$B$4:$B$615=Analítico!$B70),-(Analítico!AW$3&gt;='Gastos Gerais'!$D$4:$D$615),-(Analítico!AW$3&lt;='Gastos Gerais'!$E$4:$E$615),-('Gastos Gerais'!$C$4:$C$615))</f>
        <v>0</v>
      </c>
      <c r="AX70" s="73">
        <f>SUMPRODUCT(-('Gastos Gerais'!$B$4:$B$615=Analítico!$B70),-(Analítico!AX$3&gt;='Gastos Gerais'!$D$4:$D$615),-(Analítico!AX$3&lt;='Gastos Gerais'!$E$4:$E$615),-('Gastos Gerais'!$C$4:$C$615))</f>
        <v>0</v>
      </c>
      <c r="AY70" s="73">
        <f>SUMPRODUCT(-('Gastos Gerais'!$B$4:$B$615=Analítico!$B70),-(Analítico!AY$3&gt;='Gastos Gerais'!$D$4:$D$615),-(Analítico!AY$3&lt;='Gastos Gerais'!$E$4:$E$615),-('Gastos Gerais'!$C$4:$C$615))</f>
        <v>0</v>
      </c>
      <c r="AZ70" s="73">
        <f>SUMPRODUCT(-('Gastos Gerais'!$B$4:$B$615=Analítico!$B70),-(Analítico!AZ$3&gt;='Gastos Gerais'!$D$4:$D$615),-(Analítico!AZ$3&lt;='Gastos Gerais'!$E$4:$E$615),-('Gastos Gerais'!$C$4:$C$615))</f>
        <v>0</v>
      </c>
      <c r="BA70" s="73">
        <f>SUMPRODUCT(-('Gastos Gerais'!$B$4:$B$615=Analítico!$B70),-(Analítico!BA$3&gt;='Gastos Gerais'!$D$4:$D$615),-(Analítico!BA$3&lt;='Gastos Gerais'!$E$4:$E$615),-('Gastos Gerais'!$C$4:$C$615))</f>
        <v>0</v>
      </c>
      <c r="BB70" s="73">
        <f>SUMPRODUCT(-('Gastos Gerais'!$B$4:$B$615=Analítico!$B70),-(Analítico!BB$3&gt;='Gastos Gerais'!$D$4:$D$615),-(Analítico!BB$3&lt;='Gastos Gerais'!$E$4:$E$615),-('Gastos Gerais'!$C$4:$C$615))</f>
        <v>0</v>
      </c>
      <c r="BC70" s="73">
        <f>SUMPRODUCT(-('Gastos Gerais'!$B$4:$B$615=Analítico!$B70),-(Analítico!BC$3&gt;='Gastos Gerais'!$D$4:$D$615),-(Analítico!BC$3&lt;='Gastos Gerais'!$E$4:$E$615),-('Gastos Gerais'!$C$4:$C$615))</f>
        <v>0</v>
      </c>
      <c r="BD70" s="73">
        <f>SUMPRODUCT(-('Gastos Gerais'!$B$4:$B$615=Analítico!$B70),-(Analítico!BD$3&gt;='Gastos Gerais'!$D$4:$D$615),-(Analítico!BD$3&lt;='Gastos Gerais'!$E$4:$E$615),-('Gastos Gerais'!$C$4:$C$615))</f>
        <v>0</v>
      </c>
      <c r="BE70" s="73">
        <f>SUMPRODUCT(-('Gastos Gerais'!$B$4:$B$615=Analítico!$B70),-(Analítico!BE$3&gt;='Gastos Gerais'!$D$4:$D$615),-(Analítico!BE$3&lt;='Gastos Gerais'!$E$4:$E$615),-('Gastos Gerais'!$C$4:$C$615))</f>
        <v>0</v>
      </c>
      <c r="BF70" s="73">
        <f>SUMPRODUCT(-('Gastos Gerais'!$B$4:$B$615=Analítico!$B70),-(Analítico!BF$3&gt;='Gastos Gerais'!$D$4:$D$615),-(Analítico!BF$3&lt;='Gastos Gerais'!$E$4:$E$615),-('Gastos Gerais'!$C$4:$C$615))</f>
        <v>0</v>
      </c>
      <c r="BG70" s="73">
        <f>SUMPRODUCT(-('Gastos Gerais'!$B$4:$B$615=Analítico!$B70),-(Analítico!BG$3&gt;='Gastos Gerais'!$D$4:$D$615),-(Analítico!BG$3&lt;='Gastos Gerais'!$E$4:$E$615),-('Gastos Gerais'!$C$4:$C$615))</f>
        <v>0</v>
      </c>
      <c r="BH70" s="73">
        <f>SUMPRODUCT(-('Gastos Gerais'!$B$4:$B$615=Analítico!$B70),-(Analítico!BH$3&gt;='Gastos Gerais'!$D$4:$D$615),-(Analítico!BH$3&lt;='Gastos Gerais'!$E$4:$E$615),-('Gastos Gerais'!$C$4:$C$615))</f>
        <v>0</v>
      </c>
      <c r="BI70" s="73">
        <f>SUMPRODUCT(-('Gastos Gerais'!$B$4:$B$615=Analítico!$B70),-(Analítico!BI$3&gt;='Gastos Gerais'!$D$4:$D$615),-(Analítico!BI$3&lt;='Gastos Gerais'!$E$4:$E$615),-('Gastos Gerais'!$C$4:$C$615))</f>
        <v>0</v>
      </c>
      <c r="BJ70" s="73">
        <f>SUMPRODUCT(-('Gastos Gerais'!$B$4:$B$615=Analítico!$B70),-(Analítico!BJ$3&gt;='Gastos Gerais'!$D$4:$D$615),-(Analítico!BJ$3&lt;='Gastos Gerais'!$E$4:$E$615),-('Gastos Gerais'!$C$4:$C$615))</f>
        <v>0</v>
      </c>
      <c r="BK70" s="71">
        <f t="shared" si="31"/>
        <v>2990000</v>
      </c>
      <c r="BL70" s="76">
        <f t="shared" ca="1" si="32"/>
        <v>8.1555192920216447E-3</v>
      </c>
    </row>
    <row r="71" spans="1:64" s="49" customFormat="1" ht="23.25" customHeight="1" x14ac:dyDescent="0.2">
      <c r="A71" s="109" t="s">
        <v>210</v>
      </c>
      <c r="B71" s="110" t="s">
        <v>211</v>
      </c>
      <c r="C71" s="73">
        <f>SUMPRODUCT(-('Gastos Gerais'!$B$4:$B$615=Analítico!$B71),-(Analítico!C$3&gt;='Gastos Gerais'!$D$4:$D$615),-(Analítico!C$3&lt;='Gastos Gerais'!$E$4:$E$615),-('Gastos Gerais'!$C$4:$C$615))</f>
        <v>0</v>
      </c>
      <c r="D71" s="73">
        <f>SUMPRODUCT(-('Gastos Gerais'!$B$4:$B$615=Analítico!$B71),-(Analítico!D$3&gt;='Gastos Gerais'!$D$4:$D$615),-(Analítico!D$3&lt;='Gastos Gerais'!$E$4:$E$615),-('Gastos Gerais'!$C$4:$C$615))</f>
        <v>0</v>
      </c>
      <c r="E71" s="73">
        <f>SUMPRODUCT(-('Gastos Gerais'!$B$4:$B$615=Analítico!$B71),-(Analítico!E$3&gt;='Gastos Gerais'!$D$4:$D$615),-(Analítico!E$3&lt;='Gastos Gerais'!$E$4:$E$615),-('Gastos Gerais'!$C$4:$C$615))</f>
        <v>0</v>
      </c>
      <c r="F71" s="73">
        <f>SUMPRODUCT(-('Gastos Gerais'!$B$4:$B$615=Analítico!$B71),-(Analítico!F$3&gt;='Gastos Gerais'!$D$4:$D$615),-(Analítico!F$3&lt;='Gastos Gerais'!$E$4:$E$615),-('Gastos Gerais'!$C$4:$C$615))</f>
        <v>0</v>
      </c>
      <c r="G71" s="73">
        <f>SUMPRODUCT(-('Gastos Gerais'!$B$4:$B$615=Analítico!$B71),-(Analítico!G$3&gt;='Gastos Gerais'!$D$4:$D$615),-(Analítico!G$3&lt;='Gastos Gerais'!$E$4:$E$615),-('Gastos Gerais'!$C$4:$C$615))</f>
        <v>0</v>
      </c>
      <c r="H71" s="73">
        <f>SUMPRODUCT(-('Gastos Gerais'!$B$4:$B$615=Analítico!$B71),-(Analítico!H$3&gt;='Gastos Gerais'!$D$4:$D$615),-(Analítico!H$3&lt;='Gastos Gerais'!$E$4:$E$615),-('Gastos Gerais'!$C$4:$C$615))</f>
        <v>0</v>
      </c>
      <c r="I71" s="73">
        <f>SUMPRODUCT(-('Gastos Gerais'!$B$4:$B$615=Analítico!$B71),-(Analítico!I$3&gt;='Gastos Gerais'!$D$4:$D$615),-(Analítico!I$3&lt;='Gastos Gerais'!$E$4:$E$615),-('Gastos Gerais'!$C$4:$C$615))</f>
        <v>0</v>
      </c>
      <c r="J71" s="73">
        <f>SUMPRODUCT(-('Gastos Gerais'!$B$4:$B$615=Analítico!$B71),-(Analítico!J$3&gt;='Gastos Gerais'!$D$4:$D$615),-(Analítico!J$3&lt;='Gastos Gerais'!$E$4:$E$615),-('Gastos Gerais'!$C$4:$C$615))</f>
        <v>0</v>
      </c>
      <c r="K71" s="73">
        <f>SUMPRODUCT(-('Gastos Gerais'!$B$4:$B$615=Analítico!$B71),-(Analítico!K$3&gt;='Gastos Gerais'!$D$4:$D$615),-(Analítico!K$3&lt;='Gastos Gerais'!$E$4:$E$615),-('Gastos Gerais'!$C$4:$C$615))</f>
        <v>0</v>
      </c>
      <c r="L71" s="73">
        <f>SUMPRODUCT(-('Gastos Gerais'!$B$4:$B$615=Analítico!$B71),-(Analítico!L$3&gt;='Gastos Gerais'!$D$4:$D$615),-(Analítico!L$3&lt;='Gastos Gerais'!$E$4:$E$615),-('Gastos Gerais'!$C$4:$C$615))</f>
        <v>0</v>
      </c>
      <c r="M71" s="73">
        <f>SUMPRODUCT(-('Gastos Gerais'!$B$4:$B$615=Analítico!$B71),-(Analítico!M$3&gt;='Gastos Gerais'!$D$4:$D$615),-(Analítico!M$3&lt;='Gastos Gerais'!$E$4:$E$615),-('Gastos Gerais'!$C$4:$C$615))</f>
        <v>0</v>
      </c>
      <c r="N71" s="73">
        <f>SUMPRODUCT(-('Gastos Gerais'!$B$4:$B$615=Analítico!$B71),-(Analítico!N$3&gt;='Gastos Gerais'!$D$4:$D$615),-(Analítico!N$3&lt;='Gastos Gerais'!$E$4:$E$615),-('Gastos Gerais'!$C$4:$C$615))</f>
        <v>0</v>
      </c>
      <c r="O71" s="73">
        <f>SUMPRODUCT(-('Gastos Gerais'!$B$4:$B$615=Analítico!$B71),-(Analítico!O$3&gt;='Gastos Gerais'!$D$4:$D$615),-(Analítico!O$3&lt;='Gastos Gerais'!$E$4:$E$615),-('Gastos Gerais'!$C$4:$C$615))</f>
        <v>0</v>
      </c>
      <c r="P71" s="73">
        <f>SUMPRODUCT(-('Gastos Gerais'!$B$4:$B$615=Analítico!$B71),-(Analítico!P$3&gt;='Gastos Gerais'!$D$4:$D$615),-(Analítico!P$3&lt;='Gastos Gerais'!$E$4:$E$615),-('Gastos Gerais'!$C$4:$C$615))</f>
        <v>0</v>
      </c>
      <c r="Q71" s="73">
        <f>SUMPRODUCT(-('Gastos Gerais'!$B$4:$B$615=Analítico!$B71),-(Analítico!Q$3&gt;='Gastos Gerais'!$D$4:$D$615),-(Analítico!Q$3&lt;='Gastos Gerais'!$E$4:$E$615),-('Gastos Gerais'!$C$4:$C$615))</f>
        <v>0</v>
      </c>
      <c r="R71" s="73">
        <f>SUMPRODUCT(-('Gastos Gerais'!$B$4:$B$615=Analítico!$B71),-(Analítico!R$3&gt;='Gastos Gerais'!$D$4:$D$615),-(Analítico!R$3&lt;='Gastos Gerais'!$E$4:$E$615),-('Gastos Gerais'!$C$4:$C$615))</f>
        <v>0</v>
      </c>
      <c r="S71" s="73">
        <f>SUMPRODUCT(-('Gastos Gerais'!$B$4:$B$615=Analítico!$B71),-(Analítico!S$3&gt;='Gastos Gerais'!$D$4:$D$615),-(Analítico!S$3&lt;='Gastos Gerais'!$E$4:$E$615),-('Gastos Gerais'!$C$4:$C$615))</f>
        <v>0</v>
      </c>
      <c r="T71" s="73">
        <f>SUMPRODUCT(-('Gastos Gerais'!$B$4:$B$615=Analítico!$B71),-(Analítico!T$3&gt;='Gastos Gerais'!$D$4:$D$615),-(Analítico!T$3&lt;='Gastos Gerais'!$E$4:$E$615),-('Gastos Gerais'!$C$4:$C$615))</f>
        <v>0</v>
      </c>
      <c r="U71" s="73">
        <f>SUMPRODUCT(-('Gastos Gerais'!$B$4:$B$615=Analítico!$B71),-(Analítico!U$3&gt;='Gastos Gerais'!$D$4:$D$615),-(Analítico!U$3&lt;='Gastos Gerais'!$E$4:$E$615),-('Gastos Gerais'!$C$4:$C$615))</f>
        <v>0</v>
      </c>
      <c r="V71" s="73">
        <f>SUMPRODUCT(-('Gastos Gerais'!$B$4:$B$615=Analítico!$B71),-(Analítico!V$3&gt;='Gastos Gerais'!$D$4:$D$615),-(Analítico!V$3&lt;='Gastos Gerais'!$E$4:$E$615),-('Gastos Gerais'!$C$4:$C$615))</f>
        <v>0</v>
      </c>
      <c r="W71" s="73">
        <f>SUMPRODUCT(-('Gastos Gerais'!$B$4:$B$615=Analítico!$B71),-(Analítico!W$3&gt;='Gastos Gerais'!$D$4:$D$615),-(Analítico!W$3&lt;='Gastos Gerais'!$E$4:$E$615),-('Gastos Gerais'!$C$4:$C$615))</f>
        <v>0</v>
      </c>
      <c r="X71" s="73">
        <f>SUMPRODUCT(-('Gastos Gerais'!$B$4:$B$615=Analítico!$B71),-(Analítico!X$3&gt;='Gastos Gerais'!$D$4:$D$615),-(Analítico!X$3&lt;='Gastos Gerais'!$E$4:$E$615),-('Gastos Gerais'!$C$4:$C$615))</f>
        <v>0</v>
      </c>
      <c r="Y71" s="73">
        <f>SUMPRODUCT(-('Gastos Gerais'!$B$4:$B$615=Analítico!$B71),-(Analítico!Y$3&gt;='Gastos Gerais'!$D$4:$D$615),-(Analítico!Y$3&lt;='Gastos Gerais'!$E$4:$E$615),-('Gastos Gerais'!$C$4:$C$615))</f>
        <v>0</v>
      </c>
      <c r="Z71" s="73">
        <f>SUMPRODUCT(-('Gastos Gerais'!$B$4:$B$615=Analítico!$B71),-(Analítico!Z$3&gt;='Gastos Gerais'!$D$4:$D$615),-(Analítico!Z$3&lt;='Gastos Gerais'!$E$4:$E$615),-('Gastos Gerais'!$C$4:$C$615))</f>
        <v>0</v>
      </c>
      <c r="AA71" s="73">
        <f>SUMPRODUCT(-('Gastos Gerais'!$B$4:$B$615=Analítico!$B71),-(Analítico!AA$3&gt;='Gastos Gerais'!$D$4:$D$615),-(Analítico!AA$3&lt;='Gastos Gerais'!$E$4:$E$615),-('Gastos Gerais'!$C$4:$C$615))</f>
        <v>0</v>
      </c>
      <c r="AB71" s="73">
        <f>SUMPRODUCT(-('Gastos Gerais'!$B$4:$B$615=Analítico!$B71),-(Analítico!AB$3&gt;='Gastos Gerais'!$D$4:$D$615),-(Analítico!AB$3&lt;='Gastos Gerais'!$E$4:$E$615),-('Gastos Gerais'!$C$4:$C$615))</f>
        <v>0</v>
      </c>
      <c r="AC71" s="73">
        <f>SUMPRODUCT(-('Gastos Gerais'!$B$4:$B$615=Analítico!$B71),-(Analítico!AC$3&gt;='Gastos Gerais'!$D$4:$D$615),-(Analítico!AC$3&lt;='Gastos Gerais'!$E$4:$E$615),-('Gastos Gerais'!$C$4:$C$615))</f>
        <v>0</v>
      </c>
      <c r="AD71" s="73">
        <f>SUMPRODUCT(-('Gastos Gerais'!$B$4:$B$615=Analítico!$B71),-(Analítico!AD$3&gt;='Gastos Gerais'!$D$4:$D$615),-(Analítico!AD$3&lt;='Gastos Gerais'!$E$4:$E$615),-('Gastos Gerais'!$C$4:$C$615))</f>
        <v>0</v>
      </c>
      <c r="AE71" s="73">
        <f>SUMPRODUCT(-('Gastos Gerais'!$B$4:$B$615=Analítico!$B71),-(Analítico!AE$3&gt;='Gastos Gerais'!$D$4:$D$615),-(Analítico!AE$3&lt;='Gastos Gerais'!$E$4:$E$615),-('Gastos Gerais'!$C$4:$C$615))</f>
        <v>0</v>
      </c>
      <c r="AF71" s="73">
        <f>SUMPRODUCT(-('Gastos Gerais'!$B$4:$B$615=Analítico!$B71),-(Analítico!AF$3&gt;='Gastos Gerais'!$D$4:$D$615),-(Analítico!AF$3&lt;='Gastos Gerais'!$E$4:$E$615),-('Gastos Gerais'!$C$4:$C$615))</f>
        <v>0</v>
      </c>
      <c r="AG71" s="73">
        <f>SUMPRODUCT(-('Gastos Gerais'!$B$4:$B$615=Analítico!$B71),-(Analítico!AG$3&gt;='Gastos Gerais'!$D$4:$D$615),-(Analítico!AG$3&lt;='Gastos Gerais'!$E$4:$E$615),-('Gastos Gerais'!$C$4:$C$615))</f>
        <v>0</v>
      </c>
      <c r="AH71" s="73">
        <f>SUMPRODUCT(-('Gastos Gerais'!$B$4:$B$615=Analítico!$B71),-(Analítico!AH$3&gt;='Gastos Gerais'!$D$4:$D$615),-(Analítico!AH$3&lt;='Gastos Gerais'!$E$4:$E$615),-('Gastos Gerais'!$C$4:$C$615))</f>
        <v>0</v>
      </c>
      <c r="AI71" s="73">
        <f>SUMPRODUCT(-('Gastos Gerais'!$B$4:$B$615=Analítico!$B71),-(Analítico!AI$3&gt;='Gastos Gerais'!$D$4:$D$615),-(Analítico!AI$3&lt;='Gastos Gerais'!$E$4:$E$615),-('Gastos Gerais'!$C$4:$C$615))</f>
        <v>0</v>
      </c>
      <c r="AJ71" s="73">
        <f>SUMPRODUCT(-('Gastos Gerais'!$B$4:$B$615=Analítico!$B71),-(Analítico!AJ$3&gt;='Gastos Gerais'!$D$4:$D$615),-(Analítico!AJ$3&lt;='Gastos Gerais'!$E$4:$E$615),-('Gastos Gerais'!$C$4:$C$615))</f>
        <v>0</v>
      </c>
      <c r="AK71" s="73">
        <f>SUMPRODUCT(-('Gastos Gerais'!$B$4:$B$615=Analítico!$B71),-(Analítico!AK$3&gt;='Gastos Gerais'!$D$4:$D$615),-(Analítico!AK$3&lt;='Gastos Gerais'!$E$4:$E$615),-('Gastos Gerais'!$C$4:$C$615))</f>
        <v>0</v>
      </c>
      <c r="AL71" s="73">
        <f>SUMPRODUCT(-('Gastos Gerais'!$B$4:$B$615=Analítico!$B71),-(Analítico!AL$3&gt;='Gastos Gerais'!$D$4:$D$615),-(Analítico!AL$3&lt;='Gastos Gerais'!$E$4:$E$615),-('Gastos Gerais'!$C$4:$C$615))</f>
        <v>0</v>
      </c>
      <c r="AM71" s="73">
        <f>SUMPRODUCT(-('Gastos Gerais'!$B$4:$B$615=Analítico!$B71),-(Analítico!AM$3&gt;='Gastos Gerais'!$D$4:$D$615),-(Analítico!AM$3&lt;='Gastos Gerais'!$E$4:$E$615),-('Gastos Gerais'!$C$4:$C$615))</f>
        <v>0</v>
      </c>
      <c r="AN71" s="73">
        <f>SUMPRODUCT(-('Gastos Gerais'!$B$4:$B$615=Analítico!$B71),-(Analítico!AN$3&gt;='Gastos Gerais'!$D$4:$D$615),-(Analítico!AN$3&lt;='Gastos Gerais'!$E$4:$E$615),-('Gastos Gerais'!$C$4:$C$615))</f>
        <v>0</v>
      </c>
      <c r="AO71" s="73">
        <f>SUMPRODUCT(-('Gastos Gerais'!$B$4:$B$615=Analítico!$B71),-(Analítico!AO$3&gt;='Gastos Gerais'!$D$4:$D$615),-(Analítico!AO$3&lt;='Gastos Gerais'!$E$4:$E$615),-('Gastos Gerais'!$C$4:$C$615))</f>
        <v>0</v>
      </c>
      <c r="AP71" s="73">
        <f>SUMPRODUCT(-('Gastos Gerais'!$B$4:$B$615=Analítico!$B71),-(Analítico!AP$3&gt;='Gastos Gerais'!$D$4:$D$615),-(Analítico!AP$3&lt;='Gastos Gerais'!$E$4:$E$615),-('Gastos Gerais'!$C$4:$C$615))</f>
        <v>0</v>
      </c>
      <c r="AQ71" s="73">
        <f>SUMPRODUCT(-('Gastos Gerais'!$B$4:$B$615=Analítico!$B71),-(Analítico!AQ$3&gt;='Gastos Gerais'!$D$4:$D$615),-(Analítico!AQ$3&lt;='Gastos Gerais'!$E$4:$E$615),-('Gastos Gerais'!$C$4:$C$615))</f>
        <v>0</v>
      </c>
      <c r="AR71" s="73">
        <f>SUMPRODUCT(-('Gastos Gerais'!$B$4:$B$615=Analítico!$B71),-(Analítico!AR$3&gt;='Gastos Gerais'!$D$4:$D$615),-(Analítico!AR$3&lt;='Gastos Gerais'!$E$4:$E$615),-('Gastos Gerais'!$C$4:$C$615))</f>
        <v>0</v>
      </c>
      <c r="AS71" s="73">
        <f>SUMPRODUCT(-('Gastos Gerais'!$B$4:$B$615=Analítico!$B71),-(Analítico!AS$3&gt;='Gastos Gerais'!$D$4:$D$615),-(Analítico!AS$3&lt;='Gastos Gerais'!$E$4:$E$615),-('Gastos Gerais'!$C$4:$C$615))</f>
        <v>0</v>
      </c>
      <c r="AT71" s="73">
        <f>SUMPRODUCT(-('Gastos Gerais'!$B$4:$B$615=Analítico!$B71),-(Analítico!AT$3&gt;='Gastos Gerais'!$D$4:$D$615),-(Analítico!AT$3&lt;='Gastos Gerais'!$E$4:$E$615),-('Gastos Gerais'!$C$4:$C$615))</f>
        <v>0</v>
      </c>
      <c r="AU71" s="73">
        <f>SUMPRODUCT(-('Gastos Gerais'!$B$4:$B$615=Analítico!$B71),-(Analítico!AU$3&gt;='Gastos Gerais'!$D$4:$D$615),-(Analítico!AU$3&lt;='Gastos Gerais'!$E$4:$E$615),-('Gastos Gerais'!$C$4:$C$615))</f>
        <v>0</v>
      </c>
      <c r="AV71" s="73">
        <f>SUMPRODUCT(-('Gastos Gerais'!$B$4:$B$615=Analítico!$B71),-(Analítico!AV$3&gt;='Gastos Gerais'!$D$4:$D$615),-(Analítico!AV$3&lt;='Gastos Gerais'!$E$4:$E$615),-('Gastos Gerais'!$C$4:$C$615))</f>
        <v>0</v>
      </c>
      <c r="AW71" s="73">
        <f>SUMPRODUCT(-('Gastos Gerais'!$B$4:$B$615=Analítico!$B71),-(Analítico!AW$3&gt;='Gastos Gerais'!$D$4:$D$615),-(Analítico!AW$3&lt;='Gastos Gerais'!$E$4:$E$615),-('Gastos Gerais'!$C$4:$C$615))</f>
        <v>0</v>
      </c>
      <c r="AX71" s="73">
        <f>SUMPRODUCT(-('Gastos Gerais'!$B$4:$B$615=Analítico!$B71),-(Analítico!AX$3&gt;='Gastos Gerais'!$D$4:$D$615),-(Analítico!AX$3&lt;='Gastos Gerais'!$E$4:$E$615),-('Gastos Gerais'!$C$4:$C$615))</f>
        <v>0</v>
      </c>
      <c r="AY71" s="73">
        <f>SUMPRODUCT(-('Gastos Gerais'!$B$4:$B$615=Analítico!$B71),-(Analítico!AY$3&gt;='Gastos Gerais'!$D$4:$D$615),-(Analítico!AY$3&lt;='Gastos Gerais'!$E$4:$E$615),-('Gastos Gerais'!$C$4:$C$615))</f>
        <v>0</v>
      </c>
      <c r="AZ71" s="73">
        <f>SUMPRODUCT(-('Gastos Gerais'!$B$4:$B$615=Analítico!$B71),-(Analítico!AZ$3&gt;='Gastos Gerais'!$D$4:$D$615),-(Analítico!AZ$3&lt;='Gastos Gerais'!$E$4:$E$615),-('Gastos Gerais'!$C$4:$C$615))</f>
        <v>0</v>
      </c>
      <c r="BA71" s="73">
        <f>SUMPRODUCT(-('Gastos Gerais'!$B$4:$B$615=Analítico!$B71),-(Analítico!BA$3&gt;='Gastos Gerais'!$D$4:$D$615),-(Analítico!BA$3&lt;='Gastos Gerais'!$E$4:$E$615),-('Gastos Gerais'!$C$4:$C$615))</f>
        <v>0</v>
      </c>
      <c r="BB71" s="73">
        <f>SUMPRODUCT(-('Gastos Gerais'!$B$4:$B$615=Analítico!$B71),-(Analítico!BB$3&gt;='Gastos Gerais'!$D$4:$D$615),-(Analítico!BB$3&lt;='Gastos Gerais'!$E$4:$E$615),-('Gastos Gerais'!$C$4:$C$615))</f>
        <v>0</v>
      </c>
      <c r="BC71" s="73">
        <f>SUMPRODUCT(-('Gastos Gerais'!$B$4:$B$615=Analítico!$B71),-(Analítico!BC$3&gt;='Gastos Gerais'!$D$4:$D$615),-(Analítico!BC$3&lt;='Gastos Gerais'!$E$4:$E$615),-('Gastos Gerais'!$C$4:$C$615))</f>
        <v>0</v>
      </c>
      <c r="BD71" s="73">
        <f>SUMPRODUCT(-('Gastos Gerais'!$B$4:$B$615=Analítico!$B71),-(Analítico!BD$3&gt;='Gastos Gerais'!$D$4:$D$615),-(Analítico!BD$3&lt;='Gastos Gerais'!$E$4:$E$615),-('Gastos Gerais'!$C$4:$C$615))</f>
        <v>0</v>
      </c>
      <c r="BE71" s="73">
        <f>SUMPRODUCT(-('Gastos Gerais'!$B$4:$B$615=Analítico!$B71),-(Analítico!BE$3&gt;='Gastos Gerais'!$D$4:$D$615),-(Analítico!BE$3&lt;='Gastos Gerais'!$E$4:$E$615),-('Gastos Gerais'!$C$4:$C$615))</f>
        <v>0</v>
      </c>
      <c r="BF71" s="73">
        <f>SUMPRODUCT(-('Gastos Gerais'!$B$4:$B$615=Analítico!$B71),-(Analítico!BF$3&gt;='Gastos Gerais'!$D$4:$D$615),-(Analítico!BF$3&lt;='Gastos Gerais'!$E$4:$E$615),-('Gastos Gerais'!$C$4:$C$615))</f>
        <v>0</v>
      </c>
      <c r="BG71" s="73">
        <f>SUMPRODUCT(-('Gastos Gerais'!$B$4:$B$615=Analítico!$B71),-(Analítico!BG$3&gt;='Gastos Gerais'!$D$4:$D$615),-(Analítico!BG$3&lt;='Gastos Gerais'!$E$4:$E$615),-('Gastos Gerais'!$C$4:$C$615))</f>
        <v>0</v>
      </c>
      <c r="BH71" s="73">
        <f>SUMPRODUCT(-('Gastos Gerais'!$B$4:$B$615=Analítico!$B71),-(Analítico!BH$3&gt;='Gastos Gerais'!$D$4:$D$615),-(Analítico!BH$3&lt;='Gastos Gerais'!$E$4:$E$615),-('Gastos Gerais'!$C$4:$C$615))</f>
        <v>0</v>
      </c>
      <c r="BI71" s="73">
        <f>SUMPRODUCT(-('Gastos Gerais'!$B$4:$B$615=Analítico!$B71),-(Analítico!BI$3&gt;='Gastos Gerais'!$D$4:$D$615),-(Analítico!BI$3&lt;='Gastos Gerais'!$E$4:$E$615),-('Gastos Gerais'!$C$4:$C$615))</f>
        <v>0</v>
      </c>
      <c r="BJ71" s="73">
        <f>SUMPRODUCT(-('Gastos Gerais'!$B$4:$B$615=Analítico!$B71),-(Analítico!BJ$3&gt;='Gastos Gerais'!$D$4:$D$615),-(Analítico!BJ$3&lt;='Gastos Gerais'!$E$4:$E$615),-('Gastos Gerais'!$C$4:$C$615))</f>
        <v>0</v>
      </c>
      <c r="BK71" s="71">
        <f t="shared" si="31"/>
        <v>0</v>
      </c>
      <c r="BL71" s="76">
        <f t="shared" ca="1" si="32"/>
        <v>0</v>
      </c>
    </row>
    <row r="72" spans="1:64" s="49" customFormat="1" ht="23.25" customHeight="1" x14ac:dyDescent="0.2">
      <c r="A72" s="109" t="s">
        <v>212</v>
      </c>
      <c r="B72" s="110" t="s">
        <v>213</v>
      </c>
      <c r="C72" s="73">
        <f>SUMPRODUCT(-('Gastos Gerais'!$B$4:$B$615=Analítico!$B72),-(Analítico!C$3&gt;='Gastos Gerais'!$D$4:$D$615),-(Analítico!C$3&lt;='Gastos Gerais'!$E$4:$E$615),-('Gastos Gerais'!$C$4:$C$615))</f>
        <v>0</v>
      </c>
      <c r="D72" s="73">
        <f>SUMPRODUCT(-('Gastos Gerais'!$B$4:$B$615=Analítico!$B72),-(Analítico!D$3&gt;='Gastos Gerais'!$D$4:$D$615),-(Analítico!D$3&lt;='Gastos Gerais'!$E$4:$E$615),-('Gastos Gerais'!$C$4:$C$615))</f>
        <v>0</v>
      </c>
      <c r="E72" s="73">
        <f>SUMPRODUCT(-('Gastos Gerais'!$B$4:$B$615=Analítico!$B72),-(Analítico!E$3&gt;='Gastos Gerais'!$D$4:$D$615),-(Analítico!E$3&lt;='Gastos Gerais'!$E$4:$E$615),-('Gastos Gerais'!$C$4:$C$615))</f>
        <v>0</v>
      </c>
      <c r="F72" s="73">
        <f>SUMPRODUCT(-('Gastos Gerais'!$B$4:$B$615=Analítico!$B72),-(Analítico!F$3&gt;='Gastos Gerais'!$D$4:$D$615),-(Analítico!F$3&lt;='Gastos Gerais'!$E$4:$E$615),-('Gastos Gerais'!$C$4:$C$615))</f>
        <v>0</v>
      </c>
      <c r="G72" s="73">
        <f>SUMPRODUCT(-('Gastos Gerais'!$B$4:$B$615=Analítico!$B72),-(Analítico!G$3&gt;='Gastos Gerais'!$D$4:$D$615),-(Analítico!G$3&lt;='Gastos Gerais'!$E$4:$E$615),-('Gastos Gerais'!$C$4:$C$615))</f>
        <v>0</v>
      </c>
      <c r="H72" s="73">
        <f>SUMPRODUCT(-('Gastos Gerais'!$B$4:$B$615=Analítico!$B72),-(Analítico!H$3&gt;='Gastos Gerais'!$D$4:$D$615),-(Analítico!H$3&lt;='Gastos Gerais'!$E$4:$E$615),-('Gastos Gerais'!$C$4:$C$615))</f>
        <v>0</v>
      </c>
      <c r="I72" s="73">
        <f>SUMPRODUCT(-('Gastos Gerais'!$B$4:$B$615=Analítico!$B72),-(Analítico!I$3&gt;='Gastos Gerais'!$D$4:$D$615),-(Analítico!I$3&lt;='Gastos Gerais'!$E$4:$E$615),-('Gastos Gerais'!$C$4:$C$615))</f>
        <v>0</v>
      </c>
      <c r="J72" s="73">
        <f>SUMPRODUCT(-('Gastos Gerais'!$B$4:$B$615=Analítico!$B72),-(Analítico!J$3&gt;='Gastos Gerais'!$D$4:$D$615),-(Analítico!J$3&lt;='Gastos Gerais'!$E$4:$E$615),-('Gastos Gerais'!$C$4:$C$615))</f>
        <v>0</v>
      </c>
      <c r="K72" s="73">
        <f>SUMPRODUCT(-('Gastos Gerais'!$B$4:$B$615=Analítico!$B72),-(Analítico!K$3&gt;='Gastos Gerais'!$D$4:$D$615),-(Analítico!K$3&lt;='Gastos Gerais'!$E$4:$E$615),-('Gastos Gerais'!$C$4:$C$615))</f>
        <v>0</v>
      </c>
      <c r="L72" s="73">
        <f>SUMPRODUCT(-('Gastos Gerais'!$B$4:$B$615=Analítico!$B72),-(Analítico!L$3&gt;='Gastos Gerais'!$D$4:$D$615),-(Analítico!L$3&lt;='Gastos Gerais'!$E$4:$E$615),-('Gastos Gerais'!$C$4:$C$615))</f>
        <v>0</v>
      </c>
      <c r="M72" s="73">
        <f>SUMPRODUCT(-('Gastos Gerais'!$B$4:$B$615=Analítico!$B72),-(Analítico!M$3&gt;='Gastos Gerais'!$D$4:$D$615),-(Analítico!M$3&lt;='Gastos Gerais'!$E$4:$E$615),-('Gastos Gerais'!$C$4:$C$615))</f>
        <v>0</v>
      </c>
      <c r="N72" s="73">
        <f>SUMPRODUCT(-('Gastos Gerais'!$B$4:$B$615=Analítico!$B72),-(Analítico!N$3&gt;='Gastos Gerais'!$D$4:$D$615),-(Analítico!N$3&lt;='Gastos Gerais'!$E$4:$E$615),-('Gastos Gerais'!$C$4:$C$615))</f>
        <v>0</v>
      </c>
      <c r="O72" s="73">
        <f>SUMPRODUCT(-('Gastos Gerais'!$B$4:$B$615=Analítico!$B72),-(Analítico!O$3&gt;='Gastos Gerais'!$D$4:$D$615),-(Analítico!O$3&lt;='Gastos Gerais'!$E$4:$E$615),-('Gastos Gerais'!$C$4:$C$615))</f>
        <v>0</v>
      </c>
      <c r="P72" s="73">
        <f>SUMPRODUCT(-('Gastos Gerais'!$B$4:$B$615=Analítico!$B72),-(Analítico!P$3&gt;='Gastos Gerais'!$D$4:$D$615),-(Analítico!P$3&lt;='Gastos Gerais'!$E$4:$E$615),-('Gastos Gerais'!$C$4:$C$615))</f>
        <v>0</v>
      </c>
      <c r="Q72" s="73">
        <f>SUMPRODUCT(-('Gastos Gerais'!$B$4:$B$615=Analítico!$B72),-(Analítico!Q$3&gt;='Gastos Gerais'!$D$4:$D$615),-(Analítico!Q$3&lt;='Gastos Gerais'!$E$4:$E$615),-('Gastos Gerais'!$C$4:$C$615))</f>
        <v>0</v>
      </c>
      <c r="R72" s="73">
        <f>SUMPRODUCT(-('Gastos Gerais'!$B$4:$B$615=Analítico!$B72),-(Analítico!R$3&gt;='Gastos Gerais'!$D$4:$D$615),-(Analítico!R$3&lt;='Gastos Gerais'!$E$4:$E$615),-('Gastos Gerais'!$C$4:$C$615))</f>
        <v>0</v>
      </c>
      <c r="S72" s="73">
        <f>SUMPRODUCT(-('Gastos Gerais'!$B$4:$B$615=Analítico!$B72),-(Analítico!S$3&gt;='Gastos Gerais'!$D$4:$D$615),-(Analítico!S$3&lt;='Gastos Gerais'!$E$4:$E$615),-('Gastos Gerais'!$C$4:$C$615))</f>
        <v>0</v>
      </c>
      <c r="T72" s="73">
        <f>SUMPRODUCT(-('Gastos Gerais'!$B$4:$B$615=Analítico!$B72),-(Analítico!T$3&gt;='Gastos Gerais'!$D$4:$D$615),-(Analítico!T$3&lt;='Gastos Gerais'!$E$4:$E$615),-('Gastos Gerais'!$C$4:$C$615))</f>
        <v>0</v>
      </c>
      <c r="U72" s="73">
        <f>SUMPRODUCT(-('Gastos Gerais'!$B$4:$B$615=Analítico!$B72),-(Analítico!U$3&gt;='Gastos Gerais'!$D$4:$D$615),-(Analítico!U$3&lt;='Gastos Gerais'!$E$4:$E$615),-('Gastos Gerais'!$C$4:$C$615))</f>
        <v>0</v>
      </c>
      <c r="V72" s="73">
        <f>SUMPRODUCT(-('Gastos Gerais'!$B$4:$B$615=Analítico!$B72),-(Analítico!V$3&gt;='Gastos Gerais'!$D$4:$D$615),-(Analítico!V$3&lt;='Gastos Gerais'!$E$4:$E$615),-('Gastos Gerais'!$C$4:$C$615))</f>
        <v>0</v>
      </c>
      <c r="W72" s="73">
        <f>SUMPRODUCT(-('Gastos Gerais'!$B$4:$B$615=Analítico!$B72),-(Analítico!W$3&gt;='Gastos Gerais'!$D$4:$D$615),-(Analítico!W$3&lt;='Gastos Gerais'!$E$4:$E$615),-('Gastos Gerais'!$C$4:$C$615))</f>
        <v>0</v>
      </c>
      <c r="X72" s="73">
        <f>SUMPRODUCT(-('Gastos Gerais'!$B$4:$B$615=Analítico!$B72),-(Analítico!X$3&gt;='Gastos Gerais'!$D$4:$D$615),-(Analítico!X$3&lt;='Gastos Gerais'!$E$4:$E$615),-('Gastos Gerais'!$C$4:$C$615))</f>
        <v>0</v>
      </c>
      <c r="Y72" s="73">
        <f>SUMPRODUCT(-('Gastos Gerais'!$B$4:$B$615=Analítico!$B72),-(Analítico!Y$3&gt;='Gastos Gerais'!$D$4:$D$615),-(Analítico!Y$3&lt;='Gastos Gerais'!$E$4:$E$615),-('Gastos Gerais'!$C$4:$C$615))</f>
        <v>0</v>
      </c>
      <c r="Z72" s="73">
        <f>SUMPRODUCT(-('Gastos Gerais'!$B$4:$B$615=Analítico!$B72),-(Analítico!Z$3&gt;='Gastos Gerais'!$D$4:$D$615),-(Analítico!Z$3&lt;='Gastos Gerais'!$E$4:$E$615),-('Gastos Gerais'!$C$4:$C$615))</f>
        <v>0</v>
      </c>
      <c r="AA72" s="73">
        <f>SUMPRODUCT(-('Gastos Gerais'!$B$4:$B$615=Analítico!$B72),-(Analítico!AA$3&gt;='Gastos Gerais'!$D$4:$D$615),-(Analítico!AA$3&lt;='Gastos Gerais'!$E$4:$E$615),-('Gastos Gerais'!$C$4:$C$615))</f>
        <v>0</v>
      </c>
      <c r="AB72" s="73">
        <f>SUMPRODUCT(-('Gastos Gerais'!$B$4:$B$615=Analítico!$B72),-(Analítico!AB$3&gt;='Gastos Gerais'!$D$4:$D$615),-(Analítico!AB$3&lt;='Gastos Gerais'!$E$4:$E$615),-('Gastos Gerais'!$C$4:$C$615))</f>
        <v>0</v>
      </c>
      <c r="AC72" s="73">
        <f>SUMPRODUCT(-('Gastos Gerais'!$B$4:$B$615=Analítico!$B72),-(Analítico!AC$3&gt;='Gastos Gerais'!$D$4:$D$615),-(Analítico!AC$3&lt;='Gastos Gerais'!$E$4:$E$615),-('Gastos Gerais'!$C$4:$C$615))</f>
        <v>0</v>
      </c>
      <c r="AD72" s="73">
        <f>SUMPRODUCT(-('Gastos Gerais'!$B$4:$B$615=Analítico!$B72),-(Analítico!AD$3&gt;='Gastos Gerais'!$D$4:$D$615),-(Analítico!AD$3&lt;='Gastos Gerais'!$E$4:$E$615),-('Gastos Gerais'!$C$4:$C$615))</f>
        <v>0</v>
      </c>
      <c r="AE72" s="73">
        <f>SUMPRODUCT(-('Gastos Gerais'!$B$4:$B$615=Analítico!$B72),-(Analítico!AE$3&gt;='Gastos Gerais'!$D$4:$D$615),-(Analítico!AE$3&lt;='Gastos Gerais'!$E$4:$E$615),-('Gastos Gerais'!$C$4:$C$615))</f>
        <v>0</v>
      </c>
      <c r="AF72" s="73">
        <f>SUMPRODUCT(-('Gastos Gerais'!$B$4:$B$615=Analítico!$B72),-(Analítico!AF$3&gt;='Gastos Gerais'!$D$4:$D$615),-(Analítico!AF$3&lt;='Gastos Gerais'!$E$4:$E$615),-('Gastos Gerais'!$C$4:$C$615))</f>
        <v>0</v>
      </c>
      <c r="AG72" s="73">
        <f>SUMPRODUCT(-('Gastos Gerais'!$B$4:$B$615=Analítico!$B72),-(Analítico!AG$3&gt;='Gastos Gerais'!$D$4:$D$615),-(Analítico!AG$3&lt;='Gastos Gerais'!$E$4:$E$615),-('Gastos Gerais'!$C$4:$C$615))</f>
        <v>0</v>
      </c>
      <c r="AH72" s="73">
        <f>SUMPRODUCT(-('Gastos Gerais'!$B$4:$B$615=Analítico!$B72),-(Analítico!AH$3&gt;='Gastos Gerais'!$D$4:$D$615),-(Analítico!AH$3&lt;='Gastos Gerais'!$E$4:$E$615),-('Gastos Gerais'!$C$4:$C$615))</f>
        <v>0</v>
      </c>
      <c r="AI72" s="73">
        <f>SUMPRODUCT(-('Gastos Gerais'!$B$4:$B$615=Analítico!$B72),-(Analítico!AI$3&gt;='Gastos Gerais'!$D$4:$D$615),-(Analítico!AI$3&lt;='Gastos Gerais'!$E$4:$E$615),-('Gastos Gerais'!$C$4:$C$615))</f>
        <v>0</v>
      </c>
      <c r="AJ72" s="73">
        <f>SUMPRODUCT(-('Gastos Gerais'!$B$4:$B$615=Analítico!$B72),-(Analítico!AJ$3&gt;='Gastos Gerais'!$D$4:$D$615),-(Analítico!AJ$3&lt;='Gastos Gerais'!$E$4:$E$615),-('Gastos Gerais'!$C$4:$C$615))</f>
        <v>0</v>
      </c>
      <c r="AK72" s="73">
        <f>SUMPRODUCT(-('Gastos Gerais'!$B$4:$B$615=Analítico!$B72),-(Analítico!AK$3&gt;='Gastos Gerais'!$D$4:$D$615),-(Analítico!AK$3&lt;='Gastos Gerais'!$E$4:$E$615),-('Gastos Gerais'!$C$4:$C$615))</f>
        <v>0</v>
      </c>
      <c r="AL72" s="73">
        <f>SUMPRODUCT(-('Gastos Gerais'!$B$4:$B$615=Analítico!$B72),-(Analítico!AL$3&gt;='Gastos Gerais'!$D$4:$D$615),-(Analítico!AL$3&lt;='Gastos Gerais'!$E$4:$E$615),-('Gastos Gerais'!$C$4:$C$615))</f>
        <v>0</v>
      </c>
      <c r="AM72" s="73">
        <f>SUMPRODUCT(-('Gastos Gerais'!$B$4:$B$615=Analítico!$B72),-(Analítico!AM$3&gt;='Gastos Gerais'!$D$4:$D$615),-(Analítico!AM$3&lt;='Gastos Gerais'!$E$4:$E$615),-('Gastos Gerais'!$C$4:$C$615))</f>
        <v>0</v>
      </c>
      <c r="AN72" s="73">
        <f>SUMPRODUCT(-('Gastos Gerais'!$B$4:$B$615=Analítico!$B72),-(Analítico!AN$3&gt;='Gastos Gerais'!$D$4:$D$615),-(Analítico!AN$3&lt;='Gastos Gerais'!$E$4:$E$615),-('Gastos Gerais'!$C$4:$C$615))</f>
        <v>0</v>
      </c>
      <c r="AO72" s="73">
        <f>SUMPRODUCT(-('Gastos Gerais'!$B$4:$B$615=Analítico!$B72),-(Analítico!AO$3&gt;='Gastos Gerais'!$D$4:$D$615),-(Analítico!AO$3&lt;='Gastos Gerais'!$E$4:$E$615),-('Gastos Gerais'!$C$4:$C$615))</f>
        <v>0</v>
      </c>
      <c r="AP72" s="73">
        <f>SUMPRODUCT(-('Gastos Gerais'!$B$4:$B$615=Analítico!$B72),-(Analítico!AP$3&gt;='Gastos Gerais'!$D$4:$D$615),-(Analítico!AP$3&lt;='Gastos Gerais'!$E$4:$E$615),-('Gastos Gerais'!$C$4:$C$615))</f>
        <v>0</v>
      </c>
      <c r="AQ72" s="73">
        <f>SUMPRODUCT(-('Gastos Gerais'!$B$4:$B$615=Analítico!$B72),-(Analítico!AQ$3&gt;='Gastos Gerais'!$D$4:$D$615),-(Analítico!AQ$3&lt;='Gastos Gerais'!$E$4:$E$615),-('Gastos Gerais'!$C$4:$C$615))</f>
        <v>0</v>
      </c>
      <c r="AR72" s="73">
        <f>SUMPRODUCT(-('Gastos Gerais'!$B$4:$B$615=Analítico!$B72),-(Analítico!AR$3&gt;='Gastos Gerais'!$D$4:$D$615),-(Analítico!AR$3&lt;='Gastos Gerais'!$E$4:$E$615),-('Gastos Gerais'!$C$4:$C$615))</f>
        <v>0</v>
      </c>
      <c r="AS72" s="73">
        <f>SUMPRODUCT(-('Gastos Gerais'!$B$4:$B$615=Analítico!$B72),-(Analítico!AS$3&gt;='Gastos Gerais'!$D$4:$D$615),-(Analítico!AS$3&lt;='Gastos Gerais'!$E$4:$E$615),-('Gastos Gerais'!$C$4:$C$615))</f>
        <v>0</v>
      </c>
      <c r="AT72" s="73">
        <f>SUMPRODUCT(-('Gastos Gerais'!$B$4:$B$615=Analítico!$B72),-(Analítico!AT$3&gt;='Gastos Gerais'!$D$4:$D$615),-(Analítico!AT$3&lt;='Gastos Gerais'!$E$4:$E$615),-('Gastos Gerais'!$C$4:$C$615))</f>
        <v>0</v>
      </c>
      <c r="AU72" s="73">
        <f>SUMPRODUCT(-('Gastos Gerais'!$B$4:$B$615=Analítico!$B72),-(Analítico!AU$3&gt;='Gastos Gerais'!$D$4:$D$615),-(Analítico!AU$3&lt;='Gastos Gerais'!$E$4:$E$615),-('Gastos Gerais'!$C$4:$C$615))</f>
        <v>0</v>
      </c>
      <c r="AV72" s="73">
        <f>SUMPRODUCT(-('Gastos Gerais'!$B$4:$B$615=Analítico!$B72),-(Analítico!AV$3&gt;='Gastos Gerais'!$D$4:$D$615),-(Analítico!AV$3&lt;='Gastos Gerais'!$E$4:$E$615),-('Gastos Gerais'!$C$4:$C$615))</f>
        <v>0</v>
      </c>
      <c r="AW72" s="73">
        <f>SUMPRODUCT(-('Gastos Gerais'!$B$4:$B$615=Analítico!$B72),-(Analítico!AW$3&gt;='Gastos Gerais'!$D$4:$D$615),-(Analítico!AW$3&lt;='Gastos Gerais'!$E$4:$E$615),-('Gastos Gerais'!$C$4:$C$615))</f>
        <v>0</v>
      </c>
      <c r="AX72" s="73">
        <f>SUMPRODUCT(-('Gastos Gerais'!$B$4:$B$615=Analítico!$B72),-(Analítico!AX$3&gt;='Gastos Gerais'!$D$4:$D$615),-(Analítico!AX$3&lt;='Gastos Gerais'!$E$4:$E$615),-('Gastos Gerais'!$C$4:$C$615))</f>
        <v>0</v>
      </c>
      <c r="AY72" s="73">
        <f>SUMPRODUCT(-('Gastos Gerais'!$B$4:$B$615=Analítico!$B72),-(Analítico!AY$3&gt;='Gastos Gerais'!$D$4:$D$615),-(Analítico!AY$3&lt;='Gastos Gerais'!$E$4:$E$615),-('Gastos Gerais'!$C$4:$C$615))</f>
        <v>0</v>
      </c>
      <c r="AZ72" s="73">
        <f>SUMPRODUCT(-('Gastos Gerais'!$B$4:$B$615=Analítico!$B72),-(Analítico!AZ$3&gt;='Gastos Gerais'!$D$4:$D$615),-(Analítico!AZ$3&lt;='Gastos Gerais'!$E$4:$E$615),-('Gastos Gerais'!$C$4:$C$615))</f>
        <v>0</v>
      </c>
      <c r="BA72" s="73">
        <f>SUMPRODUCT(-('Gastos Gerais'!$B$4:$B$615=Analítico!$B72),-(Analítico!BA$3&gt;='Gastos Gerais'!$D$4:$D$615),-(Analítico!BA$3&lt;='Gastos Gerais'!$E$4:$E$615),-('Gastos Gerais'!$C$4:$C$615))</f>
        <v>0</v>
      </c>
      <c r="BB72" s="73">
        <f>SUMPRODUCT(-('Gastos Gerais'!$B$4:$B$615=Analítico!$B72),-(Analítico!BB$3&gt;='Gastos Gerais'!$D$4:$D$615),-(Analítico!BB$3&lt;='Gastos Gerais'!$E$4:$E$615),-('Gastos Gerais'!$C$4:$C$615))</f>
        <v>0</v>
      </c>
      <c r="BC72" s="73">
        <f>SUMPRODUCT(-('Gastos Gerais'!$B$4:$B$615=Analítico!$B72),-(Analítico!BC$3&gt;='Gastos Gerais'!$D$4:$D$615),-(Analítico!BC$3&lt;='Gastos Gerais'!$E$4:$E$615),-('Gastos Gerais'!$C$4:$C$615))</f>
        <v>0</v>
      </c>
      <c r="BD72" s="73">
        <f>SUMPRODUCT(-('Gastos Gerais'!$B$4:$B$615=Analítico!$B72),-(Analítico!BD$3&gt;='Gastos Gerais'!$D$4:$D$615),-(Analítico!BD$3&lt;='Gastos Gerais'!$E$4:$E$615),-('Gastos Gerais'!$C$4:$C$615))</f>
        <v>0</v>
      </c>
      <c r="BE72" s="73">
        <f>SUMPRODUCT(-('Gastos Gerais'!$B$4:$B$615=Analítico!$B72),-(Analítico!BE$3&gt;='Gastos Gerais'!$D$4:$D$615),-(Analítico!BE$3&lt;='Gastos Gerais'!$E$4:$E$615),-('Gastos Gerais'!$C$4:$C$615))</f>
        <v>0</v>
      </c>
      <c r="BF72" s="73">
        <f>SUMPRODUCT(-('Gastos Gerais'!$B$4:$B$615=Analítico!$B72),-(Analítico!BF$3&gt;='Gastos Gerais'!$D$4:$D$615),-(Analítico!BF$3&lt;='Gastos Gerais'!$E$4:$E$615),-('Gastos Gerais'!$C$4:$C$615))</f>
        <v>0</v>
      </c>
      <c r="BG72" s="73">
        <f>SUMPRODUCT(-('Gastos Gerais'!$B$4:$B$615=Analítico!$B72),-(Analítico!BG$3&gt;='Gastos Gerais'!$D$4:$D$615),-(Analítico!BG$3&lt;='Gastos Gerais'!$E$4:$E$615),-('Gastos Gerais'!$C$4:$C$615))</f>
        <v>0</v>
      </c>
      <c r="BH72" s="73">
        <f>SUMPRODUCT(-('Gastos Gerais'!$B$4:$B$615=Analítico!$B72),-(Analítico!BH$3&gt;='Gastos Gerais'!$D$4:$D$615),-(Analítico!BH$3&lt;='Gastos Gerais'!$E$4:$E$615),-('Gastos Gerais'!$C$4:$C$615))</f>
        <v>0</v>
      </c>
      <c r="BI72" s="73">
        <f>SUMPRODUCT(-('Gastos Gerais'!$B$4:$B$615=Analítico!$B72),-(Analítico!BI$3&gt;='Gastos Gerais'!$D$4:$D$615),-(Analítico!BI$3&lt;='Gastos Gerais'!$E$4:$E$615),-('Gastos Gerais'!$C$4:$C$615))</f>
        <v>0</v>
      </c>
      <c r="BJ72" s="73">
        <f>SUMPRODUCT(-('Gastos Gerais'!$B$4:$B$615=Analítico!$B72),-(Analítico!BJ$3&gt;='Gastos Gerais'!$D$4:$D$615),-(Analítico!BJ$3&lt;='Gastos Gerais'!$E$4:$E$615),-('Gastos Gerais'!$C$4:$C$615))</f>
        <v>0</v>
      </c>
      <c r="BK72" s="71">
        <f t="shared" si="31"/>
        <v>0</v>
      </c>
      <c r="BL72" s="76">
        <f t="shared" ca="1" si="32"/>
        <v>0</v>
      </c>
    </row>
    <row r="73" spans="1:64" s="49" customFormat="1" ht="23.25" customHeight="1" x14ac:dyDescent="0.2">
      <c r="A73" s="109" t="s">
        <v>214</v>
      </c>
      <c r="B73" s="110" t="s">
        <v>215</v>
      </c>
      <c r="C73" s="73">
        <f>SUMPRODUCT(-('Gastos Gerais'!$B$4:$B$615=Analítico!$B73),-(Analítico!C$3&gt;='Gastos Gerais'!$D$4:$D$615),-(Analítico!C$3&lt;='Gastos Gerais'!$E$4:$E$615),-('Gastos Gerais'!$C$4:$C$615))</f>
        <v>0</v>
      </c>
      <c r="D73" s="73">
        <f>SUMPRODUCT(-('Gastos Gerais'!$B$4:$B$615=Analítico!$B73),-(Analítico!D$3&gt;='Gastos Gerais'!$D$4:$D$615),-(Analítico!D$3&lt;='Gastos Gerais'!$E$4:$E$615),-('Gastos Gerais'!$C$4:$C$615))</f>
        <v>0</v>
      </c>
      <c r="E73" s="73">
        <f>SUMPRODUCT(-('Gastos Gerais'!$B$4:$B$615=Analítico!$B73),-(Analítico!E$3&gt;='Gastos Gerais'!$D$4:$D$615),-(Analítico!E$3&lt;='Gastos Gerais'!$E$4:$E$615),-('Gastos Gerais'!$C$4:$C$615))</f>
        <v>0</v>
      </c>
      <c r="F73" s="73">
        <f>SUMPRODUCT(-('Gastos Gerais'!$B$4:$B$615=Analítico!$B73),-(Analítico!F$3&gt;='Gastos Gerais'!$D$4:$D$615),-(Analítico!F$3&lt;='Gastos Gerais'!$E$4:$E$615),-('Gastos Gerais'!$C$4:$C$615))</f>
        <v>0</v>
      </c>
      <c r="G73" s="73">
        <f>SUMPRODUCT(-('Gastos Gerais'!$B$4:$B$615=Analítico!$B73),-(Analítico!G$3&gt;='Gastos Gerais'!$D$4:$D$615),-(Analítico!G$3&lt;='Gastos Gerais'!$E$4:$E$615),-('Gastos Gerais'!$C$4:$C$615))</f>
        <v>0</v>
      </c>
      <c r="H73" s="73">
        <f>SUMPRODUCT(-('Gastos Gerais'!$B$4:$B$615=Analítico!$B73),-(Analítico!H$3&gt;='Gastos Gerais'!$D$4:$D$615),-(Analítico!H$3&lt;='Gastos Gerais'!$E$4:$E$615),-('Gastos Gerais'!$C$4:$C$615))</f>
        <v>0</v>
      </c>
      <c r="I73" s="73">
        <f>SUMPRODUCT(-('Gastos Gerais'!$B$4:$B$615=Analítico!$B73),-(Analítico!I$3&gt;='Gastos Gerais'!$D$4:$D$615),-(Analítico!I$3&lt;='Gastos Gerais'!$E$4:$E$615),-('Gastos Gerais'!$C$4:$C$615))</f>
        <v>0</v>
      </c>
      <c r="J73" s="73">
        <f>SUMPRODUCT(-('Gastos Gerais'!$B$4:$B$615=Analítico!$B73),-(Analítico!J$3&gt;='Gastos Gerais'!$D$4:$D$615),-(Analítico!J$3&lt;='Gastos Gerais'!$E$4:$E$615),-('Gastos Gerais'!$C$4:$C$615))</f>
        <v>0</v>
      </c>
      <c r="K73" s="73">
        <f>SUMPRODUCT(-('Gastos Gerais'!$B$4:$B$615=Analítico!$B73),-(Analítico!K$3&gt;='Gastos Gerais'!$D$4:$D$615),-(Analítico!K$3&lt;='Gastos Gerais'!$E$4:$E$615),-('Gastos Gerais'!$C$4:$C$615))</f>
        <v>0</v>
      </c>
      <c r="L73" s="73">
        <f>SUMPRODUCT(-('Gastos Gerais'!$B$4:$B$615=Analítico!$B73),-(Analítico!L$3&gt;='Gastos Gerais'!$D$4:$D$615),-(Analítico!L$3&lt;='Gastos Gerais'!$E$4:$E$615),-('Gastos Gerais'!$C$4:$C$615))</f>
        <v>0</v>
      </c>
      <c r="M73" s="73">
        <f>SUMPRODUCT(-('Gastos Gerais'!$B$4:$B$615=Analítico!$B73),-(Analítico!M$3&gt;='Gastos Gerais'!$D$4:$D$615),-(Analítico!M$3&lt;='Gastos Gerais'!$E$4:$E$615),-('Gastos Gerais'!$C$4:$C$615))</f>
        <v>0</v>
      </c>
      <c r="N73" s="73">
        <f>SUMPRODUCT(-('Gastos Gerais'!$B$4:$B$615=Analítico!$B73),-(Analítico!N$3&gt;='Gastos Gerais'!$D$4:$D$615),-(Analítico!N$3&lt;='Gastos Gerais'!$E$4:$E$615),-('Gastos Gerais'!$C$4:$C$615))</f>
        <v>0</v>
      </c>
      <c r="O73" s="73">
        <f>SUMPRODUCT(-('Gastos Gerais'!$B$4:$B$615=Analítico!$B73),-(Analítico!O$3&gt;='Gastos Gerais'!$D$4:$D$615),-(Analítico!O$3&lt;='Gastos Gerais'!$E$4:$E$615),-('Gastos Gerais'!$C$4:$C$615))</f>
        <v>0</v>
      </c>
      <c r="P73" s="73">
        <f>SUMPRODUCT(-('Gastos Gerais'!$B$4:$B$615=Analítico!$B73),-(Analítico!P$3&gt;='Gastos Gerais'!$D$4:$D$615),-(Analítico!P$3&lt;='Gastos Gerais'!$E$4:$E$615),-('Gastos Gerais'!$C$4:$C$615))</f>
        <v>0</v>
      </c>
      <c r="Q73" s="73">
        <f>SUMPRODUCT(-('Gastos Gerais'!$B$4:$B$615=Analítico!$B73),-(Analítico!Q$3&gt;='Gastos Gerais'!$D$4:$D$615),-(Analítico!Q$3&lt;='Gastos Gerais'!$E$4:$E$615),-('Gastos Gerais'!$C$4:$C$615))</f>
        <v>0</v>
      </c>
      <c r="R73" s="73">
        <f>SUMPRODUCT(-('Gastos Gerais'!$B$4:$B$615=Analítico!$B73),-(Analítico!R$3&gt;='Gastos Gerais'!$D$4:$D$615),-(Analítico!R$3&lt;='Gastos Gerais'!$E$4:$E$615),-('Gastos Gerais'!$C$4:$C$615))</f>
        <v>0</v>
      </c>
      <c r="S73" s="73">
        <f>SUMPRODUCT(-('Gastos Gerais'!$B$4:$B$615=Analítico!$B73),-(Analítico!S$3&gt;='Gastos Gerais'!$D$4:$D$615),-(Analítico!S$3&lt;='Gastos Gerais'!$E$4:$E$615),-('Gastos Gerais'!$C$4:$C$615))</f>
        <v>0</v>
      </c>
      <c r="T73" s="73">
        <f>SUMPRODUCT(-('Gastos Gerais'!$B$4:$B$615=Analítico!$B73),-(Analítico!T$3&gt;='Gastos Gerais'!$D$4:$D$615),-(Analítico!T$3&lt;='Gastos Gerais'!$E$4:$E$615),-('Gastos Gerais'!$C$4:$C$615))</f>
        <v>0</v>
      </c>
      <c r="U73" s="73">
        <f>SUMPRODUCT(-('Gastos Gerais'!$B$4:$B$615=Analítico!$B73),-(Analítico!U$3&gt;='Gastos Gerais'!$D$4:$D$615),-(Analítico!U$3&lt;='Gastos Gerais'!$E$4:$E$615),-('Gastos Gerais'!$C$4:$C$615))</f>
        <v>0</v>
      </c>
      <c r="V73" s="73">
        <f>SUMPRODUCT(-('Gastos Gerais'!$B$4:$B$615=Analítico!$B73),-(Analítico!V$3&gt;='Gastos Gerais'!$D$4:$D$615),-(Analítico!V$3&lt;='Gastos Gerais'!$E$4:$E$615),-('Gastos Gerais'!$C$4:$C$615))</f>
        <v>0</v>
      </c>
      <c r="W73" s="73">
        <f>SUMPRODUCT(-('Gastos Gerais'!$B$4:$B$615=Analítico!$B73),-(Analítico!W$3&gt;='Gastos Gerais'!$D$4:$D$615),-(Analítico!W$3&lt;='Gastos Gerais'!$E$4:$E$615),-('Gastos Gerais'!$C$4:$C$615))</f>
        <v>0</v>
      </c>
      <c r="X73" s="73">
        <f>SUMPRODUCT(-('Gastos Gerais'!$B$4:$B$615=Analítico!$B73),-(Analítico!X$3&gt;='Gastos Gerais'!$D$4:$D$615),-(Analítico!X$3&lt;='Gastos Gerais'!$E$4:$E$615),-('Gastos Gerais'!$C$4:$C$615))</f>
        <v>0</v>
      </c>
      <c r="Y73" s="73">
        <f>SUMPRODUCT(-('Gastos Gerais'!$B$4:$B$615=Analítico!$B73),-(Analítico!Y$3&gt;='Gastos Gerais'!$D$4:$D$615),-(Analítico!Y$3&lt;='Gastos Gerais'!$E$4:$E$615),-('Gastos Gerais'!$C$4:$C$615))</f>
        <v>0</v>
      </c>
      <c r="Z73" s="73">
        <f>SUMPRODUCT(-('Gastos Gerais'!$B$4:$B$615=Analítico!$B73),-(Analítico!Z$3&gt;='Gastos Gerais'!$D$4:$D$615),-(Analítico!Z$3&lt;='Gastos Gerais'!$E$4:$E$615),-('Gastos Gerais'!$C$4:$C$615))</f>
        <v>0</v>
      </c>
      <c r="AA73" s="73">
        <f>SUMPRODUCT(-('Gastos Gerais'!$B$4:$B$615=Analítico!$B73),-(Analítico!AA$3&gt;='Gastos Gerais'!$D$4:$D$615),-(Analítico!AA$3&lt;='Gastos Gerais'!$E$4:$E$615),-('Gastos Gerais'!$C$4:$C$615))</f>
        <v>0</v>
      </c>
      <c r="AB73" s="73">
        <f>SUMPRODUCT(-('Gastos Gerais'!$B$4:$B$615=Analítico!$B73),-(Analítico!AB$3&gt;='Gastos Gerais'!$D$4:$D$615),-(Analítico!AB$3&lt;='Gastos Gerais'!$E$4:$E$615),-('Gastos Gerais'!$C$4:$C$615))</f>
        <v>0</v>
      </c>
      <c r="AC73" s="73">
        <f>SUMPRODUCT(-('Gastos Gerais'!$B$4:$B$615=Analítico!$B73),-(Analítico!AC$3&gt;='Gastos Gerais'!$D$4:$D$615),-(Analítico!AC$3&lt;='Gastos Gerais'!$E$4:$E$615),-('Gastos Gerais'!$C$4:$C$615))</f>
        <v>0</v>
      </c>
      <c r="AD73" s="73">
        <f>SUMPRODUCT(-('Gastos Gerais'!$B$4:$B$615=Analítico!$B73),-(Analítico!AD$3&gt;='Gastos Gerais'!$D$4:$D$615),-(Analítico!AD$3&lt;='Gastos Gerais'!$E$4:$E$615),-('Gastos Gerais'!$C$4:$C$615))</f>
        <v>0</v>
      </c>
      <c r="AE73" s="73">
        <f>SUMPRODUCT(-('Gastos Gerais'!$B$4:$B$615=Analítico!$B73),-(Analítico!AE$3&gt;='Gastos Gerais'!$D$4:$D$615),-(Analítico!AE$3&lt;='Gastos Gerais'!$E$4:$E$615),-('Gastos Gerais'!$C$4:$C$615))</f>
        <v>0</v>
      </c>
      <c r="AF73" s="73">
        <f>SUMPRODUCT(-('Gastos Gerais'!$B$4:$B$615=Analítico!$B73),-(Analítico!AF$3&gt;='Gastos Gerais'!$D$4:$D$615),-(Analítico!AF$3&lt;='Gastos Gerais'!$E$4:$E$615),-('Gastos Gerais'!$C$4:$C$615))</f>
        <v>0</v>
      </c>
      <c r="AG73" s="73">
        <f>SUMPRODUCT(-('Gastos Gerais'!$B$4:$B$615=Analítico!$B73),-(Analítico!AG$3&gt;='Gastos Gerais'!$D$4:$D$615),-(Analítico!AG$3&lt;='Gastos Gerais'!$E$4:$E$615),-('Gastos Gerais'!$C$4:$C$615))</f>
        <v>0</v>
      </c>
      <c r="AH73" s="73">
        <f>SUMPRODUCT(-('Gastos Gerais'!$B$4:$B$615=Analítico!$B73),-(Analítico!AH$3&gt;='Gastos Gerais'!$D$4:$D$615),-(Analítico!AH$3&lt;='Gastos Gerais'!$E$4:$E$615),-('Gastos Gerais'!$C$4:$C$615))</f>
        <v>0</v>
      </c>
      <c r="AI73" s="73">
        <f>SUMPRODUCT(-('Gastos Gerais'!$B$4:$B$615=Analítico!$B73),-(Analítico!AI$3&gt;='Gastos Gerais'!$D$4:$D$615),-(Analítico!AI$3&lt;='Gastos Gerais'!$E$4:$E$615),-('Gastos Gerais'!$C$4:$C$615))</f>
        <v>0</v>
      </c>
      <c r="AJ73" s="73">
        <f>SUMPRODUCT(-('Gastos Gerais'!$B$4:$B$615=Analítico!$B73),-(Analítico!AJ$3&gt;='Gastos Gerais'!$D$4:$D$615),-(Analítico!AJ$3&lt;='Gastos Gerais'!$E$4:$E$615),-('Gastos Gerais'!$C$4:$C$615))</f>
        <v>0</v>
      </c>
      <c r="AK73" s="73">
        <f>SUMPRODUCT(-('Gastos Gerais'!$B$4:$B$615=Analítico!$B73),-(Analítico!AK$3&gt;='Gastos Gerais'!$D$4:$D$615),-(Analítico!AK$3&lt;='Gastos Gerais'!$E$4:$E$615),-('Gastos Gerais'!$C$4:$C$615))</f>
        <v>0</v>
      </c>
      <c r="AL73" s="73">
        <f>SUMPRODUCT(-('Gastos Gerais'!$B$4:$B$615=Analítico!$B73),-(Analítico!AL$3&gt;='Gastos Gerais'!$D$4:$D$615),-(Analítico!AL$3&lt;='Gastos Gerais'!$E$4:$E$615),-('Gastos Gerais'!$C$4:$C$615))</f>
        <v>0</v>
      </c>
      <c r="AM73" s="73">
        <f>SUMPRODUCT(-('Gastos Gerais'!$B$4:$B$615=Analítico!$B73),-(Analítico!AM$3&gt;='Gastos Gerais'!$D$4:$D$615),-(Analítico!AM$3&lt;='Gastos Gerais'!$E$4:$E$615),-('Gastos Gerais'!$C$4:$C$615))</f>
        <v>0</v>
      </c>
      <c r="AN73" s="73">
        <f>SUMPRODUCT(-('Gastos Gerais'!$B$4:$B$615=Analítico!$B73),-(Analítico!AN$3&gt;='Gastos Gerais'!$D$4:$D$615),-(Analítico!AN$3&lt;='Gastos Gerais'!$E$4:$E$615),-('Gastos Gerais'!$C$4:$C$615))</f>
        <v>0</v>
      </c>
      <c r="AO73" s="73">
        <f>SUMPRODUCT(-('Gastos Gerais'!$B$4:$B$615=Analítico!$B73),-(Analítico!AO$3&gt;='Gastos Gerais'!$D$4:$D$615),-(Analítico!AO$3&lt;='Gastos Gerais'!$E$4:$E$615),-('Gastos Gerais'!$C$4:$C$615))</f>
        <v>0</v>
      </c>
      <c r="AP73" s="73">
        <f>SUMPRODUCT(-('Gastos Gerais'!$B$4:$B$615=Analítico!$B73),-(Analítico!AP$3&gt;='Gastos Gerais'!$D$4:$D$615),-(Analítico!AP$3&lt;='Gastos Gerais'!$E$4:$E$615),-('Gastos Gerais'!$C$4:$C$615))</f>
        <v>0</v>
      </c>
      <c r="AQ73" s="73">
        <f>SUMPRODUCT(-('Gastos Gerais'!$B$4:$B$615=Analítico!$B73),-(Analítico!AQ$3&gt;='Gastos Gerais'!$D$4:$D$615),-(Analítico!AQ$3&lt;='Gastos Gerais'!$E$4:$E$615),-('Gastos Gerais'!$C$4:$C$615))</f>
        <v>0</v>
      </c>
      <c r="AR73" s="73">
        <f>SUMPRODUCT(-('Gastos Gerais'!$B$4:$B$615=Analítico!$B73),-(Analítico!AR$3&gt;='Gastos Gerais'!$D$4:$D$615),-(Analítico!AR$3&lt;='Gastos Gerais'!$E$4:$E$615),-('Gastos Gerais'!$C$4:$C$615))</f>
        <v>0</v>
      </c>
      <c r="AS73" s="73">
        <f>SUMPRODUCT(-('Gastos Gerais'!$B$4:$B$615=Analítico!$B73),-(Analítico!AS$3&gt;='Gastos Gerais'!$D$4:$D$615),-(Analítico!AS$3&lt;='Gastos Gerais'!$E$4:$E$615),-('Gastos Gerais'!$C$4:$C$615))</f>
        <v>0</v>
      </c>
      <c r="AT73" s="73">
        <f>SUMPRODUCT(-('Gastos Gerais'!$B$4:$B$615=Analítico!$B73),-(Analítico!AT$3&gt;='Gastos Gerais'!$D$4:$D$615),-(Analítico!AT$3&lt;='Gastos Gerais'!$E$4:$E$615),-('Gastos Gerais'!$C$4:$C$615))</f>
        <v>0</v>
      </c>
      <c r="AU73" s="73">
        <f>SUMPRODUCT(-('Gastos Gerais'!$B$4:$B$615=Analítico!$B73),-(Analítico!AU$3&gt;='Gastos Gerais'!$D$4:$D$615),-(Analítico!AU$3&lt;='Gastos Gerais'!$E$4:$E$615),-('Gastos Gerais'!$C$4:$C$615))</f>
        <v>0</v>
      </c>
      <c r="AV73" s="73">
        <f>SUMPRODUCT(-('Gastos Gerais'!$B$4:$B$615=Analítico!$B73),-(Analítico!AV$3&gt;='Gastos Gerais'!$D$4:$D$615),-(Analítico!AV$3&lt;='Gastos Gerais'!$E$4:$E$615),-('Gastos Gerais'!$C$4:$C$615))</f>
        <v>0</v>
      </c>
      <c r="AW73" s="73">
        <f>SUMPRODUCT(-('Gastos Gerais'!$B$4:$B$615=Analítico!$B73),-(Analítico!AW$3&gt;='Gastos Gerais'!$D$4:$D$615),-(Analítico!AW$3&lt;='Gastos Gerais'!$E$4:$E$615),-('Gastos Gerais'!$C$4:$C$615))</f>
        <v>0</v>
      </c>
      <c r="AX73" s="73">
        <f>SUMPRODUCT(-('Gastos Gerais'!$B$4:$B$615=Analítico!$B73),-(Analítico!AX$3&gt;='Gastos Gerais'!$D$4:$D$615),-(Analítico!AX$3&lt;='Gastos Gerais'!$E$4:$E$615),-('Gastos Gerais'!$C$4:$C$615))</f>
        <v>0</v>
      </c>
      <c r="AY73" s="73">
        <f>SUMPRODUCT(-('Gastos Gerais'!$B$4:$B$615=Analítico!$B73),-(Analítico!AY$3&gt;='Gastos Gerais'!$D$4:$D$615),-(Analítico!AY$3&lt;='Gastos Gerais'!$E$4:$E$615),-('Gastos Gerais'!$C$4:$C$615))</f>
        <v>0</v>
      </c>
      <c r="AZ73" s="73">
        <f>SUMPRODUCT(-('Gastos Gerais'!$B$4:$B$615=Analítico!$B73),-(Analítico!AZ$3&gt;='Gastos Gerais'!$D$4:$D$615),-(Analítico!AZ$3&lt;='Gastos Gerais'!$E$4:$E$615),-('Gastos Gerais'!$C$4:$C$615))</f>
        <v>0</v>
      </c>
      <c r="BA73" s="73">
        <f>SUMPRODUCT(-('Gastos Gerais'!$B$4:$B$615=Analítico!$B73),-(Analítico!BA$3&gt;='Gastos Gerais'!$D$4:$D$615),-(Analítico!BA$3&lt;='Gastos Gerais'!$E$4:$E$615),-('Gastos Gerais'!$C$4:$C$615))</f>
        <v>0</v>
      </c>
      <c r="BB73" s="73">
        <f>SUMPRODUCT(-('Gastos Gerais'!$B$4:$B$615=Analítico!$B73),-(Analítico!BB$3&gt;='Gastos Gerais'!$D$4:$D$615),-(Analítico!BB$3&lt;='Gastos Gerais'!$E$4:$E$615),-('Gastos Gerais'!$C$4:$C$615))</f>
        <v>0</v>
      </c>
      <c r="BC73" s="73">
        <f>SUMPRODUCT(-('Gastos Gerais'!$B$4:$B$615=Analítico!$B73),-(Analítico!BC$3&gt;='Gastos Gerais'!$D$4:$D$615),-(Analítico!BC$3&lt;='Gastos Gerais'!$E$4:$E$615),-('Gastos Gerais'!$C$4:$C$615))</f>
        <v>0</v>
      </c>
      <c r="BD73" s="73">
        <f>SUMPRODUCT(-('Gastos Gerais'!$B$4:$B$615=Analítico!$B73),-(Analítico!BD$3&gt;='Gastos Gerais'!$D$4:$D$615),-(Analítico!BD$3&lt;='Gastos Gerais'!$E$4:$E$615),-('Gastos Gerais'!$C$4:$C$615))</f>
        <v>0</v>
      </c>
      <c r="BE73" s="73">
        <f>SUMPRODUCT(-('Gastos Gerais'!$B$4:$B$615=Analítico!$B73),-(Analítico!BE$3&gt;='Gastos Gerais'!$D$4:$D$615),-(Analítico!BE$3&lt;='Gastos Gerais'!$E$4:$E$615),-('Gastos Gerais'!$C$4:$C$615))</f>
        <v>0</v>
      </c>
      <c r="BF73" s="73">
        <f>SUMPRODUCT(-('Gastos Gerais'!$B$4:$B$615=Analítico!$B73),-(Analítico!BF$3&gt;='Gastos Gerais'!$D$4:$D$615),-(Analítico!BF$3&lt;='Gastos Gerais'!$E$4:$E$615),-('Gastos Gerais'!$C$4:$C$615))</f>
        <v>0</v>
      </c>
      <c r="BG73" s="73">
        <f>SUMPRODUCT(-('Gastos Gerais'!$B$4:$B$615=Analítico!$B73),-(Analítico!BG$3&gt;='Gastos Gerais'!$D$4:$D$615),-(Analítico!BG$3&lt;='Gastos Gerais'!$E$4:$E$615),-('Gastos Gerais'!$C$4:$C$615))</f>
        <v>0</v>
      </c>
      <c r="BH73" s="73">
        <f>SUMPRODUCT(-('Gastos Gerais'!$B$4:$B$615=Analítico!$B73),-(Analítico!BH$3&gt;='Gastos Gerais'!$D$4:$D$615),-(Analítico!BH$3&lt;='Gastos Gerais'!$E$4:$E$615),-('Gastos Gerais'!$C$4:$C$615))</f>
        <v>0</v>
      </c>
      <c r="BI73" s="73">
        <f>SUMPRODUCT(-('Gastos Gerais'!$B$4:$B$615=Analítico!$B73),-(Analítico!BI$3&gt;='Gastos Gerais'!$D$4:$D$615),-(Analítico!BI$3&lt;='Gastos Gerais'!$E$4:$E$615),-('Gastos Gerais'!$C$4:$C$615))</f>
        <v>0</v>
      </c>
      <c r="BJ73" s="73">
        <f>SUMPRODUCT(-('Gastos Gerais'!$B$4:$B$615=Analítico!$B73),-(Analítico!BJ$3&gt;='Gastos Gerais'!$D$4:$D$615),-(Analítico!BJ$3&lt;='Gastos Gerais'!$E$4:$E$615),-('Gastos Gerais'!$C$4:$C$615))</f>
        <v>0</v>
      </c>
      <c r="BK73" s="71">
        <f t="shared" si="31"/>
        <v>0</v>
      </c>
      <c r="BL73" s="76">
        <f t="shared" ca="1" si="32"/>
        <v>0</v>
      </c>
    </row>
    <row r="74" spans="1:64" s="49" customFormat="1" ht="23.25" customHeight="1" x14ac:dyDescent="0.2">
      <c r="A74" s="109" t="s">
        <v>216</v>
      </c>
      <c r="B74" s="110" t="s">
        <v>217</v>
      </c>
      <c r="C74" s="73">
        <f>SUMPRODUCT(-('Gastos Gerais'!$B$4:$B$615=Analítico!$B74),-(Analítico!C$3&gt;='Gastos Gerais'!$D$4:$D$615),-(Analítico!C$3&lt;='Gastos Gerais'!$E$4:$E$615),-('Gastos Gerais'!$C$4:$C$615))</f>
        <v>0</v>
      </c>
      <c r="D74" s="73">
        <f>SUMPRODUCT(-('Gastos Gerais'!$B$4:$B$615=Analítico!$B74),-(Analítico!D$3&gt;='Gastos Gerais'!$D$4:$D$615),-(Analítico!D$3&lt;='Gastos Gerais'!$E$4:$E$615),-('Gastos Gerais'!$C$4:$C$615))</f>
        <v>0</v>
      </c>
      <c r="E74" s="73">
        <f>SUMPRODUCT(-('Gastos Gerais'!$B$4:$B$615=Analítico!$B74),-(Analítico!E$3&gt;='Gastos Gerais'!$D$4:$D$615),-(Analítico!E$3&lt;='Gastos Gerais'!$E$4:$E$615),-('Gastos Gerais'!$C$4:$C$615))</f>
        <v>0</v>
      </c>
      <c r="F74" s="73">
        <f>SUMPRODUCT(-('Gastos Gerais'!$B$4:$B$615=Analítico!$B74),-(Analítico!F$3&gt;='Gastos Gerais'!$D$4:$D$615),-(Analítico!F$3&lt;='Gastos Gerais'!$E$4:$E$615),-('Gastos Gerais'!$C$4:$C$615))</f>
        <v>0</v>
      </c>
      <c r="G74" s="73">
        <f>SUMPRODUCT(-('Gastos Gerais'!$B$4:$B$615=Analítico!$B74),-(Analítico!G$3&gt;='Gastos Gerais'!$D$4:$D$615),-(Analítico!G$3&lt;='Gastos Gerais'!$E$4:$E$615),-('Gastos Gerais'!$C$4:$C$615))</f>
        <v>0</v>
      </c>
      <c r="H74" s="73">
        <f>SUMPRODUCT(-('Gastos Gerais'!$B$4:$B$615=Analítico!$B74),-(Analítico!H$3&gt;='Gastos Gerais'!$D$4:$D$615),-(Analítico!H$3&lt;='Gastos Gerais'!$E$4:$E$615),-('Gastos Gerais'!$C$4:$C$615))</f>
        <v>0</v>
      </c>
      <c r="I74" s="73">
        <f>SUMPRODUCT(-('Gastos Gerais'!$B$4:$B$615=Analítico!$B74),-(Analítico!I$3&gt;='Gastos Gerais'!$D$4:$D$615),-(Analítico!I$3&lt;='Gastos Gerais'!$E$4:$E$615),-('Gastos Gerais'!$C$4:$C$615))</f>
        <v>0</v>
      </c>
      <c r="J74" s="73">
        <f>SUMPRODUCT(-('Gastos Gerais'!$B$4:$B$615=Analítico!$B74),-(Analítico!J$3&gt;='Gastos Gerais'!$D$4:$D$615),-(Analítico!J$3&lt;='Gastos Gerais'!$E$4:$E$615),-('Gastos Gerais'!$C$4:$C$615))</f>
        <v>0</v>
      </c>
      <c r="K74" s="73">
        <f>SUMPRODUCT(-('Gastos Gerais'!$B$4:$B$615=Analítico!$B74),-(Analítico!K$3&gt;='Gastos Gerais'!$D$4:$D$615),-(Analítico!K$3&lt;='Gastos Gerais'!$E$4:$E$615),-('Gastos Gerais'!$C$4:$C$615))</f>
        <v>0</v>
      </c>
      <c r="L74" s="73">
        <f>SUMPRODUCT(-('Gastos Gerais'!$B$4:$B$615=Analítico!$B74),-(Analítico!L$3&gt;='Gastos Gerais'!$D$4:$D$615),-(Analítico!L$3&lt;='Gastos Gerais'!$E$4:$E$615),-('Gastos Gerais'!$C$4:$C$615))</f>
        <v>0</v>
      </c>
      <c r="M74" s="73">
        <f>SUMPRODUCT(-('Gastos Gerais'!$B$4:$B$615=Analítico!$B74),-(Analítico!M$3&gt;='Gastos Gerais'!$D$4:$D$615),-(Analítico!M$3&lt;='Gastos Gerais'!$E$4:$E$615),-('Gastos Gerais'!$C$4:$C$615))</f>
        <v>0</v>
      </c>
      <c r="N74" s="73">
        <f>SUMPRODUCT(-('Gastos Gerais'!$B$4:$B$615=Analítico!$B74),-(Analítico!N$3&gt;='Gastos Gerais'!$D$4:$D$615),-(Analítico!N$3&lt;='Gastos Gerais'!$E$4:$E$615),-('Gastos Gerais'!$C$4:$C$615))</f>
        <v>0</v>
      </c>
      <c r="O74" s="73">
        <f>SUMPRODUCT(-('Gastos Gerais'!$B$4:$B$615=Analítico!$B74),-(Analítico!O$3&gt;='Gastos Gerais'!$D$4:$D$615),-(Analítico!O$3&lt;='Gastos Gerais'!$E$4:$E$615),-('Gastos Gerais'!$C$4:$C$615))</f>
        <v>0</v>
      </c>
      <c r="P74" s="73">
        <f>SUMPRODUCT(-('Gastos Gerais'!$B$4:$B$615=Analítico!$B74),-(Analítico!P$3&gt;='Gastos Gerais'!$D$4:$D$615),-(Analítico!P$3&lt;='Gastos Gerais'!$E$4:$E$615),-('Gastos Gerais'!$C$4:$C$615))</f>
        <v>0</v>
      </c>
      <c r="Q74" s="73">
        <f>SUMPRODUCT(-('Gastos Gerais'!$B$4:$B$615=Analítico!$B74),-(Analítico!Q$3&gt;='Gastos Gerais'!$D$4:$D$615),-(Analítico!Q$3&lt;='Gastos Gerais'!$E$4:$E$615),-('Gastos Gerais'!$C$4:$C$615))</f>
        <v>0</v>
      </c>
      <c r="R74" s="73">
        <f>SUMPRODUCT(-('Gastos Gerais'!$B$4:$B$615=Analítico!$B74),-(Analítico!R$3&gt;='Gastos Gerais'!$D$4:$D$615),-(Analítico!R$3&lt;='Gastos Gerais'!$E$4:$E$615),-('Gastos Gerais'!$C$4:$C$615))</f>
        <v>0</v>
      </c>
      <c r="S74" s="73">
        <f>SUMPRODUCT(-('Gastos Gerais'!$B$4:$B$615=Analítico!$B74),-(Analítico!S$3&gt;='Gastos Gerais'!$D$4:$D$615),-(Analítico!S$3&lt;='Gastos Gerais'!$E$4:$E$615),-('Gastos Gerais'!$C$4:$C$615))</f>
        <v>0</v>
      </c>
      <c r="T74" s="73">
        <f>SUMPRODUCT(-('Gastos Gerais'!$B$4:$B$615=Analítico!$B74),-(Analítico!T$3&gt;='Gastos Gerais'!$D$4:$D$615),-(Analítico!T$3&lt;='Gastos Gerais'!$E$4:$E$615),-('Gastos Gerais'!$C$4:$C$615))</f>
        <v>0</v>
      </c>
      <c r="U74" s="73">
        <f>SUMPRODUCT(-('Gastos Gerais'!$B$4:$B$615=Analítico!$B74),-(Analítico!U$3&gt;='Gastos Gerais'!$D$4:$D$615),-(Analítico!U$3&lt;='Gastos Gerais'!$E$4:$E$615),-('Gastos Gerais'!$C$4:$C$615))</f>
        <v>0</v>
      </c>
      <c r="V74" s="73">
        <f>SUMPRODUCT(-('Gastos Gerais'!$B$4:$B$615=Analítico!$B74),-(Analítico!V$3&gt;='Gastos Gerais'!$D$4:$D$615),-(Analítico!V$3&lt;='Gastos Gerais'!$E$4:$E$615),-('Gastos Gerais'!$C$4:$C$615))</f>
        <v>0</v>
      </c>
      <c r="W74" s="73">
        <f>SUMPRODUCT(-('Gastos Gerais'!$B$4:$B$615=Analítico!$B74),-(Analítico!W$3&gt;='Gastos Gerais'!$D$4:$D$615),-(Analítico!W$3&lt;='Gastos Gerais'!$E$4:$E$615),-('Gastos Gerais'!$C$4:$C$615))</f>
        <v>0</v>
      </c>
      <c r="X74" s="73">
        <f>SUMPRODUCT(-('Gastos Gerais'!$B$4:$B$615=Analítico!$B74),-(Analítico!X$3&gt;='Gastos Gerais'!$D$4:$D$615),-(Analítico!X$3&lt;='Gastos Gerais'!$E$4:$E$615),-('Gastos Gerais'!$C$4:$C$615))</f>
        <v>0</v>
      </c>
      <c r="Y74" s="73">
        <f>SUMPRODUCT(-('Gastos Gerais'!$B$4:$B$615=Analítico!$B74),-(Analítico!Y$3&gt;='Gastos Gerais'!$D$4:$D$615),-(Analítico!Y$3&lt;='Gastos Gerais'!$E$4:$E$615),-('Gastos Gerais'!$C$4:$C$615))</f>
        <v>0</v>
      </c>
      <c r="Z74" s="73">
        <f>SUMPRODUCT(-('Gastos Gerais'!$B$4:$B$615=Analítico!$B74),-(Analítico!Z$3&gt;='Gastos Gerais'!$D$4:$D$615),-(Analítico!Z$3&lt;='Gastos Gerais'!$E$4:$E$615),-('Gastos Gerais'!$C$4:$C$615))</f>
        <v>0</v>
      </c>
      <c r="AA74" s="73">
        <f>SUMPRODUCT(-('Gastos Gerais'!$B$4:$B$615=Analítico!$B74),-(Analítico!AA$3&gt;='Gastos Gerais'!$D$4:$D$615),-(Analítico!AA$3&lt;='Gastos Gerais'!$E$4:$E$615),-('Gastos Gerais'!$C$4:$C$615))</f>
        <v>0</v>
      </c>
      <c r="AB74" s="73">
        <f>SUMPRODUCT(-('Gastos Gerais'!$B$4:$B$615=Analítico!$B74),-(Analítico!AB$3&gt;='Gastos Gerais'!$D$4:$D$615),-(Analítico!AB$3&lt;='Gastos Gerais'!$E$4:$E$615),-('Gastos Gerais'!$C$4:$C$615))</f>
        <v>0</v>
      </c>
      <c r="AC74" s="73">
        <f>SUMPRODUCT(-('Gastos Gerais'!$B$4:$B$615=Analítico!$B74),-(Analítico!AC$3&gt;='Gastos Gerais'!$D$4:$D$615),-(Analítico!AC$3&lt;='Gastos Gerais'!$E$4:$E$615),-('Gastos Gerais'!$C$4:$C$615))</f>
        <v>0</v>
      </c>
      <c r="AD74" s="73">
        <f>SUMPRODUCT(-('Gastos Gerais'!$B$4:$B$615=Analítico!$B74),-(Analítico!AD$3&gt;='Gastos Gerais'!$D$4:$D$615),-(Analítico!AD$3&lt;='Gastos Gerais'!$E$4:$E$615),-('Gastos Gerais'!$C$4:$C$615))</f>
        <v>0</v>
      </c>
      <c r="AE74" s="73">
        <f>SUMPRODUCT(-('Gastos Gerais'!$B$4:$B$615=Analítico!$B74),-(Analítico!AE$3&gt;='Gastos Gerais'!$D$4:$D$615),-(Analítico!AE$3&lt;='Gastos Gerais'!$E$4:$E$615),-('Gastos Gerais'!$C$4:$C$615))</f>
        <v>0</v>
      </c>
      <c r="AF74" s="73">
        <f>SUMPRODUCT(-('Gastos Gerais'!$B$4:$B$615=Analítico!$B74),-(Analítico!AF$3&gt;='Gastos Gerais'!$D$4:$D$615),-(Analítico!AF$3&lt;='Gastos Gerais'!$E$4:$E$615),-('Gastos Gerais'!$C$4:$C$615))</f>
        <v>0</v>
      </c>
      <c r="AG74" s="73">
        <f>SUMPRODUCT(-('Gastos Gerais'!$B$4:$B$615=Analítico!$B74),-(Analítico!AG$3&gt;='Gastos Gerais'!$D$4:$D$615),-(Analítico!AG$3&lt;='Gastos Gerais'!$E$4:$E$615),-('Gastos Gerais'!$C$4:$C$615))</f>
        <v>0</v>
      </c>
      <c r="AH74" s="73">
        <f>SUMPRODUCT(-('Gastos Gerais'!$B$4:$B$615=Analítico!$B74),-(Analítico!AH$3&gt;='Gastos Gerais'!$D$4:$D$615),-(Analítico!AH$3&lt;='Gastos Gerais'!$E$4:$E$615),-('Gastos Gerais'!$C$4:$C$615))</f>
        <v>0</v>
      </c>
      <c r="AI74" s="73">
        <f>SUMPRODUCT(-('Gastos Gerais'!$B$4:$B$615=Analítico!$B74),-(Analítico!AI$3&gt;='Gastos Gerais'!$D$4:$D$615),-(Analítico!AI$3&lt;='Gastos Gerais'!$E$4:$E$615),-('Gastos Gerais'!$C$4:$C$615))</f>
        <v>0</v>
      </c>
      <c r="AJ74" s="73">
        <f>SUMPRODUCT(-('Gastos Gerais'!$B$4:$B$615=Analítico!$B74),-(Analítico!AJ$3&gt;='Gastos Gerais'!$D$4:$D$615),-(Analítico!AJ$3&lt;='Gastos Gerais'!$E$4:$E$615),-('Gastos Gerais'!$C$4:$C$615))</f>
        <v>0</v>
      </c>
      <c r="AK74" s="73">
        <f>SUMPRODUCT(-('Gastos Gerais'!$B$4:$B$615=Analítico!$B74),-(Analítico!AK$3&gt;='Gastos Gerais'!$D$4:$D$615),-(Analítico!AK$3&lt;='Gastos Gerais'!$E$4:$E$615),-('Gastos Gerais'!$C$4:$C$615))</f>
        <v>0</v>
      </c>
      <c r="AL74" s="73">
        <f>SUMPRODUCT(-('Gastos Gerais'!$B$4:$B$615=Analítico!$B74),-(Analítico!AL$3&gt;='Gastos Gerais'!$D$4:$D$615),-(Analítico!AL$3&lt;='Gastos Gerais'!$E$4:$E$615),-('Gastos Gerais'!$C$4:$C$615))</f>
        <v>0</v>
      </c>
      <c r="AM74" s="73">
        <f>SUMPRODUCT(-('Gastos Gerais'!$B$4:$B$615=Analítico!$B74),-(Analítico!AM$3&gt;='Gastos Gerais'!$D$4:$D$615),-(Analítico!AM$3&lt;='Gastos Gerais'!$E$4:$E$615),-('Gastos Gerais'!$C$4:$C$615))</f>
        <v>0</v>
      </c>
      <c r="AN74" s="73">
        <f>SUMPRODUCT(-('Gastos Gerais'!$B$4:$B$615=Analítico!$B74),-(Analítico!AN$3&gt;='Gastos Gerais'!$D$4:$D$615),-(Analítico!AN$3&lt;='Gastos Gerais'!$E$4:$E$615),-('Gastos Gerais'!$C$4:$C$615))</f>
        <v>0</v>
      </c>
      <c r="AO74" s="73">
        <f>SUMPRODUCT(-('Gastos Gerais'!$B$4:$B$615=Analítico!$B74),-(Analítico!AO$3&gt;='Gastos Gerais'!$D$4:$D$615),-(Analítico!AO$3&lt;='Gastos Gerais'!$E$4:$E$615),-('Gastos Gerais'!$C$4:$C$615))</f>
        <v>0</v>
      </c>
      <c r="AP74" s="73">
        <f>SUMPRODUCT(-('Gastos Gerais'!$B$4:$B$615=Analítico!$B74),-(Analítico!AP$3&gt;='Gastos Gerais'!$D$4:$D$615),-(Analítico!AP$3&lt;='Gastos Gerais'!$E$4:$E$615),-('Gastos Gerais'!$C$4:$C$615))</f>
        <v>0</v>
      </c>
      <c r="AQ74" s="73">
        <f>SUMPRODUCT(-('Gastos Gerais'!$B$4:$B$615=Analítico!$B74),-(Analítico!AQ$3&gt;='Gastos Gerais'!$D$4:$D$615),-(Analítico!AQ$3&lt;='Gastos Gerais'!$E$4:$E$615),-('Gastos Gerais'!$C$4:$C$615))</f>
        <v>0</v>
      </c>
      <c r="AR74" s="73">
        <f>SUMPRODUCT(-('Gastos Gerais'!$B$4:$B$615=Analítico!$B74),-(Analítico!AR$3&gt;='Gastos Gerais'!$D$4:$D$615),-(Analítico!AR$3&lt;='Gastos Gerais'!$E$4:$E$615),-('Gastos Gerais'!$C$4:$C$615))</f>
        <v>0</v>
      </c>
      <c r="AS74" s="73">
        <f>SUMPRODUCT(-('Gastos Gerais'!$B$4:$B$615=Analítico!$B74),-(Analítico!AS$3&gt;='Gastos Gerais'!$D$4:$D$615),-(Analítico!AS$3&lt;='Gastos Gerais'!$E$4:$E$615),-('Gastos Gerais'!$C$4:$C$615))</f>
        <v>0</v>
      </c>
      <c r="AT74" s="73">
        <f>SUMPRODUCT(-('Gastos Gerais'!$B$4:$B$615=Analítico!$B74),-(Analítico!AT$3&gt;='Gastos Gerais'!$D$4:$D$615),-(Analítico!AT$3&lt;='Gastos Gerais'!$E$4:$E$615),-('Gastos Gerais'!$C$4:$C$615))</f>
        <v>0</v>
      </c>
      <c r="AU74" s="73">
        <f>SUMPRODUCT(-('Gastos Gerais'!$B$4:$B$615=Analítico!$B74),-(Analítico!AU$3&gt;='Gastos Gerais'!$D$4:$D$615),-(Analítico!AU$3&lt;='Gastos Gerais'!$E$4:$E$615),-('Gastos Gerais'!$C$4:$C$615))</f>
        <v>0</v>
      </c>
      <c r="AV74" s="73">
        <f>SUMPRODUCT(-('Gastos Gerais'!$B$4:$B$615=Analítico!$B74),-(Analítico!AV$3&gt;='Gastos Gerais'!$D$4:$D$615),-(Analítico!AV$3&lt;='Gastos Gerais'!$E$4:$E$615),-('Gastos Gerais'!$C$4:$C$615))</f>
        <v>0</v>
      </c>
      <c r="AW74" s="73">
        <f>SUMPRODUCT(-('Gastos Gerais'!$B$4:$B$615=Analítico!$B74),-(Analítico!AW$3&gt;='Gastos Gerais'!$D$4:$D$615),-(Analítico!AW$3&lt;='Gastos Gerais'!$E$4:$E$615),-('Gastos Gerais'!$C$4:$C$615))</f>
        <v>0</v>
      </c>
      <c r="AX74" s="73">
        <f>SUMPRODUCT(-('Gastos Gerais'!$B$4:$B$615=Analítico!$B74),-(Analítico!AX$3&gt;='Gastos Gerais'!$D$4:$D$615),-(Analítico!AX$3&lt;='Gastos Gerais'!$E$4:$E$615),-('Gastos Gerais'!$C$4:$C$615))</f>
        <v>0</v>
      </c>
      <c r="AY74" s="73">
        <f>SUMPRODUCT(-('Gastos Gerais'!$B$4:$B$615=Analítico!$B74),-(Analítico!AY$3&gt;='Gastos Gerais'!$D$4:$D$615),-(Analítico!AY$3&lt;='Gastos Gerais'!$E$4:$E$615),-('Gastos Gerais'!$C$4:$C$615))</f>
        <v>0</v>
      </c>
      <c r="AZ74" s="73">
        <f>SUMPRODUCT(-('Gastos Gerais'!$B$4:$B$615=Analítico!$B74),-(Analítico!AZ$3&gt;='Gastos Gerais'!$D$4:$D$615),-(Analítico!AZ$3&lt;='Gastos Gerais'!$E$4:$E$615),-('Gastos Gerais'!$C$4:$C$615))</f>
        <v>0</v>
      </c>
      <c r="BA74" s="73">
        <f>SUMPRODUCT(-('Gastos Gerais'!$B$4:$B$615=Analítico!$B74),-(Analítico!BA$3&gt;='Gastos Gerais'!$D$4:$D$615),-(Analítico!BA$3&lt;='Gastos Gerais'!$E$4:$E$615),-('Gastos Gerais'!$C$4:$C$615))</f>
        <v>0</v>
      </c>
      <c r="BB74" s="73">
        <f>SUMPRODUCT(-('Gastos Gerais'!$B$4:$B$615=Analítico!$B74),-(Analítico!BB$3&gt;='Gastos Gerais'!$D$4:$D$615),-(Analítico!BB$3&lt;='Gastos Gerais'!$E$4:$E$615),-('Gastos Gerais'!$C$4:$C$615))</f>
        <v>0</v>
      </c>
      <c r="BC74" s="73">
        <f>SUMPRODUCT(-('Gastos Gerais'!$B$4:$B$615=Analítico!$B74),-(Analítico!BC$3&gt;='Gastos Gerais'!$D$4:$D$615),-(Analítico!BC$3&lt;='Gastos Gerais'!$E$4:$E$615),-('Gastos Gerais'!$C$4:$C$615))</f>
        <v>0</v>
      </c>
      <c r="BD74" s="73">
        <f>SUMPRODUCT(-('Gastos Gerais'!$B$4:$B$615=Analítico!$B74),-(Analítico!BD$3&gt;='Gastos Gerais'!$D$4:$D$615),-(Analítico!BD$3&lt;='Gastos Gerais'!$E$4:$E$615),-('Gastos Gerais'!$C$4:$C$615))</f>
        <v>0</v>
      </c>
      <c r="BE74" s="73">
        <f>SUMPRODUCT(-('Gastos Gerais'!$B$4:$B$615=Analítico!$B74),-(Analítico!BE$3&gt;='Gastos Gerais'!$D$4:$D$615),-(Analítico!BE$3&lt;='Gastos Gerais'!$E$4:$E$615),-('Gastos Gerais'!$C$4:$C$615))</f>
        <v>0</v>
      </c>
      <c r="BF74" s="73">
        <f>SUMPRODUCT(-('Gastos Gerais'!$B$4:$B$615=Analítico!$B74),-(Analítico!BF$3&gt;='Gastos Gerais'!$D$4:$D$615),-(Analítico!BF$3&lt;='Gastos Gerais'!$E$4:$E$615),-('Gastos Gerais'!$C$4:$C$615))</f>
        <v>0</v>
      </c>
      <c r="BG74" s="73">
        <f>SUMPRODUCT(-('Gastos Gerais'!$B$4:$B$615=Analítico!$B74),-(Analítico!BG$3&gt;='Gastos Gerais'!$D$4:$D$615),-(Analítico!BG$3&lt;='Gastos Gerais'!$E$4:$E$615),-('Gastos Gerais'!$C$4:$C$615))</f>
        <v>0</v>
      </c>
      <c r="BH74" s="73">
        <f>SUMPRODUCT(-('Gastos Gerais'!$B$4:$B$615=Analítico!$B74),-(Analítico!BH$3&gt;='Gastos Gerais'!$D$4:$D$615),-(Analítico!BH$3&lt;='Gastos Gerais'!$E$4:$E$615),-('Gastos Gerais'!$C$4:$C$615))</f>
        <v>0</v>
      </c>
      <c r="BI74" s="73">
        <f>SUMPRODUCT(-('Gastos Gerais'!$B$4:$B$615=Analítico!$B74),-(Analítico!BI$3&gt;='Gastos Gerais'!$D$4:$D$615),-(Analítico!BI$3&lt;='Gastos Gerais'!$E$4:$E$615),-('Gastos Gerais'!$C$4:$C$615))</f>
        <v>0</v>
      </c>
      <c r="BJ74" s="73">
        <f>SUMPRODUCT(-('Gastos Gerais'!$B$4:$B$615=Analítico!$B74),-(Analítico!BJ$3&gt;='Gastos Gerais'!$D$4:$D$615),-(Analítico!BJ$3&lt;='Gastos Gerais'!$E$4:$E$615),-('Gastos Gerais'!$C$4:$C$615))</f>
        <v>0</v>
      </c>
      <c r="BK74" s="71">
        <f t="shared" si="31"/>
        <v>0</v>
      </c>
      <c r="BL74" s="76">
        <f t="shared" ca="1" si="32"/>
        <v>0</v>
      </c>
    </row>
    <row r="75" spans="1:64" s="49" customFormat="1" ht="23.25" customHeight="1" x14ac:dyDescent="0.2">
      <c r="A75" s="109" t="s">
        <v>218</v>
      </c>
      <c r="B75" s="111" t="s">
        <v>219</v>
      </c>
      <c r="C75" s="73">
        <f>SUMPRODUCT(-('Gastos Gerais'!$B$4:$B$615=Analítico!$B75),-(Analítico!C$3&gt;='Gastos Gerais'!$D$4:$D$615),-(Analítico!C$3&lt;='Gastos Gerais'!$E$4:$E$615),-('Gastos Gerais'!$C$4:$C$615))</f>
        <v>0</v>
      </c>
      <c r="D75" s="73">
        <f>SUMPRODUCT(-('Gastos Gerais'!$B$4:$B$615=Analítico!$B75),-(Analítico!D$3&gt;='Gastos Gerais'!$D$4:$D$615),-(Analítico!D$3&lt;='Gastos Gerais'!$E$4:$E$615),-('Gastos Gerais'!$C$4:$C$615))</f>
        <v>0</v>
      </c>
      <c r="E75" s="73">
        <f>SUMPRODUCT(-('Gastos Gerais'!$B$4:$B$615=Analítico!$B75),-(Analítico!E$3&gt;='Gastos Gerais'!$D$4:$D$615),-(Analítico!E$3&lt;='Gastos Gerais'!$E$4:$E$615),-('Gastos Gerais'!$C$4:$C$615))</f>
        <v>0</v>
      </c>
      <c r="F75" s="73">
        <f>SUMPRODUCT(-('Gastos Gerais'!$B$4:$B$615=Analítico!$B75),-(Analítico!F$3&gt;='Gastos Gerais'!$D$4:$D$615),-(Analítico!F$3&lt;='Gastos Gerais'!$E$4:$E$615),-('Gastos Gerais'!$C$4:$C$615))</f>
        <v>0</v>
      </c>
      <c r="G75" s="73">
        <f>SUMPRODUCT(-('Gastos Gerais'!$B$4:$B$615=Analítico!$B75),-(Analítico!G$3&gt;='Gastos Gerais'!$D$4:$D$615),-(Analítico!G$3&lt;='Gastos Gerais'!$E$4:$E$615),-('Gastos Gerais'!$C$4:$C$615))</f>
        <v>0</v>
      </c>
      <c r="H75" s="73">
        <f>SUMPRODUCT(-('Gastos Gerais'!$B$4:$B$615=Analítico!$B75),-(Analítico!H$3&gt;='Gastos Gerais'!$D$4:$D$615),-(Analítico!H$3&lt;='Gastos Gerais'!$E$4:$E$615),-('Gastos Gerais'!$C$4:$C$615))</f>
        <v>0</v>
      </c>
      <c r="I75" s="73">
        <f>SUMPRODUCT(-('Gastos Gerais'!$B$4:$B$615=Analítico!$B75),-(Analítico!I$3&gt;='Gastos Gerais'!$D$4:$D$615),-(Analítico!I$3&lt;='Gastos Gerais'!$E$4:$E$615),-('Gastos Gerais'!$C$4:$C$615))</f>
        <v>0</v>
      </c>
      <c r="J75" s="73">
        <f>SUMPRODUCT(-('Gastos Gerais'!$B$4:$B$615=Analítico!$B75),-(Analítico!J$3&gt;='Gastos Gerais'!$D$4:$D$615),-(Analítico!J$3&lt;='Gastos Gerais'!$E$4:$E$615),-('Gastos Gerais'!$C$4:$C$615))</f>
        <v>0</v>
      </c>
      <c r="K75" s="73">
        <f>SUMPRODUCT(-('Gastos Gerais'!$B$4:$B$615=Analítico!$B75),-(Analítico!K$3&gt;='Gastos Gerais'!$D$4:$D$615),-(Analítico!K$3&lt;='Gastos Gerais'!$E$4:$E$615),-('Gastos Gerais'!$C$4:$C$615))</f>
        <v>0</v>
      </c>
      <c r="L75" s="73">
        <f>SUMPRODUCT(-('Gastos Gerais'!$B$4:$B$615=Analítico!$B75),-(Analítico!L$3&gt;='Gastos Gerais'!$D$4:$D$615),-(Analítico!L$3&lt;='Gastos Gerais'!$E$4:$E$615),-('Gastos Gerais'!$C$4:$C$615))</f>
        <v>0</v>
      </c>
      <c r="M75" s="73">
        <f>SUMPRODUCT(-('Gastos Gerais'!$B$4:$B$615=Analítico!$B75),-(Analítico!M$3&gt;='Gastos Gerais'!$D$4:$D$615),-(Analítico!M$3&lt;='Gastos Gerais'!$E$4:$E$615),-('Gastos Gerais'!$C$4:$C$615))</f>
        <v>0</v>
      </c>
      <c r="N75" s="73">
        <f>SUMPRODUCT(-('Gastos Gerais'!$B$4:$B$615=Analítico!$B75),-(Analítico!N$3&gt;='Gastos Gerais'!$D$4:$D$615),-(Analítico!N$3&lt;='Gastos Gerais'!$E$4:$E$615),-('Gastos Gerais'!$C$4:$C$615))</f>
        <v>0</v>
      </c>
      <c r="O75" s="73">
        <f>SUMPRODUCT(-('Gastos Gerais'!$B$4:$B$615=Analítico!$B75),-(Analítico!O$3&gt;='Gastos Gerais'!$D$4:$D$615),-(Analítico!O$3&lt;='Gastos Gerais'!$E$4:$E$615),-('Gastos Gerais'!$C$4:$C$615))</f>
        <v>0</v>
      </c>
      <c r="P75" s="73">
        <f>SUMPRODUCT(-('Gastos Gerais'!$B$4:$B$615=Analítico!$B75),-(Analítico!P$3&gt;='Gastos Gerais'!$D$4:$D$615),-(Analítico!P$3&lt;='Gastos Gerais'!$E$4:$E$615),-('Gastos Gerais'!$C$4:$C$615))</f>
        <v>0</v>
      </c>
      <c r="Q75" s="73">
        <f>SUMPRODUCT(-('Gastos Gerais'!$B$4:$B$615=Analítico!$B75),-(Analítico!Q$3&gt;='Gastos Gerais'!$D$4:$D$615),-(Analítico!Q$3&lt;='Gastos Gerais'!$E$4:$E$615),-('Gastos Gerais'!$C$4:$C$615))</f>
        <v>0</v>
      </c>
      <c r="R75" s="73">
        <f>SUMPRODUCT(-('Gastos Gerais'!$B$4:$B$615=Analítico!$B75),-(Analítico!R$3&gt;='Gastos Gerais'!$D$4:$D$615),-(Analítico!R$3&lt;='Gastos Gerais'!$E$4:$E$615),-('Gastos Gerais'!$C$4:$C$615))</f>
        <v>0</v>
      </c>
      <c r="S75" s="73">
        <f>SUMPRODUCT(-('Gastos Gerais'!$B$4:$B$615=Analítico!$B75),-(Analítico!S$3&gt;='Gastos Gerais'!$D$4:$D$615),-(Analítico!S$3&lt;='Gastos Gerais'!$E$4:$E$615),-('Gastos Gerais'!$C$4:$C$615))</f>
        <v>0</v>
      </c>
      <c r="T75" s="73">
        <f>SUMPRODUCT(-('Gastos Gerais'!$B$4:$B$615=Analítico!$B75),-(Analítico!T$3&gt;='Gastos Gerais'!$D$4:$D$615),-(Analítico!T$3&lt;='Gastos Gerais'!$E$4:$E$615),-('Gastos Gerais'!$C$4:$C$615))</f>
        <v>0</v>
      </c>
      <c r="U75" s="73">
        <f>SUMPRODUCT(-('Gastos Gerais'!$B$4:$B$615=Analítico!$B75),-(Analítico!U$3&gt;='Gastos Gerais'!$D$4:$D$615),-(Analítico!U$3&lt;='Gastos Gerais'!$E$4:$E$615),-('Gastos Gerais'!$C$4:$C$615))</f>
        <v>0</v>
      </c>
      <c r="V75" s="73">
        <f>SUMPRODUCT(-('Gastos Gerais'!$B$4:$B$615=Analítico!$B75),-(Analítico!V$3&gt;='Gastos Gerais'!$D$4:$D$615),-(Analítico!V$3&lt;='Gastos Gerais'!$E$4:$E$615),-('Gastos Gerais'!$C$4:$C$615))</f>
        <v>0</v>
      </c>
      <c r="W75" s="73">
        <f>SUMPRODUCT(-('Gastos Gerais'!$B$4:$B$615=Analítico!$B75),-(Analítico!W$3&gt;='Gastos Gerais'!$D$4:$D$615),-(Analítico!W$3&lt;='Gastos Gerais'!$E$4:$E$615),-('Gastos Gerais'!$C$4:$C$615))</f>
        <v>0</v>
      </c>
      <c r="X75" s="73">
        <f>SUMPRODUCT(-('Gastos Gerais'!$B$4:$B$615=Analítico!$B75),-(Analítico!X$3&gt;='Gastos Gerais'!$D$4:$D$615),-(Analítico!X$3&lt;='Gastos Gerais'!$E$4:$E$615),-('Gastos Gerais'!$C$4:$C$615))</f>
        <v>0</v>
      </c>
      <c r="Y75" s="73">
        <f>SUMPRODUCT(-('Gastos Gerais'!$B$4:$B$615=Analítico!$B75),-(Analítico!Y$3&gt;='Gastos Gerais'!$D$4:$D$615),-(Analítico!Y$3&lt;='Gastos Gerais'!$E$4:$E$615),-('Gastos Gerais'!$C$4:$C$615))</f>
        <v>0</v>
      </c>
      <c r="Z75" s="73">
        <f>SUMPRODUCT(-('Gastos Gerais'!$B$4:$B$615=Analítico!$B75),-(Analítico!Z$3&gt;='Gastos Gerais'!$D$4:$D$615),-(Analítico!Z$3&lt;='Gastos Gerais'!$E$4:$E$615),-('Gastos Gerais'!$C$4:$C$615))</f>
        <v>0</v>
      </c>
      <c r="AA75" s="73">
        <f>SUMPRODUCT(-('Gastos Gerais'!$B$4:$B$615=Analítico!$B75),-(Analítico!AA$3&gt;='Gastos Gerais'!$D$4:$D$615),-(Analítico!AA$3&lt;='Gastos Gerais'!$E$4:$E$615),-('Gastos Gerais'!$C$4:$C$615))</f>
        <v>0</v>
      </c>
      <c r="AB75" s="73">
        <f>SUMPRODUCT(-('Gastos Gerais'!$B$4:$B$615=Analítico!$B75),-(Analítico!AB$3&gt;='Gastos Gerais'!$D$4:$D$615),-(Analítico!AB$3&lt;='Gastos Gerais'!$E$4:$E$615),-('Gastos Gerais'!$C$4:$C$615))</f>
        <v>0</v>
      </c>
      <c r="AC75" s="73">
        <f>SUMPRODUCT(-('Gastos Gerais'!$B$4:$B$615=Analítico!$B75),-(Analítico!AC$3&gt;='Gastos Gerais'!$D$4:$D$615),-(Analítico!AC$3&lt;='Gastos Gerais'!$E$4:$E$615),-('Gastos Gerais'!$C$4:$C$615))</f>
        <v>0</v>
      </c>
      <c r="AD75" s="73">
        <f>SUMPRODUCT(-('Gastos Gerais'!$B$4:$B$615=Analítico!$B75),-(Analítico!AD$3&gt;='Gastos Gerais'!$D$4:$D$615),-(Analítico!AD$3&lt;='Gastos Gerais'!$E$4:$E$615),-('Gastos Gerais'!$C$4:$C$615))</f>
        <v>0</v>
      </c>
      <c r="AE75" s="73">
        <f>SUMPRODUCT(-('Gastos Gerais'!$B$4:$B$615=Analítico!$B75),-(Analítico!AE$3&gt;='Gastos Gerais'!$D$4:$D$615),-(Analítico!AE$3&lt;='Gastos Gerais'!$E$4:$E$615),-('Gastos Gerais'!$C$4:$C$615))</f>
        <v>0</v>
      </c>
      <c r="AF75" s="73">
        <f>SUMPRODUCT(-('Gastos Gerais'!$B$4:$B$615=Analítico!$B75),-(Analítico!AF$3&gt;='Gastos Gerais'!$D$4:$D$615),-(Analítico!AF$3&lt;='Gastos Gerais'!$E$4:$E$615),-('Gastos Gerais'!$C$4:$C$615))</f>
        <v>0</v>
      </c>
      <c r="AG75" s="73">
        <f>SUMPRODUCT(-('Gastos Gerais'!$B$4:$B$615=Analítico!$B75),-(Analítico!AG$3&gt;='Gastos Gerais'!$D$4:$D$615),-(Analítico!AG$3&lt;='Gastos Gerais'!$E$4:$E$615),-('Gastos Gerais'!$C$4:$C$615))</f>
        <v>0</v>
      </c>
      <c r="AH75" s="73">
        <f>SUMPRODUCT(-('Gastos Gerais'!$B$4:$B$615=Analítico!$B75),-(Analítico!AH$3&gt;='Gastos Gerais'!$D$4:$D$615),-(Analítico!AH$3&lt;='Gastos Gerais'!$E$4:$E$615),-('Gastos Gerais'!$C$4:$C$615))</f>
        <v>0</v>
      </c>
      <c r="AI75" s="73">
        <f>SUMPRODUCT(-('Gastos Gerais'!$B$4:$B$615=Analítico!$B75),-(Analítico!AI$3&gt;='Gastos Gerais'!$D$4:$D$615),-(Analítico!AI$3&lt;='Gastos Gerais'!$E$4:$E$615),-('Gastos Gerais'!$C$4:$C$615))</f>
        <v>0</v>
      </c>
      <c r="AJ75" s="73">
        <f>SUMPRODUCT(-('Gastos Gerais'!$B$4:$B$615=Analítico!$B75),-(Analítico!AJ$3&gt;='Gastos Gerais'!$D$4:$D$615),-(Analítico!AJ$3&lt;='Gastos Gerais'!$E$4:$E$615),-('Gastos Gerais'!$C$4:$C$615))</f>
        <v>0</v>
      </c>
      <c r="AK75" s="73">
        <f>SUMPRODUCT(-('Gastos Gerais'!$B$4:$B$615=Analítico!$B75),-(Analítico!AK$3&gt;='Gastos Gerais'!$D$4:$D$615),-(Analítico!AK$3&lt;='Gastos Gerais'!$E$4:$E$615),-('Gastos Gerais'!$C$4:$C$615))</f>
        <v>0</v>
      </c>
      <c r="AL75" s="73">
        <f>SUMPRODUCT(-('Gastos Gerais'!$B$4:$B$615=Analítico!$B75),-(Analítico!AL$3&gt;='Gastos Gerais'!$D$4:$D$615),-(Analítico!AL$3&lt;='Gastos Gerais'!$E$4:$E$615),-('Gastos Gerais'!$C$4:$C$615))</f>
        <v>0</v>
      </c>
      <c r="AM75" s="73">
        <f>SUMPRODUCT(-('Gastos Gerais'!$B$4:$B$615=Analítico!$B75),-(Analítico!AM$3&gt;='Gastos Gerais'!$D$4:$D$615),-(Analítico!AM$3&lt;='Gastos Gerais'!$E$4:$E$615),-('Gastos Gerais'!$C$4:$C$615))</f>
        <v>0</v>
      </c>
      <c r="AN75" s="73">
        <f>SUMPRODUCT(-('Gastos Gerais'!$B$4:$B$615=Analítico!$B75),-(Analítico!AN$3&gt;='Gastos Gerais'!$D$4:$D$615),-(Analítico!AN$3&lt;='Gastos Gerais'!$E$4:$E$615),-('Gastos Gerais'!$C$4:$C$615))</f>
        <v>0</v>
      </c>
      <c r="AO75" s="73">
        <f>SUMPRODUCT(-('Gastos Gerais'!$B$4:$B$615=Analítico!$B75),-(Analítico!AO$3&gt;='Gastos Gerais'!$D$4:$D$615),-(Analítico!AO$3&lt;='Gastos Gerais'!$E$4:$E$615),-('Gastos Gerais'!$C$4:$C$615))</f>
        <v>0</v>
      </c>
      <c r="AP75" s="73">
        <f>SUMPRODUCT(-('Gastos Gerais'!$B$4:$B$615=Analítico!$B75),-(Analítico!AP$3&gt;='Gastos Gerais'!$D$4:$D$615),-(Analítico!AP$3&lt;='Gastos Gerais'!$E$4:$E$615),-('Gastos Gerais'!$C$4:$C$615))</f>
        <v>0</v>
      </c>
      <c r="AQ75" s="73">
        <f>SUMPRODUCT(-('Gastos Gerais'!$B$4:$B$615=Analítico!$B75),-(Analítico!AQ$3&gt;='Gastos Gerais'!$D$4:$D$615),-(Analítico!AQ$3&lt;='Gastos Gerais'!$E$4:$E$615),-('Gastos Gerais'!$C$4:$C$615))</f>
        <v>0</v>
      </c>
      <c r="AR75" s="73">
        <f>SUMPRODUCT(-('Gastos Gerais'!$B$4:$B$615=Analítico!$B75),-(Analítico!AR$3&gt;='Gastos Gerais'!$D$4:$D$615),-(Analítico!AR$3&lt;='Gastos Gerais'!$E$4:$E$615),-('Gastos Gerais'!$C$4:$C$615))</f>
        <v>0</v>
      </c>
      <c r="AS75" s="73">
        <f>SUMPRODUCT(-('Gastos Gerais'!$B$4:$B$615=Analítico!$B75),-(Analítico!AS$3&gt;='Gastos Gerais'!$D$4:$D$615),-(Analítico!AS$3&lt;='Gastos Gerais'!$E$4:$E$615),-('Gastos Gerais'!$C$4:$C$615))</f>
        <v>0</v>
      </c>
      <c r="AT75" s="73">
        <f>SUMPRODUCT(-('Gastos Gerais'!$B$4:$B$615=Analítico!$B75),-(Analítico!AT$3&gt;='Gastos Gerais'!$D$4:$D$615),-(Analítico!AT$3&lt;='Gastos Gerais'!$E$4:$E$615),-('Gastos Gerais'!$C$4:$C$615))</f>
        <v>0</v>
      </c>
      <c r="AU75" s="73">
        <f>SUMPRODUCT(-('Gastos Gerais'!$B$4:$B$615=Analítico!$B75),-(Analítico!AU$3&gt;='Gastos Gerais'!$D$4:$D$615),-(Analítico!AU$3&lt;='Gastos Gerais'!$E$4:$E$615),-('Gastos Gerais'!$C$4:$C$615))</f>
        <v>0</v>
      </c>
      <c r="AV75" s="73">
        <f>SUMPRODUCT(-('Gastos Gerais'!$B$4:$B$615=Analítico!$B75),-(Analítico!AV$3&gt;='Gastos Gerais'!$D$4:$D$615),-(Analítico!AV$3&lt;='Gastos Gerais'!$E$4:$E$615),-('Gastos Gerais'!$C$4:$C$615))</f>
        <v>0</v>
      </c>
      <c r="AW75" s="73">
        <f>SUMPRODUCT(-('Gastos Gerais'!$B$4:$B$615=Analítico!$B75),-(Analítico!AW$3&gt;='Gastos Gerais'!$D$4:$D$615),-(Analítico!AW$3&lt;='Gastos Gerais'!$E$4:$E$615),-('Gastos Gerais'!$C$4:$C$615))</f>
        <v>0</v>
      </c>
      <c r="AX75" s="73">
        <f>SUMPRODUCT(-('Gastos Gerais'!$B$4:$B$615=Analítico!$B75),-(Analítico!AX$3&gt;='Gastos Gerais'!$D$4:$D$615),-(Analítico!AX$3&lt;='Gastos Gerais'!$E$4:$E$615),-('Gastos Gerais'!$C$4:$C$615))</f>
        <v>0</v>
      </c>
      <c r="AY75" s="73">
        <f>SUMPRODUCT(-('Gastos Gerais'!$B$4:$B$615=Analítico!$B75),-(Analítico!AY$3&gt;='Gastos Gerais'!$D$4:$D$615),-(Analítico!AY$3&lt;='Gastos Gerais'!$E$4:$E$615),-('Gastos Gerais'!$C$4:$C$615))</f>
        <v>0</v>
      </c>
      <c r="AZ75" s="73">
        <f>SUMPRODUCT(-('Gastos Gerais'!$B$4:$B$615=Analítico!$B75),-(Analítico!AZ$3&gt;='Gastos Gerais'!$D$4:$D$615),-(Analítico!AZ$3&lt;='Gastos Gerais'!$E$4:$E$615),-('Gastos Gerais'!$C$4:$C$615))</f>
        <v>0</v>
      </c>
      <c r="BA75" s="73">
        <f>SUMPRODUCT(-('Gastos Gerais'!$B$4:$B$615=Analítico!$B75),-(Analítico!BA$3&gt;='Gastos Gerais'!$D$4:$D$615),-(Analítico!BA$3&lt;='Gastos Gerais'!$E$4:$E$615),-('Gastos Gerais'!$C$4:$C$615))</f>
        <v>0</v>
      </c>
      <c r="BB75" s="73">
        <f>SUMPRODUCT(-('Gastos Gerais'!$B$4:$B$615=Analítico!$B75),-(Analítico!BB$3&gt;='Gastos Gerais'!$D$4:$D$615),-(Analítico!BB$3&lt;='Gastos Gerais'!$E$4:$E$615),-('Gastos Gerais'!$C$4:$C$615))</f>
        <v>0</v>
      </c>
      <c r="BC75" s="73">
        <f>SUMPRODUCT(-('Gastos Gerais'!$B$4:$B$615=Analítico!$B75),-(Analítico!BC$3&gt;='Gastos Gerais'!$D$4:$D$615),-(Analítico!BC$3&lt;='Gastos Gerais'!$E$4:$E$615),-('Gastos Gerais'!$C$4:$C$615))</f>
        <v>0</v>
      </c>
      <c r="BD75" s="73">
        <f>SUMPRODUCT(-('Gastos Gerais'!$B$4:$B$615=Analítico!$B75),-(Analítico!BD$3&gt;='Gastos Gerais'!$D$4:$D$615),-(Analítico!BD$3&lt;='Gastos Gerais'!$E$4:$E$615),-('Gastos Gerais'!$C$4:$C$615))</f>
        <v>0</v>
      </c>
      <c r="BE75" s="73">
        <f>SUMPRODUCT(-('Gastos Gerais'!$B$4:$B$615=Analítico!$B75),-(Analítico!BE$3&gt;='Gastos Gerais'!$D$4:$D$615),-(Analítico!BE$3&lt;='Gastos Gerais'!$E$4:$E$615),-('Gastos Gerais'!$C$4:$C$615))</f>
        <v>0</v>
      </c>
      <c r="BF75" s="73">
        <f>SUMPRODUCT(-('Gastos Gerais'!$B$4:$B$615=Analítico!$B75),-(Analítico!BF$3&gt;='Gastos Gerais'!$D$4:$D$615),-(Analítico!BF$3&lt;='Gastos Gerais'!$E$4:$E$615),-('Gastos Gerais'!$C$4:$C$615))</f>
        <v>0</v>
      </c>
      <c r="BG75" s="73">
        <f>SUMPRODUCT(-('Gastos Gerais'!$B$4:$B$615=Analítico!$B75),-(Analítico!BG$3&gt;='Gastos Gerais'!$D$4:$D$615),-(Analítico!BG$3&lt;='Gastos Gerais'!$E$4:$E$615),-('Gastos Gerais'!$C$4:$C$615))</f>
        <v>0</v>
      </c>
      <c r="BH75" s="73">
        <f>SUMPRODUCT(-('Gastos Gerais'!$B$4:$B$615=Analítico!$B75),-(Analítico!BH$3&gt;='Gastos Gerais'!$D$4:$D$615),-(Analítico!BH$3&lt;='Gastos Gerais'!$E$4:$E$615),-('Gastos Gerais'!$C$4:$C$615))</f>
        <v>0</v>
      </c>
      <c r="BI75" s="73">
        <f>SUMPRODUCT(-('Gastos Gerais'!$B$4:$B$615=Analítico!$B75),-(Analítico!BI$3&gt;='Gastos Gerais'!$D$4:$D$615),-(Analítico!BI$3&lt;='Gastos Gerais'!$E$4:$E$615),-('Gastos Gerais'!$C$4:$C$615))</f>
        <v>0</v>
      </c>
      <c r="BJ75" s="73">
        <f>SUMPRODUCT(-('Gastos Gerais'!$B$4:$B$615=Analítico!$B75),-(Analítico!BJ$3&gt;='Gastos Gerais'!$D$4:$D$615),-(Analítico!BJ$3&lt;='Gastos Gerais'!$E$4:$E$615),-('Gastos Gerais'!$C$4:$C$615))</f>
        <v>0</v>
      </c>
      <c r="BK75" s="71">
        <f t="shared" si="31"/>
        <v>0</v>
      </c>
      <c r="BL75" s="76">
        <f t="shared" ca="1" si="32"/>
        <v>0</v>
      </c>
    </row>
    <row r="76" spans="1:64" s="49" customFormat="1" ht="23.25" customHeight="1" x14ac:dyDescent="0.2">
      <c r="A76" s="109" t="s">
        <v>220</v>
      </c>
      <c r="B76" s="110" t="s">
        <v>221</v>
      </c>
      <c r="C76" s="73">
        <f>SUMPRODUCT(-('Gastos Gerais'!$B$4:$B$615=Analítico!$B76),-(Analítico!C$3&gt;='Gastos Gerais'!$D$4:$D$615),-(Analítico!C$3&lt;='Gastos Gerais'!$E$4:$E$615),-('Gastos Gerais'!$C$4:$C$615))</f>
        <v>12000</v>
      </c>
      <c r="D76" s="73">
        <f>SUMPRODUCT(-('Gastos Gerais'!$B$4:$B$615=Analítico!$B76),-(Analítico!D$3&gt;='Gastos Gerais'!$D$4:$D$615),-(Analítico!D$3&lt;='Gastos Gerais'!$E$4:$E$615),-('Gastos Gerais'!$C$4:$C$615))</f>
        <v>1200</v>
      </c>
      <c r="E76" s="73">
        <f>SUMPRODUCT(-('Gastos Gerais'!$B$4:$B$615=Analítico!$B76),-(Analítico!E$3&gt;='Gastos Gerais'!$D$4:$D$615),-(Analítico!E$3&lt;='Gastos Gerais'!$E$4:$E$615),-('Gastos Gerais'!$C$4:$C$615))</f>
        <v>1200</v>
      </c>
      <c r="F76" s="73">
        <f>SUMPRODUCT(-('Gastos Gerais'!$B$4:$B$615=Analítico!$B76),-(Analítico!F$3&gt;='Gastos Gerais'!$D$4:$D$615),-(Analítico!F$3&lt;='Gastos Gerais'!$E$4:$E$615),-('Gastos Gerais'!$C$4:$C$615))</f>
        <v>1200</v>
      </c>
      <c r="G76" s="73">
        <f>SUMPRODUCT(-('Gastos Gerais'!$B$4:$B$615=Analítico!$B76),-(Analítico!G$3&gt;='Gastos Gerais'!$D$4:$D$615),-(Analítico!G$3&lt;='Gastos Gerais'!$E$4:$E$615),-('Gastos Gerais'!$C$4:$C$615))</f>
        <v>1200</v>
      </c>
      <c r="H76" s="73">
        <f>SUMPRODUCT(-('Gastos Gerais'!$B$4:$B$615=Analítico!$B76),-(Analítico!H$3&gt;='Gastos Gerais'!$D$4:$D$615),-(Analítico!H$3&lt;='Gastos Gerais'!$E$4:$E$615),-('Gastos Gerais'!$C$4:$C$615))</f>
        <v>1200</v>
      </c>
      <c r="I76" s="73">
        <f>SUMPRODUCT(-('Gastos Gerais'!$B$4:$B$615=Analítico!$B76),-(Analítico!I$3&gt;='Gastos Gerais'!$D$4:$D$615),-(Analítico!I$3&lt;='Gastos Gerais'!$E$4:$E$615),-('Gastos Gerais'!$C$4:$C$615))</f>
        <v>1200</v>
      </c>
      <c r="J76" s="73">
        <f>SUMPRODUCT(-('Gastos Gerais'!$B$4:$B$615=Analítico!$B76),-(Analítico!J$3&gt;='Gastos Gerais'!$D$4:$D$615),-(Analítico!J$3&lt;='Gastos Gerais'!$E$4:$E$615),-('Gastos Gerais'!$C$4:$C$615))</f>
        <v>1200</v>
      </c>
      <c r="K76" s="73">
        <f>SUMPRODUCT(-('Gastos Gerais'!$B$4:$B$615=Analítico!$B76),-(Analítico!K$3&gt;='Gastos Gerais'!$D$4:$D$615),-(Analítico!K$3&lt;='Gastos Gerais'!$E$4:$E$615),-('Gastos Gerais'!$C$4:$C$615))</f>
        <v>1200</v>
      </c>
      <c r="L76" s="73">
        <f>SUMPRODUCT(-('Gastos Gerais'!$B$4:$B$615=Analítico!$B76),-(Analítico!L$3&gt;='Gastos Gerais'!$D$4:$D$615),-(Analítico!L$3&lt;='Gastos Gerais'!$E$4:$E$615),-('Gastos Gerais'!$C$4:$C$615))</f>
        <v>1200</v>
      </c>
      <c r="M76" s="73">
        <f>SUMPRODUCT(-('Gastos Gerais'!$B$4:$B$615=Analítico!$B76),-(Analítico!M$3&gt;='Gastos Gerais'!$D$4:$D$615),-(Analítico!M$3&lt;='Gastos Gerais'!$E$4:$E$615),-('Gastos Gerais'!$C$4:$C$615))</f>
        <v>1200</v>
      </c>
      <c r="N76" s="73">
        <f>SUMPRODUCT(-('Gastos Gerais'!$B$4:$B$615=Analítico!$B76),-(Analítico!N$3&gt;='Gastos Gerais'!$D$4:$D$615),-(Analítico!N$3&lt;='Gastos Gerais'!$E$4:$E$615),-('Gastos Gerais'!$C$4:$C$615))</f>
        <v>1200</v>
      </c>
      <c r="O76" s="73">
        <f>SUMPRODUCT(-('Gastos Gerais'!$B$4:$B$615=Analítico!$B76),-(Analítico!O$3&gt;='Gastos Gerais'!$D$4:$D$615),-(Analítico!O$3&lt;='Gastos Gerais'!$E$4:$E$615),-('Gastos Gerais'!$C$4:$C$615))</f>
        <v>1200</v>
      </c>
      <c r="P76" s="73">
        <f>SUMPRODUCT(-('Gastos Gerais'!$B$4:$B$615=Analítico!$B76),-(Analítico!P$3&gt;='Gastos Gerais'!$D$4:$D$615),-(Analítico!P$3&lt;='Gastos Gerais'!$E$4:$E$615),-('Gastos Gerais'!$C$4:$C$615))</f>
        <v>1200</v>
      </c>
      <c r="Q76" s="73">
        <f>SUMPRODUCT(-('Gastos Gerais'!$B$4:$B$615=Analítico!$B76),-(Analítico!Q$3&gt;='Gastos Gerais'!$D$4:$D$615),-(Analítico!Q$3&lt;='Gastos Gerais'!$E$4:$E$615),-('Gastos Gerais'!$C$4:$C$615))</f>
        <v>1200</v>
      </c>
      <c r="R76" s="73">
        <f>SUMPRODUCT(-('Gastos Gerais'!$B$4:$B$615=Analítico!$B76),-(Analítico!R$3&gt;='Gastos Gerais'!$D$4:$D$615),-(Analítico!R$3&lt;='Gastos Gerais'!$E$4:$E$615),-('Gastos Gerais'!$C$4:$C$615))</f>
        <v>1200</v>
      </c>
      <c r="S76" s="73">
        <f>SUMPRODUCT(-('Gastos Gerais'!$B$4:$B$615=Analítico!$B76),-(Analítico!S$3&gt;='Gastos Gerais'!$D$4:$D$615),-(Analítico!S$3&lt;='Gastos Gerais'!$E$4:$E$615),-('Gastos Gerais'!$C$4:$C$615))</f>
        <v>1200</v>
      </c>
      <c r="T76" s="73">
        <f>SUMPRODUCT(-('Gastos Gerais'!$B$4:$B$615=Analítico!$B76),-(Analítico!T$3&gt;='Gastos Gerais'!$D$4:$D$615),-(Analítico!T$3&lt;='Gastos Gerais'!$E$4:$E$615),-('Gastos Gerais'!$C$4:$C$615))</f>
        <v>1200</v>
      </c>
      <c r="U76" s="73">
        <f>SUMPRODUCT(-('Gastos Gerais'!$B$4:$B$615=Analítico!$B76),-(Analítico!U$3&gt;='Gastos Gerais'!$D$4:$D$615),-(Analítico!U$3&lt;='Gastos Gerais'!$E$4:$E$615),-('Gastos Gerais'!$C$4:$C$615))</f>
        <v>1200</v>
      </c>
      <c r="V76" s="73">
        <f>SUMPRODUCT(-('Gastos Gerais'!$B$4:$B$615=Analítico!$B76),-(Analítico!V$3&gt;='Gastos Gerais'!$D$4:$D$615),-(Analítico!V$3&lt;='Gastos Gerais'!$E$4:$E$615),-('Gastos Gerais'!$C$4:$C$615))</f>
        <v>1200</v>
      </c>
      <c r="W76" s="73">
        <f>SUMPRODUCT(-('Gastos Gerais'!$B$4:$B$615=Analítico!$B76),-(Analítico!W$3&gt;='Gastos Gerais'!$D$4:$D$615),-(Analítico!W$3&lt;='Gastos Gerais'!$E$4:$E$615),-('Gastos Gerais'!$C$4:$C$615))</f>
        <v>1200</v>
      </c>
      <c r="X76" s="73">
        <f>SUMPRODUCT(-('Gastos Gerais'!$B$4:$B$615=Analítico!$B76),-(Analítico!X$3&gt;='Gastos Gerais'!$D$4:$D$615),-(Analítico!X$3&lt;='Gastos Gerais'!$E$4:$E$615),-('Gastos Gerais'!$C$4:$C$615))</f>
        <v>1200</v>
      </c>
      <c r="Y76" s="73">
        <f>SUMPRODUCT(-('Gastos Gerais'!$B$4:$B$615=Analítico!$B76),-(Analítico!Y$3&gt;='Gastos Gerais'!$D$4:$D$615),-(Analítico!Y$3&lt;='Gastos Gerais'!$E$4:$E$615),-('Gastos Gerais'!$C$4:$C$615))</f>
        <v>1200</v>
      </c>
      <c r="Z76" s="73">
        <f>SUMPRODUCT(-('Gastos Gerais'!$B$4:$B$615=Analítico!$B76),-(Analítico!Z$3&gt;='Gastos Gerais'!$D$4:$D$615),-(Analítico!Z$3&lt;='Gastos Gerais'!$E$4:$E$615),-('Gastos Gerais'!$C$4:$C$615))</f>
        <v>1200</v>
      </c>
      <c r="AA76" s="73">
        <f>SUMPRODUCT(-('Gastos Gerais'!$B$4:$B$615=Analítico!$B76),-(Analítico!AA$3&gt;='Gastos Gerais'!$D$4:$D$615),-(Analítico!AA$3&lt;='Gastos Gerais'!$E$4:$E$615),-('Gastos Gerais'!$C$4:$C$615))</f>
        <v>1200</v>
      </c>
      <c r="AB76" s="73">
        <f>SUMPRODUCT(-('Gastos Gerais'!$B$4:$B$615=Analítico!$B76),-(Analítico!AB$3&gt;='Gastos Gerais'!$D$4:$D$615),-(Analítico!AB$3&lt;='Gastos Gerais'!$E$4:$E$615),-('Gastos Gerais'!$C$4:$C$615))</f>
        <v>1200</v>
      </c>
      <c r="AC76" s="73">
        <f>SUMPRODUCT(-('Gastos Gerais'!$B$4:$B$615=Analítico!$B76),-(Analítico!AC$3&gt;='Gastos Gerais'!$D$4:$D$615),-(Analítico!AC$3&lt;='Gastos Gerais'!$E$4:$E$615),-('Gastos Gerais'!$C$4:$C$615))</f>
        <v>1200</v>
      </c>
      <c r="AD76" s="73">
        <f>SUMPRODUCT(-('Gastos Gerais'!$B$4:$B$615=Analítico!$B76),-(Analítico!AD$3&gt;='Gastos Gerais'!$D$4:$D$615),-(Analítico!AD$3&lt;='Gastos Gerais'!$E$4:$E$615),-('Gastos Gerais'!$C$4:$C$615))</f>
        <v>1200</v>
      </c>
      <c r="AE76" s="73">
        <f>SUMPRODUCT(-('Gastos Gerais'!$B$4:$B$615=Analítico!$B76),-(Analítico!AE$3&gt;='Gastos Gerais'!$D$4:$D$615),-(Analítico!AE$3&lt;='Gastos Gerais'!$E$4:$E$615),-('Gastos Gerais'!$C$4:$C$615))</f>
        <v>1200</v>
      </c>
      <c r="AF76" s="73">
        <f>SUMPRODUCT(-('Gastos Gerais'!$B$4:$B$615=Analítico!$B76),-(Analítico!AF$3&gt;='Gastos Gerais'!$D$4:$D$615),-(Analítico!AF$3&lt;='Gastos Gerais'!$E$4:$E$615),-('Gastos Gerais'!$C$4:$C$615))</f>
        <v>1200</v>
      </c>
      <c r="AG76" s="73">
        <f>SUMPRODUCT(-('Gastos Gerais'!$B$4:$B$615=Analítico!$B76),-(Analítico!AG$3&gt;='Gastos Gerais'!$D$4:$D$615),-(Analítico!AG$3&lt;='Gastos Gerais'!$E$4:$E$615),-('Gastos Gerais'!$C$4:$C$615))</f>
        <v>1200</v>
      </c>
      <c r="AH76" s="73">
        <f>SUMPRODUCT(-('Gastos Gerais'!$B$4:$B$615=Analítico!$B76),-(Analítico!AH$3&gt;='Gastos Gerais'!$D$4:$D$615),-(Analítico!AH$3&lt;='Gastos Gerais'!$E$4:$E$615),-('Gastos Gerais'!$C$4:$C$615))</f>
        <v>1200</v>
      </c>
      <c r="AI76" s="73">
        <f>SUMPRODUCT(-('Gastos Gerais'!$B$4:$B$615=Analítico!$B76),-(Analítico!AI$3&gt;='Gastos Gerais'!$D$4:$D$615),-(Analítico!AI$3&lt;='Gastos Gerais'!$E$4:$E$615),-('Gastos Gerais'!$C$4:$C$615))</f>
        <v>1200</v>
      </c>
      <c r="AJ76" s="73">
        <f>SUMPRODUCT(-('Gastos Gerais'!$B$4:$B$615=Analítico!$B76),-(Analítico!AJ$3&gt;='Gastos Gerais'!$D$4:$D$615),-(Analítico!AJ$3&lt;='Gastos Gerais'!$E$4:$E$615),-('Gastos Gerais'!$C$4:$C$615))</f>
        <v>1200</v>
      </c>
      <c r="AK76" s="73">
        <f>SUMPRODUCT(-('Gastos Gerais'!$B$4:$B$615=Analítico!$B76),-(Analítico!AK$3&gt;='Gastos Gerais'!$D$4:$D$615),-(Analítico!AK$3&lt;='Gastos Gerais'!$E$4:$E$615),-('Gastos Gerais'!$C$4:$C$615))</f>
        <v>1200</v>
      </c>
      <c r="AL76" s="73">
        <f>SUMPRODUCT(-('Gastos Gerais'!$B$4:$B$615=Analítico!$B76),-(Analítico!AL$3&gt;='Gastos Gerais'!$D$4:$D$615),-(Analítico!AL$3&lt;='Gastos Gerais'!$E$4:$E$615),-('Gastos Gerais'!$C$4:$C$615))</f>
        <v>1200</v>
      </c>
      <c r="AM76" s="73">
        <f>SUMPRODUCT(-('Gastos Gerais'!$B$4:$B$615=Analítico!$B76),-(Analítico!AM$3&gt;='Gastos Gerais'!$D$4:$D$615),-(Analítico!AM$3&lt;='Gastos Gerais'!$E$4:$E$615),-('Gastos Gerais'!$C$4:$C$615))</f>
        <v>0</v>
      </c>
      <c r="AN76" s="73">
        <f>SUMPRODUCT(-('Gastos Gerais'!$B$4:$B$615=Analítico!$B76),-(Analítico!AN$3&gt;='Gastos Gerais'!$D$4:$D$615),-(Analítico!AN$3&lt;='Gastos Gerais'!$E$4:$E$615),-('Gastos Gerais'!$C$4:$C$615))</f>
        <v>0</v>
      </c>
      <c r="AO76" s="73">
        <f>SUMPRODUCT(-('Gastos Gerais'!$B$4:$B$615=Analítico!$B76),-(Analítico!AO$3&gt;='Gastos Gerais'!$D$4:$D$615),-(Analítico!AO$3&lt;='Gastos Gerais'!$E$4:$E$615),-('Gastos Gerais'!$C$4:$C$615))</f>
        <v>0</v>
      </c>
      <c r="AP76" s="73">
        <f>SUMPRODUCT(-('Gastos Gerais'!$B$4:$B$615=Analítico!$B76),-(Analítico!AP$3&gt;='Gastos Gerais'!$D$4:$D$615),-(Analítico!AP$3&lt;='Gastos Gerais'!$E$4:$E$615),-('Gastos Gerais'!$C$4:$C$615))</f>
        <v>0</v>
      </c>
      <c r="AQ76" s="73">
        <f>SUMPRODUCT(-('Gastos Gerais'!$B$4:$B$615=Analítico!$B76),-(Analítico!AQ$3&gt;='Gastos Gerais'!$D$4:$D$615),-(Analítico!AQ$3&lt;='Gastos Gerais'!$E$4:$E$615),-('Gastos Gerais'!$C$4:$C$615))</f>
        <v>0</v>
      </c>
      <c r="AR76" s="73">
        <f>SUMPRODUCT(-('Gastos Gerais'!$B$4:$B$615=Analítico!$B76),-(Analítico!AR$3&gt;='Gastos Gerais'!$D$4:$D$615),-(Analítico!AR$3&lt;='Gastos Gerais'!$E$4:$E$615),-('Gastos Gerais'!$C$4:$C$615))</f>
        <v>0</v>
      </c>
      <c r="AS76" s="73">
        <f>SUMPRODUCT(-('Gastos Gerais'!$B$4:$B$615=Analítico!$B76),-(Analítico!AS$3&gt;='Gastos Gerais'!$D$4:$D$615),-(Analítico!AS$3&lt;='Gastos Gerais'!$E$4:$E$615),-('Gastos Gerais'!$C$4:$C$615))</f>
        <v>0</v>
      </c>
      <c r="AT76" s="73">
        <f>SUMPRODUCT(-('Gastos Gerais'!$B$4:$B$615=Analítico!$B76),-(Analítico!AT$3&gt;='Gastos Gerais'!$D$4:$D$615),-(Analítico!AT$3&lt;='Gastos Gerais'!$E$4:$E$615),-('Gastos Gerais'!$C$4:$C$615))</f>
        <v>0</v>
      </c>
      <c r="AU76" s="73">
        <f>SUMPRODUCT(-('Gastos Gerais'!$B$4:$B$615=Analítico!$B76),-(Analítico!AU$3&gt;='Gastos Gerais'!$D$4:$D$615),-(Analítico!AU$3&lt;='Gastos Gerais'!$E$4:$E$615),-('Gastos Gerais'!$C$4:$C$615))</f>
        <v>0</v>
      </c>
      <c r="AV76" s="73">
        <f>SUMPRODUCT(-('Gastos Gerais'!$B$4:$B$615=Analítico!$B76),-(Analítico!AV$3&gt;='Gastos Gerais'!$D$4:$D$615),-(Analítico!AV$3&lt;='Gastos Gerais'!$E$4:$E$615),-('Gastos Gerais'!$C$4:$C$615))</f>
        <v>0</v>
      </c>
      <c r="AW76" s="73">
        <f>SUMPRODUCT(-('Gastos Gerais'!$B$4:$B$615=Analítico!$B76),-(Analítico!AW$3&gt;='Gastos Gerais'!$D$4:$D$615),-(Analítico!AW$3&lt;='Gastos Gerais'!$E$4:$E$615),-('Gastos Gerais'!$C$4:$C$615))</f>
        <v>0</v>
      </c>
      <c r="AX76" s="73">
        <f>SUMPRODUCT(-('Gastos Gerais'!$B$4:$B$615=Analítico!$B76),-(Analítico!AX$3&gt;='Gastos Gerais'!$D$4:$D$615),-(Analítico!AX$3&lt;='Gastos Gerais'!$E$4:$E$615),-('Gastos Gerais'!$C$4:$C$615))</f>
        <v>0</v>
      </c>
      <c r="AY76" s="73">
        <f>SUMPRODUCT(-('Gastos Gerais'!$B$4:$B$615=Analítico!$B76),-(Analítico!AY$3&gt;='Gastos Gerais'!$D$4:$D$615),-(Analítico!AY$3&lt;='Gastos Gerais'!$E$4:$E$615),-('Gastos Gerais'!$C$4:$C$615))</f>
        <v>0</v>
      </c>
      <c r="AZ76" s="73">
        <f>SUMPRODUCT(-('Gastos Gerais'!$B$4:$B$615=Analítico!$B76),-(Analítico!AZ$3&gt;='Gastos Gerais'!$D$4:$D$615),-(Analítico!AZ$3&lt;='Gastos Gerais'!$E$4:$E$615),-('Gastos Gerais'!$C$4:$C$615))</f>
        <v>0</v>
      </c>
      <c r="BA76" s="73">
        <f>SUMPRODUCT(-('Gastos Gerais'!$B$4:$B$615=Analítico!$B76),-(Analítico!BA$3&gt;='Gastos Gerais'!$D$4:$D$615),-(Analítico!BA$3&lt;='Gastos Gerais'!$E$4:$E$615),-('Gastos Gerais'!$C$4:$C$615))</f>
        <v>0</v>
      </c>
      <c r="BB76" s="73">
        <f>SUMPRODUCT(-('Gastos Gerais'!$B$4:$B$615=Analítico!$B76),-(Analítico!BB$3&gt;='Gastos Gerais'!$D$4:$D$615),-(Analítico!BB$3&lt;='Gastos Gerais'!$E$4:$E$615),-('Gastos Gerais'!$C$4:$C$615))</f>
        <v>0</v>
      </c>
      <c r="BC76" s="73">
        <f>SUMPRODUCT(-('Gastos Gerais'!$B$4:$B$615=Analítico!$B76),-(Analítico!BC$3&gt;='Gastos Gerais'!$D$4:$D$615),-(Analítico!BC$3&lt;='Gastos Gerais'!$E$4:$E$615),-('Gastos Gerais'!$C$4:$C$615))</f>
        <v>0</v>
      </c>
      <c r="BD76" s="73">
        <f>SUMPRODUCT(-('Gastos Gerais'!$B$4:$B$615=Analítico!$B76),-(Analítico!BD$3&gt;='Gastos Gerais'!$D$4:$D$615),-(Analítico!BD$3&lt;='Gastos Gerais'!$E$4:$E$615),-('Gastos Gerais'!$C$4:$C$615))</f>
        <v>0</v>
      </c>
      <c r="BE76" s="73">
        <f>SUMPRODUCT(-('Gastos Gerais'!$B$4:$B$615=Analítico!$B76),-(Analítico!BE$3&gt;='Gastos Gerais'!$D$4:$D$615),-(Analítico!BE$3&lt;='Gastos Gerais'!$E$4:$E$615),-('Gastos Gerais'!$C$4:$C$615))</f>
        <v>0</v>
      </c>
      <c r="BF76" s="73">
        <f>SUMPRODUCT(-('Gastos Gerais'!$B$4:$B$615=Analítico!$B76),-(Analítico!BF$3&gt;='Gastos Gerais'!$D$4:$D$615),-(Analítico!BF$3&lt;='Gastos Gerais'!$E$4:$E$615),-('Gastos Gerais'!$C$4:$C$615))</f>
        <v>0</v>
      </c>
      <c r="BG76" s="73">
        <f>SUMPRODUCT(-('Gastos Gerais'!$B$4:$B$615=Analítico!$B76),-(Analítico!BG$3&gt;='Gastos Gerais'!$D$4:$D$615),-(Analítico!BG$3&lt;='Gastos Gerais'!$E$4:$E$615),-('Gastos Gerais'!$C$4:$C$615))</f>
        <v>0</v>
      </c>
      <c r="BH76" s="73">
        <f>SUMPRODUCT(-('Gastos Gerais'!$B$4:$B$615=Analítico!$B76),-(Analítico!BH$3&gt;='Gastos Gerais'!$D$4:$D$615),-(Analítico!BH$3&lt;='Gastos Gerais'!$E$4:$E$615),-('Gastos Gerais'!$C$4:$C$615))</f>
        <v>0</v>
      </c>
      <c r="BI76" s="73">
        <f>SUMPRODUCT(-('Gastos Gerais'!$B$4:$B$615=Analítico!$B76),-(Analítico!BI$3&gt;='Gastos Gerais'!$D$4:$D$615),-(Analítico!BI$3&lt;='Gastos Gerais'!$E$4:$E$615),-('Gastos Gerais'!$C$4:$C$615))</f>
        <v>0</v>
      </c>
      <c r="BJ76" s="73">
        <f>SUMPRODUCT(-('Gastos Gerais'!$B$4:$B$615=Analítico!$B76),-(Analítico!BJ$3&gt;='Gastos Gerais'!$D$4:$D$615),-(Analítico!BJ$3&lt;='Gastos Gerais'!$E$4:$E$615),-('Gastos Gerais'!$C$4:$C$615))</f>
        <v>0</v>
      </c>
      <c r="BK76" s="71">
        <f t="shared" si="31"/>
        <v>54000</v>
      </c>
      <c r="BL76" s="76">
        <f t="shared" ca="1" si="32"/>
        <v>1.4729031497296617E-4</v>
      </c>
    </row>
    <row r="77" spans="1:64" s="49" customFormat="1" ht="23.25" customHeight="1" x14ac:dyDescent="0.2">
      <c r="A77" s="109" t="s">
        <v>222</v>
      </c>
      <c r="B77" s="110" t="s">
        <v>223</v>
      </c>
      <c r="C77" s="73">
        <f>SUMPRODUCT(-('Gastos Gerais'!$B$4:$B$615=Analítico!$B77),-(Analítico!C$3&gt;='Gastos Gerais'!$D$4:$D$615),-(Analítico!C$3&lt;='Gastos Gerais'!$E$4:$E$615),-('Gastos Gerais'!$C$4:$C$615))</f>
        <v>0</v>
      </c>
      <c r="D77" s="73">
        <f>SUMPRODUCT(-('Gastos Gerais'!$B$4:$B$615=Analítico!$B77),-(Analítico!D$3&gt;='Gastos Gerais'!$D$4:$D$615),-(Analítico!D$3&lt;='Gastos Gerais'!$E$4:$E$615),-('Gastos Gerais'!$C$4:$C$615))</f>
        <v>0</v>
      </c>
      <c r="E77" s="73">
        <f>SUMPRODUCT(-('Gastos Gerais'!$B$4:$B$615=Analítico!$B77),-(Analítico!E$3&gt;='Gastos Gerais'!$D$4:$D$615),-(Analítico!E$3&lt;='Gastos Gerais'!$E$4:$E$615),-('Gastos Gerais'!$C$4:$C$615))</f>
        <v>0</v>
      </c>
      <c r="F77" s="73">
        <f>SUMPRODUCT(-('Gastos Gerais'!$B$4:$B$615=Analítico!$B77),-(Analítico!F$3&gt;='Gastos Gerais'!$D$4:$D$615),-(Analítico!F$3&lt;='Gastos Gerais'!$E$4:$E$615),-('Gastos Gerais'!$C$4:$C$615))</f>
        <v>0</v>
      </c>
      <c r="G77" s="73">
        <f>SUMPRODUCT(-('Gastos Gerais'!$B$4:$B$615=Analítico!$B77),-(Analítico!G$3&gt;='Gastos Gerais'!$D$4:$D$615),-(Analítico!G$3&lt;='Gastos Gerais'!$E$4:$E$615),-('Gastos Gerais'!$C$4:$C$615))</f>
        <v>0</v>
      </c>
      <c r="H77" s="73">
        <f>SUMPRODUCT(-('Gastos Gerais'!$B$4:$B$615=Analítico!$B77),-(Analítico!H$3&gt;='Gastos Gerais'!$D$4:$D$615),-(Analítico!H$3&lt;='Gastos Gerais'!$E$4:$E$615),-('Gastos Gerais'!$C$4:$C$615))</f>
        <v>0</v>
      </c>
      <c r="I77" s="73">
        <f>SUMPRODUCT(-('Gastos Gerais'!$B$4:$B$615=Analítico!$B77),-(Analítico!I$3&gt;='Gastos Gerais'!$D$4:$D$615),-(Analítico!I$3&lt;='Gastos Gerais'!$E$4:$E$615),-('Gastos Gerais'!$C$4:$C$615))</f>
        <v>0</v>
      </c>
      <c r="J77" s="73">
        <f>SUMPRODUCT(-('Gastos Gerais'!$B$4:$B$615=Analítico!$B77),-(Analítico!J$3&gt;='Gastos Gerais'!$D$4:$D$615),-(Analítico!J$3&lt;='Gastos Gerais'!$E$4:$E$615),-('Gastos Gerais'!$C$4:$C$615))</f>
        <v>0</v>
      </c>
      <c r="K77" s="73">
        <f>SUMPRODUCT(-('Gastos Gerais'!$B$4:$B$615=Analítico!$B77),-(Analítico!K$3&gt;='Gastos Gerais'!$D$4:$D$615),-(Analítico!K$3&lt;='Gastos Gerais'!$E$4:$E$615),-('Gastos Gerais'!$C$4:$C$615))</f>
        <v>0</v>
      </c>
      <c r="L77" s="73">
        <f>SUMPRODUCT(-('Gastos Gerais'!$B$4:$B$615=Analítico!$B77),-(Analítico!L$3&gt;='Gastos Gerais'!$D$4:$D$615),-(Analítico!L$3&lt;='Gastos Gerais'!$E$4:$E$615),-('Gastos Gerais'!$C$4:$C$615))</f>
        <v>0</v>
      </c>
      <c r="M77" s="73">
        <f>SUMPRODUCT(-('Gastos Gerais'!$B$4:$B$615=Analítico!$B77),-(Analítico!M$3&gt;='Gastos Gerais'!$D$4:$D$615),-(Analítico!M$3&lt;='Gastos Gerais'!$E$4:$E$615),-('Gastos Gerais'!$C$4:$C$615))</f>
        <v>0</v>
      </c>
      <c r="N77" s="73">
        <f>SUMPRODUCT(-('Gastos Gerais'!$B$4:$B$615=Analítico!$B77),-(Analítico!N$3&gt;='Gastos Gerais'!$D$4:$D$615),-(Analítico!N$3&lt;='Gastos Gerais'!$E$4:$E$615),-('Gastos Gerais'!$C$4:$C$615))</f>
        <v>0</v>
      </c>
      <c r="O77" s="73">
        <f>SUMPRODUCT(-('Gastos Gerais'!$B$4:$B$615=Analítico!$B77),-(Analítico!O$3&gt;='Gastos Gerais'!$D$4:$D$615),-(Analítico!O$3&lt;='Gastos Gerais'!$E$4:$E$615),-('Gastos Gerais'!$C$4:$C$615))</f>
        <v>0</v>
      </c>
      <c r="P77" s="73">
        <f>SUMPRODUCT(-('Gastos Gerais'!$B$4:$B$615=Analítico!$B77),-(Analítico!P$3&gt;='Gastos Gerais'!$D$4:$D$615),-(Analítico!P$3&lt;='Gastos Gerais'!$E$4:$E$615),-('Gastos Gerais'!$C$4:$C$615))</f>
        <v>0</v>
      </c>
      <c r="Q77" s="73">
        <f>SUMPRODUCT(-('Gastos Gerais'!$B$4:$B$615=Analítico!$B77),-(Analítico!Q$3&gt;='Gastos Gerais'!$D$4:$D$615),-(Analítico!Q$3&lt;='Gastos Gerais'!$E$4:$E$615),-('Gastos Gerais'!$C$4:$C$615))</f>
        <v>0</v>
      </c>
      <c r="R77" s="73">
        <f>SUMPRODUCT(-('Gastos Gerais'!$B$4:$B$615=Analítico!$B77),-(Analítico!R$3&gt;='Gastos Gerais'!$D$4:$D$615),-(Analítico!R$3&lt;='Gastos Gerais'!$E$4:$E$615),-('Gastos Gerais'!$C$4:$C$615))</f>
        <v>0</v>
      </c>
      <c r="S77" s="73">
        <f>SUMPRODUCT(-('Gastos Gerais'!$B$4:$B$615=Analítico!$B77),-(Analítico!S$3&gt;='Gastos Gerais'!$D$4:$D$615),-(Analítico!S$3&lt;='Gastos Gerais'!$E$4:$E$615),-('Gastos Gerais'!$C$4:$C$615))</f>
        <v>0</v>
      </c>
      <c r="T77" s="73">
        <f>SUMPRODUCT(-('Gastos Gerais'!$B$4:$B$615=Analítico!$B77),-(Analítico!T$3&gt;='Gastos Gerais'!$D$4:$D$615),-(Analítico!T$3&lt;='Gastos Gerais'!$E$4:$E$615),-('Gastos Gerais'!$C$4:$C$615))</f>
        <v>0</v>
      </c>
      <c r="U77" s="73">
        <f>SUMPRODUCT(-('Gastos Gerais'!$B$4:$B$615=Analítico!$B77),-(Analítico!U$3&gt;='Gastos Gerais'!$D$4:$D$615),-(Analítico!U$3&lt;='Gastos Gerais'!$E$4:$E$615),-('Gastos Gerais'!$C$4:$C$615))</f>
        <v>0</v>
      </c>
      <c r="V77" s="73">
        <f>SUMPRODUCT(-('Gastos Gerais'!$B$4:$B$615=Analítico!$B77),-(Analítico!V$3&gt;='Gastos Gerais'!$D$4:$D$615),-(Analítico!V$3&lt;='Gastos Gerais'!$E$4:$E$615),-('Gastos Gerais'!$C$4:$C$615))</f>
        <v>0</v>
      </c>
      <c r="W77" s="73">
        <f>SUMPRODUCT(-('Gastos Gerais'!$B$4:$B$615=Analítico!$B77),-(Analítico!W$3&gt;='Gastos Gerais'!$D$4:$D$615),-(Analítico!W$3&lt;='Gastos Gerais'!$E$4:$E$615),-('Gastos Gerais'!$C$4:$C$615))</f>
        <v>0</v>
      </c>
      <c r="X77" s="73">
        <f>SUMPRODUCT(-('Gastos Gerais'!$B$4:$B$615=Analítico!$B77),-(Analítico!X$3&gt;='Gastos Gerais'!$D$4:$D$615),-(Analítico!X$3&lt;='Gastos Gerais'!$E$4:$E$615),-('Gastos Gerais'!$C$4:$C$615))</f>
        <v>0</v>
      </c>
      <c r="Y77" s="73">
        <f>SUMPRODUCT(-('Gastos Gerais'!$B$4:$B$615=Analítico!$B77),-(Analítico!Y$3&gt;='Gastos Gerais'!$D$4:$D$615),-(Analítico!Y$3&lt;='Gastos Gerais'!$E$4:$E$615),-('Gastos Gerais'!$C$4:$C$615))</f>
        <v>0</v>
      </c>
      <c r="Z77" s="73">
        <f>SUMPRODUCT(-('Gastos Gerais'!$B$4:$B$615=Analítico!$B77),-(Analítico!Z$3&gt;='Gastos Gerais'!$D$4:$D$615),-(Analítico!Z$3&lt;='Gastos Gerais'!$E$4:$E$615),-('Gastos Gerais'!$C$4:$C$615))</f>
        <v>0</v>
      </c>
      <c r="AA77" s="73">
        <f>SUMPRODUCT(-('Gastos Gerais'!$B$4:$B$615=Analítico!$B77),-(Analítico!AA$3&gt;='Gastos Gerais'!$D$4:$D$615),-(Analítico!AA$3&lt;='Gastos Gerais'!$E$4:$E$615),-('Gastos Gerais'!$C$4:$C$615))</f>
        <v>0</v>
      </c>
      <c r="AB77" s="73">
        <f>SUMPRODUCT(-('Gastos Gerais'!$B$4:$B$615=Analítico!$B77),-(Analítico!AB$3&gt;='Gastos Gerais'!$D$4:$D$615),-(Analítico!AB$3&lt;='Gastos Gerais'!$E$4:$E$615),-('Gastos Gerais'!$C$4:$C$615))</f>
        <v>0</v>
      </c>
      <c r="AC77" s="73">
        <f>SUMPRODUCT(-('Gastos Gerais'!$B$4:$B$615=Analítico!$B77),-(Analítico!AC$3&gt;='Gastos Gerais'!$D$4:$D$615),-(Analítico!AC$3&lt;='Gastos Gerais'!$E$4:$E$615),-('Gastos Gerais'!$C$4:$C$615))</f>
        <v>0</v>
      </c>
      <c r="AD77" s="73">
        <f>SUMPRODUCT(-('Gastos Gerais'!$B$4:$B$615=Analítico!$B77),-(Analítico!AD$3&gt;='Gastos Gerais'!$D$4:$D$615),-(Analítico!AD$3&lt;='Gastos Gerais'!$E$4:$E$615),-('Gastos Gerais'!$C$4:$C$615))</f>
        <v>0</v>
      </c>
      <c r="AE77" s="73">
        <f>SUMPRODUCT(-('Gastos Gerais'!$B$4:$B$615=Analítico!$B77),-(Analítico!AE$3&gt;='Gastos Gerais'!$D$4:$D$615),-(Analítico!AE$3&lt;='Gastos Gerais'!$E$4:$E$615),-('Gastos Gerais'!$C$4:$C$615))</f>
        <v>0</v>
      </c>
      <c r="AF77" s="73">
        <f>SUMPRODUCT(-('Gastos Gerais'!$B$4:$B$615=Analítico!$B77),-(Analítico!AF$3&gt;='Gastos Gerais'!$D$4:$D$615),-(Analítico!AF$3&lt;='Gastos Gerais'!$E$4:$E$615),-('Gastos Gerais'!$C$4:$C$615))</f>
        <v>0</v>
      </c>
      <c r="AG77" s="73">
        <f>SUMPRODUCT(-('Gastos Gerais'!$B$4:$B$615=Analítico!$B77),-(Analítico!AG$3&gt;='Gastos Gerais'!$D$4:$D$615),-(Analítico!AG$3&lt;='Gastos Gerais'!$E$4:$E$615),-('Gastos Gerais'!$C$4:$C$615))</f>
        <v>0</v>
      </c>
      <c r="AH77" s="73">
        <f>SUMPRODUCT(-('Gastos Gerais'!$B$4:$B$615=Analítico!$B77),-(Analítico!AH$3&gt;='Gastos Gerais'!$D$4:$D$615),-(Analítico!AH$3&lt;='Gastos Gerais'!$E$4:$E$615),-('Gastos Gerais'!$C$4:$C$615))</f>
        <v>0</v>
      </c>
      <c r="AI77" s="73">
        <f>SUMPRODUCT(-('Gastos Gerais'!$B$4:$B$615=Analítico!$B77),-(Analítico!AI$3&gt;='Gastos Gerais'!$D$4:$D$615),-(Analítico!AI$3&lt;='Gastos Gerais'!$E$4:$E$615),-('Gastos Gerais'!$C$4:$C$615))</f>
        <v>0</v>
      </c>
      <c r="AJ77" s="73">
        <f>SUMPRODUCT(-('Gastos Gerais'!$B$4:$B$615=Analítico!$B77),-(Analítico!AJ$3&gt;='Gastos Gerais'!$D$4:$D$615),-(Analítico!AJ$3&lt;='Gastos Gerais'!$E$4:$E$615),-('Gastos Gerais'!$C$4:$C$615))</f>
        <v>0</v>
      </c>
      <c r="AK77" s="73">
        <f>SUMPRODUCT(-('Gastos Gerais'!$B$4:$B$615=Analítico!$B77),-(Analítico!AK$3&gt;='Gastos Gerais'!$D$4:$D$615),-(Analítico!AK$3&lt;='Gastos Gerais'!$E$4:$E$615),-('Gastos Gerais'!$C$4:$C$615))</f>
        <v>0</v>
      </c>
      <c r="AL77" s="73">
        <f>SUMPRODUCT(-('Gastos Gerais'!$B$4:$B$615=Analítico!$B77),-(Analítico!AL$3&gt;='Gastos Gerais'!$D$4:$D$615),-(Analítico!AL$3&lt;='Gastos Gerais'!$E$4:$E$615),-('Gastos Gerais'!$C$4:$C$615))</f>
        <v>0</v>
      </c>
      <c r="AM77" s="73">
        <f>SUMPRODUCT(-('Gastos Gerais'!$B$4:$B$615=Analítico!$B77),-(Analítico!AM$3&gt;='Gastos Gerais'!$D$4:$D$615),-(Analítico!AM$3&lt;='Gastos Gerais'!$E$4:$E$615),-('Gastos Gerais'!$C$4:$C$615))</f>
        <v>0</v>
      </c>
      <c r="AN77" s="73">
        <f>SUMPRODUCT(-('Gastos Gerais'!$B$4:$B$615=Analítico!$B77),-(Analítico!AN$3&gt;='Gastos Gerais'!$D$4:$D$615),-(Analítico!AN$3&lt;='Gastos Gerais'!$E$4:$E$615),-('Gastos Gerais'!$C$4:$C$615))</f>
        <v>0</v>
      </c>
      <c r="AO77" s="73">
        <f>SUMPRODUCT(-('Gastos Gerais'!$B$4:$B$615=Analítico!$B77),-(Analítico!AO$3&gt;='Gastos Gerais'!$D$4:$D$615),-(Analítico!AO$3&lt;='Gastos Gerais'!$E$4:$E$615),-('Gastos Gerais'!$C$4:$C$615))</f>
        <v>0</v>
      </c>
      <c r="AP77" s="73">
        <f>SUMPRODUCT(-('Gastos Gerais'!$B$4:$B$615=Analítico!$B77),-(Analítico!AP$3&gt;='Gastos Gerais'!$D$4:$D$615),-(Analítico!AP$3&lt;='Gastos Gerais'!$E$4:$E$615),-('Gastos Gerais'!$C$4:$C$615))</f>
        <v>0</v>
      </c>
      <c r="AQ77" s="73">
        <f>SUMPRODUCT(-('Gastos Gerais'!$B$4:$B$615=Analítico!$B77),-(Analítico!AQ$3&gt;='Gastos Gerais'!$D$4:$D$615),-(Analítico!AQ$3&lt;='Gastos Gerais'!$E$4:$E$615),-('Gastos Gerais'!$C$4:$C$615))</f>
        <v>0</v>
      </c>
      <c r="AR77" s="73">
        <f>SUMPRODUCT(-('Gastos Gerais'!$B$4:$B$615=Analítico!$B77),-(Analítico!AR$3&gt;='Gastos Gerais'!$D$4:$D$615),-(Analítico!AR$3&lt;='Gastos Gerais'!$E$4:$E$615),-('Gastos Gerais'!$C$4:$C$615))</f>
        <v>0</v>
      </c>
      <c r="AS77" s="73">
        <f>SUMPRODUCT(-('Gastos Gerais'!$B$4:$B$615=Analítico!$B77),-(Analítico!AS$3&gt;='Gastos Gerais'!$D$4:$D$615),-(Analítico!AS$3&lt;='Gastos Gerais'!$E$4:$E$615),-('Gastos Gerais'!$C$4:$C$615))</f>
        <v>0</v>
      </c>
      <c r="AT77" s="73">
        <f>SUMPRODUCT(-('Gastos Gerais'!$B$4:$B$615=Analítico!$B77),-(Analítico!AT$3&gt;='Gastos Gerais'!$D$4:$D$615),-(Analítico!AT$3&lt;='Gastos Gerais'!$E$4:$E$615),-('Gastos Gerais'!$C$4:$C$615))</f>
        <v>0</v>
      </c>
      <c r="AU77" s="73">
        <f>SUMPRODUCT(-('Gastos Gerais'!$B$4:$B$615=Analítico!$B77),-(Analítico!AU$3&gt;='Gastos Gerais'!$D$4:$D$615),-(Analítico!AU$3&lt;='Gastos Gerais'!$E$4:$E$615),-('Gastos Gerais'!$C$4:$C$615))</f>
        <v>0</v>
      </c>
      <c r="AV77" s="73">
        <f>SUMPRODUCT(-('Gastos Gerais'!$B$4:$B$615=Analítico!$B77),-(Analítico!AV$3&gt;='Gastos Gerais'!$D$4:$D$615),-(Analítico!AV$3&lt;='Gastos Gerais'!$E$4:$E$615),-('Gastos Gerais'!$C$4:$C$615))</f>
        <v>0</v>
      </c>
      <c r="AW77" s="73">
        <f>SUMPRODUCT(-('Gastos Gerais'!$B$4:$B$615=Analítico!$B77),-(Analítico!AW$3&gt;='Gastos Gerais'!$D$4:$D$615),-(Analítico!AW$3&lt;='Gastos Gerais'!$E$4:$E$615),-('Gastos Gerais'!$C$4:$C$615))</f>
        <v>0</v>
      </c>
      <c r="AX77" s="73">
        <f>SUMPRODUCT(-('Gastos Gerais'!$B$4:$B$615=Analítico!$B77),-(Analítico!AX$3&gt;='Gastos Gerais'!$D$4:$D$615),-(Analítico!AX$3&lt;='Gastos Gerais'!$E$4:$E$615),-('Gastos Gerais'!$C$4:$C$615))</f>
        <v>0</v>
      </c>
      <c r="AY77" s="73">
        <f>SUMPRODUCT(-('Gastos Gerais'!$B$4:$B$615=Analítico!$B77),-(Analítico!AY$3&gt;='Gastos Gerais'!$D$4:$D$615),-(Analítico!AY$3&lt;='Gastos Gerais'!$E$4:$E$615),-('Gastos Gerais'!$C$4:$C$615))</f>
        <v>0</v>
      </c>
      <c r="AZ77" s="73">
        <f>SUMPRODUCT(-('Gastos Gerais'!$B$4:$B$615=Analítico!$B77),-(Analítico!AZ$3&gt;='Gastos Gerais'!$D$4:$D$615),-(Analítico!AZ$3&lt;='Gastos Gerais'!$E$4:$E$615),-('Gastos Gerais'!$C$4:$C$615))</f>
        <v>0</v>
      </c>
      <c r="BA77" s="73">
        <f>SUMPRODUCT(-('Gastos Gerais'!$B$4:$B$615=Analítico!$B77),-(Analítico!BA$3&gt;='Gastos Gerais'!$D$4:$D$615),-(Analítico!BA$3&lt;='Gastos Gerais'!$E$4:$E$615),-('Gastos Gerais'!$C$4:$C$615))</f>
        <v>0</v>
      </c>
      <c r="BB77" s="73">
        <f>SUMPRODUCT(-('Gastos Gerais'!$B$4:$B$615=Analítico!$B77),-(Analítico!BB$3&gt;='Gastos Gerais'!$D$4:$D$615),-(Analítico!BB$3&lt;='Gastos Gerais'!$E$4:$E$615),-('Gastos Gerais'!$C$4:$C$615))</f>
        <v>0</v>
      </c>
      <c r="BC77" s="73">
        <f>SUMPRODUCT(-('Gastos Gerais'!$B$4:$B$615=Analítico!$B77),-(Analítico!BC$3&gt;='Gastos Gerais'!$D$4:$D$615),-(Analítico!BC$3&lt;='Gastos Gerais'!$E$4:$E$615),-('Gastos Gerais'!$C$4:$C$615))</f>
        <v>0</v>
      </c>
      <c r="BD77" s="73">
        <f>SUMPRODUCT(-('Gastos Gerais'!$B$4:$B$615=Analítico!$B77),-(Analítico!BD$3&gt;='Gastos Gerais'!$D$4:$D$615),-(Analítico!BD$3&lt;='Gastos Gerais'!$E$4:$E$615),-('Gastos Gerais'!$C$4:$C$615))</f>
        <v>0</v>
      </c>
      <c r="BE77" s="73">
        <f>SUMPRODUCT(-('Gastos Gerais'!$B$4:$B$615=Analítico!$B77),-(Analítico!BE$3&gt;='Gastos Gerais'!$D$4:$D$615),-(Analítico!BE$3&lt;='Gastos Gerais'!$E$4:$E$615),-('Gastos Gerais'!$C$4:$C$615))</f>
        <v>0</v>
      </c>
      <c r="BF77" s="73">
        <f>SUMPRODUCT(-('Gastos Gerais'!$B$4:$B$615=Analítico!$B77),-(Analítico!BF$3&gt;='Gastos Gerais'!$D$4:$D$615),-(Analítico!BF$3&lt;='Gastos Gerais'!$E$4:$E$615),-('Gastos Gerais'!$C$4:$C$615))</f>
        <v>0</v>
      </c>
      <c r="BG77" s="73">
        <f>SUMPRODUCT(-('Gastos Gerais'!$B$4:$B$615=Analítico!$B77),-(Analítico!BG$3&gt;='Gastos Gerais'!$D$4:$D$615),-(Analítico!BG$3&lt;='Gastos Gerais'!$E$4:$E$615),-('Gastos Gerais'!$C$4:$C$615))</f>
        <v>0</v>
      </c>
      <c r="BH77" s="73">
        <f>SUMPRODUCT(-('Gastos Gerais'!$B$4:$B$615=Analítico!$B77),-(Analítico!BH$3&gt;='Gastos Gerais'!$D$4:$D$615),-(Analítico!BH$3&lt;='Gastos Gerais'!$E$4:$E$615),-('Gastos Gerais'!$C$4:$C$615))</f>
        <v>0</v>
      </c>
      <c r="BI77" s="73">
        <f>SUMPRODUCT(-('Gastos Gerais'!$B$4:$B$615=Analítico!$B77),-(Analítico!BI$3&gt;='Gastos Gerais'!$D$4:$D$615),-(Analítico!BI$3&lt;='Gastos Gerais'!$E$4:$E$615),-('Gastos Gerais'!$C$4:$C$615))</f>
        <v>0</v>
      </c>
      <c r="BJ77" s="73">
        <f>SUMPRODUCT(-('Gastos Gerais'!$B$4:$B$615=Analítico!$B77),-(Analítico!BJ$3&gt;='Gastos Gerais'!$D$4:$D$615),-(Analítico!BJ$3&lt;='Gastos Gerais'!$E$4:$E$615),-('Gastos Gerais'!$C$4:$C$615))</f>
        <v>0</v>
      </c>
      <c r="BK77" s="71">
        <f t="shared" si="31"/>
        <v>0</v>
      </c>
      <c r="BL77" s="76">
        <f t="shared" ca="1" si="32"/>
        <v>0</v>
      </c>
    </row>
    <row r="78" spans="1:64" s="49" customFormat="1" ht="23.25" customHeight="1" x14ac:dyDescent="0.2">
      <c r="A78" s="109" t="s">
        <v>224</v>
      </c>
      <c r="B78" s="110" t="s">
        <v>225</v>
      </c>
      <c r="C78" s="73">
        <f>SUMPRODUCT(-('Gastos Gerais'!$B$4:$B$615=Analítico!$B78),-(Analítico!C$3&gt;='Gastos Gerais'!$D$4:$D$615),-(Analítico!C$3&lt;='Gastos Gerais'!$E$4:$E$615),-('Gastos Gerais'!$C$4:$C$615))</f>
        <v>73000</v>
      </c>
      <c r="D78" s="73">
        <f>SUMPRODUCT(-('Gastos Gerais'!$B$4:$B$615=Analítico!$B78),-(Analítico!D$3&gt;='Gastos Gerais'!$D$4:$D$615),-(Analítico!D$3&lt;='Gastos Gerais'!$E$4:$E$615),-('Gastos Gerais'!$C$4:$C$615))</f>
        <v>36000</v>
      </c>
      <c r="E78" s="73">
        <f>SUMPRODUCT(-('Gastos Gerais'!$B$4:$B$615=Analítico!$B78),-(Analítico!E$3&gt;='Gastos Gerais'!$D$4:$D$615),-(Analítico!E$3&lt;='Gastos Gerais'!$E$4:$E$615),-('Gastos Gerais'!$C$4:$C$615))</f>
        <v>36000</v>
      </c>
      <c r="F78" s="73">
        <f>SUMPRODUCT(-('Gastos Gerais'!$B$4:$B$615=Analítico!$B78),-(Analítico!F$3&gt;='Gastos Gerais'!$D$4:$D$615),-(Analítico!F$3&lt;='Gastos Gerais'!$E$4:$E$615),-('Gastos Gerais'!$C$4:$C$615))</f>
        <v>36000</v>
      </c>
      <c r="G78" s="73">
        <f>SUMPRODUCT(-('Gastos Gerais'!$B$4:$B$615=Analítico!$B78),-(Analítico!G$3&gt;='Gastos Gerais'!$D$4:$D$615),-(Analítico!G$3&lt;='Gastos Gerais'!$E$4:$E$615),-('Gastos Gerais'!$C$4:$C$615))</f>
        <v>36000</v>
      </c>
      <c r="H78" s="73">
        <f>SUMPRODUCT(-('Gastos Gerais'!$B$4:$B$615=Analítico!$B78),-(Analítico!H$3&gt;='Gastos Gerais'!$D$4:$D$615),-(Analítico!H$3&lt;='Gastos Gerais'!$E$4:$E$615),-('Gastos Gerais'!$C$4:$C$615))</f>
        <v>36000</v>
      </c>
      <c r="I78" s="73">
        <f>SUMPRODUCT(-('Gastos Gerais'!$B$4:$B$615=Analítico!$B78),-(Analítico!I$3&gt;='Gastos Gerais'!$D$4:$D$615),-(Analítico!I$3&lt;='Gastos Gerais'!$E$4:$E$615),-('Gastos Gerais'!$C$4:$C$615))</f>
        <v>36000</v>
      </c>
      <c r="J78" s="73">
        <f>SUMPRODUCT(-('Gastos Gerais'!$B$4:$B$615=Analítico!$B78),-(Analítico!J$3&gt;='Gastos Gerais'!$D$4:$D$615),-(Analítico!J$3&lt;='Gastos Gerais'!$E$4:$E$615),-('Gastos Gerais'!$C$4:$C$615))</f>
        <v>36000</v>
      </c>
      <c r="K78" s="73">
        <f>SUMPRODUCT(-('Gastos Gerais'!$B$4:$B$615=Analítico!$B78),-(Analítico!K$3&gt;='Gastos Gerais'!$D$4:$D$615),-(Analítico!K$3&lt;='Gastos Gerais'!$E$4:$E$615),-('Gastos Gerais'!$C$4:$C$615))</f>
        <v>36000</v>
      </c>
      <c r="L78" s="73">
        <f>SUMPRODUCT(-('Gastos Gerais'!$B$4:$B$615=Analítico!$B78),-(Analítico!L$3&gt;='Gastos Gerais'!$D$4:$D$615),-(Analítico!L$3&lt;='Gastos Gerais'!$E$4:$E$615),-('Gastos Gerais'!$C$4:$C$615))</f>
        <v>36000</v>
      </c>
      <c r="M78" s="73">
        <f>SUMPRODUCT(-('Gastos Gerais'!$B$4:$B$615=Analítico!$B78),-(Analítico!M$3&gt;='Gastos Gerais'!$D$4:$D$615),-(Analítico!M$3&lt;='Gastos Gerais'!$E$4:$E$615),-('Gastos Gerais'!$C$4:$C$615))</f>
        <v>36000</v>
      </c>
      <c r="N78" s="73">
        <f>SUMPRODUCT(-('Gastos Gerais'!$B$4:$B$615=Analítico!$B78),-(Analítico!N$3&gt;='Gastos Gerais'!$D$4:$D$615),-(Analítico!N$3&lt;='Gastos Gerais'!$E$4:$E$615),-('Gastos Gerais'!$C$4:$C$615))</f>
        <v>36000</v>
      </c>
      <c r="O78" s="73">
        <f>SUMPRODUCT(-('Gastos Gerais'!$B$4:$B$615=Analítico!$B78),-(Analítico!O$3&gt;='Gastos Gerais'!$D$4:$D$615),-(Analítico!O$3&lt;='Gastos Gerais'!$E$4:$E$615),-('Gastos Gerais'!$C$4:$C$615))</f>
        <v>36000</v>
      </c>
      <c r="P78" s="73">
        <f>SUMPRODUCT(-('Gastos Gerais'!$B$4:$B$615=Analítico!$B78),-(Analítico!P$3&gt;='Gastos Gerais'!$D$4:$D$615),-(Analítico!P$3&lt;='Gastos Gerais'!$E$4:$E$615),-('Gastos Gerais'!$C$4:$C$615))</f>
        <v>36000</v>
      </c>
      <c r="Q78" s="73">
        <f>SUMPRODUCT(-('Gastos Gerais'!$B$4:$B$615=Analítico!$B78),-(Analítico!Q$3&gt;='Gastos Gerais'!$D$4:$D$615),-(Analítico!Q$3&lt;='Gastos Gerais'!$E$4:$E$615),-('Gastos Gerais'!$C$4:$C$615))</f>
        <v>36000</v>
      </c>
      <c r="R78" s="73">
        <f>SUMPRODUCT(-('Gastos Gerais'!$B$4:$B$615=Analítico!$B78),-(Analítico!R$3&gt;='Gastos Gerais'!$D$4:$D$615),-(Analítico!R$3&lt;='Gastos Gerais'!$E$4:$E$615),-('Gastos Gerais'!$C$4:$C$615))</f>
        <v>36000</v>
      </c>
      <c r="S78" s="73">
        <f>SUMPRODUCT(-('Gastos Gerais'!$B$4:$B$615=Analítico!$B78),-(Analítico!S$3&gt;='Gastos Gerais'!$D$4:$D$615),-(Analítico!S$3&lt;='Gastos Gerais'!$E$4:$E$615),-('Gastos Gerais'!$C$4:$C$615))</f>
        <v>36000</v>
      </c>
      <c r="T78" s="73">
        <f>SUMPRODUCT(-('Gastos Gerais'!$B$4:$B$615=Analítico!$B78),-(Analítico!T$3&gt;='Gastos Gerais'!$D$4:$D$615),-(Analítico!T$3&lt;='Gastos Gerais'!$E$4:$E$615),-('Gastos Gerais'!$C$4:$C$615))</f>
        <v>36000</v>
      </c>
      <c r="U78" s="73">
        <f>SUMPRODUCT(-('Gastos Gerais'!$B$4:$B$615=Analítico!$B78),-(Analítico!U$3&gt;='Gastos Gerais'!$D$4:$D$615),-(Analítico!U$3&lt;='Gastos Gerais'!$E$4:$E$615),-('Gastos Gerais'!$C$4:$C$615))</f>
        <v>36000</v>
      </c>
      <c r="V78" s="73">
        <f>SUMPRODUCT(-('Gastos Gerais'!$B$4:$B$615=Analítico!$B78),-(Analítico!V$3&gt;='Gastos Gerais'!$D$4:$D$615),-(Analítico!V$3&lt;='Gastos Gerais'!$E$4:$E$615),-('Gastos Gerais'!$C$4:$C$615))</f>
        <v>36000</v>
      </c>
      <c r="W78" s="73">
        <f>SUMPRODUCT(-('Gastos Gerais'!$B$4:$B$615=Analítico!$B78),-(Analítico!W$3&gt;='Gastos Gerais'!$D$4:$D$615),-(Analítico!W$3&lt;='Gastos Gerais'!$E$4:$E$615),-('Gastos Gerais'!$C$4:$C$615))</f>
        <v>36000</v>
      </c>
      <c r="X78" s="73">
        <f>SUMPRODUCT(-('Gastos Gerais'!$B$4:$B$615=Analítico!$B78),-(Analítico!X$3&gt;='Gastos Gerais'!$D$4:$D$615),-(Analítico!X$3&lt;='Gastos Gerais'!$E$4:$E$615),-('Gastos Gerais'!$C$4:$C$615))</f>
        <v>36000</v>
      </c>
      <c r="Y78" s="73">
        <f>SUMPRODUCT(-('Gastos Gerais'!$B$4:$B$615=Analítico!$B78),-(Analítico!Y$3&gt;='Gastos Gerais'!$D$4:$D$615),-(Analítico!Y$3&lt;='Gastos Gerais'!$E$4:$E$615),-('Gastos Gerais'!$C$4:$C$615))</f>
        <v>36000</v>
      </c>
      <c r="Z78" s="73">
        <f>SUMPRODUCT(-('Gastos Gerais'!$B$4:$B$615=Analítico!$B78),-(Analítico!Z$3&gt;='Gastos Gerais'!$D$4:$D$615),-(Analítico!Z$3&lt;='Gastos Gerais'!$E$4:$E$615),-('Gastos Gerais'!$C$4:$C$615))</f>
        <v>36000</v>
      </c>
      <c r="AA78" s="73">
        <f>SUMPRODUCT(-('Gastos Gerais'!$B$4:$B$615=Analítico!$B78),-(Analítico!AA$3&gt;='Gastos Gerais'!$D$4:$D$615),-(Analítico!AA$3&lt;='Gastos Gerais'!$E$4:$E$615),-('Gastos Gerais'!$C$4:$C$615))</f>
        <v>36000</v>
      </c>
      <c r="AB78" s="73">
        <f>SUMPRODUCT(-('Gastos Gerais'!$B$4:$B$615=Analítico!$B78),-(Analítico!AB$3&gt;='Gastos Gerais'!$D$4:$D$615),-(Analítico!AB$3&lt;='Gastos Gerais'!$E$4:$E$615),-('Gastos Gerais'!$C$4:$C$615))</f>
        <v>36000</v>
      </c>
      <c r="AC78" s="73">
        <f>SUMPRODUCT(-('Gastos Gerais'!$B$4:$B$615=Analítico!$B78),-(Analítico!AC$3&gt;='Gastos Gerais'!$D$4:$D$615),-(Analítico!AC$3&lt;='Gastos Gerais'!$E$4:$E$615),-('Gastos Gerais'!$C$4:$C$615))</f>
        <v>36000</v>
      </c>
      <c r="AD78" s="73">
        <f>SUMPRODUCT(-('Gastos Gerais'!$B$4:$B$615=Analítico!$B78),-(Analítico!AD$3&gt;='Gastos Gerais'!$D$4:$D$615),-(Analítico!AD$3&lt;='Gastos Gerais'!$E$4:$E$615),-('Gastos Gerais'!$C$4:$C$615))</f>
        <v>36000</v>
      </c>
      <c r="AE78" s="73">
        <f>SUMPRODUCT(-('Gastos Gerais'!$B$4:$B$615=Analítico!$B78),-(Analítico!AE$3&gt;='Gastos Gerais'!$D$4:$D$615),-(Analítico!AE$3&lt;='Gastos Gerais'!$E$4:$E$615),-('Gastos Gerais'!$C$4:$C$615))</f>
        <v>36000</v>
      </c>
      <c r="AF78" s="73">
        <f>SUMPRODUCT(-('Gastos Gerais'!$B$4:$B$615=Analítico!$B78),-(Analítico!AF$3&gt;='Gastos Gerais'!$D$4:$D$615),-(Analítico!AF$3&lt;='Gastos Gerais'!$E$4:$E$615),-('Gastos Gerais'!$C$4:$C$615))</f>
        <v>36000</v>
      </c>
      <c r="AG78" s="73">
        <f>SUMPRODUCT(-('Gastos Gerais'!$B$4:$B$615=Analítico!$B78),-(Analítico!AG$3&gt;='Gastos Gerais'!$D$4:$D$615),-(Analítico!AG$3&lt;='Gastos Gerais'!$E$4:$E$615),-('Gastos Gerais'!$C$4:$C$615))</f>
        <v>36000</v>
      </c>
      <c r="AH78" s="73">
        <f>SUMPRODUCT(-('Gastos Gerais'!$B$4:$B$615=Analítico!$B78),-(Analítico!AH$3&gt;='Gastos Gerais'!$D$4:$D$615),-(Analítico!AH$3&lt;='Gastos Gerais'!$E$4:$E$615),-('Gastos Gerais'!$C$4:$C$615))</f>
        <v>36000</v>
      </c>
      <c r="AI78" s="73">
        <f>SUMPRODUCT(-('Gastos Gerais'!$B$4:$B$615=Analítico!$B78),-(Analítico!AI$3&gt;='Gastos Gerais'!$D$4:$D$615),-(Analítico!AI$3&lt;='Gastos Gerais'!$E$4:$E$615),-('Gastos Gerais'!$C$4:$C$615))</f>
        <v>36000</v>
      </c>
      <c r="AJ78" s="73">
        <f>SUMPRODUCT(-('Gastos Gerais'!$B$4:$B$615=Analítico!$B78),-(Analítico!AJ$3&gt;='Gastos Gerais'!$D$4:$D$615),-(Analítico!AJ$3&lt;='Gastos Gerais'!$E$4:$E$615),-('Gastos Gerais'!$C$4:$C$615))</f>
        <v>36000</v>
      </c>
      <c r="AK78" s="73">
        <f>SUMPRODUCT(-('Gastos Gerais'!$B$4:$B$615=Analítico!$B78),-(Analítico!AK$3&gt;='Gastos Gerais'!$D$4:$D$615),-(Analítico!AK$3&lt;='Gastos Gerais'!$E$4:$E$615),-('Gastos Gerais'!$C$4:$C$615))</f>
        <v>36000</v>
      </c>
      <c r="AL78" s="73">
        <f>SUMPRODUCT(-('Gastos Gerais'!$B$4:$B$615=Analítico!$B78),-(Analítico!AL$3&gt;='Gastos Gerais'!$D$4:$D$615),-(Analítico!AL$3&lt;='Gastos Gerais'!$E$4:$E$615),-('Gastos Gerais'!$C$4:$C$615))</f>
        <v>36000</v>
      </c>
      <c r="AM78" s="73">
        <f>SUMPRODUCT(-('Gastos Gerais'!$B$4:$B$615=Analítico!$B78),-(Analítico!AM$3&gt;='Gastos Gerais'!$D$4:$D$615),-(Analítico!AM$3&lt;='Gastos Gerais'!$E$4:$E$615),-('Gastos Gerais'!$C$4:$C$615))</f>
        <v>0</v>
      </c>
      <c r="AN78" s="73">
        <f>SUMPRODUCT(-('Gastos Gerais'!$B$4:$B$615=Analítico!$B78),-(Analítico!AN$3&gt;='Gastos Gerais'!$D$4:$D$615),-(Analítico!AN$3&lt;='Gastos Gerais'!$E$4:$E$615),-('Gastos Gerais'!$C$4:$C$615))</f>
        <v>0</v>
      </c>
      <c r="AO78" s="73">
        <f>SUMPRODUCT(-('Gastos Gerais'!$B$4:$B$615=Analítico!$B78),-(Analítico!AO$3&gt;='Gastos Gerais'!$D$4:$D$615),-(Analítico!AO$3&lt;='Gastos Gerais'!$E$4:$E$615),-('Gastos Gerais'!$C$4:$C$615))</f>
        <v>0</v>
      </c>
      <c r="AP78" s="73">
        <f>SUMPRODUCT(-('Gastos Gerais'!$B$4:$B$615=Analítico!$B78),-(Analítico!AP$3&gt;='Gastos Gerais'!$D$4:$D$615),-(Analítico!AP$3&lt;='Gastos Gerais'!$E$4:$E$615),-('Gastos Gerais'!$C$4:$C$615))</f>
        <v>0</v>
      </c>
      <c r="AQ78" s="73">
        <f>SUMPRODUCT(-('Gastos Gerais'!$B$4:$B$615=Analítico!$B78),-(Analítico!AQ$3&gt;='Gastos Gerais'!$D$4:$D$615),-(Analítico!AQ$3&lt;='Gastos Gerais'!$E$4:$E$615),-('Gastos Gerais'!$C$4:$C$615))</f>
        <v>0</v>
      </c>
      <c r="AR78" s="73">
        <f>SUMPRODUCT(-('Gastos Gerais'!$B$4:$B$615=Analítico!$B78),-(Analítico!AR$3&gt;='Gastos Gerais'!$D$4:$D$615),-(Analítico!AR$3&lt;='Gastos Gerais'!$E$4:$E$615),-('Gastos Gerais'!$C$4:$C$615))</f>
        <v>0</v>
      </c>
      <c r="AS78" s="73">
        <f>SUMPRODUCT(-('Gastos Gerais'!$B$4:$B$615=Analítico!$B78),-(Analítico!AS$3&gt;='Gastos Gerais'!$D$4:$D$615),-(Analítico!AS$3&lt;='Gastos Gerais'!$E$4:$E$615),-('Gastos Gerais'!$C$4:$C$615))</f>
        <v>0</v>
      </c>
      <c r="AT78" s="73">
        <f>SUMPRODUCT(-('Gastos Gerais'!$B$4:$B$615=Analítico!$B78),-(Analítico!AT$3&gt;='Gastos Gerais'!$D$4:$D$615),-(Analítico!AT$3&lt;='Gastos Gerais'!$E$4:$E$615),-('Gastos Gerais'!$C$4:$C$615))</f>
        <v>0</v>
      </c>
      <c r="AU78" s="73">
        <f>SUMPRODUCT(-('Gastos Gerais'!$B$4:$B$615=Analítico!$B78),-(Analítico!AU$3&gt;='Gastos Gerais'!$D$4:$D$615),-(Analítico!AU$3&lt;='Gastos Gerais'!$E$4:$E$615),-('Gastos Gerais'!$C$4:$C$615))</f>
        <v>0</v>
      </c>
      <c r="AV78" s="73">
        <f>SUMPRODUCT(-('Gastos Gerais'!$B$4:$B$615=Analítico!$B78),-(Analítico!AV$3&gt;='Gastos Gerais'!$D$4:$D$615),-(Analítico!AV$3&lt;='Gastos Gerais'!$E$4:$E$615),-('Gastos Gerais'!$C$4:$C$615))</f>
        <v>0</v>
      </c>
      <c r="AW78" s="73">
        <f>SUMPRODUCT(-('Gastos Gerais'!$B$4:$B$615=Analítico!$B78),-(Analítico!AW$3&gt;='Gastos Gerais'!$D$4:$D$615),-(Analítico!AW$3&lt;='Gastos Gerais'!$E$4:$E$615),-('Gastos Gerais'!$C$4:$C$615))</f>
        <v>0</v>
      </c>
      <c r="AX78" s="73">
        <f>SUMPRODUCT(-('Gastos Gerais'!$B$4:$B$615=Analítico!$B78),-(Analítico!AX$3&gt;='Gastos Gerais'!$D$4:$D$615),-(Analítico!AX$3&lt;='Gastos Gerais'!$E$4:$E$615),-('Gastos Gerais'!$C$4:$C$615))</f>
        <v>0</v>
      </c>
      <c r="AY78" s="73">
        <f>SUMPRODUCT(-('Gastos Gerais'!$B$4:$B$615=Analítico!$B78),-(Analítico!AY$3&gt;='Gastos Gerais'!$D$4:$D$615),-(Analítico!AY$3&lt;='Gastos Gerais'!$E$4:$E$615),-('Gastos Gerais'!$C$4:$C$615))</f>
        <v>0</v>
      </c>
      <c r="AZ78" s="73">
        <f>SUMPRODUCT(-('Gastos Gerais'!$B$4:$B$615=Analítico!$B78),-(Analítico!AZ$3&gt;='Gastos Gerais'!$D$4:$D$615),-(Analítico!AZ$3&lt;='Gastos Gerais'!$E$4:$E$615),-('Gastos Gerais'!$C$4:$C$615))</f>
        <v>0</v>
      </c>
      <c r="BA78" s="73">
        <f>SUMPRODUCT(-('Gastos Gerais'!$B$4:$B$615=Analítico!$B78),-(Analítico!BA$3&gt;='Gastos Gerais'!$D$4:$D$615),-(Analítico!BA$3&lt;='Gastos Gerais'!$E$4:$E$615),-('Gastos Gerais'!$C$4:$C$615))</f>
        <v>0</v>
      </c>
      <c r="BB78" s="73">
        <f>SUMPRODUCT(-('Gastos Gerais'!$B$4:$B$615=Analítico!$B78),-(Analítico!BB$3&gt;='Gastos Gerais'!$D$4:$D$615),-(Analítico!BB$3&lt;='Gastos Gerais'!$E$4:$E$615),-('Gastos Gerais'!$C$4:$C$615))</f>
        <v>0</v>
      </c>
      <c r="BC78" s="73">
        <f>SUMPRODUCT(-('Gastos Gerais'!$B$4:$B$615=Analítico!$B78),-(Analítico!BC$3&gt;='Gastos Gerais'!$D$4:$D$615),-(Analítico!BC$3&lt;='Gastos Gerais'!$E$4:$E$615),-('Gastos Gerais'!$C$4:$C$615))</f>
        <v>0</v>
      </c>
      <c r="BD78" s="73">
        <f>SUMPRODUCT(-('Gastos Gerais'!$B$4:$B$615=Analítico!$B78),-(Analítico!BD$3&gt;='Gastos Gerais'!$D$4:$D$615),-(Analítico!BD$3&lt;='Gastos Gerais'!$E$4:$E$615),-('Gastos Gerais'!$C$4:$C$615))</f>
        <v>0</v>
      </c>
      <c r="BE78" s="73">
        <f>SUMPRODUCT(-('Gastos Gerais'!$B$4:$B$615=Analítico!$B78),-(Analítico!BE$3&gt;='Gastos Gerais'!$D$4:$D$615),-(Analítico!BE$3&lt;='Gastos Gerais'!$E$4:$E$615),-('Gastos Gerais'!$C$4:$C$615))</f>
        <v>0</v>
      </c>
      <c r="BF78" s="73">
        <f>SUMPRODUCT(-('Gastos Gerais'!$B$4:$B$615=Analítico!$B78),-(Analítico!BF$3&gt;='Gastos Gerais'!$D$4:$D$615),-(Analítico!BF$3&lt;='Gastos Gerais'!$E$4:$E$615),-('Gastos Gerais'!$C$4:$C$615))</f>
        <v>0</v>
      </c>
      <c r="BG78" s="73">
        <f>SUMPRODUCT(-('Gastos Gerais'!$B$4:$B$615=Analítico!$B78),-(Analítico!BG$3&gt;='Gastos Gerais'!$D$4:$D$615),-(Analítico!BG$3&lt;='Gastos Gerais'!$E$4:$E$615),-('Gastos Gerais'!$C$4:$C$615))</f>
        <v>0</v>
      </c>
      <c r="BH78" s="73">
        <f>SUMPRODUCT(-('Gastos Gerais'!$B$4:$B$615=Analítico!$B78),-(Analítico!BH$3&gt;='Gastos Gerais'!$D$4:$D$615),-(Analítico!BH$3&lt;='Gastos Gerais'!$E$4:$E$615),-('Gastos Gerais'!$C$4:$C$615))</f>
        <v>0</v>
      </c>
      <c r="BI78" s="73">
        <f>SUMPRODUCT(-('Gastos Gerais'!$B$4:$B$615=Analítico!$B78),-(Analítico!BI$3&gt;='Gastos Gerais'!$D$4:$D$615),-(Analítico!BI$3&lt;='Gastos Gerais'!$E$4:$E$615),-('Gastos Gerais'!$C$4:$C$615))</f>
        <v>0</v>
      </c>
      <c r="BJ78" s="73">
        <f>SUMPRODUCT(-('Gastos Gerais'!$B$4:$B$615=Analítico!$B78),-(Analítico!BJ$3&gt;='Gastos Gerais'!$D$4:$D$615),-(Analítico!BJ$3&lt;='Gastos Gerais'!$E$4:$E$615),-('Gastos Gerais'!$C$4:$C$615))</f>
        <v>0</v>
      </c>
      <c r="BK78" s="71">
        <f t="shared" si="31"/>
        <v>1333000</v>
      </c>
      <c r="BL78" s="76">
        <f t="shared" ca="1" si="32"/>
        <v>3.635888701091924E-3</v>
      </c>
    </row>
    <row r="79" spans="1:64" s="49" customFormat="1" ht="23.25" customHeight="1" x14ac:dyDescent="0.2">
      <c r="A79" s="109" t="s">
        <v>226</v>
      </c>
      <c r="B79" s="112" t="s">
        <v>227</v>
      </c>
      <c r="C79" s="73">
        <f>SUMPRODUCT(-('Gastos Gerais'!$B$4:$B$615=Analítico!$B79),-(Analítico!C$3&gt;='Gastos Gerais'!$D$4:$D$615),-(Analítico!C$3&lt;='Gastos Gerais'!$E$4:$E$615),-('Gastos Gerais'!$C$4:$C$615))</f>
        <v>26000</v>
      </c>
      <c r="D79" s="73">
        <f>SUMPRODUCT(-('Gastos Gerais'!$B$4:$B$615=Analítico!$B79),-(Analítico!D$3&gt;='Gastos Gerais'!$D$4:$D$615),-(Analítico!D$3&lt;='Gastos Gerais'!$E$4:$E$615),-('Gastos Gerais'!$C$4:$C$615))</f>
        <v>26000</v>
      </c>
      <c r="E79" s="73">
        <f>SUMPRODUCT(-('Gastos Gerais'!$B$4:$B$615=Analítico!$B79),-(Analítico!E$3&gt;='Gastos Gerais'!$D$4:$D$615),-(Analítico!E$3&lt;='Gastos Gerais'!$E$4:$E$615),-('Gastos Gerais'!$C$4:$C$615))</f>
        <v>26000</v>
      </c>
      <c r="F79" s="73">
        <f>SUMPRODUCT(-('Gastos Gerais'!$B$4:$B$615=Analítico!$B79),-(Analítico!F$3&gt;='Gastos Gerais'!$D$4:$D$615),-(Analítico!F$3&lt;='Gastos Gerais'!$E$4:$E$615),-('Gastos Gerais'!$C$4:$C$615))</f>
        <v>26000</v>
      </c>
      <c r="G79" s="73">
        <f>SUMPRODUCT(-('Gastos Gerais'!$B$4:$B$615=Analítico!$B79),-(Analítico!G$3&gt;='Gastos Gerais'!$D$4:$D$615),-(Analítico!G$3&lt;='Gastos Gerais'!$E$4:$E$615),-('Gastos Gerais'!$C$4:$C$615))</f>
        <v>26000</v>
      </c>
      <c r="H79" s="73">
        <f>SUMPRODUCT(-('Gastos Gerais'!$B$4:$B$615=Analítico!$B79),-(Analítico!H$3&gt;='Gastos Gerais'!$D$4:$D$615),-(Analítico!H$3&lt;='Gastos Gerais'!$E$4:$E$615),-('Gastos Gerais'!$C$4:$C$615))</f>
        <v>26000</v>
      </c>
      <c r="I79" s="73">
        <f>SUMPRODUCT(-('Gastos Gerais'!$B$4:$B$615=Analítico!$B79),-(Analítico!I$3&gt;='Gastos Gerais'!$D$4:$D$615),-(Analítico!I$3&lt;='Gastos Gerais'!$E$4:$E$615),-('Gastos Gerais'!$C$4:$C$615))</f>
        <v>26000</v>
      </c>
      <c r="J79" s="73">
        <f>SUMPRODUCT(-('Gastos Gerais'!$B$4:$B$615=Analítico!$B79),-(Analítico!J$3&gt;='Gastos Gerais'!$D$4:$D$615),-(Analítico!J$3&lt;='Gastos Gerais'!$E$4:$E$615),-('Gastos Gerais'!$C$4:$C$615))</f>
        <v>26000</v>
      </c>
      <c r="K79" s="73">
        <f>SUMPRODUCT(-('Gastos Gerais'!$B$4:$B$615=Analítico!$B79),-(Analítico!K$3&gt;='Gastos Gerais'!$D$4:$D$615),-(Analítico!K$3&lt;='Gastos Gerais'!$E$4:$E$615),-('Gastos Gerais'!$C$4:$C$615))</f>
        <v>26000</v>
      </c>
      <c r="L79" s="73">
        <f>SUMPRODUCT(-('Gastos Gerais'!$B$4:$B$615=Analítico!$B79),-(Analítico!L$3&gt;='Gastos Gerais'!$D$4:$D$615),-(Analítico!L$3&lt;='Gastos Gerais'!$E$4:$E$615),-('Gastos Gerais'!$C$4:$C$615))</f>
        <v>26000</v>
      </c>
      <c r="M79" s="73">
        <f>SUMPRODUCT(-('Gastos Gerais'!$B$4:$B$615=Analítico!$B79),-(Analítico!M$3&gt;='Gastos Gerais'!$D$4:$D$615),-(Analítico!M$3&lt;='Gastos Gerais'!$E$4:$E$615),-('Gastos Gerais'!$C$4:$C$615))</f>
        <v>26000</v>
      </c>
      <c r="N79" s="73">
        <f>SUMPRODUCT(-('Gastos Gerais'!$B$4:$B$615=Analítico!$B79),-(Analítico!N$3&gt;='Gastos Gerais'!$D$4:$D$615),-(Analítico!N$3&lt;='Gastos Gerais'!$E$4:$E$615),-('Gastos Gerais'!$C$4:$C$615))</f>
        <v>26000</v>
      </c>
      <c r="O79" s="73">
        <f>SUMPRODUCT(-('Gastos Gerais'!$B$4:$B$615=Analítico!$B79),-(Analítico!O$3&gt;='Gastos Gerais'!$D$4:$D$615),-(Analítico!O$3&lt;='Gastos Gerais'!$E$4:$E$615),-('Gastos Gerais'!$C$4:$C$615))</f>
        <v>26000</v>
      </c>
      <c r="P79" s="73">
        <f>SUMPRODUCT(-('Gastos Gerais'!$B$4:$B$615=Analítico!$B79),-(Analítico!P$3&gt;='Gastos Gerais'!$D$4:$D$615),-(Analítico!P$3&lt;='Gastos Gerais'!$E$4:$E$615),-('Gastos Gerais'!$C$4:$C$615))</f>
        <v>26000</v>
      </c>
      <c r="Q79" s="73">
        <f>SUMPRODUCT(-('Gastos Gerais'!$B$4:$B$615=Analítico!$B79),-(Analítico!Q$3&gt;='Gastos Gerais'!$D$4:$D$615),-(Analítico!Q$3&lt;='Gastos Gerais'!$E$4:$E$615),-('Gastos Gerais'!$C$4:$C$615))</f>
        <v>26000</v>
      </c>
      <c r="R79" s="73">
        <f>SUMPRODUCT(-('Gastos Gerais'!$B$4:$B$615=Analítico!$B79),-(Analítico!R$3&gt;='Gastos Gerais'!$D$4:$D$615),-(Analítico!R$3&lt;='Gastos Gerais'!$E$4:$E$615),-('Gastos Gerais'!$C$4:$C$615))</f>
        <v>26000</v>
      </c>
      <c r="S79" s="73">
        <f>SUMPRODUCT(-('Gastos Gerais'!$B$4:$B$615=Analítico!$B79),-(Analítico!S$3&gt;='Gastos Gerais'!$D$4:$D$615),-(Analítico!S$3&lt;='Gastos Gerais'!$E$4:$E$615),-('Gastos Gerais'!$C$4:$C$615))</f>
        <v>26000</v>
      </c>
      <c r="T79" s="73">
        <f>SUMPRODUCT(-('Gastos Gerais'!$B$4:$B$615=Analítico!$B79),-(Analítico!T$3&gt;='Gastos Gerais'!$D$4:$D$615),-(Analítico!T$3&lt;='Gastos Gerais'!$E$4:$E$615),-('Gastos Gerais'!$C$4:$C$615))</f>
        <v>26000</v>
      </c>
      <c r="U79" s="73">
        <f>SUMPRODUCT(-('Gastos Gerais'!$B$4:$B$615=Analítico!$B79),-(Analítico!U$3&gt;='Gastos Gerais'!$D$4:$D$615),-(Analítico!U$3&lt;='Gastos Gerais'!$E$4:$E$615),-('Gastos Gerais'!$C$4:$C$615))</f>
        <v>26000</v>
      </c>
      <c r="V79" s="73">
        <f>SUMPRODUCT(-('Gastos Gerais'!$B$4:$B$615=Analítico!$B79),-(Analítico!V$3&gt;='Gastos Gerais'!$D$4:$D$615),-(Analítico!V$3&lt;='Gastos Gerais'!$E$4:$E$615),-('Gastos Gerais'!$C$4:$C$615))</f>
        <v>26000</v>
      </c>
      <c r="W79" s="73">
        <f>SUMPRODUCT(-('Gastos Gerais'!$B$4:$B$615=Analítico!$B79),-(Analítico!W$3&gt;='Gastos Gerais'!$D$4:$D$615),-(Analítico!W$3&lt;='Gastos Gerais'!$E$4:$E$615),-('Gastos Gerais'!$C$4:$C$615))</f>
        <v>26000</v>
      </c>
      <c r="X79" s="73">
        <f>SUMPRODUCT(-('Gastos Gerais'!$B$4:$B$615=Analítico!$B79),-(Analítico!X$3&gt;='Gastos Gerais'!$D$4:$D$615),-(Analítico!X$3&lt;='Gastos Gerais'!$E$4:$E$615),-('Gastos Gerais'!$C$4:$C$615))</f>
        <v>26000</v>
      </c>
      <c r="Y79" s="73">
        <f>SUMPRODUCT(-('Gastos Gerais'!$B$4:$B$615=Analítico!$B79),-(Analítico!Y$3&gt;='Gastos Gerais'!$D$4:$D$615),-(Analítico!Y$3&lt;='Gastos Gerais'!$E$4:$E$615),-('Gastos Gerais'!$C$4:$C$615))</f>
        <v>26000</v>
      </c>
      <c r="Z79" s="73">
        <f>SUMPRODUCT(-('Gastos Gerais'!$B$4:$B$615=Analítico!$B79),-(Analítico!Z$3&gt;='Gastos Gerais'!$D$4:$D$615),-(Analítico!Z$3&lt;='Gastos Gerais'!$E$4:$E$615),-('Gastos Gerais'!$C$4:$C$615))</f>
        <v>26000</v>
      </c>
      <c r="AA79" s="73">
        <f>SUMPRODUCT(-('Gastos Gerais'!$B$4:$B$615=Analítico!$B79),-(Analítico!AA$3&gt;='Gastos Gerais'!$D$4:$D$615),-(Analítico!AA$3&lt;='Gastos Gerais'!$E$4:$E$615),-('Gastos Gerais'!$C$4:$C$615))</f>
        <v>26000</v>
      </c>
      <c r="AB79" s="73">
        <f>SUMPRODUCT(-('Gastos Gerais'!$B$4:$B$615=Analítico!$B79),-(Analítico!AB$3&gt;='Gastos Gerais'!$D$4:$D$615),-(Analítico!AB$3&lt;='Gastos Gerais'!$E$4:$E$615),-('Gastos Gerais'!$C$4:$C$615))</f>
        <v>26000</v>
      </c>
      <c r="AC79" s="73">
        <f>SUMPRODUCT(-('Gastos Gerais'!$B$4:$B$615=Analítico!$B79),-(Analítico!AC$3&gt;='Gastos Gerais'!$D$4:$D$615),-(Analítico!AC$3&lt;='Gastos Gerais'!$E$4:$E$615),-('Gastos Gerais'!$C$4:$C$615))</f>
        <v>26000</v>
      </c>
      <c r="AD79" s="73">
        <f>SUMPRODUCT(-('Gastos Gerais'!$B$4:$B$615=Analítico!$B79),-(Analítico!AD$3&gt;='Gastos Gerais'!$D$4:$D$615),-(Analítico!AD$3&lt;='Gastos Gerais'!$E$4:$E$615),-('Gastos Gerais'!$C$4:$C$615))</f>
        <v>26000</v>
      </c>
      <c r="AE79" s="73">
        <f>SUMPRODUCT(-('Gastos Gerais'!$B$4:$B$615=Analítico!$B79),-(Analítico!AE$3&gt;='Gastos Gerais'!$D$4:$D$615),-(Analítico!AE$3&lt;='Gastos Gerais'!$E$4:$E$615),-('Gastos Gerais'!$C$4:$C$615))</f>
        <v>26000</v>
      </c>
      <c r="AF79" s="73">
        <f>SUMPRODUCT(-('Gastos Gerais'!$B$4:$B$615=Analítico!$B79),-(Analítico!AF$3&gt;='Gastos Gerais'!$D$4:$D$615),-(Analítico!AF$3&lt;='Gastos Gerais'!$E$4:$E$615),-('Gastos Gerais'!$C$4:$C$615))</f>
        <v>26000</v>
      </c>
      <c r="AG79" s="73">
        <f>SUMPRODUCT(-('Gastos Gerais'!$B$4:$B$615=Analítico!$B79),-(Analítico!AG$3&gt;='Gastos Gerais'!$D$4:$D$615),-(Analítico!AG$3&lt;='Gastos Gerais'!$E$4:$E$615),-('Gastos Gerais'!$C$4:$C$615))</f>
        <v>26000</v>
      </c>
      <c r="AH79" s="73">
        <f>SUMPRODUCT(-('Gastos Gerais'!$B$4:$B$615=Analítico!$B79),-(Analítico!AH$3&gt;='Gastos Gerais'!$D$4:$D$615),-(Analítico!AH$3&lt;='Gastos Gerais'!$E$4:$E$615),-('Gastos Gerais'!$C$4:$C$615))</f>
        <v>26000</v>
      </c>
      <c r="AI79" s="73">
        <f>SUMPRODUCT(-('Gastos Gerais'!$B$4:$B$615=Analítico!$B79),-(Analítico!AI$3&gt;='Gastos Gerais'!$D$4:$D$615),-(Analítico!AI$3&lt;='Gastos Gerais'!$E$4:$E$615),-('Gastos Gerais'!$C$4:$C$615))</f>
        <v>26000</v>
      </c>
      <c r="AJ79" s="73">
        <f>SUMPRODUCT(-('Gastos Gerais'!$B$4:$B$615=Analítico!$B79),-(Analítico!AJ$3&gt;='Gastos Gerais'!$D$4:$D$615),-(Analítico!AJ$3&lt;='Gastos Gerais'!$E$4:$E$615),-('Gastos Gerais'!$C$4:$C$615))</f>
        <v>26000</v>
      </c>
      <c r="AK79" s="73">
        <f>SUMPRODUCT(-('Gastos Gerais'!$B$4:$B$615=Analítico!$B79),-(Analítico!AK$3&gt;='Gastos Gerais'!$D$4:$D$615),-(Analítico!AK$3&lt;='Gastos Gerais'!$E$4:$E$615),-('Gastos Gerais'!$C$4:$C$615))</f>
        <v>26000</v>
      </c>
      <c r="AL79" s="73">
        <f>SUMPRODUCT(-('Gastos Gerais'!$B$4:$B$615=Analítico!$B79),-(Analítico!AL$3&gt;='Gastos Gerais'!$D$4:$D$615),-(Analítico!AL$3&lt;='Gastos Gerais'!$E$4:$E$615),-('Gastos Gerais'!$C$4:$C$615))</f>
        <v>26000</v>
      </c>
      <c r="AM79" s="73">
        <f>SUMPRODUCT(-('Gastos Gerais'!$B$4:$B$615=Analítico!$B79),-(Analítico!AM$3&gt;='Gastos Gerais'!$D$4:$D$615),-(Analítico!AM$3&lt;='Gastos Gerais'!$E$4:$E$615),-('Gastos Gerais'!$C$4:$C$615))</f>
        <v>0</v>
      </c>
      <c r="AN79" s="73">
        <f>SUMPRODUCT(-('Gastos Gerais'!$B$4:$B$615=Analítico!$B79),-(Analítico!AN$3&gt;='Gastos Gerais'!$D$4:$D$615),-(Analítico!AN$3&lt;='Gastos Gerais'!$E$4:$E$615),-('Gastos Gerais'!$C$4:$C$615))</f>
        <v>0</v>
      </c>
      <c r="AO79" s="73">
        <f>SUMPRODUCT(-('Gastos Gerais'!$B$4:$B$615=Analítico!$B79),-(Analítico!AO$3&gt;='Gastos Gerais'!$D$4:$D$615),-(Analítico!AO$3&lt;='Gastos Gerais'!$E$4:$E$615),-('Gastos Gerais'!$C$4:$C$615))</f>
        <v>0</v>
      </c>
      <c r="AP79" s="73">
        <f>SUMPRODUCT(-('Gastos Gerais'!$B$4:$B$615=Analítico!$B79),-(Analítico!AP$3&gt;='Gastos Gerais'!$D$4:$D$615),-(Analítico!AP$3&lt;='Gastos Gerais'!$E$4:$E$615),-('Gastos Gerais'!$C$4:$C$615))</f>
        <v>0</v>
      </c>
      <c r="AQ79" s="73">
        <f>SUMPRODUCT(-('Gastos Gerais'!$B$4:$B$615=Analítico!$B79),-(Analítico!AQ$3&gt;='Gastos Gerais'!$D$4:$D$615),-(Analítico!AQ$3&lt;='Gastos Gerais'!$E$4:$E$615),-('Gastos Gerais'!$C$4:$C$615))</f>
        <v>0</v>
      </c>
      <c r="AR79" s="73">
        <f>SUMPRODUCT(-('Gastos Gerais'!$B$4:$B$615=Analítico!$B79),-(Analítico!AR$3&gt;='Gastos Gerais'!$D$4:$D$615),-(Analítico!AR$3&lt;='Gastos Gerais'!$E$4:$E$615),-('Gastos Gerais'!$C$4:$C$615))</f>
        <v>0</v>
      </c>
      <c r="AS79" s="73">
        <f>SUMPRODUCT(-('Gastos Gerais'!$B$4:$B$615=Analítico!$B79),-(Analítico!AS$3&gt;='Gastos Gerais'!$D$4:$D$615),-(Analítico!AS$3&lt;='Gastos Gerais'!$E$4:$E$615),-('Gastos Gerais'!$C$4:$C$615))</f>
        <v>0</v>
      </c>
      <c r="AT79" s="73">
        <f>SUMPRODUCT(-('Gastos Gerais'!$B$4:$B$615=Analítico!$B79),-(Analítico!AT$3&gt;='Gastos Gerais'!$D$4:$D$615),-(Analítico!AT$3&lt;='Gastos Gerais'!$E$4:$E$615),-('Gastos Gerais'!$C$4:$C$615))</f>
        <v>0</v>
      </c>
      <c r="AU79" s="73">
        <f>SUMPRODUCT(-('Gastos Gerais'!$B$4:$B$615=Analítico!$B79),-(Analítico!AU$3&gt;='Gastos Gerais'!$D$4:$D$615),-(Analítico!AU$3&lt;='Gastos Gerais'!$E$4:$E$615),-('Gastos Gerais'!$C$4:$C$615))</f>
        <v>0</v>
      </c>
      <c r="AV79" s="73">
        <f>SUMPRODUCT(-('Gastos Gerais'!$B$4:$B$615=Analítico!$B79),-(Analítico!AV$3&gt;='Gastos Gerais'!$D$4:$D$615),-(Analítico!AV$3&lt;='Gastos Gerais'!$E$4:$E$615),-('Gastos Gerais'!$C$4:$C$615))</f>
        <v>0</v>
      </c>
      <c r="AW79" s="73">
        <f>SUMPRODUCT(-('Gastos Gerais'!$B$4:$B$615=Analítico!$B79),-(Analítico!AW$3&gt;='Gastos Gerais'!$D$4:$D$615),-(Analítico!AW$3&lt;='Gastos Gerais'!$E$4:$E$615),-('Gastos Gerais'!$C$4:$C$615))</f>
        <v>0</v>
      </c>
      <c r="AX79" s="73">
        <f>SUMPRODUCT(-('Gastos Gerais'!$B$4:$B$615=Analítico!$B79),-(Analítico!AX$3&gt;='Gastos Gerais'!$D$4:$D$615),-(Analítico!AX$3&lt;='Gastos Gerais'!$E$4:$E$615),-('Gastos Gerais'!$C$4:$C$615))</f>
        <v>0</v>
      </c>
      <c r="AY79" s="73">
        <f>SUMPRODUCT(-('Gastos Gerais'!$B$4:$B$615=Analítico!$B79),-(Analítico!AY$3&gt;='Gastos Gerais'!$D$4:$D$615),-(Analítico!AY$3&lt;='Gastos Gerais'!$E$4:$E$615),-('Gastos Gerais'!$C$4:$C$615))</f>
        <v>0</v>
      </c>
      <c r="AZ79" s="73">
        <f>SUMPRODUCT(-('Gastos Gerais'!$B$4:$B$615=Analítico!$B79),-(Analítico!AZ$3&gt;='Gastos Gerais'!$D$4:$D$615),-(Analítico!AZ$3&lt;='Gastos Gerais'!$E$4:$E$615),-('Gastos Gerais'!$C$4:$C$615))</f>
        <v>0</v>
      </c>
      <c r="BA79" s="73">
        <f>SUMPRODUCT(-('Gastos Gerais'!$B$4:$B$615=Analítico!$B79),-(Analítico!BA$3&gt;='Gastos Gerais'!$D$4:$D$615),-(Analítico!BA$3&lt;='Gastos Gerais'!$E$4:$E$615),-('Gastos Gerais'!$C$4:$C$615))</f>
        <v>0</v>
      </c>
      <c r="BB79" s="73">
        <f>SUMPRODUCT(-('Gastos Gerais'!$B$4:$B$615=Analítico!$B79),-(Analítico!BB$3&gt;='Gastos Gerais'!$D$4:$D$615),-(Analítico!BB$3&lt;='Gastos Gerais'!$E$4:$E$615),-('Gastos Gerais'!$C$4:$C$615))</f>
        <v>0</v>
      </c>
      <c r="BC79" s="73">
        <f>SUMPRODUCT(-('Gastos Gerais'!$B$4:$B$615=Analítico!$B79),-(Analítico!BC$3&gt;='Gastos Gerais'!$D$4:$D$615),-(Analítico!BC$3&lt;='Gastos Gerais'!$E$4:$E$615),-('Gastos Gerais'!$C$4:$C$615))</f>
        <v>0</v>
      </c>
      <c r="BD79" s="73">
        <f>SUMPRODUCT(-('Gastos Gerais'!$B$4:$B$615=Analítico!$B79),-(Analítico!BD$3&gt;='Gastos Gerais'!$D$4:$D$615),-(Analítico!BD$3&lt;='Gastos Gerais'!$E$4:$E$615),-('Gastos Gerais'!$C$4:$C$615))</f>
        <v>0</v>
      </c>
      <c r="BE79" s="73">
        <f>SUMPRODUCT(-('Gastos Gerais'!$B$4:$B$615=Analítico!$B79),-(Analítico!BE$3&gt;='Gastos Gerais'!$D$4:$D$615),-(Analítico!BE$3&lt;='Gastos Gerais'!$E$4:$E$615),-('Gastos Gerais'!$C$4:$C$615))</f>
        <v>0</v>
      </c>
      <c r="BF79" s="73">
        <f>SUMPRODUCT(-('Gastos Gerais'!$B$4:$B$615=Analítico!$B79),-(Analítico!BF$3&gt;='Gastos Gerais'!$D$4:$D$615),-(Analítico!BF$3&lt;='Gastos Gerais'!$E$4:$E$615),-('Gastos Gerais'!$C$4:$C$615))</f>
        <v>0</v>
      </c>
      <c r="BG79" s="73">
        <f>SUMPRODUCT(-('Gastos Gerais'!$B$4:$B$615=Analítico!$B79),-(Analítico!BG$3&gt;='Gastos Gerais'!$D$4:$D$615),-(Analítico!BG$3&lt;='Gastos Gerais'!$E$4:$E$615),-('Gastos Gerais'!$C$4:$C$615))</f>
        <v>0</v>
      </c>
      <c r="BH79" s="73">
        <f>SUMPRODUCT(-('Gastos Gerais'!$B$4:$B$615=Analítico!$B79),-(Analítico!BH$3&gt;='Gastos Gerais'!$D$4:$D$615),-(Analítico!BH$3&lt;='Gastos Gerais'!$E$4:$E$615),-('Gastos Gerais'!$C$4:$C$615))</f>
        <v>0</v>
      </c>
      <c r="BI79" s="73">
        <f>SUMPRODUCT(-('Gastos Gerais'!$B$4:$B$615=Analítico!$B79),-(Analítico!BI$3&gt;='Gastos Gerais'!$D$4:$D$615),-(Analítico!BI$3&lt;='Gastos Gerais'!$E$4:$E$615),-('Gastos Gerais'!$C$4:$C$615))</f>
        <v>0</v>
      </c>
      <c r="BJ79" s="73">
        <f>SUMPRODUCT(-('Gastos Gerais'!$B$4:$B$615=Analítico!$B79),-(Analítico!BJ$3&gt;='Gastos Gerais'!$D$4:$D$615),-(Analítico!BJ$3&lt;='Gastos Gerais'!$E$4:$E$615),-('Gastos Gerais'!$C$4:$C$615))</f>
        <v>0</v>
      </c>
      <c r="BK79" s="71">
        <f t="shared" si="31"/>
        <v>936000</v>
      </c>
      <c r="BL79" s="76">
        <f t="shared" ca="1" si="32"/>
        <v>2.55303212619808E-3</v>
      </c>
    </row>
    <row r="80" spans="1:64" s="49" customFormat="1" ht="23.25" customHeight="1" x14ac:dyDescent="0.2">
      <c r="A80" s="109" t="s">
        <v>228</v>
      </c>
      <c r="B80" s="112" t="s">
        <v>229</v>
      </c>
      <c r="C80" s="73">
        <f>SUMPRODUCT(-('Gastos Gerais'!$B$4:$B$615=Analítico!$B80),-(Analítico!C$3&gt;='Gastos Gerais'!$D$4:$D$615),-(Analítico!C$3&lt;='Gastos Gerais'!$E$4:$E$615),-('Gastos Gerais'!$C$4:$C$615))</f>
        <v>2000</v>
      </c>
      <c r="D80" s="73">
        <f>SUMPRODUCT(-('Gastos Gerais'!$B$4:$B$615=Analítico!$B80),-(Analítico!D$3&gt;='Gastos Gerais'!$D$4:$D$615),-(Analítico!D$3&lt;='Gastos Gerais'!$E$4:$E$615),-('Gastos Gerais'!$C$4:$C$615))</f>
        <v>2000</v>
      </c>
      <c r="E80" s="73">
        <f>SUMPRODUCT(-('Gastos Gerais'!$B$4:$B$615=Analítico!$B80),-(Analítico!E$3&gt;='Gastos Gerais'!$D$4:$D$615),-(Analítico!E$3&lt;='Gastos Gerais'!$E$4:$E$615),-('Gastos Gerais'!$C$4:$C$615))</f>
        <v>2000</v>
      </c>
      <c r="F80" s="73">
        <f>SUMPRODUCT(-('Gastos Gerais'!$B$4:$B$615=Analítico!$B80),-(Analítico!F$3&gt;='Gastos Gerais'!$D$4:$D$615),-(Analítico!F$3&lt;='Gastos Gerais'!$E$4:$E$615),-('Gastos Gerais'!$C$4:$C$615))</f>
        <v>2000</v>
      </c>
      <c r="G80" s="73">
        <f>SUMPRODUCT(-('Gastos Gerais'!$B$4:$B$615=Analítico!$B80),-(Analítico!G$3&gt;='Gastos Gerais'!$D$4:$D$615),-(Analítico!G$3&lt;='Gastos Gerais'!$E$4:$E$615),-('Gastos Gerais'!$C$4:$C$615))</f>
        <v>2000</v>
      </c>
      <c r="H80" s="73">
        <f>SUMPRODUCT(-('Gastos Gerais'!$B$4:$B$615=Analítico!$B80),-(Analítico!H$3&gt;='Gastos Gerais'!$D$4:$D$615),-(Analítico!H$3&lt;='Gastos Gerais'!$E$4:$E$615),-('Gastos Gerais'!$C$4:$C$615))</f>
        <v>2000</v>
      </c>
      <c r="I80" s="73">
        <f>SUMPRODUCT(-('Gastos Gerais'!$B$4:$B$615=Analítico!$B80),-(Analítico!I$3&gt;='Gastos Gerais'!$D$4:$D$615),-(Analítico!I$3&lt;='Gastos Gerais'!$E$4:$E$615),-('Gastos Gerais'!$C$4:$C$615))</f>
        <v>2000</v>
      </c>
      <c r="J80" s="73">
        <f>SUMPRODUCT(-('Gastos Gerais'!$B$4:$B$615=Analítico!$B80),-(Analítico!J$3&gt;='Gastos Gerais'!$D$4:$D$615),-(Analítico!J$3&lt;='Gastos Gerais'!$E$4:$E$615),-('Gastos Gerais'!$C$4:$C$615))</f>
        <v>2000</v>
      </c>
      <c r="K80" s="73">
        <f>SUMPRODUCT(-('Gastos Gerais'!$B$4:$B$615=Analítico!$B80),-(Analítico!K$3&gt;='Gastos Gerais'!$D$4:$D$615),-(Analítico!K$3&lt;='Gastos Gerais'!$E$4:$E$615),-('Gastos Gerais'!$C$4:$C$615))</f>
        <v>2000</v>
      </c>
      <c r="L80" s="73">
        <f>SUMPRODUCT(-('Gastos Gerais'!$B$4:$B$615=Analítico!$B80),-(Analítico!L$3&gt;='Gastos Gerais'!$D$4:$D$615),-(Analítico!L$3&lt;='Gastos Gerais'!$E$4:$E$615),-('Gastos Gerais'!$C$4:$C$615))</f>
        <v>2000</v>
      </c>
      <c r="M80" s="73">
        <f>SUMPRODUCT(-('Gastos Gerais'!$B$4:$B$615=Analítico!$B80),-(Analítico!M$3&gt;='Gastos Gerais'!$D$4:$D$615),-(Analítico!M$3&lt;='Gastos Gerais'!$E$4:$E$615),-('Gastos Gerais'!$C$4:$C$615))</f>
        <v>2000</v>
      </c>
      <c r="N80" s="73">
        <f>SUMPRODUCT(-('Gastos Gerais'!$B$4:$B$615=Analítico!$B80),-(Analítico!N$3&gt;='Gastos Gerais'!$D$4:$D$615),-(Analítico!N$3&lt;='Gastos Gerais'!$E$4:$E$615),-('Gastos Gerais'!$C$4:$C$615))</f>
        <v>2000</v>
      </c>
      <c r="O80" s="73">
        <f>SUMPRODUCT(-('Gastos Gerais'!$B$4:$B$615=Analítico!$B80),-(Analítico!O$3&gt;='Gastos Gerais'!$D$4:$D$615),-(Analítico!O$3&lt;='Gastos Gerais'!$E$4:$E$615),-('Gastos Gerais'!$C$4:$C$615))</f>
        <v>2000</v>
      </c>
      <c r="P80" s="73">
        <f>SUMPRODUCT(-('Gastos Gerais'!$B$4:$B$615=Analítico!$B80),-(Analítico!P$3&gt;='Gastos Gerais'!$D$4:$D$615),-(Analítico!P$3&lt;='Gastos Gerais'!$E$4:$E$615),-('Gastos Gerais'!$C$4:$C$615))</f>
        <v>2000</v>
      </c>
      <c r="Q80" s="73">
        <f>SUMPRODUCT(-('Gastos Gerais'!$B$4:$B$615=Analítico!$B80),-(Analítico!Q$3&gt;='Gastos Gerais'!$D$4:$D$615),-(Analítico!Q$3&lt;='Gastos Gerais'!$E$4:$E$615),-('Gastos Gerais'!$C$4:$C$615))</f>
        <v>2000</v>
      </c>
      <c r="R80" s="73">
        <f>SUMPRODUCT(-('Gastos Gerais'!$B$4:$B$615=Analítico!$B80),-(Analítico!R$3&gt;='Gastos Gerais'!$D$4:$D$615),-(Analítico!R$3&lt;='Gastos Gerais'!$E$4:$E$615),-('Gastos Gerais'!$C$4:$C$615))</f>
        <v>2000</v>
      </c>
      <c r="S80" s="73">
        <f>SUMPRODUCT(-('Gastos Gerais'!$B$4:$B$615=Analítico!$B80),-(Analítico!S$3&gt;='Gastos Gerais'!$D$4:$D$615),-(Analítico!S$3&lt;='Gastos Gerais'!$E$4:$E$615),-('Gastos Gerais'!$C$4:$C$615))</f>
        <v>2000</v>
      </c>
      <c r="T80" s="73">
        <f>SUMPRODUCT(-('Gastos Gerais'!$B$4:$B$615=Analítico!$B80),-(Analítico!T$3&gt;='Gastos Gerais'!$D$4:$D$615),-(Analítico!T$3&lt;='Gastos Gerais'!$E$4:$E$615),-('Gastos Gerais'!$C$4:$C$615))</f>
        <v>2000</v>
      </c>
      <c r="U80" s="73">
        <f>SUMPRODUCT(-('Gastos Gerais'!$B$4:$B$615=Analítico!$B80),-(Analítico!U$3&gt;='Gastos Gerais'!$D$4:$D$615),-(Analítico!U$3&lt;='Gastos Gerais'!$E$4:$E$615),-('Gastos Gerais'!$C$4:$C$615))</f>
        <v>2000</v>
      </c>
      <c r="V80" s="73">
        <f>SUMPRODUCT(-('Gastos Gerais'!$B$4:$B$615=Analítico!$B80),-(Analítico!V$3&gt;='Gastos Gerais'!$D$4:$D$615),-(Analítico!V$3&lt;='Gastos Gerais'!$E$4:$E$615),-('Gastos Gerais'!$C$4:$C$615))</f>
        <v>2000</v>
      </c>
      <c r="W80" s="73">
        <f>SUMPRODUCT(-('Gastos Gerais'!$B$4:$B$615=Analítico!$B80),-(Analítico!W$3&gt;='Gastos Gerais'!$D$4:$D$615),-(Analítico!W$3&lt;='Gastos Gerais'!$E$4:$E$615),-('Gastos Gerais'!$C$4:$C$615))</f>
        <v>2000</v>
      </c>
      <c r="X80" s="73">
        <f>SUMPRODUCT(-('Gastos Gerais'!$B$4:$B$615=Analítico!$B80),-(Analítico!X$3&gt;='Gastos Gerais'!$D$4:$D$615),-(Analítico!X$3&lt;='Gastos Gerais'!$E$4:$E$615),-('Gastos Gerais'!$C$4:$C$615))</f>
        <v>2000</v>
      </c>
      <c r="Y80" s="73">
        <f>SUMPRODUCT(-('Gastos Gerais'!$B$4:$B$615=Analítico!$B80),-(Analítico!Y$3&gt;='Gastos Gerais'!$D$4:$D$615),-(Analítico!Y$3&lt;='Gastos Gerais'!$E$4:$E$615),-('Gastos Gerais'!$C$4:$C$615))</f>
        <v>2000</v>
      </c>
      <c r="Z80" s="73">
        <f>SUMPRODUCT(-('Gastos Gerais'!$B$4:$B$615=Analítico!$B80),-(Analítico!Z$3&gt;='Gastos Gerais'!$D$4:$D$615),-(Analítico!Z$3&lt;='Gastos Gerais'!$E$4:$E$615),-('Gastos Gerais'!$C$4:$C$615))</f>
        <v>2000</v>
      </c>
      <c r="AA80" s="73">
        <f>SUMPRODUCT(-('Gastos Gerais'!$B$4:$B$615=Analítico!$B80),-(Analítico!AA$3&gt;='Gastos Gerais'!$D$4:$D$615),-(Analítico!AA$3&lt;='Gastos Gerais'!$E$4:$E$615),-('Gastos Gerais'!$C$4:$C$615))</f>
        <v>2000</v>
      </c>
      <c r="AB80" s="73">
        <f>SUMPRODUCT(-('Gastos Gerais'!$B$4:$B$615=Analítico!$B80),-(Analítico!AB$3&gt;='Gastos Gerais'!$D$4:$D$615),-(Analítico!AB$3&lt;='Gastos Gerais'!$E$4:$E$615),-('Gastos Gerais'!$C$4:$C$615))</f>
        <v>2000</v>
      </c>
      <c r="AC80" s="73">
        <f>SUMPRODUCT(-('Gastos Gerais'!$B$4:$B$615=Analítico!$B80),-(Analítico!AC$3&gt;='Gastos Gerais'!$D$4:$D$615),-(Analítico!AC$3&lt;='Gastos Gerais'!$E$4:$E$615),-('Gastos Gerais'!$C$4:$C$615))</f>
        <v>2000</v>
      </c>
      <c r="AD80" s="73">
        <f>SUMPRODUCT(-('Gastos Gerais'!$B$4:$B$615=Analítico!$B80),-(Analítico!AD$3&gt;='Gastos Gerais'!$D$4:$D$615),-(Analítico!AD$3&lt;='Gastos Gerais'!$E$4:$E$615),-('Gastos Gerais'!$C$4:$C$615))</f>
        <v>2000</v>
      </c>
      <c r="AE80" s="73">
        <f>SUMPRODUCT(-('Gastos Gerais'!$B$4:$B$615=Analítico!$B80),-(Analítico!AE$3&gt;='Gastos Gerais'!$D$4:$D$615),-(Analítico!AE$3&lt;='Gastos Gerais'!$E$4:$E$615),-('Gastos Gerais'!$C$4:$C$615))</f>
        <v>2000</v>
      </c>
      <c r="AF80" s="73">
        <f>SUMPRODUCT(-('Gastos Gerais'!$B$4:$B$615=Analítico!$B80),-(Analítico!AF$3&gt;='Gastos Gerais'!$D$4:$D$615),-(Analítico!AF$3&lt;='Gastos Gerais'!$E$4:$E$615),-('Gastos Gerais'!$C$4:$C$615))</f>
        <v>2000</v>
      </c>
      <c r="AG80" s="73">
        <f>SUMPRODUCT(-('Gastos Gerais'!$B$4:$B$615=Analítico!$B80),-(Analítico!AG$3&gt;='Gastos Gerais'!$D$4:$D$615),-(Analítico!AG$3&lt;='Gastos Gerais'!$E$4:$E$615),-('Gastos Gerais'!$C$4:$C$615))</f>
        <v>2000</v>
      </c>
      <c r="AH80" s="73">
        <f>SUMPRODUCT(-('Gastos Gerais'!$B$4:$B$615=Analítico!$B80),-(Analítico!AH$3&gt;='Gastos Gerais'!$D$4:$D$615),-(Analítico!AH$3&lt;='Gastos Gerais'!$E$4:$E$615),-('Gastos Gerais'!$C$4:$C$615))</f>
        <v>2000</v>
      </c>
      <c r="AI80" s="73">
        <f>SUMPRODUCT(-('Gastos Gerais'!$B$4:$B$615=Analítico!$B80),-(Analítico!AI$3&gt;='Gastos Gerais'!$D$4:$D$615),-(Analítico!AI$3&lt;='Gastos Gerais'!$E$4:$E$615),-('Gastos Gerais'!$C$4:$C$615))</f>
        <v>2000</v>
      </c>
      <c r="AJ80" s="73">
        <f>SUMPRODUCT(-('Gastos Gerais'!$B$4:$B$615=Analítico!$B80),-(Analítico!AJ$3&gt;='Gastos Gerais'!$D$4:$D$615),-(Analítico!AJ$3&lt;='Gastos Gerais'!$E$4:$E$615),-('Gastos Gerais'!$C$4:$C$615))</f>
        <v>2000</v>
      </c>
      <c r="AK80" s="73">
        <f>SUMPRODUCT(-('Gastos Gerais'!$B$4:$B$615=Analítico!$B80),-(Analítico!AK$3&gt;='Gastos Gerais'!$D$4:$D$615),-(Analítico!AK$3&lt;='Gastos Gerais'!$E$4:$E$615),-('Gastos Gerais'!$C$4:$C$615))</f>
        <v>2000</v>
      </c>
      <c r="AL80" s="73">
        <f>SUMPRODUCT(-('Gastos Gerais'!$B$4:$B$615=Analítico!$B80),-(Analítico!AL$3&gt;='Gastos Gerais'!$D$4:$D$615),-(Analítico!AL$3&lt;='Gastos Gerais'!$E$4:$E$615),-('Gastos Gerais'!$C$4:$C$615))</f>
        <v>2000</v>
      </c>
      <c r="AM80" s="73">
        <f>SUMPRODUCT(-('Gastos Gerais'!$B$4:$B$615=Analítico!$B80),-(Analítico!AM$3&gt;='Gastos Gerais'!$D$4:$D$615),-(Analítico!AM$3&lt;='Gastos Gerais'!$E$4:$E$615),-('Gastos Gerais'!$C$4:$C$615))</f>
        <v>0</v>
      </c>
      <c r="AN80" s="73">
        <f>SUMPRODUCT(-('Gastos Gerais'!$B$4:$B$615=Analítico!$B80),-(Analítico!AN$3&gt;='Gastos Gerais'!$D$4:$D$615),-(Analítico!AN$3&lt;='Gastos Gerais'!$E$4:$E$615),-('Gastos Gerais'!$C$4:$C$615))</f>
        <v>0</v>
      </c>
      <c r="AO80" s="73">
        <f>SUMPRODUCT(-('Gastos Gerais'!$B$4:$B$615=Analítico!$B80),-(Analítico!AO$3&gt;='Gastos Gerais'!$D$4:$D$615),-(Analítico!AO$3&lt;='Gastos Gerais'!$E$4:$E$615),-('Gastos Gerais'!$C$4:$C$615))</f>
        <v>0</v>
      </c>
      <c r="AP80" s="73">
        <f>SUMPRODUCT(-('Gastos Gerais'!$B$4:$B$615=Analítico!$B80),-(Analítico!AP$3&gt;='Gastos Gerais'!$D$4:$D$615),-(Analítico!AP$3&lt;='Gastos Gerais'!$E$4:$E$615),-('Gastos Gerais'!$C$4:$C$615))</f>
        <v>0</v>
      </c>
      <c r="AQ80" s="73">
        <f>SUMPRODUCT(-('Gastos Gerais'!$B$4:$B$615=Analítico!$B80),-(Analítico!AQ$3&gt;='Gastos Gerais'!$D$4:$D$615),-(Analítico!AQ$3&lt;='Gastos Gerais'!$E$4:$E$615),-('Gastos Gerais'!$C$4:$C$615))</f>
        <v>0</v>
      </c>
      <c r="AR80" s="73">
        <f>SUMPRODUCT(-('Gastos Gerais'!$B$4:$B$615=Analítico!$B80),-(Analítico!AR$3&gt;='Gastos Gerais'!$D$4:$D$615),-(Analítico!AR$3&lt;='Gastos Gerais'!$E$4:$E$615),-('Gastos Gerais'!$C$4:$C$615))</f>
        <v>0</v>
      </c>
      <c r="AS80" s="73">
        <f>SUMPRODUCT(-('Gastos Gerais'!$B$4:$B$615=Analítico!$B80),-(Analítico!AS$3&gt;='Gastos Gerais'!$D$4:$D$615),-(Analítico!AS$3&lt;='Gastos Gerais'!$E$4:$E$615),-('Gastos Gerais'!$C$4:$C$615))</f>
        <v>0</v>
      </c>
      <c r="AT80" s="73">
        <f>SUMPRODUCT(-('Gastos Gerais'!$B$4:$B$615=Analítico!$B80),-(Analítico!AT$3&gt;='Gastos Gerais'!$D$4:$D$615),-(Analítico!AT$3&lt;='Gastos Gerais'!$E$4:$E$615),-('Gastos Gerais'!$C$4:$C$615))</f>
        <v>0</v>
      </c>
      <c r="AU80" s="73">
        <f>SUMPRODUCT(-('Gastos Gerais'!$B$4:$B$615=Analítico!$B80),-(Analítico!AU$3&gt;='Gastos Gerais'!$D$4:$D$615),-(Analítico!AU$3&lt;='Gastos Gerais'!$E$4:$E$615),-('Gastos Gerais'!$C$4:$C$615))</f>
        <v>0</v>
      </c>
      <c r="AV80" s="73">
        <f>SUMPRODUCT(-('Gastos Gerais'!$B$4:$B$615=Analítico!$B80),-(Analítico!AV$3&gt;='Gastos Gerais'!$D$4:$D$615),-(Analítico!AV$3&lt;='Gastos Gerais'!$E$4:$E$615),-('Gastos Gerais'!$C$4:$C$615))</f>
        <v>0</v>
      </c>
      <c r="AW80" s="73">
        <f>SUMPRODUCT(-('Gastos Gerais'!$B$4:$B$615=Analítico!$B80),-(Analítico!AW$3&gt;='Gastos Gerais'!$D$4:$D$615),-(Analítico!AW$3&lt;='Gastos Gerais'!$E$4:$E$615),-('Gastos Gerais'!$C$4:$C$615))</f>
        <v>0</v>
      </c>
      <c r="AX80" s="73">
        <f>SUMPRODUCT(-('Gastos Gerais'!$B$4:$B$615=Analítico!$B80),-(Analítico!AX$3&gt;='Gastos Gerais'!$D$4:$D$615),-(Analítico!AX$3&lt;='Gastos Gerais'!$E$4:$E$615),-('Gastos Gerais'!$C$4:$C$615))</f>
        <v>0</v>
      </c>
      <c r="AY80" s="73">
        <f>SUMPRODUCT(-('Gastos Gerais'!$B$4:$B$615=Analítico!$B80),-(Analítico!AY$3&gt;='Gastos Gerais'!$D$4:$D$615),-(Analítico!AY$3&lt;='Gastos Gerais'!$E$4:$E$615),-('Gastos Gerais'!$C$4:$C$615))</f>
        <v>0</v>
      </c>
      <c r="AZ80" s="73">
        <f>SUMPRODUCT(-('Gastos Gerais'!$B$4:$B$615=Analítico!$B80),-(Analítico!AZ$3&gt;='Gastos Gerais'!$D$4:$D$615),-(Analítico!AZ$3&lt;='Gastos Gerais'!$E$4:$E$615),-('Gastos Gerais'!$C$4:$C$615))</f>
        <v>0</v>
      </c>
      <c r="BA80" s="73">
        <f>SUMPRODUCT(-('Gastos Gerais'!$B$4:$B$615=Analítico!$B80),-(Analítico!BA$3&gt;='Gastos Gerais'!$D$4:$D$615),-(Analítico!BA$3&lt;='Gastos Gerais'!$E$4:$E$615),-('Gastos Gerais'!$C$4:$C$615))</f>
        <v>0</v>
      </c>
      <c r="BB80" s="73">
        <f>SUMPRODUCT(-('Gastos Gerais'!$B$4:$B$615=Analítico!$B80),-(Analítico!BB$3&gt;='Gastos Gerais'!$D$4:$D$615),-(Analítico!BB$3&lt;='Gastos Gerais'!$E$4:$E$615),-('Gastos Gerais'!$C$4:$C$615))</f>
        <v>0</v>
      </c>
      <c r="BC80" s="73">
        <f>SUMPRODUCT(-('Gastos Gerais'!$B$4:$B$615=Analítico!$B80),-(Analítico!BC$3&gt;='Gastos Gerais'!$D$4:$D$615),-(Analítico!BC$3&lt;='Gastos Gerais'!$E$4:$E$615),-('Gastos Gerais'!$C$4:$C$615))</f>
        <v>0</v>
      </c>
      <c r="BD80" s="73">
        <f>SUMPRODUCT(-('Gastos Gerais'!$B$4:$B$615=Analítico!$B80),-(Analítico!BD$3&gt;='Gastos Gerais'!$D$4:$D$615),-(Analítico!BD$3&lt;='Gastos Gerais'!$E$4:$E$615),-('Gastos Gerais'!$C$4:$C$615))</f>
        <v>0</v>
      </c>
      <c r="BE80" s="73">
        <f>SUMPRODUCT(-('Gastos Gerais'!$B$4:$B$615=Analítico!$B80),-(Analítico!BE$3&gt;='Gastos Gerais'!$D$4:$D$615),-(Analítico!BE$3&lt;='Gastos Gerais'!$E$4:$E$615),-('Gastos Gerais'!$C$4:$C$615))</f>
        <v>0</v>
      </c>
      <c r="BF80" s="73">
        <f>SUMPRODUCT(-('Gastos Gerais'!$B$4:$B$615=Analítico!$B80),-(Analítico!BF$3&gt;='Gastos Gerais'!$D$4:$D$615),-(Analítico!BF$3&lt;='Gastos Gerais'!$E$4:$E$615),-('Gastos Gerais'!$C$4:$C$615))</f>
        <v>0</v>
      </c>
      <c r="BG80" s="73">
        <f>SUMPRODUCT(-('Gastos Gerais'!$B$4:$B$615=Analítico!$B80),-(Analítico!BG$3&gt;='Gastos Gerais'!$D$4:$D$615),-(Analítico!BG$3&lt;='Gastos Gerais'!$E$4:$E$615),-('Gastos Gerais'!$C$4:$C$615))</f>
        <v>0</v>
      </c>
      <c r="BH80" s="73">
        <f>SUMPRODUCT(-('Gastos Gerais'!$B$4:$B$615=Analítico!$B80),-(Analítico!BH$3&gt;='Gastos Gerais'!$D$4:$D$615),-(Analítico!BH$3&lt;='Gastos Gerais'!$E$4:$E$615),-('Gastos Gerais'!$C$4:$C$615))</f>
        <v>0</v>
      </c>
      <c r="BI80" s="73">
        <f>SUMPRODUCT(-('Gastos Gerais'!$B$4:$B$615=Analítico!$B80),-(Analítico!BI$3&gt;='Gastos Gerais'!$D$4:$D$615),-(Analítico!BI$3&lt;='Gastos Gerais'!$E$4:$E$615),-('Gastos Gerais'!$C$4:$C$615))</f>
        <v>0</v>
      </c>
      <c r="BJ80" s="73">
        <f>SUMPRODUCT(-('Gastos Gerais'!$B$4:$B$615=Analítico!$B80),-(Analítico!BJ$3&gt;='Gastos Gerais'!$D$4:$D$615),-(Analítico!BJ$3&lt;='Gastos Gerais'!$E$4:$E$615),-('Gastos Gerais'!$C$4:$C$615))</f>
        <v>0</v>
      </c>
      <c r="BK80" s="71">
        <f t="shared" si="31"/>
        <v>72000</v>
      </c>
      <c r="BL80" s="76">
        <f t="shared" ca="1" si="32"/>
        <v>1.9638708663062156E-4</v>
      </c>
    </row>
    <row r="81" spans="1:64" s="49" customFormat="1" ht="22.5" x14ac:dyDescent="0.2">
      <c r="A81" s="109" t="s">
        <v>230</v>
      </c>
      <c r="B81" s="112" t="s">
        <v>231</v>
      </c>
      <c r="C81" s="73">
        <f>SUMPRODUCT(-('Gastos Gerais'!$B$4:$B$615=Analítico!$B81),-(Analítico!C$3&gt;='Gastos Gerais'!$D$4:$D$615),-(Analítico!C$3&lt;='Gastos Gerais'!$E$4:$E$615),-('Gastos Gerais'!$C$4:$C$615))</f>
        <v>15800</v>
      </c>
      <c r="D81" s="73">
        <f>SUMPRODUCT(-('Gastos Gerais'!$B$4:$B$615=Analítico!$B81),-(Analítico!D$3&gt;='Gastos Gerais'!$D$4:$D$615),-(Analítico!D$3&lt;='Gastos Gerais'!$E$4:$E$615),-('Gastos Gerais'!$C$4:$C$615))</f>
        <v>15800</v>
      </c>
      <c r="E81" s="73">
        <f>SUMPRODUCT(-('Gastos Gerais'!$B$4:$B$615=Analítico!$B81),-(Analítico!E$3&gt;='Gastos Gerais'!$D$4:$D$615),-(Analítico!E$3&lt;='Gastos Gerais'!$E$4:$E$615),-('Gastos Gerais'!$C$4:$C$615))</f>
        <v>15800</v>
      </c>
      <c r="F81" s="73">
        <f>SUMPRODUCT(-('Gastos Gerais'!$B$4:$B$615=Analítico!$B81),-(Analítico!F$3&gt;='Gastos Gerais'!$D$4:$D$615),-(Analítico!F$3&lt;='Gastos Gerais'!$E$4:$E$615),-('Gastos Gerais'!$C$4:$C$615))</f>
        <v>15800</v>
      </c>
      <c r="G81" s="73">
        <f>SUMPRODUCT(-('Gastos Gerais'!$B$4:$B$615=Analítico!$B81),-(Analítico!G$3&gt;='Gastos Gerais'!$D$4:$D$615),-(Analítico!G$3&lt;='Gastos Gerais'!$E$4:$E$615),-('Gastos Gerais'!$C$4:$C$615))</f>
        <v>15800</v>
      </c>
      <c r="H81" s="73">
        <f>SUMPRODUCT(-('Gastos Gerais'!$B$4:$B$615=Analítico!$B81),-(Analítico!H$3&gt;='Gastos Gerais'!$D$4:$D$615),-(Analítico!H$3&lt;='Gastos Gerais'!$E$4:$E$615),-('Gastos Gerais'!$C$4:$C$615))</f>
        <v>15800</v>
      </c>
      <c r="I81" s="73">
        <f>SUMPRODUCT(-('Gastos Gerais'!$B$4:$B$615=Analítico!$B81),-(Analítico!I$3&gt;='Gastos Gerais'!$D$4:$D$615),-(Analítico!I$3&lt;='Gastos Gerais'!$E$4:$E$615),-('Gastos Gerais'!$C$4:$C$615))</f>
        <v>15800</v>
      </c>
      <c r="J81" s="73">
        <f>SUMPRODUCT(-('Gastos Gerais'!$B$4:$B$615=Analítico!$B81),-(Analítico!J$3&gt;='Gastos Gerais'!$D$4:$D$615),-(Analítico!J$3&lt;='Gastos Gerais'!$E$4:$E$615),-('Gastos Gerais'!$C$4:$C$615))</f>
        <v>15800</v>
      </c>
      <c r="K81" s="73">
        <f>SUMPRODUCT(-('Gastos Gerais'!$B$4:$B$615=Analítico!$B81),-(Analítico!K$3&gt;='Gastos Gerais'!$D$4:$D$615),-(Analítico!K$3&lt;='Gastos Gerais'!$E$4:$E$615),-('Gastos Gerais'!$C$4:$C$615))</f>
        <v>15800</v>
      </c>
      <c r="L81" s="73">
        <f>SUMPRODUCT(-('Gastos Gerais'!$B$4:$B$615=Analítico!$B81),-(Analítico!L$3&gt;='Gastos Gerais'!$D$4:$D$615),-(Analítico!L$3&lt;='Gastos Gerais'!$E$4:$E$615),-('Gastos Gerais'!$C$4:$C$615))</f>
        <v>15800</v>
      </c>
      <c r="M81" s="73">
        <f>SUMPRODUCT(-('Gastos Gerais'!$B$4:$B$615=Analítico!$B81),-(Analítico!M$3&gt;='Gastos Gerais'!$D$4:$D$615),-(Analítico!M$3&lt;='Gastos Gerais'!$E$4:$E$615),-('Gastos Gerais'!$C$4:$C$615))</f>
        <v>15800</v>
      </c>
      <c r="N81" s="73">
        <f>SUMPRODUCT(-('Gastos Gerais'!$B$4:$B$615=Analítico!$B81),-(Analítico!N$3&gt;='Gastos Gerais'!$D$4:$D$615),-(Analítico!N$3&lt;='Gastos Gerais'!$E$4:$E$615),-('Gastos Gerais'!$C$4:$C$615))</f>
        <v>15800</v>
      </c>
      <c r="O81" s="73">
        <f>SUMPRODUCT(-('Gastos Gerais'!$B$4:$B$615=Analítico!$B81),-(Analítico!O$3&gt;='Gastos Gerais'!$D$4:$D$615),-(Analítico!O$3&lt;='Gastos Gerais'!$E$4:$E$615),-('Gastos Gerais'!$C$4:$C$615))</f>
        <v>15800</v>
      </c>
      <c r="P81" s="73">
        <f>SUMPRODUCT(-('Gastos Gerais'!$B$4:$B$615=Analítico!$B81),-(Analítico!P$3&gt;='Gastos Gerais'!$D$4:$D$615),-(Analítico!P$3&lt;='Gastos Gerais'!$E$4:$E$615),-('Gastos Gerais'!$C$4:$C$615))</f>
        <v>15800</v>
      </c>
      <c r="Q81" s="73">
        <f>SUMPRODUCT(-('Gastos Gerais'!$B$4:$B$615=Analítico!$B81),-(Analítico!Q$3&gt;='Gastos Gerais'!$D$4:$D$615),-(Analítico!Q$3&lt;='Gastos Gerais'!$E$4:$E$615),-('Gastos Gerais'!$C$4:$C$615))</f>
        <v>15800</v>
      </c>
      <c r="R81" s="73">
        <f>SUMPRODUCT(-('Gastos Gerais'!$B$4:$B$615=Analítico!$B81),-(Analítico!R$3&gt;='Gastos Gerais'!$D$4:$D$615),-(Analítico!R$3&lt;='Gastos Gerais'!$E$4:$E$615),-('Gastos Gerais'!$C$4:$C$615))</f>
        <v>15800</v>
      </c>
      <c r="S81" s="73">
        <f>SUMPRODUCT(-('Gastos Gerais'!$B$4:$B$615=Analítico!$B81),-(Analítico!S$3&gt;='Gastos Gerais'!$D$4:$D$615),-(Analítico!S$3&lt;='Gastos Gerais'!$E$4:$E$615),-('Gastos Gerais'!$C$4:$C$615))</f>
        <v>15800</v>
      </c>
      <c r="T81" s="73">
        <f>SUMPRODUCT(-('Gastos Gerais'!$B$4:$B$615=Analítico!$B81),-(Analítico!T$3&gt;='Gastos Gerais'!$D$4:$D$615),-(Analítico!T$3&lt;='Gastos Gerais'!$E$4:$E$615),-('Gastos Gerais'!$C$4:$C$615))</f>
        <v>15800</v>
      </c>
      <c r="U81" s="73">
        <f>SUMPRODUCT(-('Gastos Gerais'!$B$4:$B$615=Analítico!$B81),-(Analítico!U$3&gt;='Gastos Gerais'!$D$4:$D$615),-(Analítico!U$3&lt;='Gastos Gerais'!$E$4:$E$615),-('Gastos Gerais'!$C$4:$C$615))</f>
        <v>15800</v>
      </c>
      <c r="V81" s="73">
        <f>SUMPRODUCT(-('Gastos Gerais'!$B$4:$B$615=Analítico!$B81),-(Analítico!V$3&gt;='Gastos Gerais'!$D$4:$D$615),-(Analítico!V$3&lt;='Gastos Gerais'!$E$4:$E$615),-('Gastos Gerais'!$C$4:$C$615))</f>
        <v>15800</v>
      </c>
      <c r="W81" s="73">
        <f>SUMPRODUCT(-('Gastos Gerais'!$B$4:$B$615=Analítico!$B81),-(Analítico!W$3&gt;='Gastos Gerais'!$D$4:$D$615),-(Analítico!W$3&lt;='Gastos Gerais'!$E$4:$E$615),-('Gastos Gerais'!$C$4:$C$615))</f>
        <v>15800</v>
      </c>
      <c r="X81" s="73">
        <f>SUMPRODUCT(-('Gastos Gerais'!$B$4:$B$615=Analítico!$B81),-(Analítico!X$3&gt;='Gastos Gerais'!$D$4:$D$615),-(Analítico!X$3&lt;='Gastos Gerais'!$E$4:$E$615),-('Gastos Gerais'!$C$4:$C$615))</f>
        <v>15800</v>
      </c>
      <c r="Y81" s="73">
        <f>SUMPRODUCT(-('Gastos Gerais'!$B$4:$B$615=Analítico!$B81),-(Analítico!Y$3&gt;='Gastos Gerais'!$D$4:$D$615),-(Analítico!Y$3&lt;='Gastos Gerais'!$E$4:$E$615),-('Gastos Gerais'!$C$4:$C$615))</f>
        <v>15800</v>
      </c>
      <c r="Z81" s="73">
        <f>SUMPRODUCT(-('Gastos Gerais'!$B$4:$B$615=Analítico!$B81),-(Analítico!Z$3&gt;='Gastos Gerais'!$D$4:$D$615),-(Analítico!Z$3&lt;='Gastos Gerais'!$E$4:$E$615),-('Gastos Gerais'!$C$4:$C$615))</f>
        <v>15800</v>
      </c>
      <c r="AA81" s="73">
        <f>SUMPRODUCT(-('Gastos Gerais'!$B$4:$B$615=Analítico!$B81),-(Analítico!AA$3&gt;='Gastos Gerais'!$D$4:$D$615),-(Analítico!AA$3&lt;='Gastos Gerais'!$E$4:$E$615),-('Gastos Gerais'!$C$4:$C$615))</f>
        <v>15800</v>
      </c>
      <c r="AB81" s="73">
        <f>SUMPRODUCT(-('Gastos Gerais'!$B$4:$B$615=Analítico!$B81),-(Analítico!AB$3&gt;='Gastos Gerais'!$D$4:$D$615),-(Analítico!AB$3&lt;='Gastos Gerais'!$E$4:$E$615),-('Gastos Gerais'!$C$4:$C$615))</f>
        <v>15800</v>
      </c>
      <c r="AC81" s="73">
        <f>SUMPRODUCT(-('Gastos Gerais'!$B$4:$B$615=Analítico!$B81),-(Analítico!AC$3&gt;='Gastos Gerais'!$D$4:$D$615),-(Analítico!AC$3&lt;='Gastos Gerais'!$E$4:$E$615),-('Gastos Gerais'!$C$4:$C$615))</f>
        <v>15800</v>
      </c>
      <c r="AD81" s="73">
        <f>SUMPRODUCT(-('Gastos Gerais'!$B$4:$B$615=Analítico!$B81),-(Analítico!AD$3&gt;='Gastos Gerais'!$D$4:$D$615),-(Analítico!AD$3&lt;='Gastos Gerais'!$E$4:$E$615),-('Gastos Gerais'!$C$4:$C$615))</f>
        <v>15800</v>
      </c>
      <c r="AE81" s="73">
        <f>SUMPRODUCT(-('Gastos Gerais'!$B$4:$B$615=Analítico!$B81),-(Analítico!AE$3&gt;='Gastos Gerais'!$D$4:$D$615),-(Analítico!AE$3&lt;='Gastos Gerais'!$E$4:$E$615),-('Gastos Gerais'!$C$4:$C$615))</f>
        <v>15800</v>
      </c>
      <c r="AF81" s="73">
        <f>SUMPRODUCT(-('Gastos Gerais'!$B$4:$B$615=Analítico!$B81),-(Analítico!AF$3&gt;='Gastos Gerais'!$D$4:$D$615),-(Analítico!AF$3&lt;='Gastos Gerais'!$E$4:$E$615),-('Gastos Gerais'!$C$4:$C$615))</f>
        <v>15800</v>
      </c>
      <c r="AG81" s="73">
        <f>SUMPRODUCT(-('Gastos Gerais'!$B$4:$B$615=Analítico!$B81),-(Analítico!AG$3&gt;='Gastos Gerais'!$D$4:$D$615),-(Analítico!AG$3&lt;='Gastos Gerais'!$E$4:$E$615),-('Gastos Gerais'!$C$4:$C$615))</f>
        <v>15800</v>
      </c>
      <c r="AH81" s="73">
        <f>SUMPRODUCT(-('Gastos Gerais'!$B$4:$B$615=Analítico!$B81),-(Analítico!AH$3&gt;='Gastos Gerais'!$D$4:$D$615),-(Analítico!AH$3&lt;='Gastos Gerais'!$E$4:$E$615),-('Gastos Gerais'!$C$4:$C$615))</f>
        <v>15800</v>
      </c>
      <c r="AI81" s="73">
        <f>SUMPRODUCT(-('Gastos Gerais'!$B$4:$B$615=Analítico!$B81),-(Analítico!AI$3&gt;='Gastos Gerais'!$D$4:$D$615),-(Analítico!AI$3&lt;='Gastos Gerais'!$E$4:$E$615),-('Gastos Gerais'!$C$4:$C$615))</f>
        <v>15800</v>
      </c>
      <c r="AJ81" s="73">
        <f>SUMPRODUCT(-('Gastos Gerais'!$B$4:$B$615=Analítico!$B81),-(Analítico!AJ$3&gt;='Gastos Gerais'!$D$4:$D$615),-(Analítico!AJ$3&lt;='Gastos Gerais'!$E$4:$E$615),-('Gastos Gerais'!$C$4:$C$615))</f>
        <v>15800</v>
      </c>
      <c r="AK81" s="73">
        <f>SUMPRODUCT(-('Gastos Gerais'!$B$4:$B$615=Analítico!$B81),-(Analítico!AK$3&gt;='Gastos Gerais'!$D$4:$D$615),-(Analítico!AK$3&lt;='Gastos Gerais'!$E$4:$E$615),-('Gastos Gerais'!$C$4:$C$615))</f>
        <v>15800</v>
      </c>
      <c r="AL81" s="73">
        <f>SUMPRODUCT(-('Gastos Gerais'!$B$4:$B$615=Analítico!$B81),-(Analítico!AL$3&gt;='Gastos Gerais'!$D$4:$D$615),-(Analítico!AL$3&lt;='Gastos Gerais'!$E$4:$E$615),-('Gastos Gerais'!$C$4:$C$615))</f>
        <v>15800</v>
      </c>
      <c r="AM81" s="73">
        <f>SUMPRODUCT(-('Gastos Gerais'!$B$4:$B$615=Analítico!$B81),-(Analítico!AM$3&gt;='Gastos Gerais'!$D$4:$D$615),-(Analítico!AM$3&lt;='Gastos Gerais'!$E$4:$E$615),-('Gastos Gerais'!$C$4:$C$615))</f>
        <v>0</v>
      </c>
      <c r="AN81" s="73">
        <f>SUMPRODUCT(-('Gastos Gerais'!$B$4:$B$615=Analítico!$B81),-(Analítico!AN$3&gt;='Gastos Gerais'!$D$4:$D$615),-(Analítico!AN$3&lt;='Gastos Gerais'!$E$4:$E$615),-('Gastos Gerais'!$C$4:$C$615))</f>
        <v>0</v>
      </c>
      <c r="AO81" s="73">
        <f>SUMPRODUCT(-('Gastos Gerais'!$B$4:$B$615=Analítico!$B81),-(Analítico!AO$3&gt;='Gastos Gerais'!$D$4:$D$615),-(Analítico!AO$3&lt;='Gastos Gerais'!$E$4:$E$615),-('Gastos Gerais'!$C$4:$C$615))</f>
        <v>0</v>
      </c>
      <c r="AP81" s="73">
        <f>SUMPRODUCT(-('Gastos Gerais'!$B$4:$B$615=Analítico!$B81),-(Analítico!AP$3&gt;='Gastos Gerais'!$D$4:$D$615),-(Analítico!AP$3&lt;='Gastos Gerais'!$E$4:$E$615),-('Gastos Gerais'!$C$4:$C$615))</f>
        <v>0</v>
      </c>
      <c r="AQ81" s="73">
        <f>SUMPRODUCT(-('Gastos Gerais'!$B$4:$B$615=Analítico!$B81),-(Analítico!AQ$3&gt;='Gastos Gerais'!$D$4:$D$615),-(Analítico!AQ$3&lt;='Gastos Gerais'!$E$4:$E$615),-('Gastos Gerais'!$C$4:$C$615))</f>
        <v>0</v>
      </c>
      <c r="AR81" s="73">
        <f>SUMPRODUCT(-('Gastos Gerais'!$B$4:$B$615=Analítico!$B81),-(Analítico!AR$3&gt;='Gastos Gerais'!$D$4:$D$615),-(Analítico!AR$3&lt;='Gastos Gerais'!$E$4:$E$615),-('Gastos Gerais'!$C$4:$C$615))</f>
        <v>0</v>
      </c>
      <c r="AS81" s="73">
        <f>SUMPRODUCT(-('Gastos Gerais'!$B$4:$B$615=Analítico!$B81),-(Analítico!AS$3&gt;='Gastos Gerais'!$D$4:$D$615),-(Analítico!AS$3&lt;='Gastos Gerais'!$E$4:$E$615),-('Gastos Gerais'!$C$4:$C$615))</f>
        <v>0</v>
      </c>
      <c r="AT81" s="73">
        <f>SUMPRODUCT(-('Gastos Gerais'!$B$4:$B$615=Analítico!$B81),-(Analítico!AT$3&gt;='Gastos Gerais'!$D$4:$D$615),-(Analítico!AT$3&lt;='Gastos Gerais'!$E$4:$E$615),-('Gastos Gerais'!$C$4:$C$615))</f>
        <v>0</v>
      </c>
      <c r="AU81" s="73">
        <f>SUMPRODUCT(-('Gastos Gerais'!$B$4:$B$615=Analítico!$B81),-(Analítico!AU$3&gt;='Gastos Gerais'!$D$4:$D$615),-(Analítico!AU$3&lt;='Gastos Gerais'!$E$4:$E$615),-('Gastos Gerais'!$C$4:$C$615))</f>
        <v>0</v>
      </c>
      <c r="AV81" s="73">
        <f>SUMPRODUCT(-('Gastos Gerais'!$B$4:$B$615=Analítico!$B81),-(Analítico!AV$3&gt;='Gastos Gerais'!$D$4:$D$615),-(Analítico!AV$3&lt;='Gastos Gerais'!$E$4:$E$615),-('Gastos Gerais'!$C$4:$C$615))</f>
        <v>0</v>
      </c>
      <c r="AW81" s="73">
        <f>SUMPRODUCT(-('Gastos Gerais'!$B$4:$B$615=Analítico!$B81),-(Analítico!AW$3&gt;='Gastos Gerais'!$D$4:$D$615),-(Analítico!AW$3&lt;='Gastos Gerais'!$E$4:$E$615),-('Gastos Gerais'!$C$4:$C$615))</f>
        <v>0</v>
      </c>
      <c r="AX81" s="73">
        <f>SUMPRODUCT(-('Gastos Gerais'!$B$4:$B$615=Analítico!$B81),-(Analítico!AX$3&gt;='Gastos Gerais'!$D$4:$D$615),-(Analítico!AX$3&lt;='Gastos Gerais'!$E$4:$E$615),-('Gastos Gerais'!$C$4:$C$615))</f>
        <v>0</v>
      </c>
      <c r="AY81" s="73">
        <f>SUMPRODUCT(-('Gastos Gerais'!$B$4:$B$615=Analítico!$B81),-(Analítico!AY$3&gt;='Gastos Gerais'!$D$4:$D$615),-(Analítico!AY$3&lt;='Gastos Gerais'!$E$4:$E$615),-('Gastos Gerais'!$C$4:$C$615))</f>
        <v>0</v>
      </c>
      <c r="AZ81" s="73">
        <f>SUMPRODUCT(-('Gastos Gerais'!$B$4:$B$615=Analítico!$B81),-(Analítico!AZ$3&gt;='Gastos Gerais'!$D$4:$D$615),-(Analítico!AZ$3&lt;='Gastos Gerais'!$E$4:$E$615),-('Gastos Gerais'!$C$4:$C$615))</f>
        <v>0</v>
      </c>
      <c r="BA81" s="73">
        <f>SUMPRODUCT(-('Gastos Gerais'!$B$4:$B$615=Analítico!$B81),-(Analítico!BA$3&gt;='Gastos Gerais'!$D$4:$D$615),-(Analítico!BA$3&lt;='Gastos Gerais'!$E$4:$E$615),-('Gastos Gerais'!$C$4:$C$615))</f>
        <v>0</v>
      </c>
      <c r="BB81" s="73">
        <f>SUMPRODUCT(-('Gastos Gerais'!$B$4:$B$615=Analítico!$B81),-(Analítico!BB$3&gt;='Gastos Gerais'!$D$4:$D$615),-(Analítico!BB$3&lt;='Gastos Gerais'!$E$4:$E$615),-('Gastos Gerais'!$C$4:$C$615))</f>
        <v>0</v>
      </c>
      <c r="BC81" s="73">
        <f>SUMPRODUCT(-('Gastos Gerais'!$B$4:$B$615=Analítico!$B81),-(Analítico!BC$3&gt;='Gastos Gerais'!$D$4:$D$615),-(Analítico!BC$3&lt;='Gastos Gerais'!$E$4:$E$615),-('Gastos Gerais'!$C$4:$C$615))</f>
        <v>0</v>
      </c>
      <c r="BD81" s="73">
        <f>SUMPRODUCT(-('Gastos Gerais'!$B$4:$B$615=Analítico!$B81),-(Analítico!BD$3&gt;='Gastos Gerais'!$D$4:$D$615),-(Analítico!BD$3&lt;='Gastos Gerais'!$E$4:$E$615),-('Gastos Gerais'!$C$4:$C$615))</f>
        <v>0</v>
      </c>
      <c r="BE81" s="73">
        <f>SUMPRODUCT(-('Gastos Gerais'!$B$4:$B$615=Analítico!$B81),-(Analítico!BE$3&gt;='Gastos Gerais'!$D$4:$D$615),-(Analítico!BE$3&lt;='Gastos Gerais'!$E$4:$E$615),-('Gastos Gerais'!$C$4:$C$615))</f>
        <v>0</v>
      </c>
      <c r="BF81" s="73">
        <f>SUMPRODUCT(-('Gastos Gerais'!$B$4:$B$615=Analítico!$B81),-(Analítico!BF$3&gt;='Gastos Gerais'!$D$4:$D$615),-(Analítico!BF$3&lt;='Gastos Gerais'!$E$4:$E$615),-('Gastos Gerais'!$C$4:$C$615))</f>
        <v>0</v>
      </c>
      <c r="BG81" s="73">
        <f>SUMPRODUCT(-('Gastos Gerais'!$B$4:$B$615=Analítico!$B81),-(Analítico!BG$3&gt;='Gastos Gerais'!$D$4:$D$615),-(Analítico!BG$3&lt;='Gastos Gerais'!$E$4:$E$615),-('Gastos Gerais'!$C$4:$C$615))</f>
        <v>0</v>
      </c>
      <c r="BH81" s="73">
        <f>SUMPRODUCT(-('Gastos Gerais'!$B$4:$B$615=Analítico!$B81),-(Analítico!BH$3&gt;='Gastos Gerais'!$D$4:$D$615),-(Analítico!BH$3&lt;='Gastos Gerais'!$E$4:$E$615),-('Gastos Gerais'!$C$4:$C$615))</f>
        <v>0</v>
      </c>
      <c r="BI81" s="73">
        <f>SUMPRODUCT(-('Gastos Gerais'!$B$4:$B$615=Analítico!$B81),-(Analítico!BI$3&gt;='Gastos Gerais'!$D$4:$D$615),-(Analítico!BI$3&lt;='Gastos Gerais'!$E$4:$E$615),-('Gastos Gerais'!$C$4:$C$615))</f>
        <v>0</v>
      </c>
      <c r="BJ81" s="73">
        <f>SUMPRODUCT(-('Gastos Gerais'!$B$4:$B$615=Analítico!$B81),-(Analítico!BJ$3&gt;='Gastos Gerais'!$D$4:$D$615),-(Analítico!BJ$3&lt;='Gastos Gerais'!$E$4:$E$615),-('Gastos Gerais'!$C$4:$C$615))</f>
        <v>0</v>
      </c>
      <c r="BK81" s="71">
        <f t="shared" si="31"/>
        <v>568800</v>
      </c>
      <c r="BL81" s="76">
        <f t="shared" ca="1" si="32"/>
        <v>1.5514579843819102E-3</v>
      </c>
    </row>
    <row r="82" spans="1:64" s="49" customFormat="1" ht="23.25" customHeight="1" x14ac:dyDescent="0.2">
      <c r="A82" s="109" t="s">
        <v>232</v>
      </c>
      <c r="B82" s="112" t="s">
        <v>233</v>
      </c>
      <c r="C82" s="73">
        <f>SUMPRODUCT(-('Gastos Gerais'!$B$4:$B$615=Analítico!$B82),-(Analítico!C$3&gt;='Gastos Gerais'!$D$4:$D$615),-(Analítico!C$3&lt;='Gastos Gerais'!$E$4:$E$615),-('Gastos Gerais'!$C$4:$C$615))</f>
        <v>0</v>
      </c>
      <c r="D82" s="73">
        <f>SUMPRODUCT(-('Gastos Gerais'!$B$4:$B$615=Analítico!$B82),-(Analítico!D$3&gt;='Gastos Gerais'!$D$4:$D$615),-(Analítico!D$3&lt;='Gastos Gerais'!$E$4:$E$615),-('Gastos Gerais'!$C$4:$C$615))</f>
        <v>0</v>
      </c>
      <c r="E82" s="73">
        <f>SUMPRODUCT(-('Gastos Gerais'!$B$4:$B$615=Analítico!$B82),-(Analítico!E$3&gt;='Gastos Gerais'!$D$4:$D$615),-(Analítico!E$3&lt;='Gastos Gerais'!$E$4:$E$615),-('Gastos Gerais'!$C$4:$C$615))</f>
        <v>0</v>
      </c>
      <c r="F82" s="73">
        <f>SUMPRODUCT(-('Gastos Gerais'!$B$4:$B$615=Analítico!$B82),-(Analítico!F$3&gt;='Gastos Gerais'!$D$4:$D$615),-(Analítico!F$3&lt;='Gastos Gerais'!$E$4:$E$615),-('Gastos Gerais'!$C$4:$C$615))</f>
        <v>0</v>
      </c>
      <c r="G82" s="73">
        <f>SUMPRODUCT(-('Gastos Gerais'!$B$4:$B$615=Analítico!$B82),-(Analítico!G$3&gt;='Gastos Gerais'!$D$4:$D$615),-(Analítico!G$3&lt;='Gastos Gerais'!$E$4:$E$615),-('Gastos Gerais'!$C$4:$C$615))</f>
        <v>0</v>
      </c>
      <c r="H82" s="73">
        <f>SUMPRODUCT(-('Gastos Gerais'!$B$4:$B$615=Analítico!$B82),-(Analítico!H$3&gt;='Gastos Gerais'!$D$4:$D$615),-(Analítico!H$3&lt;='Gastos Gerais'!$E$4:$E$615),-('Gastos Gerais'!$C$4:$C$615))</f>
        <v>0</v>
      </c>
      <c r="I82" s="73">
        <f>SUMPRODUCT(-('Gastos Gerais'!$B$4:$B$615=Analítico!$B82),-(Analítico!I$3&gt;='Gastos Gerais'!$D$4:$D$615),-(Analítico!I$3&lt;='Gastos Gerais'!$E$4:$E$615),-('Gastos Gerais'!$C$4:$C$615))</f>
        <v>0</v>
      </c>
      <c r="J82" s="73">
        <f>SUMPRODUCT(-('Gastos Gerais'!$B$4:$B$615=Analítico!$B82),-(Analítico!J$3&gt;='Gastos Gerais'!$D$4:$D$615),-(Analítico!J$3&lt;='Gastos Gerais'!$E$4:$E$615),-('Gastos Gerais'!$C$4:$C$615))</f>
        <v>0</v>
      </c>
      <c r="K82" s="73">
        <f>SUMPRODUCT(-('Gastos Gerais'!$B$4:$B$615=Analítico!$B82),-(Analítico!K$3&gt;='Gastos Gerais'!$D$4:$D$615),-(Analítico!K$3&lt;='Gastos Gerais'!$E$4:$E$615),-('Gastos Gerais'!$C$4:$C$615))</f>
        <v>0</v>
      </c>
      <c r="L82" s="73">
        <f>SUMPRODUCT(-('Gastos Gerais'!$B$4:$B$615=Analítico!$B82),-(Analítico!L$3&gt;='Gastos Gerais'!$D$4:$D$615),-(Analítico!L$3&lt;='Gastos Gerais'!$E$4:$E$615),-('Gastos Gerais'!$C$4:$C$615))</f>
        <v>0</v>
      </c>
      <c r="M82" s="73">
        <f>SUMPRODUCT(-('Gastos Gerais'!$B$4:$B$615=Analítico!$B82),-(Analítico!M$3&gt;='Gastos Gerais'!$D$4:$D$615),-(Analítico!M$3&lt;='Gastos Gerais'!$E$4:$E$615),-('Gastos Gerais'!$C$4:$C$615))</f>
        <v>0</v>
      </c>
      <c r="N82" s="73">
        <f>SUMPRODUCT(-('Gastos Gerais'!$B$4:$B$615=Analítico!$B82),-(Analítico!N$3&gt;='Gastos Gerais'!$D$4:$D$615),-(Analítico!N$3&lt;='Gastos Gerais'!$E$4:$E$615),-('Gastos Gerais'!$C$4:$C$615))</f>
        <v>0</v>
      </c>
      <c r="O82" s="73">
        <f>SUMPRODUCT(-('Gastos Gerais'!$B$4:$B$615=Analítico!$B82),-(Analítico!O$3&gt;='Gastos Gerais'!$D$4:$D$615),-(Analítico!O$3&lt;='Gastos Gerais'!$E$4:$E$615),-('Gastos Gerais'!$C$4:$C$615))</f>
        <v>0</v>
      </c>
      <c r="P82" s="73">
        <f>SUMPRODUCT(-('Gastos Gerais'!$B$4:$B$615=Analítico!$B82),-(Analítico!P$3&gt;='Gastos Gerais'!$D$4:$D$615),-(Analítico!P$3&lt;='Gastos Gerais'!$E$4:$E$615),-('Gastos Gerais'!$C$4:$C$615))</f>
        <v>0</v>
      </c>
      <c r="Q82" s="73">
        <f>SUMPRODUCT(-('Gastos Gerais'!$B$4:$B$615=Analítico!$B82),-(Analítico!Q$3&gt;='Gastos Gerais'!$D$4:$D$615),-(Analítico!Q$3&lt;='Gastos Gerais'!$E$4:$E$615),-('Gastos Gerais'!$C$4:$C$615))</f>
        <v>0</v>
      </c>
      <c r="R82" s="73">
        <f>SUMPRODUCT(-('Gastos Gerais'!$B$4:$B$615=Analítico!$B82),-(Analítico!R$3&gt;='Gastos Gerais'!$D$4:$D$615),-(Analítico!R$3&lt;='Gastos Gerais'!$E$4:$E$615),-('Gastos Gerais'!$C$4:$C$615))</f>
        <v>0</v>
      </c>
      <c r="S82" s="73">
        <f>SUMPRODUCT(-('Gastos Gerais'!$B$4:$B$615=Analítico!$B82),-(Analítico!S$3&gt;='Gastos Gerais'!$D$4:$D$615),-(Analítico!S$3&lt;='Gastos Gerais'!$E$4:$E$615),-('Gastos Gerais'!$C$4:$C$615))</f>
        <v>0</v>
      </c>
      <c r="T82" s="73">
        <f>SUMPRODUCT(-('Gastos Gerais'!$B$4:$B$615=Analítico!$B82),-(Analítico!T$3&gt;='Gastos Gerais'!$D$4:$D$615),-(Analítico!T$3&lt;='Gastos Gerais'!$E$4:$E$615),-('Gastos Gerais'!$C$4:$C$615))</f>
        <v>0</v>
      </c>
      <c r="U82" s="73">
        <f>SUMPRODUCT(-('Gastos Gerais'!$B$4:$B$615=Analítico!$B82),-(Analítico!U$3&gt;='Gastos Gerais'!$D$4:$D$615),-(Analítico!U$3&lt;='Gastos Gerais'!$E$4:$E$615),-('Gastos Gerais'!$C$4:$C$615))</f>
        <v>0</v>
      </c>
      <c r="V82" s="73">
        <f>SUMPRODUCT(-('Gastos Gerais'!$B$4:$B$615=Analítico!$B82),-(Analítico!V$3&gt;='Gastos Gerais'!$D$4:$D$615),-(Analítico!V$3&lt;='Gastos Gerais'!$E$4:$E$615),-('Gastos Gerais'!$C$4:$C$615))</f>
        <v>0</v>
      </c>
      <c r="W82" s="73">
        <f>SUMPRODUCT(-('Gastos Gerais'!$B$4:$B$615=Analítico!$B82),-(Analítico!W$3&gt;='Gastos Gerais'!$D$4:$D$615),-(Analítico!W$3&lt;='Gastos Gerais'!$E$4:$E$615),-('Gastos Gerais'!$C$4:$C$615))</f>
        <v>0</v>
      </c>
      <c r="X82" s="73">
        <f>SUMPRODUCT(-('Gastos Gerais'!$B$4:$B$615=Analítico!$B82),-(Analítico!X$3&gt;='Gastos Gerais'!$D$4:$D$615),-(Analítico!X$3&lt;='Gastos Gerais'!$E$4:$E$615),-('Gastos Gerais'!$C$4:$C$615))</f>
        <v>0</v>
      </c>
      <c r="Y82" s="73">
        <f>SUMPRODUCT(-('Gastos Gerais'!$B$4:$B$615=Analítico!$B82),-(Analítico!Y$3&gt;='Gastos Gerais'!$D$4:$D$615),-(Analítico!Y$3&lt;='Gastos Gerais'!$E$4:$E$615),-('Gastos Gerais'!$C$4:$C$615))</f>
        <v>0</v>
      </c>
      <c r="Z82" s="73">
        <f>SUMPRODUCT(-('Gastos Gerais'!$B$4:$B$615=Analítico!$B82),-(Analítico!Z$3&gt;='Gastos Gerais'!$D$4:$D$615),-(Analítico!Z$3&lt;='Gastos Gerais'!$E$4:$E$615),-('Gastos Gerais'!$C$4:$C$615))</f>
        <v>0</v>
      </c>
      <c r="AA82" s="73">
        <f>SUMPRODUCT(-('Gastos Gerais'!$B$4:$B$615=Analítico!$B82),-(Analítico!AA$3&gt;='Gastos Gerais'!$D$4:$D$615),-(Analítico!AA$3&lt;='Gastos Gerais'!$E$4:$E$615),-('Gastos Gerais'!$C$4:$C$615))</f>
        <v>0</v>
      </c>
      <c r="AB82" s="73">
        <f>SUMPRODUCT(-('Gastos Gerais'!$B$4:$B$615=Analítico!$B82),-(Analítico!AB$3&gt;='Gastos Gerais'!$D$4:$D$615),-(Analítico!AB$3&lt;='Gastos Gerais'!$E$4:$E$615),-('Gastos Gerais'!$C$4:$C$615))</f>
        <v>0</v>
      </c>
      <c r="AC82" s="73">
        <f>SUMPRODUCT(-('Gastos Gerais'!$B$4:$B$615=Analítico!$B82),-(Analítico!AC$3&gt;='Gastos Gerais'!$D$4:$D$615),-(Analítico!AC$3&lt;='Gastos Gerais'!$E$4:$E$615),-('Gastos Gerais'!$C$4:$C$615))</f>
        <v>0</v>
      </c>
      <c r="AD82" s="73">
        <f>SUMPRODUCT(-('Gastos Gerais'!$B$4:$B$615=Analítico!$B82),-(Analítico!AD$3&gt;='Gastos Gerais'!$D$4:$D$615),-(Analítico!AD$3&lt;='Gastos Gerais'!$E$4:$E$615),-('Gastos Gerais'!$C$4:$C$615))</f>
        <v>0</v>
      </c>
      <c r="AE82" s="73">
        <f>SUMPRODUCT(-('Gastos Gerais'!$B$4:$B$615=Analítico!$B82),-(Analítico!AE$3&gt;='Gastos Gerais'!$D$4:$D$615),-(Analítico!AE$3&lt;='Gastos Gerais'!$E$4:$E$615),-('Gastos Gerais'!$C$4:$C$615))</f>
        <v>0</v>
      </c>
      <c r="AF82" s="73">
        <f>SUMPRODUCT(-('Gastos Gerais'!$B$4:$B$615=Analítico!$B82),-(Analítico!AF$3&gt;='Gastos Gerais'!$D$4:$D$615),-(Analítico!AF$3&lt;='Gastos Gerais'!$E$4:$E$615),-('Gastos Gerais'!$C$4:$C$615))</f>
        <v>0</v>
      </c>
      <c r="AG82" s="73">
        <f>SUMPRODUCT(-('Gastos Gerais'!$B$4:$B$615=Analítico!$B82),-(Analítico!AG$3&gt;='Gastos Gerais'!$D$4:$D$615),-(Analítico!AG$3&lt;='Gastos Gerais'!$E$4:$E$615),-('Gastos Gerais'!$C$4:$C$615))</f>
        <v>0</v>
      </c>
      <c r="AH82" s="73">
        <f>SUMPRODUCT(-('Gastos Gerais'!$B$4:$B$615=Analítico!$B82),-(Analítico!AH$3&gt;='Gastos Gerais'!$D$4:$D$615),-(Analítico!AH$3&lt;='Gastos Gerais'!$E$4:$E$615),-('Gastos Gerais'!$C$4:$C$615))</f>
        <v>0</v>
      </c>
      <c r="AI82" s="73">
        <f>SUMPRODUCT(-('Gastos Gerais'!$B$4:$B$615=Analítico!$B82),-(Analítico!AI$3&gt;='Gastos Gerais'!$D$4:$D$615),-(Analítico!AI$3&lt;='Gastos Gerais'!$E$4:$E$615),-('Gastos Gerais'!$C$4:$C$615))</f>
        <v>0</v>
      </c>
      <c r="AJ82" s="73">
        <f>SUMPRODUCT(-('Gastos Gerais'!$B$4:$B$615=Analítico!$B82),-(Analítico!AJ$3&gt;='Gastos Gerais'!$D$4:$D$615),-(Analítico!AJ$3&lt;='Gastos Gerais'!$E$4:$E$615),-('Gastos Gerais'!$C$4:$C$615))</f>
        <v>0</v>
      </c>
      <c r="AK82" s="73">
        <f>SUMPRODUCT(-('Gastos Gerais'!$B$4:$B$615=Analítico!$B82),-(Analítico!AK$3&gt;='Gastos Gerais'!$D$4:$D$615),-(Analítico!AK$3&lt;='Gastos Gerais'!$E$4:$E$615),-('Gastos Gerais'!$C$4:$C$615))</f>
        <v>0</v>
      </c>
      <c r="AL82" s="73">
        <f>SUMPRODUCT(-('Gastos Gerais'!$B$4:$B$615=Analítico!$B82),-(Analítico!AL$3&gt;='Gastos Gerais'!$D$4:$D$615),-(Analítico!AL$3&lt;='Gastos Gerais'!$E$4:$E$615),-('Gastos Gerais'!$C$4:$C$615))</f>
        <v>0</v>
      </c>
      <c r="AM82" s="73">
        <f>SUMPRODUCT(-('Gastos Gerais'!$B$4:$B$615=Analítico!$B82),-(Analítico!AM$3&gt;='Gastos Gerais'!$D$4:$D$615),-(Analítico!AM$3&lt;='Gastos Gerais'!$E$4:$E$615),-('Gastos Gerais'!$C$4:$C$615))</f>
        <v>0</v>
      </c>
      <c r="AN82" s="73">
        <f>SUMPRODUCT(-('Gastos Gerais'!$B$4:$B$615=Analítico!$B82),-(Analítico!AN$3&gt;='Gastos Gerais'!$D$4:$D$615),-(Analítico!AN$3&lt;='Gastos Gerais'!$E$4:$E$615),-('Gastos Gerais'!$C$4:$C$615))</f>
        <v>0</v>
      </c>
      <c r="AO82" s="73">
        <f>SUMPRODUCT(-('Gastos Gerais'!$B$4:$B$615=Analítico!$B82),-(Analítico!AO$3&gt;='Gastos Gerais'!$D$4:$D$615),-(Analítico!AO$3&lt;='Gastos Gerais'!$E$4:$E$615),-('Gastos Gerais'!$C$4:$C$615))</f>
        <v>0</v>
      </c>
      <c r="AP82" s="73">
        <f>SUMPRODUCT(-('Gastos Gerais'!$B$4:$B$615=Analítico!$B82),-(Analítico!AP$3&gt;='Gastos Gerais'!$D$4:$D$615),-(Analítico!AP$3&lt;='Gastos Gerais'!$E$4:$E$615),-('Gastos Gerais'!$C$4:$C$615))</f>
        <v>0</v>
      </c>
      <c r="AQ82" s="73">
        <f>SUMPRODUCT(-('Gastos Gerais'!$B$4:$B$615=Analítico!$B82),-(Analítico!AQ$3&gt;='Gastos Gerais'!$D$4:$D$615),-(Analítico!AQ$3&lt;='Gastos Gerais'!$E$4:$E$615),-('Gastos Gerais'!$C$4:$C$615))</f>
        <v>0</v>
      </c>
      <c r="AR82" s="73">
        <f>SUMPRODUCT(-('Gastos Gerais'!$B$4:$B$615=Analítico!$B82),-(Analítico!AR$3&gt;='Gastos Gerais'!$D$4:$D$615),-(Analítico!AR$3&lt;='Gastos Gerais'!$E$4:$E$615),-('Gastos Gerais'!$C$4:$C$615))</f>
        <v>0</v>
      </c>
      <c r="AS82" s="73">
        <f>SUMPRODUCT(-('Gastos Gerais'!$B$4:$B$615=Analítico!$B82),-(Analítico!AS$3&gt;='Gastos Gerais'!$D$4:$D$615),-(Analítico!AS$3&lt;='Gastos Gerais'!$E$4:$E$615),-('Gastos Gerais'!$C$4:$C$615))</f>
        <v>0</v>
      </c>
      <c r="AT82" s="73">
        <f>SUMPRODUCT(-('Gastos Gerais'!$B$4:$B$615=Analítico!$B82),-(Analítico!AT$3&gt;='Gastos Gerais'!$D$4:$D$615),-(Analítico!AT$3&lt;='Gastos Gerais'!$E$4:$E$615),-('Gastos Gerais'!$C$4:$C$615))</f>
        <v>0</v>
      </c>
      <c r="AU82" s="73">
        <f>SUMPRODUCT(-('Gastos Gerais'!$B$4:$B$615=Analítico!$B82),-(Analítico!AU$3&gt;='Gastos Gerais'!$D$4:$D$615),-(Analítico!AU$3&lt;='Gastos Gerais'!$E$4:$E$615),-('Gastos Gerais'!$C$4:$C$615))</f>
        <v>0</v>
      </c>
      <c r="AV82" s="73">
        <f>SUMPRODUCT(-('Gastos Gerais'!$B$4:$B$615=Analítico!$B82),-(Analítico!AV$3&gt;='Gastos Gerais'!$D$4:$D$615),-(Analítico!AV$3&lt;='Gastos Gerais'!$E$4:$E$615),-('Gastos Gerais'!$C$4:$C$615))</f>
        <v>0</v>
      </c>
      <c r="AW82" s="73">
        <f>SUMPRODUCT(-('Gastos Gerais'!$B$4:$B$615=Analítico!$B82),-(Analítico!AW$3&gt;='Gastos Gerais'!$D$4:$D$615),-(Analítico!AW$3&lt;='Gastos Gerais'!$E$4:$E$615),-('Gastos Gerais'!$C$4:$C$615))</f>
        <v>0</v>
      </c>
      <c r="AX82" s="73">
        <f>SUMPRODUCT(-('Gastos Gerais'!$B$4:$B$615=Analítico!$B82),-(Analítico!AX$3&gt;='Gastos Gerais'!$D$4:$D$615),-(Analítico!AX$3&lt;='Gastos Gerais'!$E$4:$E$615),-('Gastos Gerais'!$C$4:$C$615))</f>
        <v>0</v>
      </c>
      <c r="AY82" s="73">
        <f>SUMPRODUCT(-('Gastos Gerais'!$B$4:$B$615=Analítico!$B82),-(Analítico!AY$3&gt;='Gastos Gerais'!$D$4:$D$615),-(Analítico!AY$3&lt;='Gastos Gerais'!$E$4:$E$615),-('Gastos Gerais'!$C$4:$C$615))</f>
        <v>0</v>
      </c>
      <c r="AZ82" s="73">
        <f>SUMPRODUCT(-('Gastos Gerais'!$B$4:$B$615=Analítico!$B82),-(Analítico!AZ$3&gt;='Gastos Gerais'!$D$4:$D$615),-(Analítico!AZ$3&lt;='Gastos Gerais'!$E$4:$E$615),-('Gastos Gerais'!$C$4:$C$615))</f>
        <v>0</v>
      </c>
      <c r="BA82" s="73">
        <f>SUMPRODUCT(-('Gastos Gerais'!$B$4:$B$615=Analítico!$B82),-(Analítico!BA$3&gt;='Gastos Gerais'!$D$4:$D$615),-(Analítico!BA$3&lt;='Gastos Gerais'!$E$4:$E$615),-('Gastos Gerais'!$C$4:$C$615))</f>
        <v>0</v>
      </c>
      <c r="BB82" s="73">
        <f>SUMPRODUCT(-('Gastos Gerais'!$B$4:$B$615=Analítico!$B82),-(Analítico!BB$3&gt;='Gastos Gerais'!$D$4:$D$615),-(Analítico!BB$3&lt;='Gastos Gerais'!$E$4:$E$615),-('Gastos Gerais'!$C$4:$C$615))</f>
        <v>0</v>
      </c>
      <c r="BC82" s="73">
        <f>SUMPRODUCT(-('Gastos Gerais'!$B$4:$B$615=Analítico!$B82),-(Analítico!BC$3&gt;='Gastos Gerais'!$D$4:$D$615),-(Analítico!BC$3&lt;='Gastos Gerais'!$E$4:$E$615),-('Gastos Gerais'!$C$4:$C$615))</f>
        <v>0</v>
      </c>
      <c r="BD82" s="73">
        <f>SUMPRODUCT(-('Gastos Gerais'!$B$4:$B$615=Analítico!$B82),-(Analítico!BD$3&gt;='Gastos Gerais'!$D$4:$D$615),-(Analítico!BD$3&lt;='Gastos Gerais'!$E$4:$E$615),-('Gastos Gerais'!$C$4:$C$615))</f>
        <v>0</v>
      </c>
      <c r="BE82" s="73">
        <f>SUMPRODUCT(-('Gastos Gerais'!$B$4:$B$615=Analítico!$B82),-(Analítico!BE$3&gt;='Gastos Gerais'!$D$4:$D$615),-(Analítico!BE$3&lt;='Gastos Gerais'!$E$4:$E$615),-('Gastos Gerais'!$C$4:$C$615))</f>
        <v>0</v>
      </c>
      <c r="BF82" s="73">
        <f>SUMPRODUCT(-('Gastos Gerais'!$B$4:$B$615=Analítico!$B82),-(Analítico!BF$3&gt;='Gastos Gerais'!$D$4:$D$615),-(Analítico!BF$3&lt;='Gastos Gerais'!$E$4:$E$615),-('Gastos Gerais'!$C$4:$C$615))</f>
        <v>0</v>
      </c>
      <c r="BG82" s="73">
        <f>SUMPRODUCT(-('Gastos Gerais'!$B$4:$B$615=Analítico!$B82),-(Analítico!BG$3&gt;='Gastos Gerais'!$D$4:$D$615),-(Analítico!BG$3&lt;='Gastos Gerais'!$E$4:$E$615),-('Gastos Gerais'!$C$4:$C$615))</f>
        <v>0</v>
      </c>
      <c r="BH82" s="73">
        <f>SUMPRODUCT(-('Gastos Gerais'!$B$4:$B$615=Analítico!$B82),-(Analítico!BH$3&gt;='Gastos Gerais'!$D$4:$D$615),-(Analítico!BH$3&lt;='Gastos Gerais'!$E$4:$E$615),-('Gastos Gerais'!$C$4:$C$615))</f>
        <v>0</v>
      </c>
      <c r="BI82" s="73">
        <f>SUMPRODUCT(-('Gastos Gerais'!$B$4:$B$615=Analítico!$B82),-(Analítico!BI$3&gt;='Gastos Gerais'!$D$4:$D$615),-(Analítico!BI$3&lt;='Gastos Gerais'!$E$4:$E$615),-('Gastos Gerais'!$C$4:$C$615))</f>
        <v>0</v>
      </c>
      <c r="BJ82" s="73">
        <f>SUMPRODUCT(-('Gastos Gerais'!$B$4:$B$615=Analítico!$B82),-(Analítico!BJ$3&gt;='Gastos Gerais'!$D$4:$D$615),-(Analítico!BJ$3&lt;='Gastos Gerais'!$E$4:$E$615),-('Gastos Gerais'!$C$4:$C$615))</f>
        <v>0</v>
      </c>
      <c r="BK82" s="71">
        <f t="shared" si="31"/>
        <v>0</v>
      </c>
      <c r="BL82" s="76">
        <f t="shared" ca="1" si="32"/>
        <v>0</v>
      </c>
    </row>
    <row r="83" spans="1:64" s="49" customFormat="1" ht="23.25" customHeight="1" x14ac:dyDescent="0.2">
      <c r="A83" s="109" t="s">
        <v>234</v>
      </c>
      <c r="B83" s="112" t="s">
        <v>235</v>
      </c>
      <c r="C83" s="73">
        <f>SUMPRODUCT(-('Gastos Gerais'!$B$4:$B$615=Analítico!$B83),-(Analítico!C$3&gt;='Gastos Gerais'!$D$4:$D$615),-(Analítico!C$3&lt;='Gastos Gerais'!$E$4:$E$615),-('Gastos Gerais'!$C$4:$C$615))</f>
        <v>228000</v>
      </c>
      <c r="D83" s="73">
        <f>SUMPRODUCT(-('Gastos Gerais'!$B$4:$B$615=Analítico!$B83),-(Analítico!D$3&gt;='Gastos Gerais'!$D$4:$D$615),-(Analítico!D$3&lt;='Gastos Gerais'!$E$4:$E$615),-('Gastos Gerais'!$C$4:$C$615))</f>
        <v>228000</v>
      </c>
      <c r="E83" s="73">
        <f>SUMPRODUCT(-('Gastos Gerais'!$B$4:$B$615=Analítico!$B83),-(Analítico!E$3&gt;='Gastos Gerais'!$D$4:$D$615),-(Analítico!E$3&lt;='Gastos Gerais'!$E$4:$E$615),-('Gastos Gerais'!$C$4:$C$615))</f>
        <v>228000</v>
      </c>
      <c r="F83" s="73">
        <f>SUMPRODUCT(-('Gastos Gerais'!$B$4:$B$615=Analítico!$B83),-(Analítico!F$3&gt;='Gastos Gerais'!$D$4:$D$615),-(Analítico!F$3&lt;='Gastos Gerais'!$E$4:$E$615),-('Gastos Gerais'!$C$4:$C$615))</f>
        <v>228000</v>
      </c>
      <c r="G83" s="73">
        <f>SUMPRODUCT(-('Gastos Gerais'!$B$4:$B$615=Analítico!$B83),-(Analítico!G$3&gt;='Gastos Gerais'!$D$4:$D$615),-(Analítico!G$3&lt;='Gastos Gerais'!$E$4:$E$615),-('Gastos Gerais'!$C$4:$C$615))</f>
        <v>228000</v>
      </c>
      <c r="H83" s="73">
        <f>SUMPRODUCT(-('Gastos Gerais'!$B$4:$B$615=Analítico!$B83),-(Analítico!H$3&gt;='Gastos Gerais'!$D$4:$D$615),-(Analítico!H$3&lt;='Gastos Gerais'!$E$4:$E$615),-('Gastos Gerais'!$C$4:$C$615))</f>
        <v>228000</v>
      </c>
      <c r="I83" s="73">
        <f>SUMPRODUCT(-('Gastos Gerais'!$B$4:$B$615=Analítico!$B83),-(Analítico!I$3&gt;='Gastos Gerais'!$D$4:$D$615),-(Analítico!I$3&lt;='Gastos Gerais'!$E$4:$E$615),-('Gastos Gerais'!$C$4:$C$615))</f>
        <v>228000</v>
      </c>
      <c r="J83" s="73">
        <f>SUMPRODUCT(-('Gastos Gerais'!$B$4:$B$615=Analítico!$B83),-(Analítico!J$3&gt;='Gastos Gerais'!$D$4:$D$615),-(Analítico!J$3&lt;='Gastos Gerais'!$E$4:$E$615),-('Gastos Gerais'!$C$4:$C$615))</f>
        <v>228000</v>
      </c>
      <c r="K83" s="73">
        <f>SUMPRODUCT(-('Gastos Gerais'!$B$4:$B$615=Analítico!$B83),-(Analítico!K$3&gt;='Gastos Gerais'!$D$4:$D$615),-(Analítico!K$3&lt;='Gastos Gerais'!$E$4:$E$615),-('Gastos Gerais'!$C$4:$C$615))</f>
        <v>228000</v>
      </c>
      <c r="L83" s="73">
        <f>SUMPRODUCT(-('Gastos Gerais'!$B$4:$B$615=Analítico!$B83),-(Analítico!L$3&gt;='Gastos Gerais'!$D$4:$D$615),-(Analítico!L$3&lt;='Gastos Gerais'!$E$4:$E$615),-('Gastos Gerais'!$C$4:$C$615))</f>
        <v>228000</v>
      </c>
      <c r="M83" s="73">
        <f>SUMPRODUCT(-('Gastos Gerais'!$B$4:$B$615=Analítico!$B83),-(Analítico!M$3&gt;='Gastos Gerais'!$D$4:$D$615),-(Analítico!M$3&lt;='Gastos Gerais'!$E$4:$E$615),-('Gastos Gerais'!$C$4:$C$615))</f>
        <v>228000</v>
      </c>
      <c r="N83" s="73">
        <f>SUMPRODUCT(-('Gastos Gerais'!$B$4:$B$615=Analítico!$B83),-(Analítico!N$3&gt;='Gastos Gerais'!$D$4:$D$615),-(Analítico!N$3&lt;='Gastos Gerais'!$E$4:$E$615),-('Gastos Gerais'!$C$4:$C$615))</f>
        <v>228000</v>
      </c>
      <c r="O83" s="73">
        <f>SUMPRODUCT(-('Gastos Gerais'!$B$4:$B$615=Analítico!$B83),-(Analítico!O$3&gt;='Gastos Gerais'!$D$4:$D$615),-(Analítico!O$3&lt;='Gastos Gerais'!$E$4:$E$615),-('Gastos Gerais'!$C$4:$C$615))</f>
        <v>228000</v>
      </c>
      <c r="P83" s="73">
        <f>SUMPRODUCT(-('Gastos Gerais'!$B$4:$B$615=Analítico!$B83),-(Analítico!P$3&gt;='Gastos Gerais'!$D$4:$D$615),-(Analítico!P$3&lt;='Gastos Gerais'!$E$4:$E$615),-('Gastos Gerais'!$C$4:$C$615))</f>
        <v>228000</v>
      </c>
      <c r="Q83" s="73">
        <f>SUMPRODUCT(-('Gastos Gerais'!$B$4:$B$615=Analítico!$B83),-(Analítico!Q$3&gt;='Gastos Gerais'!$D$4:$D$615),-(Analítico!Q$3&lt;='Gastos Gerais'!$E$4:$E$615),-('Gastos Gerais'!$C$4:$C$615))</f>
        <v>228000</v>
      </c>
      <c r="R83" s="73">
        <f>SUMPRODUCT(-('Gastos Gerais'!$B$4:$B$615=Analítico!$B83),-(Analítico!R$3&gt;='Gastos Gerais'!$D$4:$D$615),-(Analítico!R$3&lt;='Gastos Gerais'!$E$4:$E$615),-('Gastos Gerais'!$C$4:$C$615))</f>
        <v>228000</v>
      </c>
      <c r="S83" s="73">
        <f>SUMPRODUCT(-('Gastos Gerais'!$B$4:$B$615=Analítico!$B83),-(Analítico!S$3&gt;='Gastos Gerais'!$D$4:$D$615),-(Analítico!S$3&lt;='Gastos Gerais'!$E$4:$E$615),-('Gastos Gerais'!$C$4:$C$615))</f>
        <v>228000</v>
      </c>
      <c r="T83" s="73">
        <f>SUMPRODUCT(-('Gastos Gerais'!$B$4:$B$615=Analítico!$B83),-(Analítico!T$3&gt;='Gastos Gerais'!$D$4:$D$615),-(Analítico!T$3&lt;='Gastos Gerais'!$E$4:$E$615),-('Gastos Gerais'!$C$4:$C$615))</f>
        <v>228000</v>
      </c>
      <c r="U83" s="73">
        <f>SUMPRODUCT(-('Gastos Gerais'!$B$4:$B$615=Analítico!$B83),-(Analítico!U$3&gt;='Gastos Gerais'!$D$4:$D$615),-(Analítico!U$3&lt;='Gastos Gerais'!$E$4:$E$615),-('Gastos Gerais'!$C$4:$C$615))</f>
        <v>228000</v>
      </c>
      <c r="V83" s="73">
        <f>SUMPRODUCT(-('Gastos Gerais'!$B$4:$B$615=Analítico!$B83),-(Analítico!V$3&gt;='Gastos Gerais'!$D$4:$D$615),-(Analítico!V$3&lt;='Gastos Gerais'!$E$4:$E$615),-('Gastos Gerais'!$C$4:$C$615))</f>
        <v>228000</v>
      </c>
      <c r="W83" s="73">
        <f>SUMPRODUCT(-('Gastos Gerais'!$B$4:$B$615=Analítico!$B83),-(Analítico!W$3&gt;='Gastos Gerais'!$D$4:$D$615),-(Analítico!W$3&lt;='Gastos Gerais'!$E$4:$E$615),-('Gastos Gerais'!$C$4:$C$615))</f>
        <v>228000</v>
      </c>
      <c r="X83" s="73">
        <f>SUMPRODUCT(-('Gastos Gerais'!$B$4:$B$615=Analítico!$B83),-(Analítico!X$3&gt;='Gastos Gerais'!$D$4:$D$615),-(Analítico!X$3&lt;='Gastos Gerais'!$E$4:$E$615),-('Gastos Gerais'!$C$4:$C$615))</f>
        <v>228000</v>
      </c>
      <c r="Y83" s="73">
        <f>SUMPRODUCT(-('Gastos Gerais'!$B$4:$B$615=Analítico!$B83),-(Analítico!Y$3&gt;='Gastos Gerais'!$D$4:$D$615),-(Analítico!Y$3&lt;='Gastos Gerais'!$E$4:$E$615),-('Gastos Gerais'!$C$4:$C$615))</f>
        <v>228000</v>
      </c>
      <c r="Z83" s="73">
        <f>SUMPRODUCT(-('Gastos Gerais'!$B$4:$B$615=Analítico!$B83),-(Analítico!Z$3&gt;='Gastos Gerais'!$D$4:$D$615),-(Analítico!Z$3&lt;='Gastos Gerais'!$E$4:$E$615),-('Gastos Gerais'!$C$4:$C$615))</f>
        <v>228000</v>
      </c>
      <c r="AA83" s="73">
        <f>SUMPRODUCT(-('Gastos Gerais'!$B$4:$B$615=Analítico!$B83),-(Analítico!AA$3&gt;='Gastos Gerais'!$D$4:$D$615),-(Analítico!AA$3&lt;='Gastos Gerais'!$E$4:$E$615),-('Gastos Gerais'!$C$4:$C$615))</f>
        <v>228000</v>
      </c>
      <c r="AB83" s="73">
        <f>SUMPRODUCT(-('Gastos Gerais'!$B$4:$B$615=Analítico!$B83),-(Analítico!AB$3&gt;='Gastos Gerais'!$D$4:$D$615),-(Analítico!AB$3&lt;='Gastos Gerais'!$E$4:$E$615),-('Gastos Gerais'!$C$4:$C$615))</f>
        <v>228000</v>
      </c>
      <c r="AC83" s="73">
        <f>SUMPRODUCT(-('Gastos Gerais'!$B$4:$B$615=Analítico!$B83),-(Analítico!AC$3&gt;='Gastos Gerais'!$D$4:$D$615),-(Analítico!AC$3&lt;='Gastos Gerais'!$E$4:$E$615),-('Gastos Gerais'!$C$4:$C$615))</f>
        <v>228000</v>
      </c>
      <c r="AD83" s="73">
        <f>SUMPRODUCT(-('Gastos Gerais'!$B$4:$B$615=Analítico!$B83),-(Analítico!AD$3&gt;='Gastos Gerais'!$D$4:$D$615),-(Analítico!AD$3&lt;='Gastos Gerais'!$E$4:$E$615),-('Gastos Gerais'!$C$4:$C$615))</f>
        <v>228000</v>
      </c>
      <c r="AE83" s="73">
        <f>SUMPRODUCT(-('Gastos Gerais'!$B$4:$B$615=Analítico!$B83),-(Analítico!AE$3&gt;='Gastos Gerais'!$D$4:$D$615),-(Analítico!AE$3&lt;='Gastos Gerais'!$E$4:$E$615),-('Gastos Gerais'!$C$4:$C$615))</f>
        <v>228000</v>
      </c>
      <c r="AF83" s="73">
        <f>SUMPRODUCT(-('Gastos Gerais'!$B$4:$B$615=Analítico!$B83),-(Analítico!AF$3&gt;='Gastos Gerais'!$D$4:$D$615),-(Analítico!AF$3&lt;='Gastos Gerais'!$E$4:$E$615),-('Gastos Gerais'!$C$4:$C$615))</f>
        <v>228000</v>
      </c>
      <c r="AG83" s="73">
        <f>SUMPRODUCT(-('Gastos Gerais'!$B$4:$B$615=Analítico!$B83),-(Analítico!AG$3&gt;='Gastos Gerais'!$D$4:$D$615),-(Analítico!AG$3&lt;='Gastos Gerais'!$E$4:$E$615),-('Gastos Gerais'!$C$4:$C$615))</f>
        <v>228000</v>
      </c>
      <c r="AH83" s="73">
        <f>SUMPRODUCT(-('Gastos Gerais'!$B$4:$B$615=Analítico!$B83),-(Analítico!AH$3&gt;='Gastos Gerais'!$D$4:$D$615),-(Analítico!AH$3&lt;='Gastos Gerais'!$E$4:$E$615),-('Gastos Gerais'!$C$4:$C$615))</f>
        <v>228000</v>
      </c>
      <c r="AI83" s="73">
        <f>SUMPRODUCT(-('Gastos Gerais'!$B$4:$B$615=Analítico!$B83),-(Analítico!AI$3&gt;='Gastos Gerais'!$D$4:$D$615),-(Analítico!AI$3&lt;='Gastos Gerais'!$E$4:$E$615),-('Gastos Gerais'!$C$4:$C$615))</f>
        <v>228000</v>
      </c>
      <c r="AJ83" s="73">
        <f>SUMPRODUCT(-('Gastos Gerais'!$B$4:$B$615=Analítico!$B83),-(Analítico!AJ$3&gt;='Gastos Gerais'!$D$4:$D$615),-(Analítico!AJ$3&lt;='Gastos Gerais'!$E$4:$E$615),-('Gastos Gerais'!$C$4:$C$615))</f>
        <v>228000</v>
      </c>
      <c r="AK83" s="73">
        <f>SUMPRODUCT(-('Gastos Gerais'!$B$4:$B$615=Analítico!$B83),-(Analítico!AK$3&gt;='Gastos Gerais'!$D$4:$D$615),-(Analítico!AK$3&lt;='Gastos Gerais'!$E$4:$E$615),-('Gastos Gerais'!$C$4:$C$615))</f>
        <v>228000</v>
      </c>
      <c r="AL83" s="73">
        <f>SUMPRODUCT(-('Gastos Gerais'!$B$4:$B$615=Analítico!$B83),-(Analítico!AL$3&gt;='Gastos Gerais'!$D$4:$D$615),-(Analítico!AL$3&lt;='Gastos Gerais'!$E$4:$E$615),-('Gastos Gerais'!$C$4:$C$615))</f>
        <v>228000</v>
      </c>
      <c r="AM83" s="73">
        <f>SUMPRODUCT(-('Gastos Gerais'!$B$4:$B$615=Analítico!$B83),-(Analítico!AM$3&gt;='Gastos Gerais'!$D$4:$D$615),-(Analítico!AM$3&lt;='Gastos Gerais'!$E$4:$E$615),-('Gastos Gerais'!$C$4:$C$615))</f>
        <v>0</v>
      </c>
      <c r="AN83" s="73">
        <f>SUMPRODUCT(-('Gastos Gerais'!$B$4:$B$615=Analítico!$B83),-(Analítico!AN$3&gt;='Gastos Gerais'!$D$4:$D$615),-(Analítico!AN$3&lt;='Gastos Gerais'!$E$4:$E$615),-('Gastos Gerais'!$C$4:$C$615))</f>
        <v>0</v>
      </c>
      <c r="AO83" s="73">
        <f>SUMPRODUCT(-('Gastos Gerais'!$B$4:$B$615=Analítico!$B83),-(Analítico!AO$3&gt;='Gastos Gerais'!$D$4:$D$615),-(Analítico!AO$3&lt;='Gastos Gerais'!$E$4:$E$615),-('Gastos Gerais'!$C$4:$C$615))</f>
        <v>0</v>
      </c>
      <c r="AP83" s="73">
        <f>SUMPRODUCT(-('Gastos Gerais'!$B$4:$B$615=Analítico!$B83),-(Analítico!AP$3&gt;='Gastos Gerais'!$D$4:$D$615),-(Analítico!AP$3&lt;='Gastos Gerais'!$E$4:$E$615),-('Gastos Gerais'!$C$4:$C$615))</f>
        <v>0</v>
      </c>
      <c r="AQ83" s="73">
        <f>SUMPRODUCT(-('Gastos Gerais'!$B$4:$B$615=Analítico!$B83),-(Analítico!AQ$3&gt;='Gastos Gerais'!$D$4:$D$615),-(Analítico!AQ$3&lt;='Gastos Gerais'!$E$4:$E$615),-('Gastos Gerais'!$C$4:$C$615))</f>
        <v>0</v>
      </c>
      <c r="AR83" s="73">
        <f>SUMPRODUCT(-('Gastos Gerais'!$B$4:$B$615=Analítico!$B83),-(Analítico!AR$3&gt;='Gastos Gerais'!$D$4:$D$615),-(Analítico!AR$3&lt;='Gastos Gerais'!$E$4:$E$615),-('Gastos Gerais'!$C$4:$C$615))</f>
        <v>0</v>
      </c>
      <c r="AS83" s="73">
        <f>SUMPRODUCT(-('Gastos Gerais'!$B$4:$B$615=Analítico!$B83),-(Analítico!AS$3&gt;='Gastos Gerais'!$D$4:$D$615),-(Analítico!AS$3&lt;='Gastos Gerais'!$E$4:$E$615),-('Gastos Gerais'!$C$4:$C$615))</f>
        <v>0</v>
      </c>
      <c r="AT83" s="73">
        <f>SUMPRODUCT(-('Gastos Gerais'!$B$4:$B$615=Analítico!$B83),-(Analítico!AT$3&gt;='Gastos Gerais'!$D$4:$D$615),-(Analítico!AT$3&lt;='Gastos Gerais'!$E$4:$E$615),-('Gastos Gerais'!$C$4:$C$615))</f>
        <v>0</v>
      </c>
      <c r="AU83" s="73">
        <f>SUMPRODUCT(-('Gastos Gerais'!$B$4:$B$615=Analítico!$B83),-(Analítico!AU$3&gt;='Gastos Gerais'!$D$4:$D$615),-(Analítico!AU$3&lt;='Gastos Gerais'!$E$4:$E$615),-('Gastos Gerais'!$C$4:$C$615))</f>
        <v>0</v>
      </c>
      <c r="AV83" s="73">
        <f>SUMPRODUCT(-('Gastos Gerais'!$B$4:$B$615=Analítico!$B83),-(Analítico!AV$3&gt;='Gastos Gerais'!$D$4:$D$615),-(Analítico!AV$3&lt;='Gastos Gerais'!$E$4:$E$615),-('Gastos Gerais'!$C$4:$C$615))</f>
        <v>0</v>
      </c>
      <c r="AW83" s="73">
        <f>SUMPRODUCT(-('Gastos Gerais'!$B$4:$B$615=Analítico!$B83),-(Analítico!AW$3&gt;='Gastos Gerais'!$D$4:$D$615),-(Analítico!AW$3&lt;='Gastos Gerais'!$E$4:$E$615),-('Gastos Gerais'!$C$4:$C$615))</f>
        <v>0</v>
      </c>
      <c r="AX83" s="73">
        <f>SUMPRODUCT(-('Gastos Gerais'!$B$4:$B$615=Analítico!$B83),-(Analítico!AX$3&gt;='Gastos Gerais'!$D$4:$D$615),-(Analítico!AX$3&lt;='Gastos Gerais'!$E$4:$E$615),-('Gastos Gerais'!$C$4:$C$615))</f>
        <v>0</v>
      </c>
      <c r="AY83" s="73">
        <f>SUMPRODUCT(-('Gastos Gerais'!$B$4:$B$615=Analítico!$B83),-(Analítico!AY$3&gt;='Gastos Gerais'!$D$4:$D$615),-(Analítico!AY$3&lt;='Gastos Gerais'!$E$4:$E$615),-('Gastos Gerais'!$C$4:$C$615))</f>
        <v>0</v>
      </c>
      <c r="AZ83" s="73">
        <f>SUMPRODUCT(-('Gastos Gerais'!$B$4:$B$615=Analítico!$B83),-(Analítico!AZ$3&gt;='Gastos Gerais'!$D$4:$D$615),-(Analítico!AZ$3&lt;='Gastos Gerais'!$E$4:$E$615),-('Gastos Gerais'!$C$4:$C$615))</f>
        <v>0</v>
      </c>
      <c r="BA83" s="73">
        <f>SUMPRODUCT(-('Gastos Gerais'!$B$4:$B$615=Analítico!$B83),-(Analítico!BA$3&gt;='Gastos Gerais'!$D$4:$D$615),-(Analítico!BA$3&lt;='Gastos Gerais'!$E$4:$E$615),-('Gastos Gerais'!$C$4:$C$615))</f>
        <v>0</v>
      </c>
      <c r="BB83" s="73">
        <f>SUMPRODUCT(-('Gastos Gerais'!$B$4:$B$615=Analítico!$B83),-(Analítico!BB$3&gt;='Gastos Gerais'!$D$4:$D$615),-(Analítico!BB$3&lt;='Gastos Gerais'!$E$4:$E$615),-('Gastos Gerais'!$C$4:$C$615))</f>
        <v>0</v>
      </c>
      <c r="BC83" s="73">
        <f>SUMPRODUCT(-('Gastos Gerais'!$B$4:$B$615=Analítico!$B83),-(Analítico!BC$3&gt;='Gastos Gerais'!$D$4:$D$615),-(Analítico!BC$3&lt;='Gastos Gerais'!$E$4:$E$615),-('Gastos Gerais'!$C$4:$C$615))</f>
        <v>0</v>
      </c>
      <c r="BD83" s="73">
        <f>SUMPRODUCT(-('Gastos Gerais'!$B$4:$B$615=Analítico!$B83),-(Analítico!BD$3&gt;='Gastos Gerais'!$D$4:$D$615),-(Analítico!BD$3&lt;='Gastos Gerais'!$E$4:$E$615),-('Gastos Gerais'!$C$4:$C$615))</f>
        <v>0</v>
      </c>
      <c r="BE83" s="73">
        <f>SUMPRODUCT(-('Gastos Gerais'!$B$4:$B$615=Analítico!$B83),-(Analítico!BE$3&gt;='Gastos Gerais'!$D$4:$D$615),-(Analítico!BE$3&lt;='Gastos Gerais'!$E$4:$E$615),-('Gastos Gerais'!$C$4:$C$615))</f>
        <v>0</v>
      </c>
      <c r="BF83" s="73">
        <f>SUMPRODUCT(-('Gastos Gerais'!$B$4:$B$615=Analítico!$B83),-(Analítico!BF$3&gt;='Gastos Gerais'!$D$4:$D$615),-(Analítico!BF$3&lt;='Gastos Gerais'!$E$4:$E$615),-('Gastos Gerais'!$C$4:$C$615))</f>
        <v>0</v>
      </c>
      <c r="BG83" s="73">
        <f>SUMPRODUCT(-('Gastos Gerais'!$B$4:$B$615=Analítico!$B83),-(Analítico!BG$3&gt;='Gastos Gerais'!$D$4:$D$615),-(Analítico!BG$3&lt;='Gastos Gerais'!$E$4:$E$615),-('Gastos Gerais'!$C$4:$C$615))</f>
        <v>0</v>
      </c>
      <c r="BH83" s="73">
        <f>SUMPRODUCT(-('Gastos Gerais'!$B$4:$B$615=Analítico!$B83),-(Analítico!BH$3&gt;='Gastos Gerais'!$D$4:$D$615),-(Analítico!BH$3&lt;='Gastos Gerais'!$E$4:$E$615),-('Gastos Gerais'!$C$4:$C$615))</f>
        <v>0</v>
      </c>
      <c r="BI83" s="73">
        <f>SUMPRODUCT(-('Gastos Gerais'!$B$4:$B$615=Analítico!$B83),-(Analítico!BI$3&gt;='Gastos Gerais'!$D$4:$D$615),-(Analítico!BI$3&lt;='Gastos Gerais'!$E$4:$E$615),-('Gastos Gerais'!$C$4:$C$615))</f>
        <v>0</v>
      </c>
      <c r="BJ83" s="73">
        <f>SUMPRODUCT(-('Gastos Gerais'!$B$4:$B$615=Analítico!$B83),-(Analítico!BJ$3&gt;='Gastos Gerais'!$D$4:$D$615),-(Analítico!BJ$3&lt;='Gastos Gerais'!$E$4:$E$615),-('Gastos Gerais'!$C$4:$C$615))</f>
        <v>0</v>
      </c>
      <c r="BK83" s="71">
        <f t="shared" si="31"/>
        <v>8208000</v>
      </c>
      <c r="BL83" s="76">
        <f t="shared" ca="1" si="32"/>
        <v>2.2388127875890857E-2</v>
      </c>
    </row>
    <row r="84" spans="1:64" s="49" customFormat="1" ht="23.25" customHeight="1" x14ac:dyDescent="0.2">
      <c r="A84" s="109" t="s">
        <v>236</v>
      </c>
      <c r="B84" s="112" t="s">
        <v>237</v>
      </c>
      <c r="C84" s="73">
        <f>SUMPRODUCT(-('Gastos Gerais'!$B$4:$B$615=Analítico!$B84),-(Analítico!C$3&gt;='Gastos Gerais'!$D$4:$D$615),-(Analítico!C$3&lt;='Gastos Gerais'!$E$4:$E$615),-('Gastos Gerais'!$C$4:$C$615))</f>
        <v>61000</v>
      </c>
      <c r="D84" s="73">
        <f>SUMPRODUCT(-('Gastos Gerais'!$B$4:$B$615=Analítico!$B84),-(Analítico!D$3&gt;='Gastos Gerais'!$D$4:$D$615),-(Analítico!D$3&lt;='Gastos Gerais'!$E$4:$E$615),-('Gastos Gerais'!$C$4:$C$615))</f>
        <v>61000</v>
      </c>
      <c r="E84" s="73">
        <f>SUMPRODUCT(-('Gastos Gerais'!$B$4:$B$615=Analítico!$B84),-(Analítico!E$3&gt;='Gastos Gerais'!$D$4:$D$615),-(Analítico!E$3&lt;='Gastos Gerais'!$E$4:$E$615),-('Gastos Gerais'!$C$4:$C$615))</f>
        <v>61000</v>
      </c>
      <c r="F84" s="73">
        <f>SUMPRODUCT(-('Gastos Gerais'!$B$4:$B$615=Analítico!$B84),-(Analítico!F$3&gt;='Gastos Gerais'!$D$4:$D$615),-(Analítico!F$3&lt;='Gastos Gerais'!$E$4:$E$615),-('Gastos Gerais'!$C$4:$C$615))</f>
        <v>61000</v>
      </c>
      <c r="G84" s="73">
        <f>SUMPRODUCT(-('Gastos Gerais'!$B$4:$B$615=Analítico!$B84),-(Analítico!G$3&gt;='Gastos Gerais'!$D$4:$D$615),-(Analítico!G$3&lt;='Gastos Gerais'!$E$4:$E$615),-('Gastos Gerais'!$C$4:$C$615))</f>
        <v>61000</v>
      </c>
      <c r="H84" s="73">
        <f>SUMPRODUCT(-('Gastos Gerais'!$B$4:$B$615=Analítico!$B84),-(Analítico!H$3&gt;='Gastos Gerais'!$D$4:$D$615),-(Analítico!H$3&lt;='Gastos Gerais'!$E$4:$E$615),-('Gastos Gerais'!$C$4:$C$615))</f>
        <v>61000</v>
      </c>
      <c r="I84" s="73">
        <f>SUMPRODUCT(-('Gastos Gerais'!$B$4:$B$615=Analítico!$B84),-(Analítico!I$3&gt;='Gastos Gerais'!$D$4:$D$615),-(Analítico!I$3&lt;='Gastos Gerais'!$E$4:$E$615),-('Gastos Gerais'!$C$4:$C$615))</f>
        <v>61000</v>
      </c>
      <c r="J84" s="73">
        <f>SUMPRODUCT(-('Gastos Gerais'!$B$4:$B$615=Analítico!$B84),-(Analítico!J$3&gt;='Gastos Gerais'!$D$4:$D$615),-(Analítico!J$3&lt;='Gastos Gerais'!$E$4:$E$615),-('Gastos Gerais'!$C$4:$C$615))</f>
        <v>61000</v>
      </c>
      <c r="K84" s="73">
        <f>SUMPRODUCT(-('Gastos Gerais'!$B$4:$B$615=Analítico!$B84),-(Analítico!K$3&gt;='Gastos Gerais'!$D$4:$D$615),-(Analítico!K$3&lt;='Gastos Gerais'!$E$4:$E$615),-('Gastos Gerais'!$C$4:$C$615))</f>
        <v>61000</v>
      </c>
      <c r="L84" s="73">
        <f>SUMPRODUCT(-('Gastos Gerais'!$B$4:$B$615=Analítico!$B84),-(Analítico!L$3&gt;='Gastos Gerais'!$D$4:$D$615),-(Analítico!L$3&lt;='Gastos Gerais'!$E$4:$E$615),-('Gastos Gerais'!$C$4:$C$615))</f>
        <v>61000</v>
      </c>
      <c r="M84" s="73">
        <f>SUMPRODUCT(-('Gastos Gerais'!$B$4:$B$615=Analítico!$B84),-(Analítico!M$3&gt;='Gastos Gerais'!$D$4:$D$615),-(Analítico!M$3&lt;='Gastos Gerais'!$E$4:$E$615),-('Gastos Gerais'!$C$4:$C$615))</f>
        <v>61000</v>
      </c>
      <c r="N84" s="73">
        <f>SUMPRODUCT(-('Gastos Gerais'!$B$4:$B$615=Analítico!$B84),-(Analítico!N$3&gt;='Gastos Gerais'!$D$4:$D$615),-(Analítico!N$3&lt;='Gastos Gerais'!$E$4:$E$615),-('Gastos Gerais'!$C$4:$C$615))</f>
        <v>61000</v>
      </c>
      <c r="O84" s="73">
        <f>SUMPRODUCT(-('Gastos Gerais'!$B$4:$B$615=Analítico!$B84),-(Analítico!O$3&gt;='Gastos Gerais'!$D$4:$D$615),-(Analítico!O$3&lt;='Gastos Gerais'!$E$4:$E$615),-('Gastos Gerais'!$C$4:$C$615))</f>
        <v>61000</v>
      </c>
      <c r="P84" s="73">
        <f>SUMPRODUCT(-('Gastos Gerais'!$B$4:$B$615=Analítico!$B84),-(Analítico!P$3&gt;='Gastos Gerais'!$D$4:$D$615),-(Analítico!P$3&lt;='Gastos Gerais'!$E$4:$E$615),-('Gastos Gerais'!$C$4:$C$615))</f>
        <v>61000</v>
      </c>
      <c r="Q84" s="73">
        <f>SUMPRODUCT(-('Gastos Gerais'!$B$4:$B$615=Analítico!$B84),-(Analítico!Q$3&gt;='Gastos Gerais'!$D$4:$D$615),-(Analítico!Q$3&lt;='Gastos Gerais'!$E$4:$E$615),-('Gastos Gerais'!$C$4:$C$615))</f>
        <v>61000</v>
      </c>
      <c r="R84" s="73">
        <f>SUMPRODUCT(-('Gastos Gerais'!$B$4:$B$615=Analítico!$B84),-(Analítico!R$3&gt;='Gastos Gerais'!$D$4:$D$615),-(Analítico!R$3&lt;='Gastos Gerais'!$E$4:$E$615),-('Gastos Gerais'!$C$4:$C$615))</f>
        <v>61000</v>
      </c>
      <c r="S84" s="73">
        <f>SUMPRODUCT(-('Gastos Gerais'!$B$4:$B$615=Analítico!$B84),-(Analítico!S$3&gt;='Gastos Gerais'!$D$4:$D$615),-(Analítico!S$3&lt;='Gastos Gerais'!$E$4:$E$615),-('Gastos Gerais'!$C$4:$C$615))</f>
        <v>61000</v>
      </c>
      <c r="T84" s="73">
        <f>SUMPRODUCT(-('Gastos Gerais'!$B$4:$B$615=Analítico!$B84),-(Analítico!T$3&gt;='Gastos Gerais'!$D$4:$D$615),-(Analítico!T$3&lt;='Gastos Gerais'!$E$4:$E$615),-('Gastos Gerais'!$C$4:$C$615))</f>
        <v>61000</v>
      </c>
      <c r="U84" s="73">
        <f>SUMPRODUCT(-('Gastos Gerais'!$B$4:$B$615=Analítico!$B84),-(Analítico!U$3&gt;='Gastos Gerais'!$D$4:$D$615),-(Analítico!U$3&lt;='Gastos Gerais'!$E$4:$E$615),-('Gastos Gerais'!$C$4:$C$615))</f>
        <v>61000</v>
      </c>
      <c r="V84" s="73">
        <f>SUMPRODUCT(-('Gastos Gerais'!$B$4:$B$615=Analítico!$B84),-(Analítico!V$3&gt;='Gastos Gerais'!$D$4:$D$615),-(Analítico!V$3&lt;='Gastos Gerais'!$E$4:$E$615),-('Gastos Gerais'!$C$4:$C$615))</f>
        <v>61000</v>
      </c>
      <c r="W84" s="73">
        <f>SUMPRODUCT(-('Gastos Gerais'!$B$4:$B$615=Analítico!$B84),-(Analítico!W$3&gt;='Gastos Gerais'!$D$4:$D$615),-(Analítico!W$3&lt;='Gastos Gerais'!$E$4:$E$615),-('Gastos Gerais'!$C$4:$C$615))</f>
        <v>61000</v>
      </c>
      <c r="X84" s="73">
        <f>SUMPRODUCT(-('Gastos Gerais'!$B$4:$B$615=Analítico!$B84),-(Analítico!X$3&gt;='Gastos Gerais'!$D$4:$D$615),-(Analítico!X$3&lt;='Gastos Gerais'!$E$4:$E$615),-('Gastos Gerais'!$C$4:$C$615))</f>
        <v>61000</v>
      </c>
      <c r="Y84" s="73">
        <f>SUMPRODUCT(-('Gastos Gerais'!$B$4:$B$615=Analítico!$B84),-(Analítico!Y$3&gt;='Gastos Gerais'!$D$4:$D$615),-(Analítico!Y$3&lt;='Gastos Gerais'!$E$4:$E$615),-('Gastos Gerais'!$C$4:$C$615))</f>
        <v>61000</v>
      </c>
      <c r="Z84" s="73">
        <f>SUMPRODUCT(-('Gastos Gerais'!$B$4:$B$615=Analítico!$B84),-(Analítico!Z$3&gt;='Gastos Gerais'!$D$4:$D$615),-(Analítico!Z$3&lt;='Gastos Gerais'!$E$4:$E$615),-('Gastos Gerais'!$C$4:$C$615))</f>
        <v>61000</v>
      </c>
      <c r="AA84" s="73">
        <f>SUMPRODUCT(-('Gastos Gerais'!$B$4:$B$615=Analítico!$B84),-(Analítico!AA$3&gt;='Gastos Gerais'!$D$4:$D$615),-(Analítico!AA$3&lt;='Gastos Gerais'!$E$4:$E$615),-('Gastos Gerais'!$C$4:$C$615))</f>
        <v>61000</v>
      </c>
      <c r="AB84" s="73">
        <f>SUMPRODUCT(-('Gastos Gerais'!$B$4:$B$615=Analítico!$B84),-(Analítico!AB$3&gt;='Gastos Gerais'!$D$4:$D$615),-(Analítico!AB$3&lt;='Gastos Gerais'!$E$4:$E$615),-('Gastos Gerais'!$C$4:$C$615))</f>
        <v>61000</v>
      </c>
      <c r="AC84" s="73">
        <f>SUMPRODUCT(-('Gastos Gerais'!$B$4:$B$615=Analítico!$B84),-(Analítico!AC$3&gt;='Gastos Gerais'!$D$4:$D$615),-(Analítico!AC$3&lt;='Gastos Gerais'!$E$4:$E$615),-('Gastos Gerais'!$C$4:$C$615))</f>
        <v>61000</v>
      </c>
      <c r="AD84" s="73">
        <f>SUMPRODUCT(-('Gastos Gerais'!$B$4:$B$615=Analítico!$B84),-(Analítico!AD$3&gt;='Gastos Gerais'!$D$4:$D$615),-(Analítico!AD$3&lt;='Gastos Gerais'!$E$4:$E$615),-('Gastos Gerais'!$C$4:$C$615))</f>
        <v>61000</v>
      </c>
      <c r="AE84" s="73">
        <f>SUMPRODUCT(-('Gastos Gerais'!$B$4:$B$615=Analítico!$B84),-(Analítico!AE$3&gt;='Gastos Gerais'!$D$4:$D$615),-(Analítico!AE$3&lt;='Gastos Gerais'!$E$4:$E$615),-('Gastos Gerais'!$C$4:$C$615))</f>
        <v>61000</v>
      </c>
      <c r="AF84" s="73">
        <f>SUMPRODUCT(-('Gastos Gerais'!$B$4:$B$615=Analítico!$B84),-(Analítico!AF$3&gt;='Gastos Gerais'!$D$4:$D$615),-(Analítico!AF$3&lt;='Gastos Gerais'!$E$4:$E$615),-('Gastos Gerais'!$C$4:$C$615))</f>
        <v>61000</v>
      </c>
      <c r="AG84" s="73">
        <f>SUMPRODUCT(-('Gastos Gerais'!$B$4:$B$615=Analítico!$B84),-(Analítico!AG$3&gt;='Gastos Gerais'!$D$4:$D$615),-(Analítico!AG$3&lt;='Gastos Gerais'!$E$4:$E$615),-('Gastos Gerais'!$C$4:$C$615))</f>
        <v>61000</v>
      </c>
      <c r="AH84" s="73">
        <f>SUMPRODUCT(-('Gastos Gerais'!$B$4:$B$615=Analítico!$B84),-(Analítico!AH$3&gt;='Gastos Gerais'!$D$4:$D$615),-(Analítico!AH$3&lt;='Gastos Gerais'!$E$4:$E$615),-('Gastos Gerais'!$C$4:$C$615))</f>
        <v>61000</v>
      </c>
      <c r="AI84" s="73">
        <f>SUMPRODUCT(-('Gastos Gerais'!$B$4:$B$615=Analítico!$B84),-(Analítico!AI$3&gt;='Gastos Gerais'!$D$4:$D$615),-(Analítico!AI$3&lt;='Gastos Gerais'!$E$4:$E$615),-('Gastos Gerais'!$C$4:$C$615))</f>
        <v>61000</v>
      </c>
      <c r="AJ84" s="73">
        <f>SUMPRODUCT(-('Gastos Gerais'!$B$4:$B$615=Analítico!$B84),-(Analítico!AJ$3&gt;='Gastos Gerais'!$D$4:$D$615),-(Analítico!AJ$3&lt;='Gastos Gerais'!$E$4:$E$615),-('Gastos Gerais'!$C$4:$C$615))</f>
        <v>61000</v>
      </c>
      <c r="AK84" s="73">
        <f>SUMPRODUCT(-('Gastos Gerais'!$B$4:$B$615=Analítico!$B84),-(Analítico!AK$3&gt;='Gastos Gerais'!$D$4:$D$615),-(Analítico!AK$3&lt;='Gastos Gerais'!$E$4:$E$615),-('Gastos Gerais'!$C$4:$C$615))</f>
        <v>61000</v>
      </c>
      <c r="AL84" s="73">
        <f>SUMPRODUCT(-('Gastos Gerais'!$B$4:$B$615=Analítico!$B84),-(Analítico!AL$3&gt;='Gastos Gerais'!$D$4:$D$615),-(Analítico!AL$3&lt;='Gastos Gerais'!$E$4:$E$615),-('Gastos Gerais'!$C$4:$C$615))</f>
        <v>61000</v>
      </c>
      <c r="AM84" s="73">
        <f>SUMPRODUCT(-('Gastos Gerais'!$B$4:$B$615=Analítico!$B84),-(Analítico!AM$3&gt;='Gastos Gerais'!$D$4:$D$615),-(Analítico!AM$3&lt;='Gastos Gerais'!$E$4:$E$615),-('Gastos Gerais'!$C$4:$C$615))</f>
        <v>0</v>
      </c>
      <c r="AN84" s="73">
        <f>SUMPRODUCT(-('Gastos Gerais'!$B$4:$B$615=Analítico!$B84),-(Analítico!AN$3&gt;='Gastos Gerais'!$D$4:$D$615),-(Analítico!AN$3&lt;='Gastos Gerais'!$E$4:$E$615),-('Gastos Gerais'!$C$4:$C$615))</f>
        <v>0</v>
      </c>
      <c r="AO84" s="73">
        <f>SUMPRODUCT(-('Gastos Gerais'!$B$4:$B$615=Analítico!$B84),-(Analítico!AO$3&gt;='Gastos Gerais'!$D$4:$D$615),-(Analítico!AO$3&lt;='Gastos Gerais'!$E$4:$E$615),-('Gastos Gerais'!$C$4:$C$615))</f>
        <v>0</v>
      </c>
      <c r="AP84" s="73">
        <f>SUMPRODUCT(-('Gastos Gerais'!$B$4:$B$615=Analítico!$B84),-(Analítico!AP$3&gt;='Gastos Gerais'!$D$4:$D$615),-(Analítico!AP$3&lt;='Gastos Gerais'!$E$4:$E$615),-('Gastos Gerais'!$C$4:$C$615))</f>
        <v>0</v>
      </c>
      <c r="AQ84" s="73">
        <f>SUMPRODUCT(-('Gastos Gerais'!$B$4:$B$615=Analítico!$B84),-(Analítico!AQ$3&gt;='Gastos Gerais'!$D$4:$D$615),-(Analítico!AQ$3&lt;='Gastos Gerais'!$E$4:$E$615),-('Gastos Gerais'!$C$4:$C$615))</f>
        <v>0</v>
      </c>
      <c r="AR84" s="73">
        <f>SUMPRODUCT(-('Gastos Gerais'!$B$4:$B$615=Analítico!$B84),-(Analítico!AR$3&gt;='Gastos Gerais'!$D$4:$D$615),-(Analítico!AR$3&lt;='Gastos Gerais'!$E$4:$E$615),-('Gastos Gerais'!$C$4:$C$615))</f>
        <v>0</v>
      </c>
      <c r="AS84" s="73">
        <f>SUMPRODUCT(-('Gastos Gerais'!$B$4:$B$615=Analítico!$B84),-(Analítico!AS$3&gt;='Gastos Gerais'!$D$4:$D$615),-(Analítico!AS$3&lt;='Gastos Gerais'!$E$4:$E$615),-('Gastos Gerais'!$C$4:$C$615))</f>
        <v>0</v>
      </c>
      <c r="AT84" s="73">
        <f>SUMPRODUCT(-('Gastos Gerais'!$B$4:$B$615=Analítico!$B84),-(Analítico!AT$3&gt;='Gastos Gerais'!$D$4:$D$615),-(Analítico!AT$3&lt;='Gastos Gerais'!$E$4:$E$615),-('Gastos Gerais'!$C$4:$C$615))</f>
        <v>0</v>
      </c>
      <c r="AU84" s="73">
        <f>SUMPRODUCT(-('Gastos Gerais'!$B$4:$B$615=Analítico!$B84),-(Analítico!AU$3&gt;='Gastos Gerais'!$D$4:$D$615),-(Analítico!AU$3&lt;='Gastos Gerais'!$E$4:$E$615),-('Gastos Gerais'!$C$4:$C$615))</f>
        <v>0</v>
      </c>
      <c r="AV84" s="73">
        <f>SUMPRODUCT(-('Gastos Gerais'!$B$4:$B$615=Analítico!$B84),-(Analítico!AV$3&gt;='Gastos Gerais'!$D$4:$D$615),-(Analítico!AV$3&lt;='Gastos Gerais'!$E$4:$E$615),-('Gastos Gerais'!$C$4:$C$615))</f>
        <v>0</v>
      </c>
      <c r="AW84" s="73">
        <f>SUMPRODUCT(-('Gastos Gerais'!$B$4:$B$615=Analítico!$B84),-(Analítico!AW$3&gt;='Gastos Gerais'!$D$4:$D$615),-(Analítico!AW$3&lt;='Gastos Gerais'!$E$4:$E$615),-('Gastos Gerais'!$C$4:$C$615))</f>
        <v>0</v>
      </c>
      <c r="AX84" s="73">
        <f>SUMPRODUCT(-('Gastos Gerais'!$B$4:$B$615=Analítico!$B84),-(Analítico!AX$3&gt;='Gastos Gerais'!$D$4:$D$615),-(Analítico!AX$3&lt;='Gastos Gerais'!$E$4:$E$615),-('Gastos Gerais'!$C$4:$C$615))</f>
        <v>0</v>
      </c>
      <c r="AY84" s="73">
        <f>SUMPRODUCT(-('Gastos Gerais'!$B$4:$B$615=Analítico!$B84),-(Analítico!AY$3&gt;='Gastos Gerais'!$D$4:$D$615),-(Analítico!AY$3&lt;='Gastos Gerais'!$E$4:$E$615),-('Gastos Gerais'!$C$4:$C$615))</f>
        <v>0</v>
      </c>
      <c r="AZ84" s="73">
        <f>SUMPRODUCT(-('Gastos Gerais'!$B$4:$B$615=Analítico!$B84),-(Analítico!AZ$3&gt;='Gastos Gerais'!$D$4:$D$615),-(Analítico!AZ$3&lt;='Gastos Gerais'!$E$4:$E$615),-('Gastos Gerais'!$C$4:$C$615))</f>
        <v>0</v>
      </c>
      <c r="BA84" s="73">
        <f>SUMPRODUCT(-('Gastos Gerais'!$B$4:$B$615=Analítico!$B84),-(Analítico!BA$3&gt;='Gastos Gerais'!$D$4:$D$615),-(Analítico!BA$3&lt;='Gastos Gerais'!$E$4:$E$615),-('Gastos Gerais'!$C$4:$C$615))</f>
        <v>0</v>
      </c>
      <c r="BB84" s="73">
        <f>SUMPRODUCT(-('Gastos Gerais'!$B$4:$B$615=Analítico!$B84),-(Analítico!BB$3&gt;='Gastos Gerais'!$D$4:$D$615),-(Analítico!BB$3&lt;='Gastos Gerais'!$E$4:$E$615),-('Gastos Gerais'!$C$4:$C$615))</f>
        <v>0</v>
      </c>
      <c r="BC84" s="73">
        <f>SUMPRODUCT(-('Gastos Gerais'!$B$4:$B$615=Analítico!$B84),-(Analítico!BC$3&gt;='Gastos Gerais'!$D$4:$D$615),-(Analítico!BC$3&lt;='Gastos Gerais'!$E$4:$E$615),-('Gastos Gerais'!$C$4:$C$615))</f>
        <v>0</v>
      </c>
      <c r="BD84" s="73">
        <f>SUMPRODUCT(-('Gastos Gerais'!$B$4:$B$615=Analítico!$B84),-(Analítico!BD$3&gt;='Gastos Gerais'!$D$4:$D$615),-(Analítico!BD$3&lt;='Gastos Gerais'!$E$4:$E$615),-('Gastos Gerais'!$C$4:$C$615))</f>
        <v>0</v>
      </c>
      <c r="BE84" s="73">
        <f>SUMPRODUCT(-('Gastos Gerais'!$B$4:$B$615=Analítico!$B84),-(Analítico!BE$3&gt;='Gastos Gerais'!$D$4:$D$615),-(Analítico!BE$3&lt;='Gastos Gerais'!$E$4:$E$615),-('Gastos Gerais'!$C$4:$C$615))</f>
        <v>0</v>
      </c>
      <c r="BF84" s="73">
        <f>SUMPRODUCT(-('Gastos Gerais'!$B$4:$B$615=Analítico!$B84),-(Analítico!BF$3&gt;='Gastos Gerais'!$D$4:$D$615),-(Analítico!BF$3&lt;='Gastos Gerais'!$E$4:$E$615),-('Gastos Gerais'!$C$4:$C$615))</f>
        <v>0</v>
      </c>
      <c r="BG84" s="73">
        <f>SUMPRODUCT(-('Gastos Gerais'!$B$4:$B$615=Analítico!$B84),-(Analítico!BG$3&gt;='Gastos Gerais'!$D$4:$D$615),-(Analítico!BG$3&lt;='Gastos Gerais'!$E$4:$E$615),-('Gastos Gerais'!$C$4:$C$615))</f>
        <v>0</v>
      </c>
      <c r="BH84" s="73">
        <f>SUMPRODUCT(-('Gastos Gerais'!$B$4:$B$615=Analítico!$B84),-(Analítico!BH$3&gt;='Gastos Gerais'!$D$4:$D$615),-(Analítico!BH$3&lt;='Gastos Gerais'!$E$4:$E$615),-('Gastos Gerais'!$C$4:$C$615))</f>
        <v>0</v>
      </c>
      <c r="BI84" s="73">
        <f>SUMPRODUCT(-('Gastos Gerais'!$B$4:$B$615=Analítico!$B84),-(Analítico!BI$3&gt;='Gastos Gerais'!$D$4:$D$615),-(Analítico!BI$3&lt;='Gastos Gerais'!$E$4:$E$615),-('Gastos Gerais'!$C$4:$C$615))</f>
        <v>0</v>
      </c>
      <c r="BJ84" s="73">
        <f>SUMPRODUCT(-('Gastos Gerais'!$B$4:$B$615=Analítico!$B84),-(Analítico!BJ$3&gt;='Gastos Gerais'!$D$4:$D$615),-(Analítico!BJ$3&lt;='Gastos Gerais'!$E$4:$E$615),-('Gastos Gerais'!$C$4:$C$615))</f>
        <v>0</v>
      </c>
      <c r="BK84" s="71">
        <f t="shared" si="31"/>
        <v>2196000</v>
      </c>
      <c r="BL84" s="76">
        <f t="shared" ca="1" si="32"/>
        <v>5.9898061422339575E-3</v>
      </c>
    </row>
    <row r="85" spans="1:64" s="49" customFormat="1" ht="23.25" customHeight="1" x14ac:dyDescent="0.2">
      <c r="A85" s="109" t="s">
        <v>238</v>
      </c>
      <c r="B85" s="112" t="s">
        <v>239</v>
      </c>
      <c r="C85" s="73">
        <f>SUMPRODUCT(-('Gastos Gerais'!$B$4:$B$615=Analítico!$B85),-(Analítico!C$3&gt;='Gastos Gerais'!$D$4:$D$615),-(Analítico!C$3&lt;='Gastos Gerais'!$E$4:$E$615),-('Gastos Gerais'!$C$4:$C$615))</f>
        <v>525000</v>
      </c>
      <c r="D85" s="73">
        <f>SUMPRODUCT(-('Gastos Gerais'!$B$4:$B$615=Analítico!$B85),-(Analítico!D$3&gt;='Gastos Gerais'!$D$4:$D$615),-(Analítico!D$3&lt;='Gastos Gerais'!$E$4:$E$615),-('Gastos Gerais'!$C$4:$C$615))</f>
        <v>0</v>
      </c>
      <c r="E85" s="73">
        <f>SUMPRODUCT(-('Gastos Gerais'!$B$4:$B$615=Analítico!$B85),-(Analítico!E$3&gt;='Gastos Gerais'!$D$4:$D$615),-(Analítico!E$3&lt;='Gastos Gerais'!$E$4:$E$615),-('Gastos Gerais'!$C$4:$C$615))</f>
        <v>0</v>
      </c>
      <c r="F85" s="73">
        <f>SUMPRODUCT(-('Gastos Gerais'!$B$4:$B$615=Analítico!$B85),-(Analítico!F$3&gt;='Gastos Gerais'!$D$4:$D$615),-(Analítico!F$3&lt;='Gastos Gerais'!$E$4:$E$615),-('Gastos Gerais'!$C$4:$C$615))</f>
        <v>0</v>
      </c>
      <c r="G85" s="73">
        <f>SUMPRODUCT(-('Gastos Gerais'!$B$4:$B$615=Analítico!$B85),-(Analítico!G$3&gt;='Gastos Gerais'!$D$4:$D$615),-(Analítico!G$3&lt;='Gastos Gerais'!$E$4:$E$615),-('Gastos Gerais'!$C$4:$C$615))</f>
        <v>0</v>
      </c>
      <c r="H85" s="73">
        <f>SUMPRODUCT(-('Gastos Gerais'!$B$4:$B$615=Analítico!$B85),-(Analítico!H$3&gt;='Gastos Gerais'!$D$4:$D$615),-(Analítico!H$3&lt;='Gastos Gerais'!$E$4:$E$615),-('Gastos Gerais'!$C$4:$C$615))</f>
        <v>0</v>
      </c>
      <c r="I85" s="73">
        <f>SUMPRODUCT(-('Gastos Gerais'!$B$4:$B$615=Analítico!$B85),-(Analítico!I$3&gt;='Gastos Gerais'!$D$4:$D$615),-(Analítico!I$3&lt;='Gastos Gerais'!$E$4:$E$615),-('Gastos Gerais'!$C$4:$C$615))</f>
        <v>0</v>
      </c>
      <c r="J85" s="73">
        <f>SUMPRODUCT(-('Gastos Gerais'!$B$4:$B$615=Analítico!$B85),-(Analítico!J$3&gt;='Gastos Gerais'!$D$4:$D$615),-(Analítico!J$3&lt;='Gastos Gerais'!$E$4:$E$615),-('Gastos Gerais'!$C$4:$C$615))</f>
        <v>0</v>
      </c>
      <c r="K85" s="73">
        <f>SUMPRODUCT(-('Gastos Gerais'!$B$4:$B$615=Analítico!$B85),-(Analítico!K$3&gt;='Gastos Gerais'!$D$4:$D$615),-(Analítico!K$3&lt;='Gastos Gerais'!$E$4:$E$615),-('Gastos Gerais'!$C$4:$C$615))</f>
        <v>0</v>
      </c>
      <c r="L85" s="73">
        <f>SUMPRODUCT(-('Gastos Gerais'!$B$4:$B$615=Analítico!$B85),-(Analítico!L$3&gt;='Gastos Gerais'!$D$4:$D$615),-(Analítico!L$3&lt;='Gastos Gerais'!$E$4:$E$615),-('Gastos Gerais'!$C$4:$C$615))</f>
        <v>0</v>
      </c>
      <c r="M85" s="73">
        <f>SUMPRODUCT(-('Gastos Gerais'!$B$4:$B$615=Analítico!$B85),-(Analítico!M$3&gt;='Gastos Gerais'!$D$4:$D$615),-(Analítico!M$3&lt;='Gastos Gerais'!$E$4:$E$615),-('Gastos Gerais'!$C$4:$C$615))</f>
        <v>0</v>
      </c>
      <c r="N85" s="73">
        <f>SUMPRODUCT(-('Gastos Gerais'!$B$4:$B$615=Analítico!$B85),-(Analítico!N$3&gt;='Gastos Gerais'!$D$4:$D$615),-(Analítico!N$3&lt;='Gastos Gerais'!$E$4:$E$615),-('Gastos Gerais'!$C$4:$C$615))</f>
        <v>0</v>
      </c>
      <c r="O85" s="73">
        <f>SUMPRODUCT(-('Gastos Gerais'!$B$4:$B$615=Analítico!$B85),-(Analítico!O$3&gt;='Gastos Gerais'!$D$4:$D$615),-(Analítico!O$3&lt;='Gastos Gerais'!$E$4:$E$615),-('Gastos Gerais'!$C$4:$C$615))</f>
        <v>525000</v>
      </c>
      <c r="P85" s="73">
        <f>SUMPRODUCT(-('Gastos Gerais'!$B$4:$B$615=Analítico!$B85),-(Analítico!P$3&gt;='Gastos Gerais'!$D$4:$D$615),-(Analítico!P$3&lt;='Gastos Gerais'!$E$4:$E$615),-('Gastos Gerais'!$C$4:$C$615))</f>
        <v>0</v>
      </c>
      <c r="Q85" s="73">
        <f>SUMPRODUCT(-('Gastos Gerais'!$B$4:$B$615=Analítico!$B85),-(Analítico!Q$3&gt;='Gastos Gerais'!$D$4:$D$615),-(Analítico!Q$3&lt;='Gastos Gerais'!$E$4:$E$615),-('Gastos Gerais'!$C$4:$C$615))</f>
        <v>0</v>
      </c>
      <c r="R85" s="73">
        <f>SUMPRODUCT(-('Gastos Gerais'!$B$4:$B$615=Analítico!$B85),-(Analítico!R$3&gt;='Gastos Gerais'!$D$4:$D$615),-(Analítico!R$3&lt;='Gastos Gerais'!$E$4:$E$615),-('Gastos Gerais'!$C$4:$C$615))</f>
        <v>0</v>
      </c>
      <c r="S85" s="73">
        <f>SUMPRODUCT(-('Gastos Gerais'!$B$4:$B$615=Analítico!$B85),-(Analítico!S$3&gt;='Gastos Gerais'!$D$4:$D$615),-(Analítico!S$3&lt;='Gastos Gerais'!$E$4:$E$615),-('Gastos Gerais'!$C$4:$C$615))</f>
        <v>0</v>
      </c>
      <c r="T85" s="73">
        <f>SUMPRODUCT(-('Gastos Gerais'!$B$4:$B$615=Analítico!$B85),-(Analítico!T$3&gt;='Gastos Gerais'!$D$4:$D$615),-(Analítico!T$3&lt;='Gastos Gerais'!$E$4:$E$615),-('Gastos Gerais'!$C$4:$C$615))</f>
        <v>0</v>
      </c>
      <c r="U85" s="73">
        <f>SUMPRODUCT(-('Gastos Gerais'!$B$4:$B$615=Analítico!$B85),-(Analítico!U$3&gt;='Gastos Gerais'!$D$4:$D$615),-(Analítico!U$3&lt;='Gastos Gerais'!$E$4:$E$615),-('Gastos Gerais'!$C$4:$C$615))</f>
        <v>0</v>
      </c>
      <c r="V85" s="73">
        <f>SUMPRODUCT(-('Gastos Gerais'!$B$4:$B$615=Analítico!$B85),-(Analítico!V$3&gt;='Gastos Gerais'!$D$4:$D$615),-(Analítico!V$3&lt;='Gastos Gerais'!$E$4:$E$615),-('Gastos Gerais'!$C$4:$C$615))</f>
        <v>0</v>
      </c>
      <c r="W85" s="73">
        <f>SUMPRODUCT(-('Gastos Gerais'!$B$4:$B$615=Analítico!$B85),-(Analítico!W$3&gt;='Gastos Gerais'!$D$4:$D$615),-(Analítico!W$3&lt;='Gastos Gerais'!$E$4:$E$615),-('Gastos Gerais'!$C$4:$C$615))</f>
        <v>0</v>
      </c>
      <c r="X85" s="73">
        <f>SUMPRODUCT(-('Gastos Gerais'!$B$4:$B$615=Analítico!$B85),-(Analítico!X$3&gt;='Gastos Gerais'!$D$4:$D$615),-(Analítico!X$3&lt;='Gastos Gerais'!$E$4:$E$615),-('Gastos Gerais'!$C$4:$C$615))</f>
        <v>0</v>
      </c>
      <c r="Y85" s="73">
        <f>SUMPRODUCT(-('Gastos Gerais'!$B$4:$B$615=Analítico!$B85),-(Analítico!Y$3&gt;='Gastos Gerais'!$D$4:$D$615),-(Analítico!Y$3&lt;='Gastos Gerais'!$E$4:$E$615),-('Gastos Gerais'!$C$4:$C$615))</f>
        <v>0</v>
      </c>
      <c r="Z85" s="73">
        <f>SUMPRODUCT(-('Gastos Gerais'!$B$4:$B$615=Analítico!$B85),-(Analítico!Z$3&gt;='Gastos Gerais'!$D$4:$D$615),-(Analítico!Z$3&lt;='Gastos Gerais'!$E$4:$E$615),-('Gastos Gerais'!$C$4:$C$615))</f>
        <v>0</v>
      </c>
      <c r="AA85" s="73">
        <f>SUMPRODUCT(-('Gastos Gerais'!$B$4:$B$615=Analítico!$B85),-(Analítico!AA$3&gt;='Gastos Gerais'!$D$4:$D$615),-(Analítico!AA$3&lt;='Gastos Gerais'!$E$4:$E$615),-('Gastos Gerais'!$C$4:$C$615))</f>
        <v>538000</v>
      </c>
      <c r="AB85" s="73">
        <f>SUMPRODUCT(-('Gastos Gerais'!$B$4:$B$615=Analítico!$B85),-(Analítico!AB$3&gt;='Gastos Gerais'!$D$4:$D$615),-(Analítico!AB$3&lt;='Gastos Gerais'!$E$4:$E$615),-('Gastos Gerais'!$C$4:$C$615))</f>
        <v>0</v>
      </c>
      <c r="AC85" s="73">
        <f>SUMPRODUCT(-('Gastos Gerais'!$B$4:$B$615=Analítico!$B85),-(Analítico!AC$3&gt;='Gastos Gerais'!$D$4:$D$615),-(Analítico!AC$3&lt;='Gastos Gerais'!$E$4:$E$615),-('Gastos Gerais'!$C$4:$C$615))</f>
        <v>0</v>
      </c>
      <c r="AD85" s="73">
        <f>SUMPRODUCT(-('Gastos Gerais'!$B$4:$B$615=Analítico!$B85),-(Analítico!AD$3&gt;='Gastos Gerais'!$D$4:$D$615),-(Analítico!AD$3&lt;='Gastos Gerais'!$E$4:$E$615),-('Gastos Gerais'!$C$4:$C$615))</f>
        <v>0</v>
      </c>
      <c r="AE85" s="73">
        <f>SUMPRODUCT(-('Gastos Gerais'!$B$4:$B$615=Analítico!$B85),-(Analítico!AE$3&gt;='Gastos Gerais'!$D$4:$D$615),-(Analítico!AE$3&lt;='Gastos Gerais'!$E$4:$E$615),-('Gastos Gerais'!$C$4:$C$615))</f>
        <v>0</v>
      </c>
      <c r="AF85" s="73">
        <f>SUMPRODUCT(-('Gastos Gerais'!$B$4:$B$615=Analítico!$B85),-(Analítico!AF$3&gt;='Gastos Gerais'!$D$4:$D$615),-(Analítico!AF$3&lt;='Gastos Gerais'!$E$4:$E$615),-('Gastos Gerais'!$C$4:$C$615))</f>
        <v>0</v>
      </c>
      <c r="AG85" s="73">
        <f>SUMPRODUCT(-('Gastos Gerais'!$B$4:$B$615=Analítico!$B85),-(Analítico!AG$3&gt;='Gastos Gerais'!$D$4:$D$615),-(Analítico!AG$3&lt;='Gastos Gerais'!$E$4:$E$615),-('Gastos Gerais'!$C$4:$C$615))</f>
        <v>0</v>
      </c>
      <c r="AH85" s="73">
        <f>SUMPRODUCT(-('Gastos Gerais'!$B$4:$B$615=Analítico!$B85),-(Analítico!AH$3&gt;='Gastos Gerais'!$D$4:$D$615),-(Analítico!AH$3&lt;='Gastos Gerais'!$E$4:$E$615),-('Gastos Gerais'!$C$4:$C$615))</f>
        <v>0</v>
      </c>
      <c r="AI85" s="73">
        <f>SUMPRODUCT(-('Gastos Gerais'!$B$4:$B$615=Analítico!$B85),-(Analítico!AI$3&gt;='Gastos Gerais'!$D$4:$D$615),-(Analítico!AI$3&lt;='Gastos Gerais'!$E$4:$E$615),-('Gastos Gerais'!$C$4:$C$615))</f>
        <v>0</v>
      </c>
      <c r="AJ85" s="73">
        <f>SUMPRODUCT(-('Gastos Gerais'!$B$4:$B$615=Analítico!$B85),-(Analítico!AJ$3&gt;='Gastos Gerais'!$D$4:$D$615),-(Analítico!AJ$3&lt;='Gastos Gerais'!$E$4:$E$615),-('Gastos Gerais'!$C$4:$C$615))</f>
        <v>0</v>
      </c>
      <c r="AK85" s="73">
        <f>SUMPRODUCT(-('Gastos Gerais'!$B$4:$B$615=Analítico!$B85),-(Analítico!AK$3&gt;='Gastos Gerais'!$D$4:$D$615),-(Analítico!AK$3&lt;='Gastos Gerais'!$E$4:$E$615),-('Gastos Gerais'!$C$4:$C$615))</f>
        <v>0</v>
      </c>
      <c r="AL85" s="73">
        <f>SUMPRODUCT(-('Gastos Gerais'!$B$4:$B$615=Analítico!$B85),-(Analítico!AL$3&gt;='Gastos Gerais'!$D$4:$D$615),-(Analítico!AL$3&lt;='Gastos Gerais'!$E$4:$E$615),-('Gastos Gerais'!$C$4:$C$615))</f>
        <v>0</v>
      </c>
      <c r="AM85" s="73">
        <f>SUMPRODUCT(-('Gastos Gerais'!$B$4:$B$615=Analítico!$B85),-(Analítico!AM$3&gt;='Gastos Gerais'!$D$4:$D$615),-(Analítico!AM$3&lt;='Gastos Gerais'!$E$4:$E$615),-('Gastos Gerais'!$C$4:$C$615))</f>
        <v>0</v>
      </c>
      <c r="AN85" s="73">
        <f>SUMPRODUCT(-('Gastos Gerais'!$B$4:$B$615=Analítico!$B85),-(Analítico!AN$3&gt;='Gastos Gerais'!$D$4:$D$615),-(Analítico!AN$3&lt;='Gastos Gerais'!$E$4:$E$615),-('Gastos Gerais'!$C$4:$C$615))</f>
        <v>0</v>
      </c>
      <c r="AO85" s="73">
        <f>SUMPRODUCT(-('Gastos Gerais'!$B$4:$B$615=Analítico!$B85),-(Analítico!AO$3&gt;='Gastos Gerais'!$D$4:$D$615),-(Analítico!AO$3&lt;='Gastos Gerais'!$E$4:$E$615),-('Gastos Gerais'!$C$4:$C$615))</f>
        <v>0</v>
      </c>
      <c r="AP85" s="73">
        <f>SUMPRODUCT(-('Gastos Gerais'!$B$4:$B$615=Analítico!$B85),-(Analítico!AP$3&gt;='Gastos Gerais'!$D$4:$D$615),-(Analítico!AP$3&lt;='Gastos Gerais'!$E$4:$E$615),-('Gastos Gerais'!$C$4:$C$615))</f>
        <v>0</v>
      </c>
      <c r="AQ85" s="73">
        <f>SUMPRODUCT(-('Gastos Gerais'!$B$4:$B$615=Analítico!$B85),-(Analítico!AQ$3&gt;='Gastos Gerais'!$D$4:$D$615),-(Analítico!AQ$3&lt;='Gastos Gerais'!$E$4:$E$615),-('Gastos Gerais'!$C$4:$C$615))</f>
        <v>0</v>
      </c>
      <c r="AR85" s="73">
        <f>SUMPRODUCT(-('Gastos Gerais'!$B$4:$B$615=Analítico!$B85),-(Analítico!AR$3&gt;='Gastos Gerais'!$D$4:$D$615),-(Analítico!AR$3&lt;='Gastos Gerais'!$E$4:$E$615),-('Gastos Gerais'!$C$4:$C$615))</f>
        <v>0</v>
      </c>
      <c r="AS85" s="73">
        <f>SUMPRODUCT(-('Gastos Gerais'!$B$4:$B$615=Analítico!$B85),-(Analítico!AS$3&gt;='Gastos Gerais'!$D$4:$D$615),-(Analítico!AS$3&lt;='Gastos Gerais'!$E$4:$E$615),-('Gastos Gerais'!$C$4:$C$615))</f>
        <v>0</v>
      </c>
      <c r="AT85" s="73">
        <f>SUMPRODUCT(-('Gastos Gerais'!$B$4:$B$615=Analítico!$B85),-(Analítico!AT$3&gt;='Gastos Gerais'!$D$4:$D$615),-(Analítico!AT$3&lt;='Gastos Gerais'!$E$4:$E$615),-('Gastos Gerais'!$C$4:$C$615))</f>
        <v>0</v>
      </c>
      <c r="AU85" s="73">
        <f>SUMPRODUCT(-('Gastos Gerais'!$B$4:$B$615=Analítico!$B85),-(Analítico!AU$3&gt;='Gastos Gerais'!$D$4:$D$615),-(Analítico!AU$3&lt;='Gastos Gerais'!$E$4:$E$615),-('Gastos Gerais'!$C$4:$C$615))</f>
        <v>0</v>
      </c>
      <c r="AV85" s="73">
        <f>SUMPRODUCT(-('Gastos Gerais'!$B$4:$B$615=Analítico!$B85),-(Analítico!AV$3&gt;='Gastos Gerais'!$D$4:$D$615),-(Analítico!AV$3&lt;='Gastos Gerais'!$E$4:$E$615),-('Gastos Gerais'!$C$4:$C$615))</f>
        <v>0</v>
      </c>
      <c r="AW85" s="73">
        <f>SUMPRODUCT(-('Gastos Gerais'!$B$4:$B$615=Analítico!$B85),-(Analítico!AW$3&gt;='Gastos Gerais'!$D$4:$D$615),-(Analítico!AW$3&lt;='Gastos Gerais'!$E$4:$E$615),-('Gastos Gerais'!$C$4:$C$615))</f>
        <v>0</v>
      </c>
      <c r="AX85" s="73">
        <f>SUMPRODUCT(-('Gastos Gerais'!$B$4:$B$615=Analítico!$B85),-(Analítico!AX$3&gt;='Gastos Gerais'!$D$4:$D$615),-(Analítico!AX$3&lt;='Gastos Gerais'!$E$4:$E$615),-('Gastos Gerais'!$C$4:$C$615))</f>
        <v>0</v>
      </c>
      <c r="AY85" s="73">
        <f>SUMPRODUCT(-('Gastos Gerais'!$B$4:$B$615=Analítico!$B85),-(Analítico!AY$3&gt;='Gastos Gerais'!$D$4:$D$615),-(Analítico!AY$3&lt;='Gastos Gerais'!$E$4:$E$615),-('Gastos Gerais'!$C$4:$C$615))</f>
        <v>0</v>
      </c>
      <c r="AZ85" s="73">
        <f>SUMPRODUCT(-('Gastos Gerais'!$B$4:$B$615=Analítico!$B85),-(Analítico!AZ$3&gt;='Gastos Gerais'!$D$4:$D$615),-(Analítico!AZ$3&lt;='Gastos Gerais'!$E$4:$E$615),-('Gastos Gerais'!$C$4:$C$615))</f>
        <v>0</v>
      </c>
      <c r="BA85" s="73">
        <f>SUMPRODUCT(-('Gastos Gerais'!$B$4:$B$615=Analítico!$B85),-(Analítico!BA$3&gt;='Gastos Gerais'!$D$4:$D$615),-(Analítico!BA$3&lt;='Gastos Gerais'!$E$4:$E$615),-('Gastos Gerais'!$C$4:$C$615))</f>
        <v>0</v>
      </c>
      <c r="BB85" s="73">
        <f>SUMPRODUCT(-('Gastos Gerais'!$B$4:$B$615=Analítico!$B85),-(Analítico!BB$3&gt;='Gastos Gerais'!$D$4:$D$615),-(Analítico!BB$3&lt;='Gastos Gerais'!$E$4:$E$615),-('Gastos Gerais'!$C$4:$C$615))</f>
        <v>0</v>
      </c>
      <c r="BC85" s="73">
        <f>SUMPRODUCT(-('Gastos Gerais'!$B$4:$B$615=Analítico!$B85),-(Analítico!BC$3&gt;='Gastos Gerais'!$D$4:$D$615),-(Analítico!BC$3&lt;='Gastos Gerais'!$E$4:$E$615),-('Gastos Gerais'!$C$4:$C$615))</f>
        <v>0</v>
      </c>
      <c r="BD85" s="73">
        <f>SUMPRODUCT(-('Gastos Gerais'!$B$4:$B$615=Analítico!$B85),-(Analítico!BD$3&gt;='Gastos Gerais'!$D$4:$D$615),-(Analítico!BD$3&lt;='Gastos Gerais'!$E$4:$E$615),-('Gastos Gerais'!$C$4:$C$615))</f>
        <v>0</v>
      </c>
      <c r="BE85" s="73">
        <f>SUMPRODUCT(-('Gastos Gerais'!$B$4:$B$615=Analítico!$B85),-(Analítico!BE$3&gt;='Gastos Gerais'!$D$4:$D$615),-(Analítico!BE$3&lt;='Gastos Gerais'!$E$4:$E$615),-('Gastos Gerais'!$C$4:$C$615))</f>
        <v>0</v>
      </c>
      <c r="BF85" s="73">
        <f>SUMPRODUCT(-('Gastos Gerais'!$B$4:$B$615=Analítico!$B85),-(Analítico!BF$3&gt;='Gastos Gerais'!$D$4:$D$615),-(Analítico!BF$3&lt;='Gastos Gerais'!$E$4:$E$615),-('Gastos Gerais'!$C$4:$C$615))</f>
        <v>0</v>
      </c>
      <c r="BG85" s="73">
        <f>SUMPRODUCT(-('Gastos Gerais'!$B$4:$B$615=Analítico!$B85),-(Analítico!BG$3&gt;='Gastos Gerais'!$D$4:$D$615),-(Analítico!BG$3&lt;='Gastos Gerais'!$E$4:$E$615),-('Gastos Gerais'!$C$4:$C$615))</f>
        <v>0</v>
      </c>
      <c r="BH85" s="73">
        <f>SUMPRODUCT(-('Gastos Gerais'!$B$4:$B$615=Analítico!$B85),-(Analítico!BH$3&gt;='Gastos Gerais'!$D$4:$D$615),-(Analítico!BH$3&lt;='Gastos Gerais'!$E$4:$E$615),-('Gastos Gerais'!$C$4:$C$615))</f>
        <v>0</v>
      </c>
      <c r="BI85" s="73">
        <f>SUMPRODUCT(-('Gastos Gerais'!$B$4:$B$615=Analítico!$B85),-(Analítico!BI$3&gt;='Gastos Gerais'!$D$4:$D$615),-(Analítico!BI$3&lt;='Gastos Gerais'!$E$4:$E$615),-('Gastos Gerais'!$C$4:$C$615))</f>
        <v>0</v>
      </c>
      <c r="BJ85" s="73">
        <f>SUMPRODUCT(-('Gastos Gerais'!$B$4:$B$615=Analítico!$B85),-(Analítico!BJ$3&gt;='Gastos Gerais'!$D$4:$D$615),-(Analítico!BJ$3&lt;='Gastos Gerais'!$E$4:$E$615),-('Gastos Gerais'!$C$4:$C$615))</f>
        <v>0</v>
      </c>
      <c r="BK85" s="71">
        <f t="shared" si="31"/>
        <v>1588000</v>
      </c>
      <c r="BL85" s="76">
        <f t="shared" ca="1" si="32"/>
        <v>4.3314262995753751E-3</v>
      </c>
    </row>
    <row r="86" spans="1:64" s="49" customFormat="1" ht="23.25" customHeight="1" x14ac:dyDescent="0.2">
      <c r="A86" s="109" t="s">
        <v>240</v>
      </c>
      <c r="B86" s="112" t="s">
        <v>241</v>
      </c>
      <c r="C86" s="73">
        <f>SUMPRODUCT(-('Gastos Gerais'!$B$4:$B$615=Analítico!$B86),-(Analítico!C$3&gt;='Gastos Gerais'!$D$4:$D$615),-(Analítico!C$3&lt;='Gastos Gerais'!$E$4:$E$615),-('Gastos Gerais'!$C$4:$C$615))</f>
        <v>0</v>
      </c>
      <c r="D86" s="73">
        <f>SUMPRODUCT(-('Gastos Gerais'!$B$4:$B$615=Analítico!$B86),-(Analítico!D$3&gt;='Gastos Gerais'!$D$4:$D$615),-(Analítico!D$3&lt;='Gastos Gerais'!$E$4:$E$615),-('Gastos Gerais'!$C$4:$C$615))</f>
        <v>0</v>
      </c>
      <c r="E86" s="73">
        <f>SUMPRODUCT(-('Gastos Gerais'!$B$4:$B$615=Analítico!$B86),-(Analítico!E$3&gt;='Gastos Gerais'!$D$4:$D$615),-(Analítico!E$3&lt;='Gastos Gerais'!$E$4:$E$615),-('Gastos Gerais'!$C$4:$C$615))</f>
        <v>0</v>
      </c>
      <c r="F86" s="73">
        <f>SUMPRODUCT(-('Gastos Gerais'!$B$4:$B$615=Analítico!$B86),-(Analítico!F$3&gt;='Gastos Gerais'!$D$4:$D$615),-(Analítico!F$3&lt;='Gastos Gerais'!$E$4:$E$615),-('Gastos Gerais'!$C$4:$C$615))</f>
        <v>0</v>
      </c>
      <c r="G86" s="73">
        <f>SUMPRODUCT(-('Gastos Gerais'!$B$4:$B$615=Analítico!$B86),-(Analítico!G$3&gt;='Gastos Gerais'!$D$4:$D$615),-(Analítico!G$3&lt;='Gastos Gerais'!$E$4:$E$615),-('Gastos Gerais'!$C$4:$C$615))</f>
        <v>0</v>
      </c>
      <c r="H86" s="73">
        <f>SUMPRODUCT(-('Gastos Gerais'!$B$4:$B$615=Analítico!$B86),-(Analítico!H$3&gt;='Gastos Gerais'!$D$4:$D$615),-(Analítico!H$3&lt;='Gastos Gerais'!$E$4:$E$615),-('Gastos Gerais'!$C$4:$C$615))</f>
        <v>0</v>
      </c>
      <c r="I86" s="73">
        <f>SUMPRODUCT(-('Gastos Gerais'!$B$4:$B$615=Analítico!$B86),-(Analítico!I$3&gt;='Gastos Gerais'!$D$4:$D$615),-(Analítico!I$3&lt;='Gastos Gerais'!$E$4:$E$615),-('Gastos Gerais'!$C$4:$C$615))</f>
        <v>0</v>
      </c>
      <c r="J86" s="73">
        <f>SUMPRODUCT(-('Gastos Gerais'!$B$4:$B$615=Analítico!$B86),-(Analítico!J$3&gt;='Gastos Gerais'!$D$4:$D$615),-(Analítico!J$3&lt;='Gastos Gerais'!$E$4:$E$615),-('Gastos Gerais'!$C$4:$C$615))</f>
        <v>0</v>
      </c>
      <c r="K86" s="73">
        <f>SUMPRODUCT(-('Gastos Gerais'!$B$4:$B$615=Analítico!$B86),-(Analítico!K$3&gt;='Gastos Gerais'!$D$4:$D$615),-(Analítico!K$3&lt;='Gastos Gerais'!$E$4:$E$615),-('Gastos Gerais'!$C$4:$C$615))</f>
        <v>0</v>
      </c>
      <c r="L86" s="73">
        <f>SUMPRODUCT(-('Gastos Gerais'!$B$4:$B$615=Analítico!$B86),-(Analítico!L$3&gt;='Gastos Gerais'!$D$4:$D$615),-(Analítico!L$3&lt;='Gastos Gerais'!$E$4:$E$615),-('Gastos Gerais'!$C$4:$C$615))</f>
        <v>0</v>
      </c>
      <c r="M86" s="73">
        <f>SUMPRODUCT(-('Gastos Gerais'!$B$4:$B$615=Analítico!$B86),-(Analítico!M$3&gt;='Gastos Gerais'!$D$4:$D$615),-(Analítico!M$3&lt;='Gastos Gerais'!$E$4:$E$615),-('Gastos Gerais'!$C$4:$C$615))</f>
        <v>0</v>
      </c>
      <c r="N86" s="73">
        <f>SUMPRODUCT(-('Gastos Gerais'!$B$4:$B$615=Analítico!$B86),-(Analítico!N$3&gt;='Gastos Gerais'!$D$4:$D$615),-(Analítico!N$3&lt;='Gastos Gerais'!$E$4:$E$615),-('Gastos Gerais'!$C$4:$C$615))</f>
        <v>0</v>
      </c>
      <c r="O86" s="73">
        <f>SUMPRODUCT(-('Gastos Gerais'!$B$4:$B$615=Analítico!$B86),-(Analítico!O$3&gt;='Gastos Gerais'!$D$4:$D$615),-(Analítico!O$3&lt;='Gastos Gerais'!$E$4:$E$615),-('Gastos Gerais'!$C$4:$C$615))</f>
        <v>0</v>
      </c>
      <c r="P86" s="73">
        <f>SUMPRODUCT(-('Gastos Gerais'!$B$4:$B$615=Analítico!$B86),-(Analítico!P$3&gt;='Gastos Gerais'!$D$4:$D$615),-(Analítico!P$3&lt;='Gastos Gerais'!$E$4:$E$615),-('Gastos Gerais'!$C$4:$C$615))</f>
        <v>0</v>
      </c>
      <c r="Q86" s="73">
        <f>SUMPRODUCT(-('Gastos Gerais'!$B$4:$B$615=Analítico!$B86),-(Analítico!Q$3&gt;='Gastos Gerais'!$D$4:$D$615),-(Analítico!Q$3&lt;='Gastos Gerais'!$E$4:$E$615),-('Gastos Gerais'!$C$4:$C$615))</f>
        <v>0</v>
      </c>
      <c r="R86" s="73">
        <f>SUMPRODUCT(-('Gastos Gerais'!$B$4:$B$615=Analítico!$B86),-(Analítico!R$3&gt;='Gastos Gerais'!$D$4:$D$615),-(Analítico!R$3&lt;='Gastos Gerais'!$E$4:$E$615),-('Gastos Gerais'!$C$4:$C$615))</f>
        <v>0</v>
      </c>
      <c r="S86" s="73">
        <f>SUMPRODUCT(-('Gastos Gerais'!$B$4:$B$615=Analítico!$B86),-(Analítico!S$3&gt;='Gastos Gerais'!$D$4:$D$615),-(Analítico!S$3&lt;='Gastos Gerais'!$E$4:$E$615),-('Gastos Gerais'!$C$4:$C$615))</f>
        <v>0</v>
      </c>
      <c r="T86" s="73">
        <f>SUMPRODUCT(-('Gastos Gerais'!$B$4:$B$615=Analítico!$B86),-(Analítico!T$3&gt;='Gastos Gerais'!$D$4:$D$615),-(Analítico!T$3&lt;='Gastos Gerais'!$E$4:$E$615),-('Gastos Gerais'!$C$4:$C$615))</f>
        <v>0</v>
      </c>
      <c r="U86" s="73">
        <f>SUMPRODUCT(-('Gastos Gerais'!$B$4:$B$615=Analítico!$B86),-(Analítico!U$3&gt;='Gastos Gerais'!$D$4:$D$615),-(Analítico!U$3&lt;='Gastos Gerais'!$E$4:$E$615),-('Gastos Gerais'!$C$4:$C$615))</f>
        <v>0</v>
      </c>
      <c r="V86" s="73">
        <f>SUMPRODUCT(-('Gastos Gerais'!$B$4:$B$615=Analítico!$B86),-(Analítico!V$3&gt;='Gastos Gerais'!$D$4:$D$615),-(Analítico!V$3&lt;='Gastos Gerais'!$E$4:$E$615),-('Gastos Gerais'!$C$4:$C$615))</f>
        <v>0</v>
      </c>
      <c r="W86" s="73">
        <f>SUMPRODUCT(-('Gastos Gerais'!$B$4:$B$615=Analítico!$B86),-(Analítico!W$3&gt;='Gastos Gerais'!$D$4:$D$615),-(Analítico!W$3&lt;='Gastos Gerais'!$E$4:$E$615),-('Gastos Gerais'!$C$4:$C$615))</f>
        <v>0</v>
      </c>
      <c r="X86" s="73">
        <f>SUMPRODUCT(-('Gastos Gerais'!$B$4:$B$615=Analítico!$B86),-(Analítico!X$3&gt;='Gastos Gerais'!$D$4:$D$615),-(Analítico!X$3&lt;='Gastos Gerais'!$E$4:$E$615),-('Gastos Gerais'!$C$4:$C$615))</f>
        <v>0</v>
      </c>
      <c r="Y86" s="73">
        <f>SUMPRODUCT(-('Gastos Gerais'!$B$4:$B$615=Analítico!$B86),-(Analítico!Y$3&gt;='Gastos Gerais'!$D$4:$D$615),-(Analítico!Y$3&lt;='Gastos Gerais'!$E$4:$E$615),-('Gastos Gerais'!$C$4:$C$615))</f>
        <v>0</v>
      </c>
      <c r="Z86" s="73">
        <f>SUMPRODUCT(-('Gastos Gerais'!$B$4:$B$615=Analítico!$B86),-(Analítico!Z$3&gt;='Gastos Gerais'!$D$4:$D$615),-(Analítico!Z$3&lt;='Gastos Gerais'!$E$4:$E$615),-('Gastos Gerais'!$C$4:$C$615))</f>
        <v>0</v>
      </c>
      <c r="AA86" s="73">
        <f>SUMPRODUCT(-('Gastos Gerais'!$B$4:$B$615=Analítico!$B86),-(Analítico!AA$3&gt;='Gastos Gerais'!$D$4:$D$615),-(Analítico!AA$3&lt;='Gastos Gerais'!$E$4:$E$615),-('Gastos Gerais'!$C$4:$C$615))</f>
        <v>0</v>
      </c>
      <c r="AB86" s="73">
        <f>SUMPRODUCT(-('Gastos Gerais'!$B$4:$B$615=Analítico!$B86),-(Analítico!AB$3&gt;='Gastos Gerais'!$D$4:$D$615),-(Analítico!AB$3&lt;='Gastos Gerais'!$E$4:$E$615),-('Gastos Gerais'!$C$4:$C$615))</f>
        <v>0</v>
      </c>
      <c r="AC86" s="73">
        <f>SUMPRODUCT(-('Gastos Gerais'!$B$4:$B$615=Analítico!$B86),-(Analítico!AC$3&gt;='Gastos Gerais'!$D$4:$D$615),-(Analítico!AC$3&lt;='Gastos Gerais'!$E$4:$E$615),-('Gastos Gerais'!$C$4:$C$615))</f>
        <v>0</v>
      </c>
      <c r="AD86" s="73">
        <f>SUMPRODUCT(-('Gastos Gerais'!$B$4:$B$615=Analítico!$B86),-(Analítico!AD$3&gt;='Gastos Gerais'!$D$4:$D$615),-(Analítico!AD$3&lt;='Gastos Gerais'!$E$4:$E$615),-('Gastos Gerais'!$C$4:$C$615))</f>
        <v>0</v>
      </c>
      <c r="AE86" s="73">
        <f>SUMPRODUCT(-('Gastos Gerais'!$B$4:$B$615=Analítico!$B86),-(Analítico!AE$3&gt;='Gastos Gerais'!$D$4:$D$615),-(Analítico!AE$3&lt;='Gastos Gerais'!$E$4:$E$615),-('Gastos Gerais'!$C$4:$C$615))</f>
        <v>0</v>
      </c>
      <c r="AF86" s="73">
        <f>SUMPRODUCT(-('Gastos Gerais'!$B$4:$B$615=Analítico!$B86),-(Analítico!AF$3&gt;='Gastos Gerais'!$D$4:$D$615),-(Analítico!AF$3&lt;='Gastos Gerais'!$E$4:$E$615),-('Gastos Gerais'!$C$4:$C$615))</f>
        <v>0</v>
      </c>
      <c r="AG86" s="73">
        <f>SUMPRODUCT(-('Gastos Gerais'!$B$4:$B$615=Analítico!$B86),-(Analítico!AG$3&gt;='Gastos Gerais'!$D$4:$D$615),-(Analítico!AG$3&lt;='Gastos Gerais'!$E$4:$E$615),-('Gastos Gerais'!$C$4:$C$615))</f>
        <v>0</v>
      </c>
      <c r="AH86" s="73">
        <f>SUMPRODUCT(-('Gastos Gerais'!$B$4:$B$615=Analítico!$B86),-(Analítico!AH$3&gt;='Gastos Gerais'!$D$4:$D$615),-(Analítico!AH$3&lt;='Gastos Gerais'!$E$4:$E$615),-('Gastos Gerais'!$C$4:$C$615))</f>
        <v>0</v>
      </c>
      <c r="AI86" s="73">
        <f>SUMPRODUCT(-('Gastos Gerais'!$B$4:$B$615=Analítico!$B86),-(Analítico!AI$3&gt;='Gastos Gerais'!$D$4:$D$615),-(Analítico!AI$3&lt;='Gastos Gerais'!$E$4:$E$615),-('Gastos Gerais'!$C$4:$C$615))</f>
        <v>0</v>
      </c>
      <c r="AJ86" s="73">
        <f>SUMPRODUCT(-('Gastos Gerais'!$B$4:$B$615=Analítico!$B86),-(Analítico!AJ$3&gt;='Gastos Gerais'!$D$4:$D$615),-(Analítico!AJ$3&lt;='Gastos Gerais'!$E$4:$E$615),-('Gastos Gerais'!$C$4:$C$615))</f>
        <v>0</v>
      </c>
      <c r="AK86" s="73">
        <f>SUMPRODUCT(-('Gastos Gerais'!$B$4:$B$615=Analítico!$B86),-(Analítico!AK$3&gt;='Gastos Gerais'!$D$4:$D$615),-(Analítico!AK$3&lt;='Gastos Gerais'!$E$4:$E$615),-('Gastos Gerais'!$C$4:$C$615))</f>
        <v>0</v>
      </c>
      <c r="AL86" s="73">
        <f>SUMPRODUCT(-('Gastos Gerais'!$B$4:$B$615=Analítico!$B86),-(Analítico!AL$3&gt;='Gastos Gerais'!$D$4:$D$615),-(Analítico!AL$3&lt;='Gastos Gerais'!$E$4:$E$615),-('Gastos Gerais'!$C$4:$C$615))</f>
        <v>0</v>
      </c>
      <c r="AM86" s="73">
        <f>SUMPRODUCT(-('Gastos Gerais'!$B$4:$B$615=Analítico!$B86),-(Analítico!AM$3&gt;='Gastos Gerais'!$D$4:$D$615),-(Analítico!AM$3&lt;='Gastos Gerais'!$E$4:$E$615),-('Gastos Gerais'!$C$4:$C$615))</f>
        <v>0</v>
      </c>
      <c r="AN86" s="73">
        <f>SUMPRODUCT(-('Gastos Gerais'!$B$4:$B$615=Analítico!$B86),-(Analítico!AN$3&gt;='Gastos Gerais'!$D$4:$D$615),-(Analítico!AN$3&lt;='Gastos Gerais'!$E$4:$E$615),-('Gastos Gerais'!$C$4:$C$615))</f>
        <v>0</v>
      </c>
      <c r="AO86" s="73">
        <f>SUMPRODUCT(-('Gastos Gerais'!$B$4:$B$615=Analítico!$B86),-(Analítico!AO$3&gt;='Gastos Gerais'!$D$4:$D$615),-(Analítico!AO$3&lt;='Gastos Gerais'!$E$4:$E$615),-('Gastos Gerais'!$C$4:$C$615))</f>
        <v>0</v>
      </c>
      <c r="AP86" s="73">
        <f>SUMPRODUCT(-('Gastos Gerais'!$B$4:$B$615=Analítico!$B86),-(Analítico!AP$3&gt;='Gastos Gerais'!$D$4:$D$615),-(Analítico!AP$3&lt;='Gastos Gerais'!$E$4:$E$615),-('Gastos Gerais'!$C$4:$C$615))</f>
        <v>0</v>
      </c>
      <c r="AQ86" s="73">
        <f>SUMPRODUCT(-('Gastos Gerais'!$B$4:$B$615=Analítico!$B86),-(Analítico!AQ$3&gt;='Gastos Gerais'!$D$4:$D$615),-(Analítico!AQ$3&lt;='Gastos Gerais'!$E$4:$E$615),-('Gastos Gerais'!$C$4:$C$615))</f>
        <v>0</v>
      </c>
      <c r="AR86" s="73">
        <f>SUMPRODUCT(-('Gastos Gerais'!$B$4:$B$615=Analítico!$B86),-(Analítico!AR$3&gt;='Gastos Gerais'!$D$4:$D$615),-(Analítico!AR$3&lt;='Gastos Gerais'!$E$4:$E$615),-('Gastos Gerais'!$C$4:$C$615))</f>
        <v>0</v>
      </c>
      <c r="AS86" s="73">
        <f>SUMPRODUCT(-('Gastos Gerais'!$B$4:$B$615=Analítico!$B86),-(Analítico!AS$3&gt;='Gastos Gerais'!$D$4:$D$615),-(Analítico!AS$3&lt;='Gastos Gerais'!$E$4:$E$615),-('Gastos Gerais'!$C$4:$C$615))</f>
        <v>0</v>
      </c>
      <c r="AT86" s="73">
        <f>SUMPRODUCT(-('Gastos Gerais'!$B$4:$B$615=Analítico!$B86),-(Analítico!AT$3&gt;='Gastos Gerais'!$D$4:$D$615),-(Analítico!AT$3&lt;='Gastos Gerais'!$E$4:$E$615),-('Gastos Gerais'!$C$4:$C$615))</f>
        <v>0</v>
      </c>
      <c r="AU86" s="73">
        <f>SUMPRODUCT(-('Gastos Gerais'!$B$4:$B$615=Analítico!$B86),-(Analítico!AU$3&gt;='Gastos Gerais'!$D$4:$D$615),-(Analítico!AU$3&lt;='Gastos Gerais'!$E$4:$E$615),-('Gastos Gerais'!$C$4:$C$615))</f>
        <v>0</v>
      </c>
      <c r="AV86" s="73">
        <f>SUMPRODUCT(-('Gastos Gerais'!$B$4:$B$615=Analítico!$B86),-(Analítico!AV$3&gt;='Gastos Gerais'!$D$4:$D$615),-(Analítico!AV$3&lt;='Gastos Gerais'!$E$4:$E$615),-('Gastos Gerais'!$C$4:$C$615))</f>
        <v>0</v>
      </c>
      <c r="AW86" s="73">
        <f>SUMPRODUCT(-('Gastos Gerais'!$B$4:$B$615=Analítico!$B86),-(Analítico!AW$3&gt;='Gastos Gerais'!$D$4:$D$615),-(Analítico!AW$3&lt;='Gastos Gerais'!$E$4:$E$615),-('Gastos Gerais'!$C$4:$C$615))</f>
        <v>0</v>
      </c>
      <c r="AX86" s="73">
        <f>SUMPRODUCT(-('Gastos Gerais'!$B$4:$B$615=Analítico!$B86),-(Analítico!AX$3&gt;='Gastos Gerais'!$D$4:$D$615),-(Analítico!AX$3&lt;='Gastos Gerais'!$E$4:$E$615),-('Gastos Gerais'!$C$4:$C$615))</f>
        <v>0</v>
      </c>
      <c r="AY86" s="73">
        <f>SUMPRODUCT(-('Gastos Gerais'!$B$4:$B$615=Analítico!$B86),-(Analítico!AY$3&gt;='Gastos Gerais'!$D$4:$D$615),-(Analítico!AY$3&lt;='Gastos Gerais'!$E$4:$E$615),-('Gastos Gerais'!$C$4:$C$615))</f>
        <v>0</v>
      </c>
      <c r="AZ86" s="73">
        <f>SUMPRODUCT(-('Gastos Gerais'!$B$4:$B$615=Analítico!$B86),-(Analítico!AZ$3&gt;='Gastos Gerais'!$D$4:$D$615),-(Analítico!AZ$3&lt;='Gastos Gerais'!$E$4:$E$615),-('Gastos Gerais'!$C$4:$C$615))</f>
        <v>0</v>
      </c>
      <c r="BA86" s="73">
        <f>SUMPRODUCT(-('Gastos Gerais'!$B$4:$B$615=Analítico!$B86),-(Analítico!BA$3&gt;='Gastos Gerais'!$D$4:$D$615),-(Analítico!BA$3&lt;='Gastos Gerais'!$E$4:$E$615),-('Gastos Gerais'!$C$4:$C$615))</f>
        <v>0</v>
      </c>
      <c r="BB86" s="73">
        <f>SUMPRODUCT(-('Gastos Gerais'!$B$4:$B$615=Analítico!$B86),-(Analítico!BB$3&gt;='Gastos Gerais'!$D$4:$D$615),-(Analítico!BB$3&lt;='Gastos Gerais'!$E$4:$E$615),-('Gastos Gerais'!$C$4:$C$615))</f>
        <v>0</v>
      </c>
      <c r="BC86" s="73">
        <f>SUMPRODUCT(-('Gastos Gerais'!$B$4:$B$615=Analítico!$B86),-(Analítico!BC$3&gt;='Gastos Gerais'!$D$4:$D$615),-(Analítico!BC$3&lt;='Gastos Gerais'!$E$4:$E$615),-('Gastos Gerais'!$C$4:$C$615))</f>
        <v>0</v>
      </c>
      <c r="BD86" s="73">
        <f>SUMPRODUCT(-('Gastos Gerais'!$B$4:$B$615=Analítico!$B86),-(Analítico!BD$3&gt;='Gastos Gerais'!$D$4:$D$615),-(Analítico!BD$3&lt;='Gastos Gerais'!$E$4:$E$615),-('Gastos Gerais'!$C$4:$C$615))</f>
        <v>0</v>
      </c>
      <c r="BE86" s="73">
        <f>SUMPRODUCT(-('Gastos Gerais'!$B$4:$B$615=Analítico!$B86),-(Analítico!BE$3&gt;='Gastos Gerais'!$D$4:$D$615),-(Analítico!BE$3&lt;='Gastos Gerais'!$E$4:$E$615),-('Gastos Gerais'!$C$4:$C$615))</f>
        <v>0</v>
      </c>
      <c r="BF86" s="73">
        <f>SUMPRODUCT(-('Gastos Gerais'!$B$4:$B$615=Analítico!$B86),-(Analítico!BF$3&gt;='Gastos Gerais'!$D$4:$D$615),-(Analítico!BF$3&lt;='Gastos Gerais'!$E$4:$E$615),-('Gastos Gerais'!$C$4:$C$615))</f>
        <v>0</v>
      </c>
      <c r="BG86" s="73">
        <f>SUMPRODUCT(-('Gastos Gerais'!$B$4:$B$615=Analítico!$B86),-(Analítico!BG$3&gt;='Gastos Gerais'!$D$4:$D$615),-(Analítico!BG$3&lt;='Gastos Gerais'!$E$4:$E$615),-('Gastos Gerais'!$C$4:$C$615))</f>
        <v>0</v>
      </c>
      <c r="BH86" s="73">
        <f>SUMPRODUCT(-('Gastos Gerais'!$B$4:$B$615=Analítico!$B86),-(Analítico!BH$3&gt;='Gastos Gerais'!$D$4:$D$615),-(Analítico!BH$3&lt;='Gastos Gerais'!$E$4:$E$615),-('Gastos Gerais'!$C$4:$C$615))</f>
        <v>0</v>
      </c>
      <c r="BI86" s="73">
        <f>SUMPRODUCT(-('Gastos Gerais'!$B$4:$B$615=Analítico!$B86),-(Analítico!BI$3&gt;='Gastos Gerais'!$D$4:$D$615),-(Analítico!BI$3&lt;='Gastos Gerais'!$E$4:$E$615),-('Gastos Gerais'!$C$4:$C$615))</f>
        <v>0</v>
      </c>
      <c r="BJ86" s="73">
        <f>SUMPRODUCT(-('Gastos Gerais'!$B$4:$B$615=Analítico!$B86),-(Analítico!BJ$3&gt;='Gastos Gerais'!$D$4:$D$615),-(Analítico!BJ$3&lt;='Gastos Gerais'!$E$4:$E$615),-('Gastos Gerais'!$C$4:$C$615))</f>
        <v>0</v>
      </c>
      <c r="BK86" s="71">
        <f t="shared" si="31"/>
        <v>0</v>
      </c>
      <c r="BL86" s="76">
        <f t="shared" ca="1" si="32"/>
        <v>0</v>
      </c>
    </row>
    <row r="87" spans="1:64" s="49" customFormat="1" ht="23.25" customHeight="1" x14ac:dyDescent="0.2">
      <c r="A87" s="109" t="s">
        <v>242</v>
      </c>
      <c r="B87" s="112" t="s">
        <v>243</v>
      </c>
      <c r="C87" s="73">
        <f>SUMPRODUCT(-('Gastos Gerais'!$B$4:$B$615=Analítico!$B87),-(Analítico!C$3&gt;='Gastos Gerais'!$D$4:$D$615),-(Analítico!C$3&lt;='Gastos Gerais'!$E$4:$E$615),-('Gastos Gerais'!$C$4:$C$615))</f>
        <v>71700</v>
      </c>
      <c r="D87" s="73">
        <f>SUMPRODUCT(-('Gastos Gerais'!$B$4:$B$615=Analítico!$B87),-(Analítico!D$3&gt;='Gastos Gerais'!$D$4:$D$615),-(Analítico!D$3&lt;='Gastos Gerais'!$E$4:$E$615),-('Gastos Gerais'!$C$4:$C$615))</f>
        <v>11500</v>
      </c>
      <c r="E87" s="73">
        <f>SUMPRODUCT(-('Gastos Gerais'!$B$4:$B$615=Analítico!$B87),-(Analítico!E$3&gt;='Gastos Gerais'!$D$4:$D$615),-(Analítico!E$3&lt;='Gastos Gerais'!$E$4:$E$615),-('Gastos Gerais'!$C$4:$C$615))</f>
        <v>11500</v>
      </c>
      <c r="F87" s="73">
        <f>SUMPRODUCT(-('Gastos Gerais'!$B$4:$B$615=Analítico!$B87),-(Analítico!F$3&gt;='Gastos Gerais'!$D$4:$D$615),-(Analítico!F$3&lt;='Gastos Gerais'!$E$4:$E$615),-('Gastos Gerais'!$C$4:$C$615))</f>
        <v>11500</v>
      </c>
      <c r="G87" s="73">
        <f>SUMPRODUCT(-('Gastos Gerais'!$B$4:$B$615=Analítico!$B87),-(Analítico!G$3&gt;='Gastos Gerais'!$D$4:$D$615),-(Analítico!G$3&lt;='Gastos Gerais'!$E$4:$E$615),-('Gastos Gerais'!$C$4:$C$615))</f>
        <v>11500</v>
      </c>
      <c r="H87" s="73">
        <f>SUMPRODUCT(-('Gastos Gerais'!$B$4:$B$615=Analítico!$B87),-(Analítico!H$3&gt;='Gastos Gerais'!$D$4:$D$615),-(Analítico!H$3&lt;='Gastos Gerais'!$E$4:$E$615),-('Gastos Gerais'!$C$4:$C$615))</f>
        <v>11500</v>
      </c>
      <c r="I87" s="73">
        <f>SUMPRODUCT(-('Gastos Gerais'!$B$4:$B$615=Analítico!$B87),-(Analítico!I$3&gt;='Gastos Gerais'!$D$4:$D$615),-(Analítico!I$3&lt;='Gastos Gerais'!$E$4:$E$615),-('Gastos Gerais'!$C$4:$C$615))</f>
        <v>11500</v>
      </c>
      <c r="J87" s="73">
        <f>SUMPRODUCT(-('Gastos Gerais'!$B$4:$B$615=Analítico!$B87),-(Analítico!J$3&gt;='Gastos Gerais'!$D$4:$D$615),-(Analítico!J$3&lt;='Gastos Gerais'!$E$4:$E$615),-('Gastos Gerais'!$C$4:$C$615))</f>
        <v>11500</v>
      </c>
      <c r="K87" s="73">
        <f>SUMPRODUCT(-('Gastos Gerais'!$B$4:$B$615=Analítico!$B87),-(Analítico!K$3&gt;='Gastos Gerais'!$D$4:$D$615),-(Analítico!K$3&lt;='Gastos Gerais'!$E$4:$E$615),-('Gastos Gerais'!$C$4:$C$615))</f>
        <v>11500</v>
      </c>
      <c r="L87" s="73">
        <f>SUMPRODUCT(-('Gastos Gerais'!$B$4:$B$615=Analítico!$B87),-(Analítico!L$3&gt;='Gastos Gerais'!$D$4:$D$615),-(Analítico!L$3&lt;='Gastos Gerais'!$E$4:$E$615),-('Gastos Gerais'!$C$4:$C$615))</f>
        <v>11500</v>
      </c>
      <c r="M87" s="73">
        <f>SUMPRODUCT(-('Gastos Gerais'!$B$4:$B$615=Analítico!$B87),-(Analítico!M$3&gt;='Gastos Gerais'!$D$4:$D$615),-(Analítico!M$3&lt;='Gastos Gerais'!$E$4:$E$615),-('Gastos Gerais'!$C$4:$C$615))</f>
        <v>11500</v>
      </c>
      <c r="N87" s="73">
        <f>SUMPRODUCT(-('Gastos Gerais'!$B$4:$B$615=Analítico!$B87),-(Analítico!N$3&gt;='Gastos Gerais'!$D$4:$D$615),-(Analítico!N$3&lt;='Gastos Gerais'!$E$4:$E$615),-('Gastos Gerais'!$C$4:$C$615))</f>
        <v>11500</v>
      </c>
      <c r="O87" s="73">
        <f>SUMPRODUCT(-('Gastos Gerais'!$B$4:$B$615=Analítico!$B87),-(Analítico!O$3&gt;='Gastos Gerais'!$D$4:$D$615),-(Analítico!O$3&lt;='Gastos Gerais'!$E$4:$E$615),-('Gastos Gerais'!$C$4:$C$615))</f>
        <v>11500</v>
      </c>
      <c r="P87" s="73">
        <f>SUMPRODUCT(-('Gastos Gerais'!$B$4:$B$615=Analítico!$B87),-(Analítico!P$3&gt;='Gastos Gerais'!$D$4:$D$615),-(Analítico!P$3&lt;='Gastos Gerais'!$E$4:$E$615),-('Gastos Gerais'!$C$4:$C$615))</f>
        <v>11500</v>
      </c>
      <c r="Q87" s="73">
        <f>SUMPRODUCT(-('Gastos Gerais'!$B$4:$B$615=Analítico!$B87),-(Analítico!Q$3&gt;='Gastos Gerais'!$D$4:$D$615),-(Analítico!Q$3&lt;='Gastos Gerais'!$E$4:$E$615),-('Gastos Gerais'!$C$4:$C$615))</f>
        <v>11500</v>
      </c>
      <c r="R87" s="73">
        <f>SUMPRODUCT(-('Gastos Gerais'!$B$4:$B$615=Analítico!$B87),-(Analítico!R$3&gt;='Gastos Gerais'!$D$4:$D$615),-(Analítico!R$3&lt;='Gastos Gerais'!$E$4:$E$615),-('Gastos Gerais'!$C$4:$C$615))</f>
        <v>11500</v>
      </c>
      <c r="S87" s="73">
        <f>SUMPRODUCT(-('Gastos Gerais'!$B$4:$B$615=Analítico!$B87),-(Analítico!S$3&gt;='Gastos Gerais'!$D$4:$D$615),-(Analítico!S$3&lt;='Gastos Gerais'!$E$4:$E$615),-('Gastos Gerais'!$C$4:$C$615))</f>
        <v>11500</v>
      </c>
      <c r="T87" s="73">
        <f>SUMPRODUCT(-('Gastos Gerais'!$B$4:$B$615=Analítico!$B87),-(Analítico!T$3&gt;='Gastos Gerais'!$D$4:$D$615),-(Analítico!T$3&lt;='Gastos Gerais'!$E$4:$E$615),-('Gastos Gerais'!$C$4:$C$615))</f>
        <v>11500</v>
      </c>
      <c r="U87" s="73">
        <f>SUMPRODUCT(-('Gastos Gerais'!$B$4:$B$615=Analítico!$B87),-(Analítico!U$3&gt;='Gastos Gerais'!$D$4:$D$615),-(Analítico!U$3&lt;='Gastos Gerais'!$E$4:$E$615),-('Gastos Gerais'!$C$4:$C$615))</f>
        <v>11500</v>
      </c>
      <c r="V87" s="73">
        <f>SUMPRODUCT(-('Gastos Gerais'!$B$4:$B$615=Analítico!$B87),-(Analítico!V$3&gt;='Gastos Gerais'!$D$4:$D$615),-(Analítico!V$3&lt;='Gastos Gerais'!$E$4:$E$615),-('Gastos Gerais'!$C$4:$C$615))</f>
        <v>11500</v>
      </c>
      <c r="W87" s="73">
        <f>SUMPRODUCT(-('Gastos Gerais'!$B$4:$B$615=Analítico!$B87),-(Analítico!W$3&gt;='Gastos Gerais'!$D$4:$D$615),-(Analítico!W$3&lt;='Gastos Gerais'!$E$4:$E$615),-('Gastos Gerais'!$C$4:$C$615))</f>
        <v>11500</v>
      </c>
      <c r="X87" s="73">
        <f>SUMPRODUCT(-('Gastos Gerais'!$B$4:$B$615=Analítico!$B87),-(Analítico!X$3&gt;='Gastos Gerais'!$D$4:$D$615),-(Analítico!X$3&lt;='Gastos Gerais'!$E$4:$E$615),-('Gastos Gerais'!$C$4:$C$615))</f>
        <v>11500</v>
      </c>
      <c r="Y87" s="73">
        <f>SUMPRODUCT(-('Gastos Gerais'!$B$4:$B$615=Analítico!$B87),-(Analítico!Y$3&gt;='Gastos Gerais'!$D$4:$D$615),-(Analítico!Y$3&lt;='Gastos Gerais'!$E$4:$E$615),-('Gastos Gerais'!$C$4:$C$615))</f>
        <v>11500</v>
      </c>
      <c r="Z87" s="73">
        <f>SUMPRODUCT(-('Gastos Gerais'!$B$4:$B$615=Analítico!$B87),-(Analítico!Z$3&gt;='Gastos Gerais'!$D$4:$D$615),-(Analítico!Z$3&lt;='Gastos Gerais'!$E$4:$E$615),-('Gastos Gerais'!$C$4:$C$615))</f>
        <v>11500</v>
      </c>
      <c r="AA87" s="73">
        <f>SUMPRODUCT(-('Gastos Gerais'!$B$4:$B$615=Analítico!$B87),-(Analítico!AA$3&gt;='Gastos Gerais'!$D$4:$D$615),-(Analítico!AA$3&lt;='Gastos Gerais'!$E$4:$E$615),-('Gastos Gerais'!$C$4:$C$615))</f>
        <v>11500</v>
      </c>
      <c r="AB87" s="73">
        <f>SUMPRODUCT(-('Gastos Gerais'!$B$4:$B$615=Analítico!$B87),-(Analítico!AB$3&gt;='Gastos Gerais'!$D$4:$D$615),-(Analítico!AB$3&lt;='Gastos Gerais'!$E$4:$E$615),-('Gastos Gerais'!$C$4:$C$615))</f>
        <v>11500</v>
      </c>
      <c r="AC87" s="73">
        <f>SUMPRODUCT(-('Gastos Gerais'!$B$4:$B$615=Analítico!$B87),-(Analítico!AC$3&gt;='Gastos Gerais'!$D$4:$D$615),-(Analítico!AC$3&lt;='Gastos Gerais'!$E$4:$E$615),-('Gastos Gerais'!$C$4:$C$615))</f>
        <v>11500</v>
      </c>
      <c r="AD87" s="73">
        <f>SUMPRODUCT(-('Gastos Gerais'!$B$4:$B$615=Analítico!$B87),-(Analítico!AD$3&gt;='Gastos Gerais'!$D$4:$D$615),-(Analítico!AD$3&lt;='Gastos Gerais'!$E$4:$E$615),-('Gastos Gerais'!$C$4:$C$615))</f>
        <v>11500</v>
      </c>
      <c r="AE87" s="73">
        <f>SUMPRODUCT(-('Gastos Gerais'!$B$4:$B$615=Analítico!$B87),-(Analítico!AE$3&gt;='Gastos Gerais'!$D$4:$D$615),-(Analítico!AE$3&lt;='Gastos Gerais'!$E$4:$E$615),-('Gastos Gerais'!$C$4:$C$615))</f>
        <v>11500</v>
      </c>
      <c r="AF87" s="73">
        <f>SUMPRODUCT(-('Gastos Gerais'!$B$4:$B$615=Analítico!$B87),-(Analítico!AF$3&gt;='Gastos Gerais'!$D$4:$D$615),-(Analítico!AF$3&lt;='Gastos Gerais'!$E$4:$E$615),-('Gastos Gerais'!$C$4:$C$615))</f>
        <v>11500</v>
      </c>
      <c r="AG87" s="73">
        <f>SUMPRODUCT(-('Gastos Gerais'!$B$4:$B$615=Analítico!$B87),-(Analítico!AG$3&gt;='Gastos Gerais'!$D$4:$D$615),-(Analítico!AG$3&lt;='Gastos Gerais'!$E$4:$E$615),-('Gastos Gerais'!$C$4:$C$615))</f>
        <v>11500</v>
      </c>
      <c r="AH87" s="73">
        <f>SUMPRODUCT(-('Gastos Gerais'!$B$4:$B$615=Analítico!$B87),-(Analítico!AH$3&gt;='Gastos Gerais'!$D$4:$D$615),-(Analítico!AH$3&lt;='Gastos Gerais'!$E$4:$E$615),-('Gastos Gerais'!$C$4:$C$615))</f>
        <v>11500</v>
      </c>
      <c r="AI87" s="73">
        <f>SUMPRODUCT(-('Gastos Gerais'!$B$4:$B$615=Analítico!$B87),-(Analítico!AI$3&gt;='Gastos Gerais'!$D$4:$D$615),-(Analítico!AI$3&lt;='Gastos Gerais'!$E$4:$E$615),-('Gastos Gerais'!$C$4:$C$615))</f>
        <v>11500</v>
      </c>
      <c r="AJ87" s="73">
        <f>SUMPRODUCT(-('Gastos Gerais'!$B$4:$B$615=Analítico!$B87),-(Analítico!AJ$3&gt;='Gastos Gerais'!$D$4:$D$615),-(Analítico!AJ$3&lt;='Gastos Gerais'!$E$4:$E$615),-('Gastos Gerais'!$C$4:$C$615))</f>
        <v>11500</v>
      </c>
      <c r="AK87" s="73">
        <f>SUMPRODUCT(-('Gastos Gerais'!$B$4:$B$615=Analítico!$B87),-(Analítico!AK$3&gt;='Gastos Gerais'!$D$4:$D$615),-(Analítico!AK$3&lt;='Gastos Gerais'!$E$4:$E$615),-('Gastos Gerais'!$C$4:$C$615))</f>
        <v>11500</v>
      </c>
      <c r="AL87" s="73">
        <f>SUMPRODUCT(-('Gastos Gerais'!$B$4:$B$615=Analítico!$B87),-(Analítico!AL$3&gt;='Gastos Gerais'!$D$4:$D$615),-(Analítico!AL$3&lt;='Gastos Gerais'!$E$4:$E$615),-('Gastos Gerais'!$C$4:$C$615))</f>
        <v>11500</v>
      </c>
      <c r="AM87" s="73">
        <f>SUMPRODUCT(-('Gastos Gerais'!$B$4:$B$615=Analítico!$B87),-(Analítico!AM$3&gt;='Gastos Gerais'!$D$4:$D$615),-(Analítico!AM$3&lt;='Gastos Gerais'!$E$4:$E$615),-('Gastos Gerais'!$C$4:$C$615))</f>
        <v>0</v>
      </c>
      <c r="AN87" s="73">
        <f>SUMPRODUCT(-('Gastos Gerais'!$B$4:$B$615=Analítico!$B87),-(Analítico!AN$3&gt;='Gastos Gerais'!$D$4:$D$615),-(Analítico!AN$3&lt;='Gastos Gerais'!$E$4:$E$615),-('Gastos Gerais'!$C$4:$C$615))</f>
        <v>0</v>
      </c>
      <c r="AO87" s="73">
        <f>SUMPRODUCT(-('Gastos Gerais'!$B$4:$B$615=Analítico!$B87),-(Analítico!AO$3&gt;='Gastos Gerais'!$D$4:$D$615),-(Analítico!AO$3&lt;='Gastos Gerais'!$E$4:$E$615),-('Gastos Gerais'!$C$4:$C$615))</f>
        <v>0</v>
      </c>
      <c r="AP87" s="73">
        <f>SUMPRODUCT(-('Gastos Gerais'!$B$4:$B$615=Analítico!$B87),-(Analítico!AP$3&gt;='Gastos Gerais'!$D$4:$D$615),-(Analítico!AP$3&lt;='Gastos Gerais'!$E$4:$E$615),-('Gastos Gerais'!$C$4:$C$615))</f>
        <v>0</v>
      </c>
      <c r="AQ87" s="73">
        <f>SUMPRODUCT(-('Gastos Gerais'!$B$4:$B$615=Analítico!$B87),-(Analítico!AQ$3&gt;='Gastos Gerais'!$D$4:$D$615),-(Analítico!AQ$3&lt;='Gastos Gerais'!$E$4:$E$615),-('Gastos Gerais'!$C$4:$C$615))</f>
        <v>0</v>
      </c>
      <c r="AR87" s="73">
        <f>SUMPRODUCT(-('Gastos Gerais'!$B$4:$B$615=Analítico!$B87),-(Analítico!AR$3&gt;='Gastos Gerais'!$D$4:$D$615),-(Analítico!AR$3&lt;='Gastos Gerais'!$E$4:$E$615),-('Gastos Gerais'!$C$4:$C$615))</f>
        <v>0</v>
      </c>
      <c r="AS87" s="73">
        <f>SUMPRODUCT(-('Gastos Gerais'!$B$4:$B$615=Analítico!$B87),-(Analítico!AS$3&gt;='Gastos Gerais'!$D$4:$D$615),-(Analítico!AS$3&lt;='Gastos Gerais'!$E$4:$E$615),-('Gastos Gerais'!$C$4:$C$615))</f>
        <v>0</v>
      </c>
      <c r="AT87" s="73">
        <f>SUMPRODUCT(-('Gastos Gerais'!$B$4:$B$615=Analítico!$B87),-(Analítico!AT$3&gt;='Gastos Gerais'!$D$4:$D$615),-(Analítico!AT$3&lt;='Gastos Gerais'!$E$4:$E$615),-('Gastos Gerais'!$C$4:$C$615))</f>
        <v>0</v>
      </c>
      <c r="AU87" s="73">
        <f>SUMPRODUCT(-('Gastos Gerais'!$B$4:$B$615=Analítico!$B87),-(Analítico!AU$3&gt;='Gastos Gerais'!$D$4:$D$615),-(Analítico!AU$3&lt;='Gastos Gerais'!$E$4:$E$615),-('Gastos Gerais'!$C$4:$C$615))</f>
        <v>0</v>
      </c>
      <c r="AV87" s="73">
        <f>SUMPRODUCT(-('Gastos Gerais'!$B$4:$B$615=Analítico!$B87),-(Analítico!AV$3&gt;='Gastos Gerais'!$D$4:$D$615),-(Analítico!AV$3&lt;='Gastos Gerais'!$E$4:$E$615),-('Gastos Gerais'!$C$4:$C$615))</f>
        <v>0</v>
      </c>
      <c r="AW87" s="73">
        <f>SUMPRODUCT(-('Gastos Gerais'!$B$4:$B$615=Analítico!$B87),-(Analítico!AW$3&gt;='Gastos Gerais'!$D$4:$D$615),-(Analítico!AW$3&lt;='Gastos Gerais'!$E$4:$E$615),-('Gastos Gerais'!$C$4:$C$615))</f>
        <v>0</v>
      </c>
      <c r="AX87" s="73">
        <f>SUMPRODUCT(-('Gastos Gerais'!$B$4:$B$615=Analítico!$B87),-(Analítico!AX$3&gt;='Gastos Gerais'!$D$4:$D$615),-(Analítico!AX$3&lt;='Gastos Gerais'!$E$4:$E$615),-('Gastos Gerais'!$C$4:$C$615))</f>
        <v>0</v>
      </c>
      <c r="AY87" s="73">
        <f>SUMPRODUCT(-('Gastos Gerais'!$B$4:$B$615=Analítico!$B87),-(Analítico!AY$3&gt;='Gastos Gerais'!$D$4:$D$615),-(Analítico!AY$3&lt;='Gastos Gerais'!$E$4:$E$615),-('Gastos Gerais'!$C$4:$C$615))</f>
        <v>0</v>
      </c>
      <c r="AZ87" s="73">
        <f>SUMPRODUCT(-('Gastos Gerais'!$B$4:$B$615=Analítico!$B87),-(Analítico!AZ$3&gt;='Gastos Gerais'!$D$4:$D$615),-(Analítico!AZ$3&lt;='Gastos Gerais'!$E$4:$E$615),-('Gastos Gerais'!$C$4:$C$615))</f>
        <v>0</v>
      </c>
      <c r="BA87" s="73">
        <f>SUMPRODUCT(-('Gastos Gerais'!$B$4:$B$615=Analítico!$B87),-(Analítico!BA$3&gt;='Gastos Gerais'!$D$4:$D$615),-(Analítico!BA$3&lt;='Gastos Gerais'!$E$4:$E$615),-('Gastos Gerais'!$C$4:$C$615))</f>
        <v>0</v>
      </c>
      <c r="BB87" s="73">
        <f>SUMPRODUCT(-('Gastos Gerais'!$B$4:$B$615=Analítico!$B87),-(Analítico!BB$3&gt;='Gastos Gerais'!$D$4:$D$615),-(Analítico!BB$3&lt;='Gastos Gerais'!$E$4:$E$615),-('Gastos Gerais'!$C$4:$C$615))</f>
        <v>0</v>
      </c>
      <c r="BC87" s="73">
        <f>SUMPRODUCT(-('Gastos Gerais'!$B$4:$B$615=Analítico!$B87),-(Analítico!BC$3&gt;='Gastos Gerais'!$D$4:$D$615),-(Analítico!BC$3&lt;='Gastos Gerais'!$E$4:$E$615),-('Gastos Gerais'!$C$4:$C$615))</f>
        <v>0</v>
      </c>
      <c r="BD87" s="73">
        <f>SUMPRODUCT(-('Gastos Gerais'!$B$4:$B$615=Analítico!$B87),-(Analítico!BD$3&gt;='Gastos Gerais'!$D$4:$D$615),-(Analítico!BD$3&lt;='Gastos Gerais'!$E$4:$E$615),-('Gastos Gerais'!$C$4:$C$615))</f>
        <v>0</v>
      </c>
      <c r="BE87" s="73">
        <f>SUMPRODUCT(-('Gastos Gerais'!$B$4:$B$615=Analítico!$B87),-(Analítico!BE$3&gt;='Gastos Gerais'!$D$4:$D$615),-(Analítico!BE$3&lt;='Gastos Gerais'!$E$4:$E$615),-('Gastos Gerais'!$C$4:$C$615))</f>
        <v>0</v>
      </c>
      <c r="BF87" s="73">
        <f>SUMPRODUCT(-('Gastos Gerais'!$B$4:$B$615=Analítico!$B87),-(Analítico!BF$3&gt;='Gastos Gerais'!$D$4:$D$615),-(Analítico!BF$3&lt;='Gastos Gerais'!$E$4:$E$615),-('Gastos Gerais'!$C$4:$C$615))</f>
        <v>0</v>
      </c>
      <c r="BG87" s="73">
        <f>SUMPRODUCT(-('Gastos Gerais'!$B$4:$B$615=Analítico!$B87),-(Analítico!BG$3&gt;='Gastos Gerais'!$D$4:$D$615),-(Analítico!BG$3&lt;='Gastos Gerais'!$E$4:$E$615),-('Gastos Gerais'!$C$4:$C$615))</f>
        <v>0</v>
      </c>
      <c r="BH87" s="73">
        <f>SUMPRODUCT(-('Gastos Gerais'!$B$4:$B$615=Analítico!$B87),-(Analítico!BH$3&gt;='Gastos Gerais'!$D$4:$D$615),-(Analítico!BH$3&lt;='Gastos Gerais'!$E$4:$E$615),-('Gastos Gerais'!$C$4:$C$615))</f>
        <v>0</v>
      </c>
      <c r="BI87" s="73">
        <f>SUMPRODUCT(-('Gastos Gerais'!$B$4:$B$615=Analítico!$B87),-(Analítico!BI$3&gt;='Gastos Gerais'!$D$4:$D$615),-(Analítico!BI$3&lt;='Gastos Gerais'!$E$4:$E$615),-('Gastos Gerais'!$C$4:$C$615))</f>
        <v>0</v>
      </c>
      <c r="BJ87" s="73">
        <f>SUMPRODUCT(-('Gastos Gerais'!$B$4:$B$615=Analítico!$B87),-(Analítico!BJ$3&gt;='Gastos Gerais'!$D$4:$D$615),-(Analítico!BJ$3&lt;='Gastos Gerais'!$E$4:$E$615),-('Gastos Gerais'!$C$4:$C$615))</f>
        <v>0</v>
      </c>
      <c r="BK87" s="71">
        <f t="shared" si="31"/>
        <v>474200</v>
      </c>
      <c r="BL87" s="76">
        <f t="shared" ca="1" si="32"/>
        <v>1.293427173336677E-3</v>
      </c>
    </row>
    <row r="88" spans="1:64" s="49" customFormat="1" ht="23.25" customHeight="1" x14ac:dyDescent="0.2">
      <c r="A88" s="109" t="s">
        <v>244</v>
      </c>
      <c r="B88" s="112" t="s">
        <v>245</v>
      </c>
      <c r="C88" s="73">
        <f>SUMPRODUCT(-('Gastos Gerais'!$B$4:$B$615=Analítico!$B88),-(Analítico!C$3&gt;='Gastos Gerais'!$D$4:$D$615),-(Analítico!C$3&lt;='Gastos Gerais'!$E$4:$E$615),-('Gastos Gerais'!$C$4:$C$615))</f>
        <v>0</v>
      </c>
      <c r="D88" s="73">
        <f>SUMPRODUCT(-('Gastos Gerais'!$B$4:$B$615=Analítico!$B88),-(Analítico!D$3&gt;='Gastos Gerais'!$D$4:$D$615),-(Analítico!D$3&lt;='Gastos Gerais'!$E$4:$E$615),-('Gastos Gerais'!$C$4:$C$615))</f>
        <v>0</v>
      </c>
      <c r="E88" s="73">
        <f>SUMPRODUCT(-('Gastos Gerais'!$B$4:$B$615=Analítico!$B88),-(Analítico!E$3&gt;='Gastos Gerais'!$D$4:$D$615),-(Analítico!E$3&lt;='Gastos Gerais'!$E$4:$E$615),-('Gastos Gerais'!$C$4:$C$615))</f>
        <v>0</v>
      </c>
      <c r="F88" s="73">
        <f>SUMPRODUCT(-('Gastos Gerais'!$B$4:$B$615=Analítico!$B88),-(Analítico!F$3&gt;='Gastos Gerais'!$D$4:$D$615),-(Analítico!F$3&lt;='Gastos Gerais'!$E$4:$E$615),-('Gastos Gerais'!$C$4:$C$615))</f>
        <v>0</v>
      </c>
      <c r="G88" s="73">
        <f>SUMPRODUCT(-('Gastos Gerais'!$B$4:$B$615=Analítico!$B88),-(Analítico!G$3&gt;='Gastos Gerais'!$D$4:$D$615),-(Analítico!G$3&lt;='Gastos Gerais'!$E$4:$E$615),-('Gastos Gerais'!$C$4:$C$615))</f>
        <v>0</v>
      </c>
      <c r="H88" s="73">
        <f>SUMPRODUCT(-('Gastos Gerais'!$B$4:$B$615=Analítico!$B88),-(Analítico!H$3&gt;='Gastos Gerais'!$D$4:$D$615),-(Analítico!H$3&lt;='Gastos Gerais'!$E$4:$E$615),-('Gastos Gerais'!$C$4:$C$615))</f>
        <v>0</v>
      </c>
      <c r="I88" s="73">
        <f>SUMPRODUCT(-('Gastos Gerais'!$B$4:$B$615=Analítico!$B88),-(Analítico!I$3&gt;='Gastos Gerais'!$D$4:$D$615),-(Analítico!I$3&lt;='Gastos Gerais'!$E$4:$E$615),-('Gastos Gerais'!$C$4:$C$615))</f>
        <v>0</v>
      </c>
      <c r="J88" s="73">
        <f>SUMPRODUCT(-('Gastos Gerais'!$B$4:$B$615=Analítico!$B88),-(Analítico!J$3&gt;='Gastos Gerais'!$D$4:$D$615),-(Analítico!J$3&lt;='Gastos Gerais'!$E$4:$E$615),-('Gastos Gerais'!$C$4:$C$615))</f>
        <v>0</v>
      </c>
      <c r="K88" s="73">
        <f>SUMPRODUCT(-('Gastos Gerais'!$B$4:$B$615=Analítico!$B88),-(Analítico!K$3&gt;='Gastos Gerais'!$D$4:$D$615),-(Analítico!K$3&lt;='Gastos Gerais'!$E$4:$E$615),-('Gastos Gerais'!$C$4:$C$615))</f>
        <v>0</v>
      </c>
      <c r="L88" s="73">
        <f>SUMPRODUCT(-('Gastos Gerais'!$B$4:$B$615=Analítico!$B88),-(Analítico!L$3&gt;='Gastos Gerais'!$D$4:$D$615),-(Analítico!L$3&lt;='Gastos Gerais'!$E$4:$E$615),-('Gastos Gerais'!$C$4:$C$615))</f>
        <v>0</v>
      </c>
      <c r="M88" s="73">
        <f>SUMPRODUCT(-('Gastos Gerais'!$B$4:$B$615=Analítico!$B88),-(Analítico!M$3&gt;='Gastos Gerais'!$D$4:$D$615),-(Analítico!M$3&lt;='Gastos Gerais'!$E$4:$E$615),-('Gastos Gerais'!$C$4:$C$615))</f>
        <v>0</v>
      </c>
      <c r="N88" s="73">
        <f>SUMPRODUCT(-('Gastos Gerais'!$B$4:$B$615=Analítico!$B88),-(Analítico!N$3&gt;='Gastos Gerais'!$D$4:$D$615),-(Analítico!N$3&lt;='Gastos Gerais'!$E$4:$E$615),-('Gastos Gerais'!$C$4:$C$615))</f>
        <v>0</v>
      </c>
      <c r="O88" s="73">
        <f>SUMPRODUCT(-('Gastos Gerais'!$B$4:$B$615=Analítico!$B88),-(Analítico!O$3&gt;='Gastos Gerais'!$D$4:$D$615),-(Analítico!O$3&lt;='Gastos Gerais'!$E$4:$E$615),-('Gastos Gerais'!$C$4:$C$615))</f>
        <v>0</v>
      </c>
      <c r="P88" s="73">
        <f>SUMPRODUCT(-('Gastos Gerais'!$B$4:$B$615=Analítico!$B88),-(Analítico!P$3&gt;='Gastos Gerais'!$D$4:$D$615),-(Analítico!P$3&lt;='Gastos Gerais'!$E$4:$E$615),-('Gastos Gerais'!$C$4:$C$615))</f>
        <v>0</v>
      </c>
      <c r="Q88" s="73">
        <f>SUMPRODUCT(-('Gastos Gerais'!$B$4:$B$615=Analítico!$B88),-(Analítico!Q$3&gt;='Gastos Gerais'!$D$4:$D$615),-(Analítico!Q$3&lt;='Gastos Gerais'!$E$4:$E$615),-('Gastos Gerais'!$C$4:$C$615))</f>
        <v>0</v>
      </c>
      <c r="R88" s="73">
        <f>SUMPRODUCT(-('Gastos Gerais'!$B$4:$B$615=Analítico!$B88),-(Analítico!R$3&gt;='Gastos Gerais'!$D$4:$D$615),-(Analítico!R$3&lt;='Gastos Gerais'!$E$4:$E$615),-('Gastos Gerais'!$C$4:$C$615))</f>
        <v>0</v>
      </c>
      <c r="S88" s="73">
        <f>SUMPRODUCT(-('Gastos Gerais'!$B$4:$B$615=Analítico!$B88),-(Analítico!S$3&gt;='Gastos Gerais'!$D$4:$D$615),-(Analítico!S$3&lt;='Gastos Gerais'!$E$4:$E$615),-('Gastos Gerais'!$C$4:$C$615))</f>
        <v>0</v>
      </c>
      <c r="T88" s="73">
        <f>SUMPRODUCT(-('Gastos Gerais'!$B$4:$B$615=Analítico!$B88),-(Analítico!T$3&gt;='Gastos Gerais'!$D$4:$D$615),-(Analítico!T$3&lt;='Gastos Gerais'!$E$4:$E$615),-('Gastos Gerais'!$C$4:$C$615))</f>
        <v>0</v>
      </c>
      <c r="U88" s="73">
        <f>SUMPRODUCT(-('Gastos Gerais'!$B$4:$B$615=Analítico!$B88),-(Analítico!U$3&gt;='Gastos Gerais'!$D$4:$D$615),-(Analítico!U$3&lt;='Gastos Gerais'!$E$4:$E$615),-('Gastos Gerais'!$C$4:$C$615))</f>
        <v>0</v>
      </c>
      <c r="V88" s="73">
        <f>SUMPRODUCT(-('Gastos Gerais'!$B$4:$B$615=Analítico!$B88),-(Analítico!V$3&gt;='Gastos Gerais'!$D$4:$D$615),-(Analítico!V$3&lt;='Gastos Gerais'!$E$4:$E$615),-('Gastos Gerais'!$C$4:$C$615))</f>
        <v>0</v>
      </c>
      <c r="W88" s="73">
        <f>SUMPRODUCT(-('Gastos Gerais'!$B$4:$B$615=Analítico!$B88),-(Analítico!W$3&gt;='Gastos Gerais'!$D$4:$D$615),-(Analítico!W$3&lt;='Gastos Gerais'!$E$4:$E$615),-('Gastos Gerais'!$C$4:$C$615))</f>
        <v>0</v>
      </c>
      <c r="X88" s="73">
        <f>SUMPRODUCT(-('Gastos Gerais'!$B$4:$B$615=Analítico!$B88),-(Analítico!X$3&gt;='Gastos Gerais'!$D$4:$D$615),-(Analítico!X$3&lt;='Gastos Gerais'!$E$4:$E$615),-('Gastos Gerais'!$C$4:$C$615))</f>
        <v>0</v>
      </c>
      <c r="Y88" s="73">
        <f>SUMPRODUCT(-('Gastos Gerais'!$B$4:$B$615=Analítico!$B88),-(Analítico!Y$3&gt;='Gastos Gerais'!$D$4:$D$615),-(Analítico!Y$3&lt;='Gastos Gerais'!$E$4:$E$615),-('Gastos Gerais'!$C$4:$C$615))</f>
        <v>0</v>
      </c>
      <c r="Z88" s="73">
        <f>SUMPRODUCT(-('Gastos Gerais'!$B$4:$B$615=Analítico!$B88),-(Analítico!Z$3&gt;='Gastos Gerais'!$D$4:$D$615),-(Analítico!Z$3&lt;='Gastos Gerais'!$E$4:$E$615),-('Gastos Gerais'!$C$4:$C$615))</f>
        <v>0</v>
      </c>
      <c r="AA88" s="73">
        <f>SUMPRODUCT(-('Gastos Gerais'!$B$4:$B$615=Analítico!$B88),-(Analítico!AA$3&gt;='Gastos Gerais'!$D$4:$D$615),-(Analítico!AA$3&lt;='Gastos Gerais'!$E$4:$E$615),-('Gastos Gerais'!$C$4:$C$615))</f>
        <v>0</v>
      </c>
      <c r="AB88" s="73">
        <f>SUMPRODUCT(-('Gastos Gerais'!$B$4:$B$615=Analítico!$B88),-(Analítico!AB$3&gt;='Gastos Gerais'!$D$4:$D$615),-(Analítico!AB$3&lt;='Gastos Gerais'!$E$4:$E$615),-('Gastos Gerais'!$C$4:$C$615))</f>
        <v>0</v>
      </c>
      <c r="AC88" s="73">
        <f>SUMPRODUCT(-('Gastos Gerais'!$B$4:$B$615=Analítico!$B88),-(Analítico!AC$3&gt;='Gastos Gerais'!$D$4:$D$615),-(Analítico!AC$3&lt;='Gastos Gerais'!$E$4:$E$615),-('Gastos Gerais'!$C$4:$C$615))</f>
        <v>0</v>
      </c>
      <c r="AD88" s="73">
        <f>SUMPRODUCT(-('Gastos Gerais'!$B$4:$B$615=Analítico!$B88),-(Analítico!AD$3&gt;='Gastos Gerais'!$D$4:$D$615),-(Analítico!AD$3&lt;='Gastos Gerais'!$E$4:$E$615),-('Gastos Gerais'!$C$4:$C$615))</f>
        <v>0</v>
      </c>
      <c r="AE88" s="73">
        <f>SUMPRODUCT(-('Gastos Gerais'!$B$4:$B$615=Analítico!$B88),-(Analítico!AE$3&gt;='Gastos Gerais'!$D$4:$D$615),-(Analítico!AE$3&lt;='Gastos Gerais'!$E$4:$E$615),-('Gastos Gerais'!$C$4:$C$615))</f>
        <v>0</v>
      </c>
      <c r="AF88" s="73">
        <f>SUMPRODUCT(-('Gastos Gerais'!$B$4:$B$615=Analítico!$B88),-(Analítico!AF$3&gt;='Gastos Gerais'!$D$4:$D$615),-(Analítico!AF$3&lt;='Gastos Gerais'!$E$4:$E$615),-('Gastos Gerais'!$C$4:$C$615))</f>
        <v>0</v>
      </c>
      <c r="AG88" s="73">
        <f>SUMPRODUCT(-('Gastos Gerais'!$B$4:$B$615=Analítico!$B88),-(Analítico!AG$3&gt;='Gastos Gerais'!$D$4:$D$615),-(Analítico!AG$3&lt;='Gastos Gerais'!$E$4:$E$615),-('Gastos Gerais'!$C$4:$C$615))</f>
        <v>0</v>
      </c>
      <c r="AH88" s="73">
        <f>SUMPRODUCT(-('Gastos Gerais'!$B$4:$B$615=Analítico!$B88),-(Analítico!AH$3&gt;='Gastos Gerais'!$D$4:$D$615),-(Analítico!AH$3&lt;='Gastos Gerais'!$E$4:$E$615),-('Gastos Gerais'!$C$4:$C$615))</f>
        <v>0</v>
      </c>
      <c r="AI88" s="73">
        <f>SUMPRODUCT(-('Gastos Gerais'!$B$4:$B$615=Analítico!$B88),-(Analítico!AI$3&gt;='Gastos Gerais'!$D$4:$D$615),-(Analítico!AI$3&lt;='Gastos Gerais'!$E$4:$E$615),-('Gastos Gerais'!$C$4:$C$615))</f>
        <v>0</v>
      </c>
      <c r="AJ88" s="73">
        <f>SUMPRODUCT(-('Gastos Gerais'!$B$4:$B$615=Analítico!$B88),-(Analítico!AJ$3&gt;='Gastos Gerais'!$D$4:$D$615),-(Analítico!AJ$3&lt;='Gastos Gerais'!$E$4:$E$615),-('Gastos Gerais'!$C$4:$C$615))</f>
        <v>0</v>
      </c>
      <c r="AK88" s="73">
        <f>SUMPRODUCT(-('Gastos Gerais'!$B$4:$B$615=Analítico!$B88),-(Analítico!AK$3&gt;='Gastos Gerais'!$D$4:$D$615),-(Analítico!AK$3&lt;='Gastos Gerais'!$E$4:$E$615),-('Gastos Gerais'!$C$4:$C$615))</f>
        <v>0</v>
      </c>
      <c r="AL88" s="73">
        <f>SUMPRODUCT(-('Gastos Gerais'!$B$4:$B$615=Analítico!$B88),-(Analítico!AL$3&gt;='Gastos Gerais'!$D$4:$D$615),-(Analítico!AL$3&lt;='Gastos Gerais'!$E$4:$E$615),-('Gastos Gerais'!$C$4:$C$615))</f>
        <v>0</v>
      </c>
      <c r="AM88" s="73">
        <f>SUMPRODUCT(-('Gastos Gerais'!$B$4:$B$615=Analítico!$B88),-(Analítico!AM$3&gt;='Gastos Gerais'!$D$4:$D$615),-(Analítico!AM$3&lt;='Gastos Gerais'!$E$4:$E$615),-('Gastos Gerais'!$C$4:$C$615))</f>
        <v>0</v>
      </c>
      <c r="AN88" s="73">
        <f>SUMPRODUCT(-('Gastos Gerais'!$B$4:$B$615=Analítico!$B88),-(Analítico!AN$3&gt;='Gastos Gerais'!$D$4:$D$615),-(Analítico!AN$3&lt;='Gastos Gerais'!$E$4:$E$615),-('Gastos Gerais'!$C$4:$C$615))</f>
        <v>0</v>
      </c>
      <c r="AO88" s="73">
        <f>SUMPRODUCT(-('Gastos Gerais'!$B$4:$B$615=Analítico!$B88),-(Analítico!AO$3&gt;='Gastos Gerais'!$D$4:$D$615),-(Analítico!AO$3&lt;='Gastos Gerais'!$E$4:$E$615),-('Gastos Gerais'!$C$4:$C$615))</f>
        <v>0</v>
      </c>
      <c r="AP88" s="73">
        <f>SUMPRODUCT(-('Gastos Gerais'!$B$4:$B$615=Analítico!$B88),-(Analítico!AP$3&gt;='Gastos Gerais'!$D$4:$D$615),-(Analítico!AP$3&lt;='Gastos Gerais'!$E$4:$E$615),-('Gastos Gerais'!$C$4:$C$615))</f>
        <v>0</v>
      </c>
      <c r="AQ88" s="73">
        <f>SUMPRODUCT(-('Gastos Gerais'!$B$4:$B$615=Analítico!$B88),-(Analítico!AQ$3&gt;='Gastos Gerais'!$D$4:$D$615),-(Analítico!AQ$3&lt;='Gastos Gerais'!$E$4:$E$615),-('Gastos Gerais'!$C$4:$C$615))</f>
        <v>0</v>
      </c>
      <c r="AR88" s="73">
        <f>SUMPRODUCT(-('Gastos Gerais'!$B$4:$B$615=Analítico!$B88),-(Analítico!AR$3&gt;='Gastos Gerais'!$D$4:$D$615),-(Analítico!AR$3&lt;='Gastos Gerais'!$E$4:$E$615),-('Gastos Gerais'!$C$4:$C$615))</f>
        <v>0</v>
      </c>
      <c r="AS88" s="73">
        <f>SUMPRODUCT(-('Gastos Gerais'!$B$4:$B$615=Analítico!$B88),-(Analítico!AS$3&gt;='Gastos Gerais'!$D$4:$D$615),-(Analítico!AS$3&lt;='Gastos Gerais'!$E$4:$E$615),-('Gastos Gerais'!$C$4:$C$615))</f>
        <v>0</v>
      </c>
      <c r="AT88" s="73">
        <f>SUMPRODUCT(-('Gastos Gerais'!$B$4:$B$615=Analítico!$B88),-(Analítico!AT$3&gt;='Gastos Gerais'!$D$4:$D$615),-(Analítico!AT$3&lt;='Gastos Gerais'!$E$4:$E$615),-('Gastos Gerais'!$C$4:$C$615))</f>
        <v>0</v>
      </c>
      <c r="AU88" s="73">
        <f>SUMPRODUCT(-('Gastos Gerais'!$B$4:$B$615=Analítico!$B88),-(Analítico!AU$3&gt;='Gastos Gerais'!$D$4:$D$615),-(Analítico!AU$3&lt;='Gastos Gerais'!$E$4:$E$615),-('Gastos Gerais'!$C$4:$C$615))</f>
        <v>0</v>
      </c>
      <c r="AV88" s="73">
        <f>SUMPRODUCT(-('Gastos Gerais'!$B$4:$B$615=Analítico!$B88),-(Analítico!AV$3&gt;='Gastos Gerais'!$D$4:$D$615),-(Analítico!AV$3&lt;='Gastos Gerais'!$E$4:$E$615),-('Gastos Gerais'!$C$4:$C$615))</f>
        <v>0</v>
      </c>
      <c r="AW88" s="73">
        <f>SUMPRODUCT(-('Gastos Gerais'!$B$4:$B$615=Analítico!$B88),-(Analítico!AW$3&gt;='Gastos Gerais'!$D$4:$D$615),-(Analítico!AW$3&lt;='Gastos Gerais'!$E$4:$E$615),-('Gastos Gerais'!$C$4:$C$615))</f>
        <v>0</v>
      </c>
      <c r="AX88" s="73">
        <f>SUMPRODUCT(-('Gastos Gerais'!$B$4:$B$615=Analítico!$B88),-(Analítico!AX$3&gt;='Gastos Gerais'!$D$4:$D$615),-(Analítico!AX$3&lt;='Gastos Gerais'!$E$4:$E$615),-('Gastos Gerais'!$C$4:$C$615))</f>
        <v>0</v>
      </c>
      <c r="AY88" s="73">
        <f>SUMPRODUCT(-('Gastos Gerais'!$B$4:$B$615=Analítico!$B88),-(Analítico!AY$3&gt;='Gastos Gerais'!$D$4:$D$615),-(Analítico!AY$3&lt;='Gastos Gerais'!$E$4:$E$615),-('Gastos Gerais'!$C$4:$C$615))</f>
        <v>0</v>
      </c>
      <c r="AZ88" s="73">
        <f>SUMPRODUCT(-('Gastos Gerais'!$B$4:$B$615=Analítico!$B88),-(Analítico!AZ$3&gt;='Gastos Gerais'!$D$4:$D$615),-(Analítico!AZ$3&lt;='Gastos Gerais'!$E$4:$E$615),-('Gastos Gerais'!$C$4:$C$615))</f>
        <v>0</v>
      </c>
      <c r="BA88" s="73">
        <f>SUMPRODUCT(-('Gastos Gerais'!$B$4:$B$615=Analítico!$B88),-(Analítico!BA$3&gt;='Gastos Gerais'!$D$4:$D$615),-(Analítico!BA$3&lt;='Gastos Gerais'!$E$4:$E$615),-('Gastos Gerais'!$C$4:$C$615))</f>
        <v>0</v>
      </c>
      <c r="BB88" s="73">
        <f>SUMPRODUCT(-('Gastos Gerais'!$B$4:$B$615=Analítico!$B88),-(Analítico!BB$3&gt;='Gastos Gerais'!$D$4:$D$615),-(Analítico!BB$3&lt;='Gastos Gerais'!$E$4:$E$615),-('Gastos Gerais'!$C$4:$C$615))</f>
        <v>0</v>
      </c>
      <c r="BC88" s="73">
        <f>SUMPRODUCT(-('Gastos Gerais'!$B$4:$B$615=Analítico!$B88),-(Analítico!BC$3&gt;='Gastos Gerais'!$D$4:$D$615),-(Analítico!BC$3&lt;='Gastos Gerais'!$E$4:$E$615),-('Gastos Gerais'!$C$4:$C$615))</f>
        <v>0</v>
      </c>
      <c r="BD88" s="73">
        <f>SUMPRODUCT(-('Gastos Gerais'!$B$4:$B$615=Analítico!$B88),-(Analítico!BD$3&gt;='Gastos Gerais'!$D$4:$D$615),-(Analítico!BD$3&lt;='Gastos Gerais'!$E$4:$E$615),-('Gastos Gerais'!$C$4:$C$615))</f>
        <v>0</v>
      </c>
      <c r="BE88" s="73">
        <f>SUMPRODUCT(-('Gastos Gerais'!$B$4:$B$615=Analítico!$B88),-(Analítico!BE$3&gt;='Gastos Gerais'!$D$4:$D$615),-(Analítico!BE$3&lt;='Gastos Gerais'!$E$4:$E$615),-('Gastos Gerais'!$C$4:$C$615))</f>
        <v>0</v>
      </c>
      <c r="BF88" s="73">
        <f>SUMPRODUCT(-('Gastos Gerais'!$B$4:$B$615=Analítico!$B88),-(Analítico!BF$3&gt;='Gastos Gerais'!$D$4:$D$615),-(Analítico!BF$3&lt;='Gastos Gerais'!$E$4:$E$615),-('Gastos Gerais'!$C$4:$C$615))</f>
        <v>0</v>
      </c>
      <c r="BG88" s="73">
        <f>SUMPRODUCT(-('Gastos Gerais'!$B$4:$B$615=Analítico!$B88),-(Analítico!BG$3&gt;='Gastos Gerais'!$D$4:$D$615),-(Analítico!BG$3&lt;='Gastos Gerais'!$E$4:$E$615),-('Gastos Gerais'!$C$4:$C$615))</f>
        <v>0</v>
      </c>
      <c r="BH88" s="73">
        <f>SUMPRODUCT(-('Gastos Gerais'!$B$4:$B$615=Analítico!$B88),-(Analítico!BH$3&gt;='Gastos Gerais'!$D$4:$D$615),-(Analítico!BH$3&lt;='Gastos Gerais'!$E$4:$E$615),-('Gastos Gerais'!$C$4:$C$615))</f>
        <v>0</v>
      </c>
      <c r="BI88" s="73">
        <f>SUMPRODUCT(-('Gastos Gerais'!$B$4:$B$615=Analítico!$B88),-(Analítico!BI$3&gt;='Gastos Gerais'!$D$4:$D$615),-(Analítico!BI$3&lt;='Gastos Gerais'!$E$4:$E$615),-('Gastos Gerais'!$C$4:$C$615))</f>
        <v>0</v>
      </c>
      <c r="BJ88" s="73">
        <f>SUMPRODUCT(-('Gastos Gerais'!$B$4:$B$615=Analítico!$B88),-(Analítico!BJ$3&gt;='Gastos Gerais'!$D$4:$D$615),-(Analítico!BJ$3&lt;='Gastos Gerais'!$E$4:$E$615),-('Gastos Gerais'!$C$4:$C$615))</f>
        <v>0</v>
      </c>
      <c r="BK88" s="71">
        <f t="shared" si="31"/>
        <v>0</v>
      </c>
      <c r="BL88" s="76">
        <f t="shared" ca="1" si="32"/>
        <v>0</v>
      </c>
    </row>
    <row r="89" spans="1:64" s="49" customFormat="1" ht="23.25" customHeight="1" x14ac:dyDescent="0.2">
      <c r="A89" s="109" t="s">
        <v>246</v>
      </c>
      <c r="B89" s="112" t="s">
        <v>247</v>
      </c>
      <c r="C89" s="73">
        <f>SUMPRODUCT(-('Gastos Gerais'!$B$4:$B$615=Analítico!$B89),-(Analítico!C$3&gt;='Gastos Gerais'!$D$4:$D$615),-(Analítico!C$3&lt;='Gastos Gerais'!$E$4:$E$615),-('Gastos Gerais'!$C$4:$C$615))</f>
        <v>0</v>
      </c>
      <c r="D89" s="73">
        <f>SUMPRODUCT(-('Gastos Gerais'!$B$4:$B$615=Analítico!$B89),-(Analítico!D$3&gt;='Gastos Gerais'!$D$4:$D$615),-(Analítico!D$3&lt;='Gastos Gerais'!$E$4:$E$615),-('Gastos Gerais'!$C$4:$C$615))</f>
        <v>0</v>
      </c>
      <c r="E89" s="73">
        <f>SUMPRODUCT(-('Gastos Gerais'!$B$4:$B$615=Analítico!$B89),-(Analítico!E$3&gt;='Gastos Gerais'!$D$4:$D$615),-(Analítico!E$3&lt;='Gastos Gerais'!$E$4:$E$615),-('Gastos Gerais'!$C$4:$C$615))</f>
        <v>0</v>
      </c>
      <c r="F89" s="73">
        <f>SUMPRODUCT(-('Gastos Gerais'!$B$4:$B$615=Analítico!$B89),-(Analítico!F$3&gt;='Gastos Gerais'!$D$4:$D$615),-(Analítico!F$3&lt;='Gastos Gerais'!$E$4:$E$615),-('Gastos Gerais'!$C$4:$C$615))</f>
        <v>0</v>
      </c>
      <c r="G89" s="73">
        <f>SUMPRODUCT(-('Gastos Gerais'!$B$4:$B$615=Analítico!$B89),-(Analítico!G$3&gt;='Gastos Gerais'!$D$4:$D$615),-(Analítico!G$3&lt;='Gastos Gerais'!$E$4:$E$615),-('Gastos Gerais'!$C$4:$C$615))</f>
        <v>0</v>
      </c>
      <c r="H89" s="73">
        <f>SUMPRODUCT(-('Gastos Gerais'!$B$4:$B$615=Analítico!$B89),-(Analítico!H$3&gt;='Gastos Gerais'!$D$4:$D$615),-(Analítico!H$3&lt;='Gastos Gerais'!$E$4:$E$615),-('Gastos Gerais'!$C$4:$C$615))</f>
        <v>0</v>
      </c>
      <c r="I89" s="73">
        <f>SUMPRODUCT(-('Gastos Gerais'!$B$4:$B$615=Analítico!$B89),-(Analítico!I$3&gt;='Gastos Gerais'!$D$4:$D$615),-(Analítico!I$3&lt;='Gastos Gerais'!$E$4:$E$615),-('Gastos Gerais'!$C$4:$C$615))</f>
        <v>0</v>
      </c>
      <c r="J89" s="73">
        <f>SUMPRODUCT(-('Gastos Gerais'!$B$4:$B$615=Analítico!$B89),-(Analítico!J$3&gt;='Gastos Gerais'!$D$4:$D$615),-(Analítico!J$3&lt;='Gastos Gerais'!$E$4:$E$615),-('Gastos Gerais'!$C$4:$C$615))</f>
        <v>0</v>
      </c>
      <c r="K89" s="73">
        <f>SUMPRODUCT(-('Gastos Gerais'!$B$4:$B$615=Analítico!$B89),-(Analítico!K$3&gt;='Gastos Gerais'!$D$4:$D$615),-(Analítico!K$3&lt;='Gastos Gerais'!$E$4:$E$615),-('Gastos Gerais'!$C$4:$C$615))</f>
        <v>0</v>
      </c>
      <c r="L89" s="73">
        <f>SUMPRODUCT(-('Gastos Gerais'!$B$4:$B$615=Analítico!$B89),-(Analítico!L$3&gt;='Gastos Gerais'!$D$4:$D$615),-(Analítico!L$3&lt;='Gastos Gerais'!$E$4:$E$615),-('Gastos Gerais'!$C$4:$C$615))</f>
        <v>0</v>
      </c>
      <c r="M89" s="73">
        <f>SUMPRODUCT(-('Gastos Gerais'!$B$4:$B$615=Analítico!$B89),-(Analítico!M$3&gt;='Gastos Gerais'!$D$4:$D$615),-(Analítico!M$3&lt;='Gastos Gerais'!$E$4:$E$615),-('Gastos Gerais'!$C$4:$C$615))</f>
        <v>0</v>
      </c>
      <c r="N89" s="73">
        <f>SUMPRODUCT(-('Gastos Gerais'!$B$4:$B$615=Analítico!$B89),-(Analítico!N$3&gt;='Gastos Gerais'!$D$4:$D$615),-(Analítico!N$3&lt;='Gastos Gerais'!$E$4:$E$615),-('Gastos Gerais'!$C$4:$C$615))</f>
        <v>0</v>
      </c>
      <c r="O89" s="73">
        <f>SUMPRODUCT(-('Gastos Gerais'!$B$4:$B$615=Analítico!$B89),-(Analítico!O$3&gt;='Gastos Gerais'!$D$4:$D$615),-(Analítico!O$3&lt;='Gastos Gerais'!$E$4:$E$615),-('Gastos Gerais'!$C$4:$C$615))</f>
        <v>0</v>
      </c>
      <c r="P89" s="73">
        <f>SUMPRODUCT(-('Gastos Gerais'!$B$4:$B$615=Analítico!$B89),-(Analítico!P$3&gt;='Gastos Gerais'!$D$4:$D$615),-(Analítico!P$3&lt;='Gastos Gerais'!$E$4:$E$615),-('Gastos Gerais'!$C$4:$C$615))</f>
        <v>0</v>
      </c>
      <c r="Q89" s="73">
        <f>SUMPRODUCT(-('Gastos Gerais'!$B$4:$B$615=Analítico!$B89),-(Analítico!Q$3&gt;='Gastos Gerais'!$D$4:$D$615),-(Analítico!Q$3&lt;='Gastos Gerais'!$E$4:$E$615),-('Gastos Gerais'!$C$4:$C$615))</f>
        <v>0</v>
      </c>
      <c r="R89" s="73">
        <f>SUMPRODUCT(-('Gastos Gerais'!$B$4:$B$615=Analítico!$B89),-(Analítico!R$3&gt;='Gastos Gerais'!$D$4:$D$615),-(Analítico!R$3&lt;='Gastos Gerais'!$E$4:$E$615),-('Gastos Gerais'!$C$4:$C$615))</f>
        <v>0</v>
      </c>
      <c r="S89" s="73">
        <f>SUMPRODUCT(-('Gastos Gerais'!$B$4:$B$615=Analítico!$B89),-(Analítico!S$3&gt;='Gastos Gerais'!$D$4:$D$615),-(Analítico!S$3&lt;='Gastos Gerais'!$E$4:$E$615),-('Gastos Gerais'!$C$4:$C$615))</f>
        <v>0</v>
      </c>
      <c r="T89" s="73">
        <f>SUMPRODUCT(-('Gastos Gerais'!$B$4:$B$615=Analítico!$B89),-(Analítico!T$3&gt;='Gastos Gerais'!$D$4:$D$615),-(Analítico!T$3&lt;='Gastos Gerais'!$E$4:$E$615),-('Gastos Gerais'!$C$4:$C$615))</f>
        <v>0</v>
      </c>
      <c r="U89" s="73">
        <f>SUMPRODUCT(-('Gastos Gerais'!$B$4:$B$615=Analítico!$B89),-(Analítico!U$3&gt;='Gastos Gerais'!$D$4:$D$615),-(Analítico!U$3&lt;='Gastos Gerais'!$E$4:$E$615),-('Gastos Gerais'!$C$4:$C$615))</f>
        <v>0</v>
      </c>
      <c r="V89" s="73">
        <f>SUMPRODUCT(-('Gastos Gerais'!$B$4:$B$615=Analítico!$B89),-(Analítico!V$3&gt;='Gastos Gerais'!$D$4:$D$615),-(Analítico!V$3&lt;='Gastos Gerais'!$E$4:$E$615),-('Gastos Gerais'!$C$4:$C$615))</f>
        <v>0</v>
      </c>
      <c r="W89" s="73">
        <f>SUMPRODUCT(-('Gastos Gerais'!$B$4:$B$615=Analítico!$B89),-(Analítico!W$3&gt;='Gastos Gerais'!$D$4:$D$615),-(Analítico!W$3&lt;='Gastos Gerais'!$E$4:$E$615),-('Gastos Gerais'!$C$4:$C$615))</f>
        <v>0</v>
      </c>
      <c r="X89" s="73">
        <f>SUMPRODUCT(-('Gastos Gerais'!$B$4:$B$615=Analítico!$B89),-(Analítico!X$3&gt;='Gastos Gerais'!$D$4:$D$615),-(Analítico!X$3&lt;='Gastos Gerais'!$E$4:$E$615),-('Gastos Gerais'!$C$4:$C$615))</f>
        <v>0</v>
      </c>
      <c r="Y89" s="73">
        <f>SUMPRODUCT(-('Gastos Gerais'!$B$4:$B$615=Analítico!$B89),-(Analítico!Y$3&gt;='Gastos Gerais'!$D$4:$D$615),-(Analítico!Y$3&lt;='Gastos Gerais'!$E$4:$E$615),-('Gastos Gerais'!$C$4:$C$615))</f>
        <v>0</v>
      </c>
      <c r="Z89" s="73">
        <f>SUMPRODUCT(-('Gastos Gerais'!$B$4:$B$615=Analítico!$B89),-(Analítico!Z$3&gt;='Gastos Gerais'!$D$4:$D$615),-(Analítico!Z$3&lt;='Gastos Gerais'!$E$4:$E$615),-('Gastos Gerais'!$C$4:$C$615))</f>
        <v>0</v>
      </c>
      <c r="AA89" s="73">
        <f>SUMPRODUCT(-('Gastos Gerais'!$B$4:$B$615=Analítico!$B89),-(Analítico!AA$3&gt;='Gastos Gerais'!$D$4:$D$615),-(Analítico!AA$3&lt;='Gastos Gerais'!$E$4:$E$615),-('Gastos Gerais'!$C$4:$C$615))</f>
        <v>0</v>
      </c>
      <c r="AB89" s="73">
        <f>SUMPRODUCT(-('Gastos Gerais'!$B$4:$B$615=Analítico!$B89),-(Analítico!AB$3&gt;='Gastos Gerais'!$D$4:$D$615),-(Analítico!AB$3&lt;='Gastos Gerais'!$E$4:$E$615),-('Gastos Gerais'!$C$4:$C$615))</f>
        <v>0</v>
      </c>
      <c r="AC89" s="73">
        <f>SUMPRODUCT(-('Gastos Gerais'!$B$4:$B$615=Analítico!$B89),-(Analítico!AC$3&gt;='Gastos Gerais'!$D$4:$D$615),-(Analítico!AC$3&lt;='Gastos Gerais'!$E$4:$E$615),-('Gastos Gerais'!$C$4:$C$615))</f>
        <v>0</v>
      </c>
      <c r="AD89" s="73">
        <f>SUMPRODUCT(-('Gastos Gerais'!$B$4:$B$615=Analítico!$B89),-(Analítico!AD$3&gt;='Gastos Gerais'!$D$4:$D$615),-(Analítico!AD$3&lt;='Gastos Gerais'!$E$4:$E$615),-('Gastos Gerais'!$C$4:$C$615))</f>
        <v>0</v>
      </c>
      <c r="AE89" s="73">
        <f>SUMPRODUCT(-('Gastos Gerais'!$B$4:$B$615=Analítico!$B89),-(Analítico!AE$3&gt;='Gastos Gerais'!$D$4:$D$615),-(Analítico!AE$3&lt;='Gastos Gerais'!$E$4:$E$615),-('Gastos Gerais'!$C$4:$C$615))</f>
        <v>0</v>
      </c>
      <c r="AF89" s="73">
        <f>SUMPRODUCT(-('Gastos Gerais'!$B$4:$B$615=Analítico!$B89),-(Analítico!AF$3&gt;='Gastos Gerais'!$D$4:$D$615),-(Analítico!AF$3&lt;='Gastos Gerais'!$E$4:$E$615),-('Gastos Gerais'!$C$4:$C$615))</f>
        <v>0</v>
      </c>
      <c r="AG89" s="73">
        <f>SUMPRODUCT(-('Gastos Gerais'!$B$4:$B$615=Analítico!$B89),-(Analítico!AG$3&gt;='Gastos Gerais'!$D$4:$D$615),-(Analítico!AG$3&lt;='Gastos Gerais'!$E$4:$E$615),-('Gastos Gerais'!$C$4:$C$615))</f>
        <v>0</v>
      </c>
      <c r="AH89" s="73">
        <f>SUMPRODUCT(-('Gastos Gerais'!$B$4:$B$615=Analítico!$B89),-(Analítico!AH$3&gt;='Gastos Gerais'!$D$4:$D$615),-(Analítico!AH$3&lt;='Gastos Gerais'!$E$4:$E$615),-('Gastos Gerais'!$C$4:$C$615))</f>
        <v>0</v>
      </c>
      <c r="AI89" s="73">
        <f>SUMPRODUCT(-('Gastos Gerais'!$B$4:$B$615=Analítico!$B89),-(Analítico!AI$3&gt;='Gastos Gerais'!$D$4:$D$615),-(Analítico!AI$3&lt;='Gastos Gerais'!$E$4:$E$615),-('Gastos Gerais'!$C$4:$C$615))</f>
        <v>0</v>
      </c>
      <c r="AJ89" s="73">
        <f>SUMPRODUCT(-('Gastos Gerais'!$B$4:$B$615=Analítico!$B89),-(Analítico!AJ$3&gt;='Gastos Gerais'!$D$4:$D$615),-(Analítico!AJ$3&lt;='Gastos Gerais'!$E$4:$E$615),-('Gastos Gerais'!$C$4:$C$615))</f>
        <v>0</v>
      </c>
      <c r="AK89" s="73">
        <f>SUMPRODUCT(-('Gastos Gerais'!$B$4:$B$615=Analítico!$B89),-(Analítico!AK$3&gt;='Gastos Gerais'!$D$4:$D$615),-(Analítico!AK$3&lt;='Gastos Gerais'!$E$4:$E$615),-('Gastos Gerais'!$C$4:$C$615))</f>
        <v>0</v>
      </c>
      <c r="AL89" s="73">
        <f>SUMPRODUCT(-('Gastos Gerais'!$B$4:$B$615=Analítico!$B89),-(Analítico!AL$3&gt;='Gastos Gerais'!$D$4:$D$615),-(Analítico!AL$3&lt;='Gastos Gerais'!$E$4:$E$615),-('Gastos Gerais'!$C$4:$C$615))</f>
        <v>0</v>
      </c>
      <c r="AM89" s="73">
        <f>SUMPRODUCT(-('Gastos Gerais'!$B$4:$B$615=Analítico!$B89),-(Analítico!AM$3&gt;='Gastos Gerais'!$D$4:$D$615),-(Analítico!AM$3&lt;='Gastos Gerais'!$E$4:$E$615),-('Gastos Gerais'!$C$4:$C$615))</f>
        <v>0</v>
      </c>
      <c r="AN89" s="73">
        <f>SUMPRODUCT(-('Gastos Gerais'!$B$4:$B$615=Analítico!$B89),-(Analítico!AN$3&gt;='Gastos Gerais'!$D$4:$D$615),-(Analítico!AN$3&lt;='Gastos Gerais'!$E$4:$E$615),-('Gastos Gerais'!$C$4:$C$615))</f>
        <v>0</v>
      </c>
      <c r="AO89" s="73">
        <f>SUMPRODUCT(-('Gastos Gerais'!$B$4:$B$615=Analítico!$B89),-(Analítico!AO$3&gt;='Gastos Gerais'!$D$4:$D$615),-(Analítico!AO$3&lt;='Gastos Gerais'!$E$4:$E$615),-('Gastos Gerais'!$C$4:$C$615))</f>
        <v>0</v>
      </c>
      <c r="AP89" s="73">
        <f>SUMPRODUCT(-('Gastos Gerais'!$B$4:$B$615=Analítico!$B89),-(Analítico!AP$3&gt;='Gastos Gerais'!$D$4:$D$615),-(Analítico!AP$3&lt;='Gastos Gerais'!$E$4:$E$615),-('Gastos Gerais'!$C$4:$C$615))</f>
        <v>0</v>
      </c>
      <c r="AQ89" s="73">
        <f>SUMPRODUCT(-('Gastos Gerais'!$B$4:$B$615=Analítico!$B89),-(Analítico!AQ$3&gt;='Gastos Gerais'!$D$4:$D$615),-(Analítico!AQ$3&lt;='Gastos Gerais'!$E$4:$E$615),-('Gastos Gerais'!$C$4:$C$615))</f>
        <v>0</v>
      </c>
      <c r="AR89" s="73">
        <f>SUMPRODUCT(-('Gastos Gerais'!$B$4:$B$615=Analítico!$B89),-(Analítico!AR$3&gt;='Gastos Gerais'!$D$4:$D$615),-(Analítico!AR$3&lt;='Gastos Gerais'!$E$4:$E$615),-('Gastos Gerais'!$C$4:$C$615))</f>
        <v>0</v>
      </c>
      <c r="AS89" s="73">
        <f>SUMPRODUCT(-('Gastos Gerais'!$B$4:$B$615=Analítico!$B89),-(Analítico!AS$3&gt;='Gastos Gerais'!$D$4:$D$615),-(Analítico!AS$3&lt;='Gastos Gerais'!$E$4:$E$615),-('Gastos Gerais'!$C$4:$C$615))</f>
        <v>0</v>
      </c>
      <c r="AT89" s="73">
        <f>SUMPRODUCT(-('Gastos Gerais'!$B$4:$B$615=Analítico!$B89),-(Analítico!AT$3&gt;='Gastos Gerais'!$D$4:$D$615),-(Analítico!AT$3&lt;='Gastos Gerais'!$E$4:$E$615),-('Gastos Gerais'!$C$4:$C$615))</f>
        <v>0</v>
      </c>
      <c r="AU89" s="73">
        <f>SUMPRODUCT(-('Gastos Gerais'!$B$4:$B$615=Analítico!$B89),-(Analítico!AU$3&gt;='Gastos Gerais'!$D$4:$D$615),-(Analítico!AU$3&lt;='Gastos Gerais'!$E$4:$E$615),-('Gastos Gerais'!$C$4:$C$615))</f>
        <v>0</v>
      </c>
      <c r="AV89" s="73">
        <f>SUMPRODUCT(-('Gastos Gerais'!$B$4:$B$615=Analítico!$B89),-(Analítico!AV$3&gt;='Gastos Gerais'!$D$4:$D$615),-(Analítico!AV$3&lt;='Gastos Gerais'!$E$4:$E$615),-('Gastos Gerais'!$C$4:$C$615))</f>
        <v>0</v>
      </c>
      <c r="AW89" s="73">
        <f>SUMPRODUCT(-('Gastos Gerais'!$B$4:$B$615=Analítico!$B89),-(Analítico!AW$3&gt;='Gastos Gerais'!$D$4:$D$615),-(Analítico!AW$3&lt;='Gastos Gerais'!$E$4:$E$615),-('Gastos Gerais'!$C$4:$C$615))</f>
        <v>0</v>
      </c>
      <c r="AX89" s="73">
        <f>SUMPRODUCT(-('Gastos Gerais'!$B$4:$B$615=Analítico!$B89),-(Analítico!AX$3&gt;='Gastos Gerais'!$D$4:$D$615),-(Analítico!AX$3&lt;='Gastos Gerais'!$E$4:$E$615),-('Gastos Gerais'!$C$4:$C$615))</f>
        <v>0</v>
      </c>
      <c r="AY89" s="73">
        <f>SUMPRODUCT(-('Gastos Gerais'!$B$4:$B$615=Analítico!$B89),-(Analítico!AY$3&gt;='Gastos Gerais'!$D$4:$D$615),-(Analítico!AY$3&lt;='Gastos Gerais'!$E$4:$E$615),-('Gastos Gerais'!$C$4:$C$615))</f>
        <v>0</v>
      </c>
      <c r="AZ89" s="73">
        <f>SUMPRODUCT(-('Gastos Gerais'!$B$4:$B$615=Analítico!$B89),-(Analítico!AZ$3&gt;='Gastos Gerais'!$D$4:$D$615),-(Analítico!AZ$3&lt;='Gastos Gerais'!$E$4:$E$615),-('Gastos Gerais'!$C$4:$C$615))</f>
        <v>0</v>
      </c>
      <c r="BA89" s="73">
        <f>SUMPRODUCT(-('Gastos Gerais'!$B$4:$B$615=Analítico!$B89),-(Analítico!BA$3&gt;='Gastos Gerais'!$D$4:$D$615),-(Analítico!BA$3&lt;='Gastos Gerais'!$E$4:$E$615),-('Gastos Gerais'!$C$4:$C$615))</f>
        <v>0</v>
      </c>
      <c r="BB89" s="73">
        <f>SUMPRODUCT(-('Gastos Gerais'!$B$4:$B$615=Analítico!$B89),-(Analítico!BB$3&gt;='Gastos Gerais'!$D$4:$D$615),-(Analítico!BB$3&lt;='Gastos Gerais'!$E$4:$E$615),-('Gastos Gerais'!$C$4:$C$615))</f>
        <v>0</v>
      </c>
      <c r="BC89" s="73">
        <f>SUMPRODUCT(-('Gastos Gerais'!$B$4:$B$615=Analítico!$B89),-(Analítico!BC$3&gt;='Gastos Gerais'!$D$4:$D$615),-(Analítico!BC$3&lt;='Gastos Gerais'!$E$4:$E$615),-('Gastos Gerais'!$C$4:$C$615))</f>
        <v>0</v>
      </c>
      <c r="BD89" s="73">
        <f>SUMPRODUCT(-('Gastos Gerais'!$B$4:$B$615=Analítico!$B89),-(Analítico!BD$3&gt;='Gastos Gerais'!$D$4:$D$615),-(Analítico!BD$3&lt;='Gastos Gerais'!$E$4:$E$615),-('Gastos Gerais'!$C$4:$C$615))</f>
        <v>0</v>
      </c>
      <c r="BE89" s="73">
        <f>SUMPRODUCT(-('Gastos Gerais'!$B$4:$B$615=Analítico!$B89),-(Analítico!BE$3&gt;='Gastos Gerais'!$D$4:$D$615),-(Analítico!BE$3&lt;='Gastos Gerais'!$E$4:$E$615),-('Gastos Gerais'!$C$4:$C$615))</f>
        <v>0</v>
      </c>
      <c r="BF89" s="73">
        <f>SUMPRODUCT(-('Gastos Gerais'!$B$4:$B$615=Analítico!$B89),-(Analítico!BF$3&gt;='Gastos Gerais'!$D$4:$D$615),-(Analítico!BF$3&lt;='Gastos Gerais'!$E$4:$E$615),-('Gastos Gerais'!$C$4:$C$615))</f>
        <v>0</v>
      </c>
      <c r="BG89" s="73">
        <f>SUMPRODUCT(-('Gastos Gerais'!$B$4:$B$615=Analítico!$B89),-(Analítico!BG$3&gt;='Gastos Gerais'!$D$4:$D$615),-(Analítico!BG$3&lt;='Gastos Gerais'!$E$4:$E$615),-('Gastos Gerais'!$C$4:$C$615))</f>
        <v>0</v>
      </c>
      <c r="BH89" s="73">
        <f>SUMPRODUCT(-('Gastos Gerais'!$B$4:$B$615=Analítico!$B89),-(Analítico!BH$3&gt;='Gastos Gerais'!$D$4:$D$615),-(Analítico!BH$3&lt;='Gastos Gerais'!$E$4:$E$615),-('Gastos Gerais'!$C$4:$C$615))</f>
        <v>0</v>
      </c>
      <c r="BI89" s="73">
        <f>SUMPRODUCT(-('Gastos Gerais'!$B$4:$B$615=Analítico!$B89),-(Analítico!BI$3&gt;='Gastos Gerais'!$D$4:$D$615),-(Analítico!BI$3&lt;='Gastos Gerais'!$E$4:$E$615),-('Gastos Gerais'!$C$4:$C$615))</f>
        <v>0</v>
      </c>
      <c r="BJ89" s="73">
        <f>SUMPRODUCT(-('Gastos Gerais'!$B$4:$B$615=Analítico!$B89),-(Analítico!BJ$3&gt;='Gastos Gerais'!$D$4:$D$615),-(Analítico!BJ$3&lt;='Gastos Gerais'!$E$4:$E$615),-('Gastos Gerais'!$C$4:$C$615))</f>
        <v>0</v>
      </c>
      <c r="BK89" s="71">
        <f t="shared" si="31"/>
        <v>0</v>
      </c>
      <c r="BL89" s="76">
        <f t="shared" ca="1" si="32"/>
        <v>0</v>
      </c>
    </row>
    <row r="90" spans="1:64" s="49" customFormat="1" ht="23.25" customHeight="1" x14ac:dyDescent="0.2">
      <c r="A90" s="109" t="s">
        <v>248</v>
      </c>
      <c r="B90" s="112" t="s">
        <v>249</v>
      </c>
      <c r="C90" s="73">
        <f>SUMPRODUCT(-('Gastos Gerais'!$B$4:$B$615=Analítico!$B90),-(Analítico!C$3&gt;='Gastos Gerais'!$D$4:$D$615),-(Analítico!C$3&lt;='Gastos Gerais'!$E$4:$E$615),-('Gastos Gerais'!$C$4:$C$615))</f>
        <v>4600</v>
      </c>
      <c r="D90" s="73">
        <f>SUMPRODUCT(-('Gastos Gerais'!$B$4:$B$615=Analítico!$B90),-(Analítico!D$3&gt;='Gastos Gerais'!$D$4:$D$615),-(Analítico!D$3&lt;='Gastos Gerais'!$E$4:$E$615),-('Gastos Gerais'!$C$4:$C$615))</f>
        <v>4600</v>
      </c>
      <c r="E90" s="73">
        <f>SUMPRODUCT(-('Gastos Gerais'!$B$4:$B$615=Analítico!$B90),-(Analítico!E$3&gt;='Gastos Gerais'!$D$4:$D$615),-(Analítico!E$3&lt;='Gastos Gerais'!$E$4:$E$615),-('Gastos Gerais'!$C$4:$C$615))</f>
        <v>4600</v>
      </c>
      <c r="F90" s="73">
        <f>SUMPRODUCT(-('Gastos Gerais'!$B$4:$B$615=Analítico!$B90),-(Analítico!F$3&gt;='Gastos Gerais'!$D$4:$D$615),-(Analítico!F$3&lt;='Gastos Gerais'!$E$4:$E$615),-('Gastos Gerais'!$C$4:$C$615))</f>
        <v>4600</v>
      </c>
      <c r="G90" s="73">
        <f>SUMPRODUCT(-('Gastos Gerais'!$B$4:$B$615=Analítico!$B90),-(Analítico!G$3&gt;='Gastos Gerais'!$D$4:$D$615),-(Analítico!G$3&lt;='Gastos Gerais'!$E$4:$E$615),-('Gastos Gerais'!$C$4:$C$615))</f>
        <v>4600</v>
      </c>
      <c r="H90" s="73">
        <f>SUMPRODUCT(-('Gastos Gerais'!$B$4:$B$615=Analítico!$B90),-(Analítico!H$3&gt;='Gastos Gerais'!$D$4:$D$615),-(Analítico!H$3&lt;='Gastos Gerais'!$E$4:$E$615),-('Gastos Gerais'!$C$4:$C$615))</f>
        <v>4600</v>
      </c>
      <c r="I90" s="73">
        <f>SUMPRODUCT(-('Gastos Gerais'!$B$4:$B$615=Analítico!$B90),-(Analítico!I$3&gt;='Gastos Gerais'!$D$4:$D$615),-(Analítico!I$3&lt;='Gastos Gerais'!$E$4:$E$615),-('Gastos Gerais'!$C$4:$C$615))</f>
        <v>4600</v>
      </c>
      <c r="J90" s="73">
        <f>SUMPRODUCT(-('Gastos Gerais'!$B$4:$B$615=Analítico!$B90),-(Analítico!J$3&gt;='Gastos Gerais'!$D$4:$D$615),-(Analítico!J$3&lt;='Gastos Gerais'!$E$4:$E$615),-('Gastos Gerais'!$C$4:$C$615))</f>
        <v>4600</v>
      </c>
      <c r="K90" s="73">
        <f>SUMPRODUCT(-('Gastos Gerais'!$B$4:$B$615=Analítico!$B90),-(Analítico!K$3&gt;='Gastos Gerais'!$D$4:$D$615),-(Analítico!K$3&lt;='Gastos Gerais'!$E$4:$E$615),-('Gastos Gerais'!$C$4:$C$615))</f>
        <v>4600</v>
      </c>
      <c r="L90" s="73">
        <f>SUMPRODUCT(-('Gastos Gerais'!$B$4:$B$615=Analítico!$B90),-(Analítico!L$3&gt;='Gastos Gerais'!$D$4:$D$615),-(Analítico!L$3&lt;='Gastos Gerais'!$E$4:$E$615),-('Gastos Gerais'!$C$4:$C$615))</f>
        <v>4600</v>
      </c>
      <c r="M90" s="73">
        <f>SUMPRODUCT(-('Gastos Gerais'!$B$4:$B$615=Analítico!$B90),-(Analítico!M$3&gt;='Gastos Gerais'!$D$4:$D$615),-(Analítico!M$3&lt;='Gastos Gerais'!$E$4:$E$615),-('Gastos Gerais'!$C$4:$C$615))</f>
        <v>4600</v>
      </c>
      <c r="N90" s="73">
        <f>SUMPRODUCT(-('Gastos Gerais'!$B$4:$B$615=Analítico!$B90),-(Analítico!N$3&gt;='Gastos Gerais'!$D$4:$D$615),-(Analítico!N$3&lt;='Gastos Gerais'!$E$4:$E$615),-('Gastos Gerais'!$C$4:$C$615))</f>
        <v>4600</v>
      </c>
      <c r="O90" s="73">
        <f>SUMPRODUCT(-('Gastos Gerais'!$B$4:$B$615=Analítico!$B90),-(Analítico!O$3&gt;='Gastos Gerais'!$D$4:$D$615),-(Analítico!O$3&lt;='Gastos Gerais'!$E$4:$E$615),-('Gastos Gerais'!$C$4:$C$615))</f>
        <v>4600</v>
      </c>
      <c r="P90" s="73">
        <f>SUMPRODUCT(-('Gastos Gerais'!$B$4:$B$615=Analítico!$B90),-(Analítico!P$3&gt;='Gastos Gerais'!$D$4:$D$615),-(Analítico!P$3&lt;='Gastos Gerais'!$E$4:$E$615),-('Gastos Gerais'!$C$4:$C$615))</f>
        <v>4600</v>
      </c>
      <c r="Q90" s="73">
        <f>SUMPRODUCT(-('Gastos Gerais'!$B$4:$B$615=Analítico!$B90),-(Analítico!Q$3&gt;='Gastos Gerais'!$D$4:$D$615),-(Analítico!Q$3&lt;='Gastos Gerais'!$E$4:$E$615),-('Gastos Gerais'!$C$4:$C$615))</f>
        <v>4600</v>
      </c>
      <c r="R90" s="73">
        <f>SUMPRODUCT(-('Gastos Gerais'!$B$4:$B$615=Analítico!$B90),-(Analítico!R$3&gt;='Gastos Gerais'!$D$4:$D$615),-(Analítico!R$3&lt;='Gastos Gerais'!$E$4:$E$615),-('Gastos Gerais'!$C$4:$C$615))</f>
        <v>4600</v>
      </c>
      <c r="S90" s="73">
        <f>SUMPRODUCT(-('Gastos Gerais'!$B$4:$B$615=Analítico!$B90),-(Analítico!S$3&gt;='Gastos Gerais'!$D$4:$D$615),-(Analítico!S$3&lt;='Gastos Gerais'!$E$4:$E$615),-('Gastos Gerais'!$C$4:$C$615))</f>
        <v>4600</v>
      </c>
      <c r="T90" s="73">
        <f>SUMPRODUCT(-('Gastos Gerais'!$B$4:$B$615=Analítico!$B90),-(Analítico!T$3&gt;='Gastos Gerais'!$D$4:$D$615),-(Analítico!T$3&lt;='Gastos Gerais'!$E$4:$E$615),-('Gastos Gerais'!$C$4:$C$615))</f>
        <v>4600</v>
      </c>
      <c r="U90" s="73">
        <f>SUMPRODUCT(-('Gastos Gerais'!$B$4:$B$615=Analítico!$B90),-(Analítico!U$3&gt;='Gastos Gerais'!$D$4:$D$615),-(Analítico!U$3&lt;='Gastos Gerais'!$E$4:$E$615),-('Gastos Gerais'!$C$4:$C$615))</f>
        <v>4600</v>
      </c>
      <c r="V90" s="73">
        <f>SUMPRODUCT(-('Gastos Gerais'!$B$4:$B$615=Analítico!$B90),-(Analítico!V$3&gt;='Gastos Gerais'!$D$4:$D$615),-(Analítico!V$3&lt;='Gastos Gerais'!$E$4:$E$615),-('Gastos Gerais'!$C$4:$C$615))</f>
        <v>4600</v>
      </c>
      <c r="W90" s="73">
        <f>SUMPRODUCT(-('Gastos Gerais'!$B$4:$B$615=Analítico!$B90),-(Analítico!W$3&gt;='Gastos Gerais'!$D$4:$D$615),-(Analítico!W$3&lt;='Gastos Gerais'!$E$4:$E$615),-('Gastos Gerais'!$C$4:$C$615))</f>
        <v>4600</v>
      </c>
      <c r="X90" s="73">
        <f>SUMPRODUCT(-('Gastos Gerais'!$B$4:$B$615=Analítico!$B90),-(Analítico!X$3&gt;='Gastos Gerais'!$D$4:$D$615),-(Analítico!X$3&lt;='Gastos Gerais'!$E$4:$E$615),-('Gastos Gerais'!$C$4:$C$615))</f>
        <v>4600</v>
      </c>
      <c r="Y90" s="73">
        <f>SUMPRODUCT(-('Gastos Gerais'!$B$4:$B$615=Analítico!$B90),-(Analítico!Y$3&gt;='Gastos Gerais'!$D$4:$D$615),-(Analítico!Y$3&lt;='Gastos Gerais'!$E$4:$E$615),-('Gastos Gerais'!$C$4:$C$615))</f>
        <v>4600</v>
      </c>
      <c r="Z90" s="73">
        <f>SUMPRODUCT(-('Gastos Gerais'!$B$4:$B$615=Analítico!$B90),-(Analítico!Z$3&gt;='Gastos Gerais'!$D$4:$D$615),-(Analítico!Z$3&lt;='Gastos Gerais'!$E$4:$E$615),-('Gastos Gerais'!$C$4:$C$615))</f>
        <v>4600</v>
      </c>
      <c r="AA90" s="73">
        <f>SUMPRODUCT(-('Gastos Gerais'!$B$4:$B$615=Analítico!$B90),-(Analítico!AA$3&gt;='Gastos Gerais'!$D$4:$D$615),-(Analítico!AA$3&lt;='Gastos Gerais'!$E$4:$E$615),-('Gastos Gerais'!$C$4:$C$615))</f>
        <v>4600</v>
      </c>
      <c r="AB90" s="73">
        <f>SUMPRODUCT(-('Gastos Gerais'!$B$4:$B$615=Analítico!$B90),-(Analítico!AB$3&gt;='Gastos Gerais'!$D$4:$D$615),-(Analítico!AB$3&lt;='Gastos Gerais'!$E$4:$E$615),-('Gastos Gerais'!$C$4:$C$615))</f>
        <v>4600</v>
      </c>
      <c r="AC90" s="73">
        <f>SUMPRODUCT(-('Gastos Gerais'!$B$4:$B$615=Analítico!$B90),-(Analítico!AC$3&gt;='Gastos Gerais'!$D$4:$D$615),-(Analítico!AC$3&lt;='Gastos Gerais'!$E$4:$E$615),-('Gastos Gerais'!$C$4:$C$615))</f>
        <v>4600</v>
      </c>
      <c r="AD90" s="73">
        <f>SUMPRODUCT(-('Gastos Gerais'!$B$4:$B$615=Analítico!$B90),-(Analítico!AD$3&gt;='Gastos Gerais'!$D$4:$D$615),-(Analítico!AD$3&lt;='Gastos Gerais'!$E$4:$E$615),-('Gastos Gerais'!$C$4:$C$615))</f>
        <v>4600</v>
      </c>
      <c r="AE90" s="73">
        <f>SUMPRODUCT(-('Gastos Gerais'!$B$4:$B$615=Analítico!$B90),-(Analítico!AE$3&gt;='Gastos Gerais'!$D$4:$D$615),-(Analítico!AE$3&lt;='Gastos Gerais'!$E$4:$E$615),-('Gastos Gerais'!$C$4:$C$615))</f>
        <v>4600</v>
      </c>
      <c r="AF90" s="73">
        <f>SUMPRODUCT(-('Gastos Gerais'!$B$4:$B$615=Analítico!$B90),-(Analítico!AF$3&gt;='Gastos Gerais'!$D$4:$D$615),-(Analítico!AF$3&lt;='Gastos Gerais'!$E$4:$E$615),-('Gastos Gerais'!$C$4:$C$615))</f>
        <v>4600</v>
      </c>
      <c r="AG90" s="73">
        <f>SUMPRODUCT(-('Gastos Gerais'!$B$4:$B$615=Analítico!$B90),-(Analítico!AG$3&gt;='Gastos Gerais'!$D$4:$D$615),-(Analítico!AG$3&lt;='Gastos Gerais'!$E$4:$E$615),-('Gastos Gerais'!$C$4:$C$615))</f>
        <v>4600</v>
      </c>
      <c r="AH90" s="73">
        <f>SUMPRODUCT(-('Gastos Gerais'!$B$4:$B$615=Analítico!$B90),-(Analítico!AH$3&gt;='Gastos Gerais'!$D$4:$D$615),-(Analítico!AH$3&lt;='Gastos Gerais'!$E$4:$E$615),-('Gastos Gerais'!$C$4:$C$615))</f>
        <v>4600</v>
      </c>
      <c r="AI90" s="73">
        <f>SUMPRODUCT(-('Gastos Gerais'!$B$4:$B$615=Analítico!$B90),-(Analítico!AI$3&gt;='Gastos Gerais'!$D$4:$D$615),-(Analítico!AI$3&lt;='Gastos Gerais'!$E$4:$E$615),-('Gastos Gerais'!$C$4:$C$615))</f>
        <v>4600</v>
      </c>
      <c r="AJ90" s="73">
        <f>SUMPRODUCT(-('Gastos Gerais'!$B$4:$B$615=Analítico!$B90),-(Analítico!AJ$3&gt;='Gastos Gerais'!$D$4:$D$615),-(Analítico!AJ$3&lt;='Gastos Gerais'!$E$4:$E$615),-('Gastos Gerais'!$C$4:$C$615))</f>
        <v>4600</v>
      </c>
      <c r="AK90" s="73">
        <f>SUMPRODUCT(-('Gastos Gerais'!$B$4:$B$615=Analítico!$B90),-(Analítico!AK$3&gt;='Gastos Gerais'!$D$4:$D$615),-(Analítico!AK$3&lt;='Gastos Gerais'!$E$4:$E$615),-('Gastos Gerais'!$C$4:$C$615))</f>
        <v>4600</v>
      </c>
      <c r="AL90" s="73">
        <f>SUMPRODUCT(-('Gastos Gerais'!$B$4:$B$615=Analítico!$B90),-(Analítico!AL$3&gt;='Gastos Gerais'!$D$4:$D$615),-(Analítico!AL$3&lt;='Gastos Gerais'!$E$4:$E$615),-('Gastos Gerais'!$C$4:$C$615))</f>
        <v>4600</v>
      </c>
      <c r="AM90" s="73">
        <f>SUMPRODUCT(-('Gastos Gerais'!$B$4:$B$615=Analítico!$B90),-(Analítico!AM$3&gt;='Gastos Gerais'!$D$4:$D$615),-(Analítico!AM$3&lt;='Gastos Gerais'!$E$4:$E$615),-('Gastos Gerais'!$C$4:$C$615))</f>
        <v>0</v>
      </c>
      <c r="AN90" s="73">
        <f>SUMPRODUCT(-('Gastos Gerais'!$B$4:$B$615=Analítico!$B90),-(Analítico!AN$3&gt;='Gastos Gerais'!$D$4:$D$615),-(Analítico!AN$3&lt;='Gastos Gerais'!$E$4:$E$615),-('Gastos Gerais'!$C$4:$C$615))</f>
        <v>0</v>
      </c>
      <c r="AO90" s="73">
        <f>SUMPRODUCT(-('Gastos Gerais'!$B$4:$B$615=Analítico!$B90),-(Analítico!AO$3&gt;='Gastos Gerais'!$D$4:$D$615),-(Analítico!AO$3&lt;='Gastos Gerais'!$E$4:$E$615),-('Gastos Gerais'!$C$4:$C$615))</f>
        <v>0</v>
      </c>
      <c r="AP90" s="73">
        <f>SUMPRODUCT(-('Gastos Gerais'!$B$4:$B$615=Analítico!$B90),-(Analítico!AP$3&gt;='Gastos Gerais'!$D$4:$D$615),-(Analítico!AP$3&lt;='Gastos Gerais'!$E$4:$E$615),-('Gastos Gerais'!$C$4:$C$615))</f>
        <v>0</v>
      </c>
      <c r="AQ90" s="73">
        <f>SUMPRODUCT(-('Gastos Gerais'!$B$4:$B$615=Analítico!$B90),-(Analítico!AQ$3&gt;='Gastos Gerais'!$D$4:$D$615),-(Analítico!AQ$3&lt;='Gastos Gerais'!$E$4:$E$615),-('Gastos Gerais'!$C$4:$C$615))</f>
        <v>0</v>
      </c>
      <c r="AR90" s="73">
        <f>SUMPRODUCT(-('Gastos Gerais'!$B$4:$B$615=Analítico!$B90),-(Analítico!AR$3&gt;='Gastos Gerais'!$D$4:$D$615),-(Analítico!AR$3&lt;='Gastos Gerais'!$E$4:$E$615),-('Gastos Gerais'!$C$4:$C$615))</f>
        <v>0</v>
      </c>
      <c r="AS90" s="73">
        <f>SUMPRODUCT(-('Gastos Gerais'!$B$4:$B$615=Analítico!$B90),-(Analítico!AS$3&gt;='Gastos Gerais'!$D$4:$D$615),-(Analítico!AS$3&lt;='Gastos Gerais'!$E$4:$E$615),-('Gastos Gerais'!$C$4:$C$615))</f>
        <v>0</v>
      </c>
      <c r="AT90" s="73">
        <f>SUMPRODUCT(-('Gastos Gerais'!$B$4:$B$615=Analítico!$B90),-(Analítico!AT$3&gt;='Gastos Gerais'!$D$4:$D$615),-(Analítico!AT$3&lt;='Gastos Gerais'!$E$4:$E$615),-('Gastos Gerais'!$C$4:$C$615))</f>
        <v>0</v>
      </c>
      <c r="AU90" s="73">
        <f>SUMPRODUCT(-('Gastos Gerais'!$B$4:$B$615=Analítico!$B90),-(Analítico!AU$3&gt;='Gastos Gerais'!$D$4:$D$615),-(Analítico!AU$3&lt;='Gastos Gerais'!$E$4:$E$615),-('Gastos Gerais'!$C$4:$C$615))</f>
        <v>0</v>
      </c>
      <c r="AV90" s="73">
        <f>SUMPRODUCT(-('Gastos Gerais'!$B$4:$B$615=Analítico!$B90),-(Analítico!AV$3&gt;='Gastos Gerais'!$D$4:$D$615),-(Analítico!AV$3&lt;='Gastos Gerais'!$E$4:$E$615),-('Gastos Gerais'!$C$4:$C$615))</f>
        <v>0</v>
      </c>
      <c r="AW90" s="73">
        <f>SUMPRODUCT(-('Gastos Gerais'!$B$4:$B$615=Analítico!$B90),-(Analítico!AW$3&gt;='Gastos Gerais'!$D$4:$D$615),-(Analítico!AW$3&lt;='Gastos Gerais'!$E$4:$E$615),-('Gastos Gerais'!$C$4:$C$615))</f>
        <v>0</v>
      </c>
      <c r="AX90" s="73">
        <f>SUMPRODUCT(-('Gastos Gerais'!$B$4:$B$615=Analítico!$B90),-(Analítico!AX$3&gt;='Gastos Gerais'!$D$4:$D$615),-(Analítico!AX$3&lt;='Gastos Gerais'!$E$4:$E$615),-('Gastos Gerais'!$C$4:$C$615))</f>
        <v>0</v>
      </c>
      <c r="AY90" s="73">
        <f>SUMPRODUCT(-('Gastos Gerais'!$B$4:$B$615=Analítico!$B90),-(Analítico!AY$3&gt;='Gastos Gerais'!$D$4:$D$615),-(Analítico!AY$3&lt;='Gastos Gerais'!$E$4:$E$615),-('Gastos Gerais'!$C$4:$C$615))</f>
        <v>0</v>
      </c>
      <c r="AZ90" s="73">
        <f>SUMPRODUCT(-('Gastos Gerais'!$B$4:$B$615=Analítico!$B90),-(Analítico!AZ$3&gt;='Gastos Gerais'!$D$4:$D$615),-(Analítico!AZ$3&lt;='Gastos Gerais'!$E$4:$E$615),-('Gastos Gerais'!$C$4:$C$615))</f>
        <v>0</v>
      </c>
      <c r="BA90" s="73">
        <f>SUMPRODUCT(-('Gastos Gerais'!$B$4:$B$615=Analítico!$B90),-(Analítico!BA$3&gt;='Gastos Gerais'!$D$4:$D$615),-(Analítico!BA$3&lt;='Gastos Gerais'!$E$4:$E$615),-('Gastos Gerais'!$C$4:$C$615))</f>
        <v>0</v>
      </c>
      <c r="BB90" s="73">
        <f>SUMPRODUCT(-('Gastos Gerais'!$B$4:$B$615=Analítico!$B90),-(Analítico!BB$3&gt;='Gastos Gerais'!$D$4:$D$615),-(Analítico!BB$3&lt;='Gastos Gerais'!$E$4:$E$615),-('Gastos Gerais'!$C$4:$C$615))</f>
        <v>0</v>
      </c>
      <c r="BC90" s="73">
        <f>SUMPRODUCT(-('Gastos Gerais'!$B$4:$B$615=Analítico!$B90),-(Analítico!BC$3&gt;='Gastos Gerais'!$D$4:$D$615),-(Analítico!BC$3&lt;='Gastos Gerais'!$E$4:$E$615),-('Gastos Gerais'!$C$4:$C$615))</f>
        <v>0</v>
      </c>
      <c r="BD90" s="73">
        <f>SUMPRODUCT(-('Gastos Gerais'!$B$4:$B$615=Analítico!$B90),-(Analítico!BD$3&gt;='Gastos Gerais'!$D$4:$D$615),-(Analítico!BD$3&lt;='Gastos Gerais'!$E$4:$E$615),-('Gastos Gerais'!$C$4:$C$615))</f>
        <v>0</v>
      </c>
      <c r="BE90" s="73">
        <f>SUMPRODUCT(-('Gastos Gerais'!$B$4:$B$615=Analítico!$B90),-(Analítico!BE$3&gt;='Gastos Gerais'!$D$4:$D$615),-(Analítico!BE$3&lt;='Gastos Gerais'!$E$4:$E$615),-('Gastos Gerais'!$C$4:$C$615))</f>
        <v>0</v>
      </c>
      <c r="BF90" s="73">
        <f>SUMPRODUCT(-('Gastos Gerais'!$B$4:$B$615=Analítico!$B90),-(Analítico!BF$3&gt;='Gastos Gerais'!$D$4:$D$615),-(Analítico!BF$3&lt;='Gastos Gerais'!$E$4:$E$615),-('Gastos Gerais'!$C$4:$C$615))</f>
        <v>0</v>
      </c>
      <c r="BG90" s="73">
        <f>SUMPRODUCT(-('Gastos Gerais'!$B$4:$B$615=Analítico!$B90),-(Analítico!BG$3&gt;='Gastos Gerais'!$D$4:$D$615),-(Analítico!BG$3&lt;='Gastos Gerais'!$E$4:$E$615),-('Gastos Gerais'!$C$4:$C$615))</f>
        <v>0</v>
      </c>
      <c r="BH90" s="73">
        <f>SUMPRODUCT(-('Gastos Gerais'!$B$4:$B$615=Analítico!$B90),-(Analítico!BH$3&gt;='Gastos Gerais'!$D$4:$D$615),-(Analítico!BH$3&lt;='Gastos Gerais'!$E$4:$E$615),-('Gastos Gerais'!$C$4:$C$615))</f>
        <v>0</v>
      </c>
      <c r="BI90" s="73">
        <f>SUMPRODUCT(-('Gastos Gerais'!$B$4:$B$615=Analítico!$B90),-(Analítico!BI$3&gt;='Gastos Gerais'!$D$4:$D$615),-(Analítico!BI$3&lt;='Gastos Gerais'!$E$4:$E$615),-('Gastos Gerais'!$C$4:$C$615))</f>
        <v>0</v>
      </c>
      <c r="BJ90" s="73">
        <f>SUMPRODUCT(-('Gastos Gerais'!$B$4:$B$615=Analítico!$B90),-(Analítico!BJ$3&gt;='Gastos Gerais'!$D$4:$D$615),-(Analítico!BJ$3&lt;='Gastos Gerais'!$E$4:$E$615),-('Gastos Gerais'!$C$4:$C$615))</f>
        <v>0</v>
      </c>
      <c r="BK90" s="71">
        <f t="shared" si="31"/>
        <v>165600</v>
      </c>
      <c r="BL90" s="76">
        <f t="shared" ca="1" si="32"/>
        <v>4.5169029925042959E-4</v>
      </c>
    </row>
    <row r="91" spans="1:64" s="49" customFormat="1" ht="23.25" customHeight="1" x14ac:dyDescent="0.2">
      <c r="A91" s="109" t="s">
        <v>250</v>
      </c>
      <c r="B91" s="112" t="s">
        <v>251</v>
      </c>
      <c r="C91" s="73">
        <f>SUMPRODUCT(-('Gastos Gerais'!$B$4:$B$615=Analítico!$B91),-(Analítico!C$3&gt;='Gastos Gerais'!$D$4:$D$615),-(Analítico!C$3&lt;='Gastos Gerais'!$E$4:$E$615),-('Gastos Gerais'!$C$4:$C$615))</f>
        <v>0</v>
      </c>
      <c r="D91" s="73">
        <f>SUMPRODUCT(-('Gastos Gerais'!$B$4:$B$615=Analítico!$B91),-(Analítico!D$3&gt;='Gastos Gerais'!$D$4:$D$615),-(Analítico!D$3&lt;='Gastos Gerais'!$E$4:$E$615),-('Gastos Gerais'!$C$4:$C$615))</f>
        <v>0</v>
      </c>
      <c r="E91" s="73">
        <f>SUMPRODUCT(-('Gastos Gerais'!$B$4:$B$615=Analítico!$B91),-(Analítico!E$3&gt;='Gastos Gerais'!$D$4:$D$615),-(Analítico!E$3&lt;='Gastos Gerais'!$E$4:$E$615),-('Gastos Gerais'!$C$4:$C$615))</f>
        <v>0</v>
      </c>
      <c r="F91" s="73">
        <f>SUMPRODUCT(-('Gastos Gerais'!$B$4:$B$615=Analítico!$B91),-(Analítico!F$3&gt;='Gastos Gerais'!$D$4:$D$615),-(Analítico!F$3&lt;='Gastos Gerais'!$E$4:$E$615),-('Gastos Gerais'!$C$4:$C$615))</f>
        <v>0</v>
      </c>
      <c r="G91" s="73">
        <f>SUMPRODUCT(-('Gastos Gerais'!$B$4:$B$615=Analítico!$B91),-(Analítico!G$3&gt;='Gastos Gerais'!$D$4:$D$615),-(Analítico!G$3&lt;='Gastos Gerais'!$E$4:$E$615),-('Gastos Gerais'!$C$4:$C$615))</f>
        <v>0</v>
      </c>
      <c r="H91" s="73">
        <f>SUMPRODUCT(-('Gastos Gerais'!$B$4:$B$615=Analítico!$B91),-(Analítico!H$3&gt;='Gastos Gerais'!$D$4:$D$615),-(Analítico!H$3&lt;='Gastos Gerais'!$E$4:$E$615),-('Gastos Gerais'!$C$4:$C$615))</f>
        <v>0</v>
      </c>
      <c r="I91" s="73">
        <f>SUMPRODUCT(-('Gastos Gerais'!$B$4:$B$615=Analítico!$B91),-(Analítico!I$3&gt;='Gastos Gerais'!$D$4:$D$615),-(Analítico!I$3&lt;='Gastos Gerais'!$E$4:$E$615),-('Gastos Gerais'!$C$4:$C$615))</f>
        <v>0</v>
      </c>
      <c r="J91" s="73">
        <f>SUMPRODUCT(-('Gastos Gerais'!$B$4:$B$615=Analítico!$B91),-(Analítico!J$3&gt;='Gastos Gerais'!$D$4:$D$615),-(Analítico!J$3&lt;='Gastos Gerais'!$E$4:$E$615),-('Gastos Gerais'!$C$4:$C$615))</f>
        <v>0</v>
      </c>
      <c r="K91" s="73">
        <f>SUMPRODUCT(-('Gastos Gerais'!$B$4:$B$615=Analítico!$B91),-(Analítico!K$3&gt;='Gastos Gerais'!$D$4:$D$615),-(Analítico!K$3&lt;='Gastos Gerais'!$E$4:$E$615),-('Gastos Gerais'!$C$4:$C$615))</f>
        <v>0</v>
      </c>
      <c r="L91" s="73">
        <f>SUMPRODUCT(-('Gastos Gerais'!$B$4:$B$615=Analítico!$B91),-(Analítico!L$3&gt;='Gastos Gerais'!$D$4:$D$615),-(Analítico!L$3&lt;='Gastos Gerais'!$E$4:$E$615),-('Gastos Gerais'!$C$4:$C$615))</f>
        <v>0</v>
      </c>
      <c r="M91" s="73">
        <f>SUMPRODUCT(-('Gastos Gerais'!$B$4:$B$615=Analítico!$B91),-(Analítico!M$3&gt;='Gastos Gerais'!$D$4:$D$615),-(Analítico!M$3&lt;='Gastos Gerais'!$E$4:$E$615),-('Gastos Gerais'!$C$4:$C$615))</f>
        <v>0</v>
      </c>
      <c r="N91" s="73">
        <f>SUMPRODUCT(-('Gastos Gerais'!$B$4:$B$615=Analítico!$B91),-(Analítico!N$3&gt;='Gastos Gerais'!$D$4:$D$615),-(Analítico!N$3&lt;='Gastos Gerais'!$E$4:$E$615),-('Gastos Gerais'!$C$4:$C$615))</f>
        <v>0</v>
      </c>
      <c r="O91" s="73">
        <f>SUMPRODUCT(-('Gastos Gerais'!$B$4:$B$615=Analítico!$B91),-(Analítico!O$3&gt;='Gastos Gerais'!$D$4:$D$615),-(Analítico!O$3&lt;='Gastos Gerais'!$E$4:$E$615),-('Gastos Gerais'!$C$4:$C$615))</f>
        <v>0</v>
      </c>
      <c r="P91" s="73">
        <f>SUMPRODUCT(-('Gastos Gerais'!$B$4:$B$615=Analítico!$B91),-(Analítico!P$3&gt;='Gastos Gerais'!$D$4:$D$615),-(Analítico!P$3&lt;='Gastos Gerais'!$E$4:$E$615),-('Gastos Gerais'!$C$4:$C$615))</f>
        <v>0</v>
      </c>
      <c r="Q91" s="73">
        <f>SUMPRODUCT(-('Gastos Gerais'!$B$4:$B$615=Analítico!$B91),-(Analítico!Q$3&gt;='Gastos Gerais'!$D$4:$D$615),-(Analítico!Q$3&lt;='Gastos Gerais'!$E$4:$E$615),-('Gastos Gerais'!$C$4:$C$615))</f>
        <v>0</v>
      </c>
      <c r="R91" s="73">
        <f>SUMPRODUCT(-('Gastos Gerais'!$B$4:$B$615=Analítico!$B91),-(Analítico!R$3&gt;='Gastos Gerais'!$D$4:$D$615),-(Analítico!R$3&lt;='Gastos Gerais'!$E$4:$E$615),-('Gastos Gerais'!$C$4:$C$615))</f>
        <v>0</v>
      </c>
      <c r="S91" s="73">
        <f>SUMPRODUCT(-('Gastos Gerais'!$B$4:$B$615=Analítico!$B91),-(Analítico!S$3&gt;='Gastos Gerais'!$D$4:$D$615),-(Analítico!S$3&lt;='Gastos Gerais'!$E$4:$E$615),-('Gastos Gerais'!$C$4:$C$615))</f>
        <v>0</v>
      </c>
      <c r="T91" s="73">
        <f>SUMPRODUCT(-('Gastos Gerais'!$B$4:$B$615=Analítico!$B91),-(Analítico!T$3&gt;='Gastos Gerais'!$D$4:$D$615),-(Analítico!T$3&lt;='Gastos Gerais'!$E$4:$E$615),-('Gastos Gerais'!$C$4:$C$615))</f>
        <v>0</v>
      </c>
      <c r="U91" s="73">
        <f>SUMPRODUCT(-('Gastos Gerais'!$B$4:$B$615=Analítico!$B91),-(Analítico!U$3&gt;='Gastos Gerais'!$D$4:$D$615),-(Analítico!U$3&lt;='Gastos Gerais'!$E$4:$E$615),-('Gastos Gerais'!$C$4:$C$615))</f>
        <v>0</v>
      </c>
      <c r="V91" s="73">
        <f>SUMPRODUCT(-('Gastos Gerais'!$B$4:$B$615=Analítico!$B91),-(Analítico!V$3&gt;='Gastos Gerais'!$D$4:$D$615),-(Analítico!V$3&lt;='Gastos Gerais'!$E$4:$E$615),-('Gastos Gerais'!$C$4:$C$615))</f>
        <v>0</v>
      </c>
      <c r="W91" s="73">
        <f>SUMPRODUCT(-('Gastos Gerais'!$B$4:$B$615=Analítico!$B91),-(Analítico!W$3&gt;='Gastos Gerais'!$D$4:$D$615),-(Analítico!W$3&lt;='Gastos Gerais'!$E$4:$E$615),-('Gastos Gerais'!$C$4:$C$615))</f>
        <v>0</v>
      </c>
      <c r="X91" s="73">
        <f>SUMPRODUCT(-('Gastos Gerais'!$B$4:$B$615=Analítico!$B91),-(Analítico!X$3&gt;='Gastos Gerais'!$D$4:$D$615),-(Analítico!X$3&lt;='Gastos Gerais'!$E$4:$E$615),-('Gastos Gerais'!$C$4:$C$615))</f>
        <v>0</v>
      </c>
      <c r="Y91" s="73">
        <f>SUMPRODUCT(-('Gastos Gerais'!$B$4:$B$615=Analítico!$B91),-(Analítico!Y$3&gt;='Gastos Gerais'!$D$4:$D$615),-(Analítico!Y$3&lt;='Gastos Gerais'!$E$4:$E$615),-('Gastos Gerais'!$C$4:$C$615))</f>
        <v>0</v>
      </c>
      <c r="Z91" s="73">
        <f>SUMPRODUCT(-('Gastos Gerais'!$B$4:$B$615=Analítico!$B91),-(Analítico!Z$3&gt;='Gastos Gerais'!$D$4:$D$615),-(Analítico!Z$3&lt;='Gastos Gerais'!$E$4:$E$615),-('Gastos Gerais'!$C$4:$C$615))</f>
        <v>0</v>
      </c>
      <c r="AA91" s="73">
        <f>SUMPRODUCT(-('Gastos Gerais'!$B$4:$B$615=Analítico!$B91),-(Analítico!AA$3&gt;='Gastos Gerais'!$D$4:$D$615),-(Analítico!AA$3&lt;='Gastos Gerais'!$E$4:$E$615),-('Gastos Gerais'!$C$4:$C$615))</f>
        <v>0</v>
      </c>
      <c r="AB91" s="73">
        <f>SUMPRODUCT(-('Gastos Gerais'!$B$4:$B$615=Analítico!$B91),-(Analítico!AB$3&gt;='Gastos Gerais'!$D$4:$D$615),-(Analítico!AB$3&lt;='Gastos Gerais'!$E$4:$E$615),-('Gastos Gerais'!$C$4:$C$615))</f>
        <v>0</v>
      </c>
      <c r="AC91" s="73">
        <f>SUMPRODUCT(-('Gastos Gerais'!$B$4:$B$615=Analítico!$B91),-(Analítico!AC$3&gt;='Gastos Gerais'!$D$4:$D$615),-(Analítico!AC$3&lt;='Gastos Gerais'!$E$4:$E$615),-('Gastos Gerais'!$C$4:$C$615))</f>
        <v>0</v>
      </c>
      <c r="AD91" s="73">
        <f>SUMPRODUCT(-('Gastos Gerais'!$B$4:$B$615=Analítico!$B91),-(Analítico!AD$3&gt;='Gastos Gerais'!$D$4:$D$615),-(Analítico!AD$3&lt;='Gastos Gerais'!$E$4:$E$615),-('Gastos Gerais'!$C$4:$C$615))</f>
        <v>0</v>
      </c>
      <c r="AE91" s="73">
        <f>SUMPRODUCT(-('Gastos Gerais'!$B$4:$B$615=Analítico!$B91),-(Analítico!AE$3&gt;='Gastos Gerais'!$D$4:$D$615),-(Analítico!AE$3&lt;='Gastos Gerais'!$E$4:$E$615),-('Gastos Gerais'!$C$4:$C$615))</f>
        <v>0</v>
      </c>
      <c r="AF91" s="73">
        <f>SUMPRODUCT(-('Gastos Gerais'!$B$4:$B$615=Analítico!$B91),-(Analítico!AF$3&gt;='Gastos Gerais'!$D$4:$D$615),-(Analítico!AF$3&lt;='Gastos Gerais'!$E$4:$E$615),-('Gastos Gerais'!$C$4:$C$615))</f>
        <v>0</v>
      </c>
      <c r="AG91" s="73">
        <f>SUMPRODUCT(-('Gastos Gerais'!$B$4:$B$615=Analítico!$B91),-(Analítico!AG$3&gt;='Gastos Gerais'!$D$4:$D$615),-(Analítico!AG$3&lt;='Gastos Gerais'!$E$4:$E$615),-('Gastos Gerais'!$C$4:$C$615))</f>
        <v>0</v>
      </c>
      <c r="AH91" s="73">
        <f>SUMPRODUCT(-('Gastos Gerais'!$B$4:$B$615=Analítico!$B91),-(Analítico!AH$3&gt;='Gastos Gerais'!$D$4:$D$615),-(Analítico!AH$3&lt;='Gastos Gerais'!$E$4:$E$615),-('Gastos Gerais'!$C$4:$C$615))</f>
        <v>0</v>
      </c>
      <c r="AI91" s="73">
        <f>SUMPRODUCT(-('Gastos Gerais'!$B$4:$B$615=Analítico!$B91),-(Analítico!AI$3&gt;='Gastos Gerais'!$D$4:$D$615),-(Analítico!AI$3&lt;='Gastos Gerais'!$E$4:$E$615),-('Gastos Gerais'!$C$4:$C$615))</f>
        <v>0</v>
      </c>
      <c r="AJ91" s="73">
        <f>SUMPRODUCT(-('Gastos Gerais'!$B$4:$B$615=Analítico!$B91),-(Analítico!AJ$3&gt;='Gastos Gerais'!$D$4:$D$615),-(Analítico!AJ$3&lt;='Gastos Gerais'!$E$4:$E$615),-('Gastos Gerais'!$C$4:$C$615))</f>
        <v>0</v>
      </c>
      <c r="AK91" s="73">
        <f>SUMPRODUCT(-('Gastos Gerais'!$B$4:$B$615=Analítico!$B91),-(Analítico!AK$3&gt;='Gastos Gerais'!$D$4:$D$615),-(Analítico!AK$3&lt;='Gastos Gerais'!$E$4:$E$615),-('Gastos Gerais'!$C$4:$C$615))</f>
        <v>0</v>
      </c>
      <c r="AL91" s="73">
        <f>SUMPRODUCT(-('Gastos Gerais'!$B$4:$B$615=Analítico!$B91),-(Analítico!AL$3&gt;='Gastos Gerais'!$D$4:$D$615),-(Analítico!AL$3&lt;='Gastos Gerais'!$E$4:$E$615),-('Gastos Gerais'!$C$4:$C$615))</f>
        <v>0</v>
      </c>
      <c r="AM91" s="73">
        <f>SUMPRODUCT(-('Gastos Gerais'!$B$4:$B$615=Analítico!$B91),-(Analítico!AM$3&gt;='Gastos Gerais'!$D$4:$D$615),-(Analítico!AM$3&lt;='Gastos Gerais'!$E$4:$E$615),-('Gastos Gerais'!$C$4:$C$615))</f>
        <v>0</v>
      </c>
      <c r="AN91" s="73">
        <f>SUMPRODUCT(-('Gastos Gerais'!$B$4:$B$615=Analítico!$B91),-(Analítico!AN$3&gt;='Gastos Gerais'!$D$4:$D$615),-(Analítico!AN$3&lt;='Gastos Gerais'!$E$4:$E$615),-('Gastos Gerais'!$C$4:$C$615))</f>
        <v>0</v>
      </c>
      <c r="AO91" s="73">
        <f>SUMPRODUCT(-('Gastos Gerais'!$B$4:$B$615=Analítico!$B91),-(Analítico!AO$3&gt;='Gastos Gerais'!$D$4:$D$615),-(Analítico!AO$3&lt;='Gastos Gerais'!$E$4:$E$615),-('Gastos Gerais'!$C$4:$C$615))</f>
        <v>0</v>
      </c>
      <c r="AP91" s="73">
        <f>SUMPRODUCT(-('Gastos Gerais'!$B$4:$B$615=Analítico!$B91),-(Analítico!AP$3&gt;='Gastos Gerais'!$D$4:$D$615),-(Analítico!AP$3&lt;='Gastos Gerais'!$E$4:$E$615),-('Gastos Gerais'!$C$4:$C$615))</f>
        <v>0</v>
      </c>
      <c r="AQ91" s="73">
        <f>SUMPRODUCT(-('Gastos Gerais'!$B$4:$B$615=Analítico!$B91),-(Analítico!AQ$3&gt;='Gastos Gerais'!$D$4:$D$615),-(Analítico!AQ$3&lt;='Gastos Gerais'!$E$4:$E$615),-('Gastos Gerais'!$C$4:$C$615))</f>
        <v>0</v>
      </c>
      <c r="AR91" s="73">
        <f>SUMPRODUCT(-('Gastos Gerais'!$B$4:$B$615=Analítico!$B91),-(Analítico!AR$3&gt;='Gastos Gerais'!$D$4:$D$615),-(Analítico!AR$3&lt;='Gastos Gerais'!$E$4:$E$615),-('Gastos Gerais'!$C$4:$C$615))</f>
        <v>0</v>
      </c>
      <c r="AS91" s="73">
        <f>SUMPRODUCT(-('Gastos Gerais'!$B$4:$B$615=Analítico!$B91),-(Analítico!AS$3&gt;='Gastos Gerais'!$D$4:$D$615),-(Analítico!AS$3&lt;='Gastos Gerais'!$E$4:$E$615),-('Gastos Gerais'!$C$4:$C$615))</f>
        <v>0</v>
      </c>
      <c r="AT91" s="73">
        <f>SUMPRODUCT(-('Gastos Gerais'!$B$4:$B$615=Analítico!$B91),-(Analítico!AT$3&gt;='Gastos Gerais'!$D$4:$D$615),-(Analítico!AT$3&lt;='Gastos Gerais'!$E$4:$E$615),-('Gastos Gerais'!$C$4:$C$615))</f>
        <v>0</v>
      </c>
      <c r="AU91" s="73">
        <f>SUMPRODUCT(-('Gastos Gerais'!$B$4:$B$615=Analítico!$B91),-(Analítico!AU$3&gt;='Gastos Gerais'!$D$4:$D$615),-(Analítico!AU$3&lt;='Gastos Gerais'!$E$4:$E$615),-('Gastos Gerais'!$C$4:$C$615))</f>
        <v>0</v>
      </c>
      <c r="AV91" s="73">
        <f>SUMPRODUCT(-('Gastos Gerais'!$B$4:$B$615=Analítico!$B91),-(Analítico!AV$3&gt;='Gastos Gerais'!$D$4:$D$615),-(Analítico!AV$3&lt;='Gastos Gerais'!$E$4:$E$615),-('Gastos Gerais'!$C$4:$C$615))</f>
        <v>0</v>
      </c>
      <c r="AW91" s="73">
        <f>SUMPRODUCT(-('Gastos Gerais'!$B$4:$B$615=Analítico!$B91),-(Analítico!AW$3&gt;='Gastos Gerais'!$D$4:$D$615),-(Analítico!AW$3&lt;='Gastos Gerais'!$E$4:$E$615),-('Gastos Gerais'!$C$4:$C$615))</f>
        <v>0</v>
      </c>
      <c r="AX91" s="73">
        <f>SUMPRODUCT(-('Gastos Gerais'!$B$4:$B$615=Analítico!$B91),-(Analítico!AX$3&gt;='Gastos Gerais'!$D$4:$D$615),-(Analítico!AX$3&lt;='Gastos Gerais'!$E$4:$E$615),-('Gastos Gerais'!$C$4:$C$615))</f>
        <v>0</v>
      </c>
      <c r="AY91" s="73">
        <f>SUMPRODUCT(-('Gastos Gerais'!$B$4:$B$615=Analítico!$B91),-(Analítico!AY$3&gt;='Gastos Gerais'!$D$4:$D$615),-(Analítico!AY$3&lt;='Gastos Gerais'!$E$4:$E$615),-('Gastos Gerais'!$C$4:$C$615))</f>
        <v>0</v>
      </c>
      <c r="AZ91" s="73">
        <f>SUMPRODUCT(-('Gastos Gerais'!$B$4:$B$615=Analítico!$B91),-(Analítico!AZ$3&gt;='Gastos Gerais'!$D$4:$D$615),-(Analítico!AZ$3&lt;='Gastos Gerais'!$E$4:$E$615),-('Gastos Gerais'!$C$4:$C$615))</f>
        <v>0</v>
      </c>
      <c r="BA91" s="73">
        <f>SUMPRODUCT(-('Gastos Gerais'!$B$4:$B$615=Analítico!$B91),-(Analítico!BA$3&gt;='Gastos Gerais'!$D$4:$D$615),-(Analítico!BA$3&lt;='Gastos Gerais'!$E$4:$E$615),-('Gastos Gerais'!$C$4:$C$615))</f>
        <v>0</v>
      </c>
      <c r="BB91" s="73">
        <f>SUMPRODUCT(-('Gastos Gerais'!$B$4:$B$615=Analítico!$B91),-(Analítico!BB$3&gt;='Gastos Gerais'!$D$4:$D$615),-(Analítico!BB$3&lt;='Gastos Gerais'!$E$4:$E$615),-('Gastos Gerais'!$C$4:$C$615))</f>
        <v>0</v>
      </c>
      <c r="BC91" s="73">
        <f>SUMPRODUCT(-('Gastos Gerais'!$B$4:$B$615=Analítico!$B91),-(Analítico!BC$3&gt;='Gastos Gerais'!$D$4:$D$615),-(Analítico!BC$3&lt;='Gastos Gerais'!$E$4:$E$615),-('Gastos Gerais'!$C$4:$C$615))</f>
        <v>0</v>
      </c>
      <c r="BD91" s="73">
        <f>SUMPRODUCT(-('Gastos Gerais'!$B$4:$B$615=Analítico!$B91),-(Analítico!BD$3&gt;='Gastos Gerais'!$D$4:$D$615),-(Analítico!BD$3&lt;='Gastos Gerais'!$E$4:$E$615),-('Gastos Gerais'!$C$4:$C$615))</f>
        <v>0</v>
      </c>
      <c r="BE91" s="73">
        <f>SUMPRODUCT(-('Gastos Gerais'!$B$4:$B$615=Analítico!$B91),-(Analítico!BE$3&gt;='Gastos Gerais'!$D$4:$D$615),-(Analítico!BE$3&lt;='Gastos Gerais'!$E$4:$E$615),-('Gastos Gerais'!$C$4:$C$615))</f>
        <v>0</v>
      </c>
      <c r="BF91" s="73">
        <f>SUMPRODUCT(-('Gastos Gerais'!$B$4:$B$615=Analítico!$B91),-(Analítico!BF$3&gt;='Gastos Gerais'!$D$4:$D$615),-(Analítico!BF$3&lt;='Gastos Gerais'!$E$4:$E$615),-('Gastos Gerais'!$C$4:$C$615))</f>
        <v>0</v>
      </c>
      <c r="BG91" s="73">
        <f>SUMPRODUCT(-('Gastos Gerais'!$B$4:$B$615=Analítico!$B91),-(Analítico!BG$3&gt;='Gastos Gerais'!$D$4:$D$615),-(Analítico!BG$3&lt;='Gastos Gerais'!$E$4:$E$615),-('Gastos Gerais'!$C$4:$C$615))</f>
        <v>0</v>
      </c>
      <c r="BH91" s="73">
        <f>SUMPRODUCT(-('Gastos Gerais'!$B$4:$B$615=Analítico!$B91),-(Analítico!BH$3&gt;='Gastos Gerais'!$D$4:$D$615),-(Analítico!BH$3&lt;='Gastos Gerais'!$E$4:$E$615),-('Gastos Gerais'!$C$4:$C$615))</f>
        <v>0</v>
      </c>
      <c r="BI91" s="73">
        <f>SUMPRODUCT(-('Gastos Gerais'!$B$4:$B$615=Analítico!$B91),-(Analítico!BI$3&gt;='Gastos Gerais'!$D$4:$D$615),-(Analítico!BI$3&lt;='Gastos Gerais'!$E$4:$E$615),-('Gastos Gerais'!$C$4:$C$615))</f>
        <v>0</v>
      </c>
      <c r="BJ91" s="73">
        <f>SUMPRODUCT(-('Gastos Gerais'!$B$4:$B$615=Analítico!$B91),-(Analítico!BJ$3&gt;='Gastos Gerais'!$D$4:$D$615),-(Analítico!BJ$3&lt;='Gastos Gerais'!$E$4:$E$615),-('Gastos Gerais'!$C$4:$C$615))</f>
        <v>0</v>
      </c>
      <c r="BK91" s="71">
        <f t="shared" si="31"/>
        <v>0</v>
      </c>
      <c r="BL91" s="76">
        <f t="shared" ca="1" si="32"/>
        <v>0</v>
      </c>
    </row>
    <row r="92" spans="1:64" s="49" customFormat="1" ht="23.25" customHeight="1" x14ac:dyDescent="0.2">
      <c r="A92" s="109" t="s">
        <v>252</v>
      </c>
      <c r="B92" s="112" t="s">
        <v>253</v>
      </c>
      <c r="C92" s="73">
        <f>SUMPRODUCT(-('Gastos Gerais'!$B$4:$B$615=Analítico!$B92),-(Analítico!C$3&gt;='Gastos Gerais'!$D$4:$D$615),-(Analítico!C$3&lt;='Gastos Gerais'!$E$4:$E$615),-('Gastos Gerais'!$C$4:$C$615))</f>
        <v>250</v>
      </c>
      <c r="D92" s="73">
        <f>SUMPRODUCT(-('Gastos Gerais'!$B$4:$B$615=Analítico!$B92),-(Analítico!D$3&gt;='Gastos Gerais'!$D$4:$D$615),-(Analítico!D$3&lt;='Gastos Gerais'!$E$4:$E$615),-('Gastos Gerais'!$C$4:$C$615))</f>
        <v>250</v>
      </c>
      <c r="E92" s="73">
        <f>SUMPRODUCT(-('Gastos Gerais'!$B$4:$B$615=Analítico!$B92),-(Analítico!E$3&gt;='Gastos Gerais'!$D$4:$D$615),-(Analítico!E$3&lt;='Gastos Gerais'!$E$4:$E$615),-('Gastos Gerais'!$C$4:$C$615))</f>
        <v>250</v>
      </c>
      <c r="F92" s="73">
        <f>SUMPRODUCT(-('Gastos Gerais'!$B$4:$B$615=Analítico!$B92),-(Analítico!F$3&gt;='Gastos Gerais'!$D$4:$D$615),-(Analítico!F$3&lt;='Gastos Gerais'!$E$4:$E$615),-('Gastos Gerais'!$C$4:$C$615))</f>
        <v>250</v>
      </c>
      <c r="G92" s="73">
        <f>SUMPRODUCT(-('Gastos Gerais'!$B$4:$B$615=Analítico!$B92),-(Analítico!G$3&gt;='Gastos Gerais'!$D$4:$D$615),-(Analítico!G$3&lt;='Gastos Gerais'!$E$4:$E$615),-('Gastos Gerais'!$C$4:$C$615))</f>
        <v>250</v>
      </c>
      <c r="H92" s="73">
        <f>SUMPRODUCT(-('Gastos Gerais'!$B$4:$B$615=Analítico!$B92),-(Analítico!H$3&gt;='Gastos Gerais'!$D$4:$D$615),-(Analítico!H$3&lt;='Gastos Gerais'!$E$4:$E$615),-('Gastos Gerais'!$C$4:$C$615))</f>
        <v>250</v>
      </c>
      <c r="I92" s="73">
        <f>SUMPRODUCT(-('Gastos Gerais'!$B$4:$B$615=Analítico!$B92),-(Analítico!I$3&gt;='Gastos Gerais'!$D$4:$D$615),-(Analítico!I$3&lt;='Gastos Gerais'!$E$4:$E$615),-('Gastos Gerais'!$C$4:$C$615))</f>
        <v>250</v>
      </c>
      <c r="J92" s="73">
        <f>SUMPRODUCT(-('Gastos Gerais'!$B$4:$B$615=Analítico!$B92),-(Analítico!J$3&gt;='Gastos Gerais'!$D$4:$D$615),-(Analítico!J$3&lt;='Gastos Gerais'!$E$4:$E$615),-('Gastos Gerais'!$C$4:$C$615))</f>
        <v>250</v>
      </c>
      <c r="K92" s="73">
        <f>SUMPRODUCT(-('Gastos Gerais'!$B$4:$B$615=Analítico!$B92),-(Analítico!K$3&gt;='Gastos Gerais'!$D$4:$D$615),-(Analítico!K$3&lt;='Gastos Gerais'!$E$4:$E$615),-('Gastos Gerais'!$C$4:$C$615))</f>
        <v>250</v>
      </c>
      <c r="L92" s="73">
        <f>SUMPRODUCT(-('Gastos Gerais'!$B$4:$B$615=Analítico!$B92),-(Analítico!L$3&gt;='Gastos Gerais'!$D$4:$D$615),-(Analítico!L$3&lt;='Gastos Gerais'!$E$4:$E$615),-('Gastos Gerais'!$C$4:$C$615))</f>
        <v>250</v>
      </c>
      <c r="M92" s="73">
        <f>SUMPRODUCT(-('Gastos Gerais'!$B$4:$B$615=Analítico!$B92),-(Analítico!M$3&gt;='Gastos Gerais'!$D$4:$D$615),-(Analítico!M$3&lt;='Gastos Gerais'!$E$4:$E$615),-('Gastos Gerais'!$C$4:$C$615))</f>
        <v>250</v>
      </c>
      <c r="N92" s="73">
        <f>SUMPRODUCT(-('Gastos Gerais'!$B$4:$B$615=Analítico!$B92),-(Analítico!N$3&gt;='Gastos Gerais'!$D$4:$D$615),-(Analítico!N$3&lt;='Gastos Gerais'!$E$4:$E$615),-('Gastos Gerais'!$C$4:$C$615))</f>
        <v>250</v>
      </c>
      <c r="O92" s="73">
        <f>SUMPRODUCT(-('Gastos Gerais'!$B$4:$B$615=Analítico!$B92),-(Analítico!O$3&gt;='Gastos Gerais'!$D$4:$D$615),-(Analítico!O$3&lt;='Gastos Gerais'!$E$4:$E$615),-('Gastos Gerais'!$C$4:$C$615))</f>
        <v>250</v>
      </c>
      <c r="P92" s="73">
        <f>SUMPRODUCT(-('Gastos Gerais'!$B$4:$B$615=Analítico!$B92),-(Analítico!P$3&gt;='Gastos Gerais'!$D$4:$D$615),-(Analítico!P$3&lt;='Gastos Gerais'!$E$4:$E$615),-('Gastos Gerais'!$C$4:$C$615))</f>
        <v>250</v>
      </c>
      <c r="Q92" s="73">
        <f>SUMPRODUCT(-('Gastos Gerais'!$B$4:$B$615=Analítico!$B92),-(Analítico!Q$3&gt;='Gastos Gerais'!$D$4:$D$615),-(Analítico!Q$3&lt;='Gastos Gerais'!$E$4:$E$615),-('Gastos Gerais'!$C$4:$C$615))</f>
        <v>250</v>
      </c>
      <c r="R92" s="73">
        <f>SUMPRODUCT(-('Gastos Gerais'!$B$4:$B$615=Analítico!$B92),-(Analítico!R$3&gt;='Gastos Gerais'!$D$4:$D$615),-(Analítico!R$3&lt;='Gastos Gerais'!$E$4:$E$615),-('Gastos Gerais'!$C$4:$C$615))</f>
        <v>250</v>
      </c>
      <c r="S92" s="73">
        <f>SUMPRODUCT(-('Gastos Gerais'!$B$4:$B$615=Analítico!$B92),-(Analítico!S$3&gt;='Gastos Gerais'!$D$4:$D$615),-(Analítico!S$3&lt;='Gastos Gerais'!$E$4:$E$615),-('Gastos Gerais'!$C$4:$C$615))</f>
        <v>250</v>
      </c>
      <c r="T92" s="73">
        <f>SUMPRODUCT(-('Gastos Gerais'!$B$4:$B$615=Analítico!$B92),-(Analítico!T$3&gt;='Gastos Gerais'!$D$4:$D$615),-(Analítico!T$3&lt;='Gastos Gerais'!$E$4:$E$615),-('Gastos Gerais'!$C$4:$C$615))</f>
        <v>250</v>
      </c>
      <c r="U92" s="73">
        <f>SUMPRODUCT(-('Gastos Gerais'!$B$4:$B$615=Analítico!$B92),-(Analítico!U$3&gt;='Gastos Gerais'!$D$4:$D$615),-(Analítico!U$3&lt;='Gastos Gerais'!$E$4:$E$615),-('Gastos Gerais'!$C$4:$C$615))</f>
        <v>250</v>
      </c>
      <c r="V92" s="73">
        <f>SUMPRODUCT(-('Gastos Gerais'!$B$4:$B$615=Analítico!$B92),-(Analítico!V$3&gt;='Gastos Gerais'!$D$4:$D$615),-(Analítico!V$3&lt;='Gastos Gerais'!$E$4:$E$615),-('Gastos Gerais'!$C$4:$C$615))</f>
        <v>250</v>
      </c>
      <c r="W92" s="73">
        <f>SUMPRODUCT(-('Gastos Gerais'!$B$4:$B$615=Analítico!$B92),-(Analítico!W$3&gt;='Gastos Gerais'!$D$4:$D$615),-(Analítico!W$3&lt;='Gastos Gerais'!$E$4:$E$615),-('Gastos Gerais'!$C$4:$C$615))</f>
        <v>250</v>
      </c>
      <c r="X92" s="73">
        <f>SUMPRODUCT(-('Gastos Gerais'!$B$4:$B$615=Analítico!$B92),-(Analítico!X$3&gt;='Gastos Gerais'!$D$4:$D$615),-(Analítico!X$3&lt;='Gastos Gerais'!$E$4:$E$615),-('Gastos Gerais'!$C$4:$C$615))</f>
        <v>250</v>
      </c>
      <c r="Y92" s="73">
        <f>SUMPRODUCT(-('Gastos Gerais'!$B$4:$B$615=Analítico!$B92),-(Analítico!Y$3&gt;='Gastos Gerais'!$D$4:$D$615),-(Analítico!Y$3&lt;='Gastos Gerais'!$E$4:$E$615),-('Gastos Gerais'!$C$4:$C$615))</f>
        <v>250</v>
      </c>
      <c r="Z92" s="73">
        <f>SUMPRODUCT(-('Gastos Gerais'!$B$4:$B$615=Analítico!$B92),-(Analítico!Z$3&gt;='Gastos Gerais'!$D$4:$D$615),-(Analítico!Z$3&lt;='Gastos Gerais'!$E$4:$E$615),-('Gastos Gerais'!$C$4:$C$615))</f>
        <v>250</v>
      </c>
      <c r="AA92" s="73">
        <f>SUMPRODUCT(-('Gastos Gerais'!$B$4:$B$615=Analítico!$B92),-(Analítico!AA$3&gt;='Gastos Gerais'!$D$4:$D$615),-(Analítico!AA$3&lt;='Gastos Gerais'!$E$4:$E$615),-('Gastos Gerais'!$C$4:$C$615))</f>
        <v>250</v>
      </c>
      <c r="AB92" s="73">
        <f>SUMPRODUCT(-('Gastos Gerais'!$B$4:$B$615=Analítico!$B92),-(Analítico!AB$3&gt;='Gastos Gerais'!$D$4:$D$615),-(Analítico!AB$3&lt;='Gastos Gerais'!$E$4:$E$615),-('Gastos Gerais'!$C$4:$C$615))</f>
        <v>250</v>
      </c>
      <c r="AC92" s="73">
        <f>SUMPRODUCT(-('Gastos Gerais'!$B$4:$B$615=Analítico!$B92),-(Analítico!AC$3&gt;='Gastos Gerais'!$D$4:$D$615),-(Analítico!AC$3&lt;='Gastos Gerais'!$E$4:$E$615),-('Gastos Gerais'!$C$4:$C$615))</f>
        <v>250</v>
      </c>
      <c r="AD92" s="73">
        <f>SUMPRODUCT(-('Gastos Gerais'!$B$4:$B$615=Analítico!$B92),-(Analítico!AD$3&gt;='Gastos Gerais'!$D$4:$D$615),-(Analítico!AD$3&lt;='Gastos Gerais'!$E$4:$E$615),-('Gastos Gerais'!$C$4:$C$615))</f>
        <v>250</v>
      </c>
      <c r="AE92" s="73">
        <f>SUMPRODUCT(-('Gastos Gerais'!$B$4:$B$615=Analítico!$B92),-(Analítico!AE$3&gt;='Gastos Gerais'!$D$4:$D$615),-(Analítico!AE$3&lt;='Gastos Gerais'!$E$4:$E$615),-('Gastos Gerais'!$C$4:$C$615))</f>
        <v>250</v>
      </c>
      <c r="AF92" s="73">
        <f>SUMPRODUCT(-('Gastos Gerais'!$B$4:$B$615=Analítico!$B92),-(Analítico!AF$3&gt;='Gastos Gerais'!$D$4:$D$615),-(Analítico!AF$3&lt;='Gastos Gerais'!$E$4:$E$615),-('Gastos Gerais'!$C$4:$C$615))</f>
        <v>250</v>
      </c>
      <c r="AG92" s="73">
        <f>SUMPRODUCT(-('Gastos Gerais'!$B$4:$B$615=Analítico!$B92),-(Analítico!AG$3&gt;='Gastos Gerais'!$D$4:$D$615),-(Analítico!AG$3&lt;='Gastos Gerais'!$E$4:$E$615),-('Gastos Gerais'!$C$4:$C$615))</f>
        <v>250</v>
      </c>
      <c r="AH92" s="73">
        <f>SUMPRODUCT(-('Gastos Gerais'!$B$4:$B$615=Analítico!$B92),-(Analítico!AH$3&gt;='Gastos Gerais'!$D$4:$D$615),-(Analítico!AH$3&lt;='Gastos Gerais'!$E$4:$E$615),-('Gastos Gerais'!$C$4:$C$615))</f>
        <v>250</v>
      </c>
      <c r="AI92" s="73">
        <f>SUMPRODUCT(-('Gastos Gerais'!$B$4:$B$615=Analítico!$B92),-(Analítico!AI$3&gt;='Gastos Gerais'!$D$4:$D$615),-(Analítico!AI$3&lt;='Gastos Gerais'!$E$4:$E$615),-('Gastos Gerais'!$C$4:$C$615))</f>
        <v>250</v>
      </c>
      <c r="AJ92" s="73">
        <f>SUMPRODUCT(-('Gastos Gerais'!$B$4:$B$615=Analítico!$B92),-(Analítico!AJ$3&gt;='Gastos Gerais'!$D$4:$D$615),-(Analítico!AJ$3&lt;='Gastos Gerais'!$E$4:$E$615),-('Gastos Gerais'!$C$4:$C$615))</f>
        <v>250</v>
      </c>
      <c r="AK92" s="73">
        <f>SUMPRODUCT(-('Gastos Gerais'!$B$4:$B$615=Analítico!$B92),-(Analítico!AK$3&gt;='Gastos Gerais'!$D$4:$D$615),-(Analítico!AK$3&lt;='Gastos Gerais'!$E$4:$E$615),-('Gastos Gerais'!$C$4:$C$615))</f>
        <v>250</v>
      </c>
      <c r="AL92" s="73">
        <f>SUMPRODUCT(-('Gastos Gerais'!$B$4:$B$615=Analítico!$B92),-(Analítico!AL$3&gt;='Gastos Gerais'!$D$4:$D$615),-(Analítico!AL$3&lt;='Gastos Gerais'!$E$4:$E$615),-('Gastos Gerais'!$C$4:$C$615))</f>
        <v>250</v>
      </c>
      <c r="AM92" s="73">
        <f>SUMPRODUCT(-('Gastos Gerais'!$B$4:$B$615=Analítico!$B92),-(Analítico!AM$3&gt;='Gastos Gerais'!$D$4:$D$615),-(Analítico!AM$3&lt;='Gastos Gerais'!$E$4:$E$615),-('Gastos Gerais'!$C$4:$C$615))</f>
        <v>0</v>
      </c>
      <c r="AN92" s="73">
        <f>SUMPRODUCT(-('Gastos Gerais'!$B$4:$B$615=Analítico!$B92),-(Analítico!AN$3&gt;='Gastos Gerais'!$D$4:$D$615),-(Analítico!AN$3&lt;='Gastos Gerais'!$E$4:$E$615),-('Gastos Gerais'!$C$4:$C$615))</f>
        <v>0</v>
      </c>
      <c r="AO92" s="73">
        <f>SUMPRODUCT(-('Gastos Gerais'!$B$4:$B$615=Analítico!$B92),-(Analítico!AO$3&gt;='Gastos Gerais'!$D$4:$D$615),-(Analítico!AO$3&lt;='Gastos Gerais'!$E$4:$E$615),-('Gastos Gerais'!$C$4:$C$615))</f>
        <v>0</v>
      </c>
      <c r="AP92" s="73">
        <f>SUMPRODUCT(-('Gastos Gerais'!$B$4:$B$615=Analítico!$B92),-(Analítico!AP$3&gt;='Gastos Gerais'!$D$4:$D$615),-(Analítico!AP$3&lt;='Gastos Gerais'!$E$4:$E$615),-('Gastos Gerais'!$C$4:$C$615))</f>
        <v>0</v>
      </c>
      <c r="AQ92" s="73">
        <f>SUMPRODUCT(-('Gastos Gerais'!$B$4:$B$615=Analítico!$B92),-(Analítico!AQ$3&gt;='Gastos Gerais'!$D$4:$D$615),-(Analítico!AQ$3&lt;='Gastos Gerais'!$E$4:$E$615),-('Gastos Gerais'!$C$4:$C$615))</f>
        <v>0</v>
      </c>
      <c r="AR92" s="73">
        <f>SUMPRODUCT(-('Gastos Gerais'!$B$4:$B$615=Analítico!$B92),-(Analítico!AR$3&gt;='Gastos Gerais'!$D$4:$D$615),-(Analítico!AR$3&lt;='Gastos Gerais'!$E$4:$E$615),-('Gastos Gerais'!$C$4:$C$615))</f>
        <v>0</v>
      </c>
      <c r="AS92" s="73">
        <f>SUMPRODUCT(-('Gastos Gerais'!$B$4:$B$615=Analítico!$B92),-(Analítico!AS$3&gt;='Gastos Gerais'!$D$4:$D$615),-(Analítico!AS$3&lt;='Gastos Gerais'!$E$4:$E$615),-('Gastos Gerais'!$C$4:$C$615))</f>
        <v>0</v>
      </c>
      <c r="AT92" s="73">
        <f>SUMPRODUCT(-('Gastos Gerais'!$B$4:$B$615=Analítico!$B92),-(Analítico!AT$3&gt;='Gastos Gerais'!$D$4:$D$615),-(Analítico!AT$3&lt;='Gastos Gerais'!$E$4:$E$615),-('Gastos Gerais'!$C$4:$C$615))</f>
        <v>0</v>
      </c>
      <c r="AU92" s="73">
        <f>SUMPRODUCT(-('Gastos Gerais'!$B$4:$B$615=Analítico!$B92),-(Analítico!AU$3&gt;='Gastos Gerais'!$D$4:$D$615),-(Analítico!AU$3&lt;='Gastos Gerais'!$E$4:$E$615),-('Gastos Gerais'!$C$4:$C$615))</f>
        <v>0</v>
      </c>
      <c r="AV92" s="73">
        <f>SUMPRODUCT(-('Gastos Gerais'!$B$4:$B$615=Analítico!$B92),-(Analítico!AV$3&gt;='Gastos Gerais'!$D$4:$D$615),-(Analítico!AV$3&lt;='Gastos Gerais'!$E$4:$E$615),-('Gastos Gerais'!$C$4:$C$615))</f>
        <v>0</v>
      </c>
      <c r="AW92" s="73">
        <f>SUMPRODUCT(-('Gastos Gerais'!$B$4:$B$615=Analítico!$B92),-(Analítico!AW$3&gt;='Gastos Gerais'!$D$4:$D$615),-(Analítico!AW$3&lt;='Gastos Gerais'!$E$4:$E$615),-('Gastos Gerais'!$C$4:$C$615))</f>
        <v>0</v>
      </c>
      <c r="AX92" s="73">
        <f>SUMPRODUCT(-('Gastos Gerais'!$B$4:$B$615=Analítico!$B92),-(Analítico!AX$3&gt;='Gastos Gerais'!$D$4:$D$615),-(Analítico!AX$3&lt;='Gastos Gerais'!$E$4:$E$615),-('Gastos Gerais'!$C$4:$C$615))</f>
        <v>0</v>
      </c>
      <c r="AY92" s="73">
        <f>SUMPRODUCT(-('Gastos Gerais'!$B$4:$B$615=Analítico!$B92),-(Analítico!AY$3&gt;='Gastos Gerais'!$D$4:$D$615),-(Analítico!AY$3&lt;='Gastos Gerais'!$E$4:$E$615),-('Gastos Gerais'!$C$4:$C$615))</f>
        <v>0</v>
      </c>
      <c r="AZ92" s="73">
        <f>SUMPRODUCT(-('Gastos Gerais'!$B$4:$B$615=Analítico!$B92),-(Analítico!AZ$3&gt;='Gastos Gerais'!$D$4:$D$615),-(Analítico!AZ$3&lt;='Gastos Gerais'!$E$4:$E$615),-('Gastos Gerais'!$C$4:$C$615))</f>
        <v>0</v>
      </c>
      <c r="BA92" s="73">
        <f>SUMPRODUCT(-('Gastos Gerais'!$B$4:$B$615=Analítico!$B92),-(Analítico!BA$3&gt;='Gastos Gerais'!$D$4:$D$615),-(Analítico!BA$3&lt;='Gastos Gerais'!$E$4:$E$615),-('Gastos Gerais'!$C$4:$C$615))</f>
        <v>0</v>
      </c>
      <c r="BB92" s="73">
        <f>SUMPRODUCT(-('Gastos Gerais'!$B$4:$B$615=Analítico!$B92),-(Analítico!BB$3&gt;='Gastos Gerais'!$D$4:$D$615),-(Analítico!BB$3&lt;='Gastos Gerais'!$E$4:$E$615),-('Gastos Gerais'!$C$4:$C$615))</f>
        <v>0</v>
      </c>
      <c r="BC92" s="73">
        <f>SUMPRODUCT(-('Gastos Gerais'!$B$4:$B$615=Analítico!$B92),-(Analítico!BC$3&gt;='Gastos Gerais'!$D$4:$D$615),-(Analítico!BC$3&lt;='Gastos Gerais'!$E$4:$E$615),-('Gastos Gerais'!$C$4:$C$615))</f>
        <v>0</v>
      </c>
      <c r="BD92" s="73">
        <f>SUMPRODUCT(-('Gastos Gerais'!$B$4:$B$615=Analítico!$B92),-(Analítico!BD$3&gt;='Gastos Gerais'!$D$4:$D$615),-(Analítico!BD$3&lt;='Gastos Gerais'!$E$4:$E$615),-('Gastos Gerais'!$C$4:$C$615))</f>
        <v>0</v>
      </c>
      <c r="BE92" s="73">
        <f>SUMPRODUCT(-('Gastos Gerais'!$B$4:$B$615=Analítico!$B92),-(Analítico!BE$3&gt;='Gastos Gerais'!$D$4:$D$615),-(Analítico!BE$3&lt;='Gastos Gerais'!$E$4:$E$615),-('Gastos Gerais'!$C$4:$C$615))</f>
        <v>0</v>
      </c>
      <c r="BF92" s="73">
        <f>SUMPRODUCT(-('Gastos Gerais'!$B$4:$B$615=Analítico!$B92),-(Analítico!BF$3&gt;='Gastos Gerais'!$D$4:$D$615),-(Analítico!BF$3&lt;='Gastos Gerais'!$E$4:$E$615),-('Gastos Gerais'!$C$4:$C$615))</f>
        <v>0</v>
      </c>
      <c r="BG92" s="73">
        <f>SUMPRODUCT(-('Gastos Gerais'!$B$4:$B$615=Analítico!$B92),-(Analítico!BG$3&gt;='Gastos Gerais'!$D$4:$D$615),-(Analítico!BG$3&lt;='Gastos Gerais'!$E$4:$E$615),-('Gastos Gerais'!$C$4:$C$615))</f>
        <v>0</v>
      </c>
      <c r="BH92" s="73">
        <f>SUMPRODUCT(-('Gastos Gerais'!$B$4:$B$615=Analítico!$B92),-(Analítico!BH$3&gt;='Gastos Gerais'!$D$4:$D$615),-(Analítico!BH$3&lt;='Gastos Gerais'!$E$4:$E$615),-('Gastos Gerais'!$C$4:$C$615))</f>
        <v>0</v>
      </c>
      <c r="BI92" s="73">
        <f>SUMPRODUCT(-('Gastos Gerais'!$B$4:$B$615=Analítico!$B92),-(Analítico!BI$3&gt;='Gastos Gerais'!$D$4:$D$615),-(Analítico!BI$3&lt;='Gastos Gerais'!$E$4:$E$615),-('Gastos Gerais'!$C$4:$C$615))</f>
        <v>0</v>
      </c>
      <c r="BJ92" s="73">
        <f>SUMPRODUCT(-('Gastos Gerais'!$B$4:$B$615=Analítico!$B92),-(Analítico!BJ$3&gt;='Gastos Gerais'!$D$4:$D$615),-(Analítico!BJ$3&lt;='Gastos Gerais'!$E$4:$E$615),-('Gastos Gerais'!$C$4:$C$615))</f>
        <v>0</v>
      </c>
      <c r="BK92" s="71">
        <f t="shared" ref="BK92:BK135" si="33">SUM(C92:BJ92)</f>
        <v>9000</v>
      </c>
      <c r="BL92" s="76">
        <f t="shared" ref="BL92:BL119" ca="1" si="34">IF($BK$155=0,0,BK92/$BK$155)</f>
        <v>2.4548385828827694E-5</v>
      </c>
    </row>
    <row r="93" spans="1:64" s="49" customFormat="1" ht="23.25" customHeight="1" x14ac:dyDescent="0.2">
      <c r="A93" s="109" t="s">
        <v>254</v>
      </c>
      <c r="B93" s="112" t="s">
        <v>255</v>
      </c>
      <c r="C93" s="73">
        <f>SUMPRODUCT(-('Gastos Gerais'!$B$4:$B$615=Analítico!$B93),-(Analítico!C$3&gt;='Gastos Gerais'!$D$4:$D$615),-(Analítico!C$3&lt;='Gastos Gerais'!$E$4:$E$615),-('Gastos Gerais'!$C$4:$C$615))</f>
        <v>0</v>
      </c>
      <c r="D93" s="73">
        <f>SUMPRODUCT(-('Gastos Gerais'!$B$4:$B$615=Analítico!$B93),-(Analítico!D$3&gt;='Gastos Gerais'!$D$4:$D$615),-(Analítico!D$3&lt;='Gastos Gerais'!$E$4:$E$615),-('Gastos Gerais'!$C$4:$C$615))</f>
        <v>0</v>
      </c>
      <c r="E93" s="73">
        <f>SUMPRODUCT(-('Gastos Gerais'!$B$4:$B$615=Analítico!$B93),-(Analítico!E$3&gt;='Gastos Gerais'!$D$4:$D$615),-(Analítico!E$3&lt;='Gastos Gerais'!$E$4:$E$615),-('Gastos Gerais'!$C$4:$C$615))</f>
        <v>0</v>
      </c>
      <c r="F93" s="73">
        <f>SUMPRODUCT(-('Gastos Gerais'!$B$4:$B$615=Analítico!$B93),-(Analítico!F$3&gt;='Gastos Gerais'!$D$4:$D$615),-(Analítico!F$3&lt;='Gastos Gerais'!$E$4:$E$615),-('Gastos Gerais'!$C$4:$C$615))</f>
        <v>0</v>
      </c>
      <c r="G93" s="73">
        <f>SUMPRODUCT(-('Gastos Gerais'!$B$4:$B$615=Analítico!$B93),-(Analítico!G$3&gt;='Gastos Gerais'!$D$4:$D$615),-(Analítico!G$3&lt;='Gastos Gerais'!$E$4:$E$615),-('Gastos Gerais'!$C$4:$C$615))</f>
        <v>0</v>
      </c>
      <c r="H93" s="73">
        <f>SUMPRODUCT(-('Gastos Gerais'!$B$4:$B$615=Analítico!$B93),-(Analítico!H$3&gt;='Gastos Gerais'!$D$4:$D$615),-(Analítico!H$3&lt;='Gastos Gerais'!$E$4:$E$615),-('Gastos Gerais'!$C$4:$C$615))</f>
        <v>0</v>
      </c>
      <c r="I93" s="73">
        <f>SUMPRODUCT(-('Gastos Gerais'!$B$4:$B$615=Analítico!$B93),-(Analítico!I$3&gt;='Gastos Gerais'!$D$4:$D$615),-(Analítico!I$3&lt;='Gastos Gerais'!$E$4:$E$615),-('Gastos Gerais'!$C$4:$C$615))</f>
        <v>0</v>
      </c>
      <c r="J93" s="73">
        <f>SUMPRODUCT(-('Gastos Gerais'!$B$4:$B$615=Analítico!$B93),-(Analítico!J$3&gt;='Gastos Gerais'!$D$4:$D$615),-(Analítico!J$3&lt;='Gastos Gerais'!$E$4:$E$615),-('Gastos Gerais'!$C$4:$C$615))</f>
        <v>0</v>
      </c>
      <c r="K93" s="73">
        <f>SUMPRODUCT(-('Gastos Gerais'!$B$4:$B$615=Analítico!$B93),-(Analítico!K$3&gt;='Gastos Gerais'!$D$4:$D$615),-(Analítico!K$3&lt;='Gastos Gerais'!$E$4:$E$615),-('Gastos Gerais'!$C$4:$C$615))</f>
        <v>0</v>
      </c>
      <c r="L93" s="73">
        <f>SUMPRODUCT(-('Gastos Gerais'!$B$4:$B$615=Analítico!$B93),-(Analítico!L$3&gt;='Gastos Gerais'!$D$4:$D$615),-(Analítico!L$3&lt;='Gastos Gerais'!$E$4:$E$615),-('Gastos Gerais'!$C$4:$C$615))</f>
        <v>0</v>
      </c>
      <c r="M93" s="73">
        <f>SUMPRODUCT(-('Gastos Gerais'!$B$4:$B$615=Analítico!$B93),-(Analítico!M$3&gt;='Gastos Gerais'!$D$4:$D$615),-(Analítico!M$3&lt;='Gastos Gerais'!$E$4:$E$615),-('Gastos Gerais'!$C$4:$C$615))</f>
        <v>0</v>
      </c>
      <c r="N93" s="73">
        <f>SUMPRODUCT(-('Gastos Gerais'!$B$4:$B$615=Analítico!$B93),-(Analítico!N$3&gt;='Gastos Gerais'!$D$4:$D$615),-(Analítico!N$3&lt;='Gastos Gerais'!$E$4:$E$615),-('Gastos Gerais'!$C$4:$C$615))</f>
        <v>0</v>
      </c>
      <c r="O93" s="73">
        <f>SUMPRODUCT(-('Gastos Gerais'!$B$4:$B$615=Analítico!$B93),-(Analítico!O$3&gt;='Gastos Gerais'!$D$4:$D$615),-(Analítico!O$3&lt;='Gastos Gerais'!$E$4:$E$615),-('Gastos Gerais'!$C$4:$C$615))</f>
        <v>0</v>
      </c>
      <c r="P93" s="73">
        <f>SUMPRODUCT(-('Gastos Gerais'!$B$4:$B$615=Analítico!$B93),-(Analítico!P$3&gt;='Gastos Gerais'!$D$4:$D$615),-(Analítico!P$3&lt;='Gastos Gerais'!$E$4:$E$615),-('Gastos Gerais'!$C$4:$C$615))</f>
        <v>0</v>
      </c>
      <c r="Q93" s="73">
        <f>SUMPRODUCT(-('Gastos Gerais'!$B$4:$B$615=Analítico!$B93),-(Analítico!Q$3&gt;='Gastos Gerais'!$D$4:$D$615),-(Analítico!Q$3&lt;='Gastos Gerais'!$E$4:$E$615),-('Gastos Gerais'!$C$4:$C$615))</f>
        <v>0</v>
      </c>
      <c r="R93" s="73">
        <f>SUMPRODUCT(-('Gastos Gerais'!$B$4:$B$615=Analítico!$B93),-(Analítico!R$3&gt;='Gastos Gerais'!$D$4:$D$615),-(Analítico!R$3&lt;='Gastos Gerais'!$E$4:$E$615),-('Gastos Gerais'!$C$4:$C$615))</f>
        <v>0</v>
      </c>
      <c r="S93" s="73">
        <f>SUMPRODUCT(-('Gastos Gerais'!$B$4:$B$615=Analítico!$B93),-(Analítico!S$3&gt;='Gastos Gerais'!$D$4:$D$615),-(Analítico!S$3&lt;='Gastos Gerais'!$E$4:$E$615),-('Gastos Gerais'!$C$4:$C$615))</f>
        <v>0</v>
      </c>
      <c r="T93" s="73">
        <f>SUMPRODUCT(-('Gastos Gerais'!$B$4:$B$615=Analítico!$B93),-(Analítico!T$3&gt;='Gastos Gerais'!$D$4:$D$615),-(Analítico!T$3&lt;='Gastos Gerais'!$E$4:$E$615),-('Gastos Gerais'!$C$4:$C$615))</f>
        <v>0</v>
      </c>
      <c r="U93" s="73">
        <f>SUMPRODUCT(-('Gastos Gerais'!$B$4:$B$615=Analítico!$B93),-(Analítico!U$3&gt;='Gastos Gerais'!$D$4:$D$615),-(Analítico!U$3&lt;='Gastos Gerais'!$E$4:$E$615),-('Gastos Gerais'!$C$4:$C$615))</f>
        <v>0</v>
      </c>
      <c r="V93" s="73">
        <f>SUMPRODUCT(-('Gastos Gerais'!$B$4:$B$615=Analítico!$B93),-(Analítico!V$3&gt;='Gastos Gerais'!$D$4:$D$615),-(Analítico!V$3&lt;='Gastos Gerais'!$E$4:$E$615),-('Gastos Gerais'!$C$4:$C$615))</f>
        <v>0</v>
      </c>
      <c r="W93" s="73">
        <f>SUMPRODUCT(-('Gastos Gerais'!$B$4:$B$615=Analítico!$B93),-(Analítico!W$3&gt;='Gastos Gerais'!$D$4:$D$615),-(Analítico!W$3&lt;='Gastos Gerais'!$E$4:$E$615),-('Gastos Gerais'!$C$4:$C$615))</f>
        <v>0</v>
      </c>
      <c r="X93" s="73">
        <f>SUMPRODUCT(-('Gastos Gerais'!$B$4:$B$615=Analítico!$B93),-(Analítico!X$3&gt;='Gastos Gerais'!$D$4:$D$615),-(Analítico!X$3&lt;='Gastos Gerais'!$E$4:$E$615),-('Gastos Gerais'!$C$4:$C$615))</f>
        <v>0</v>
      </c>
      <c r="Y93" s="73">
        <f>SUMPRODUCT(-('Gastos Gerais'!$B$4:$B$615=Analítico!$B93),-(Analítico!Y$3&gt;='Gastos Gerais'!$D$4:$D$615),-(Analítico!Y$3&lt;='Gastos Gerais'!$E$4:$E$615),-('Gastos Gerais'!$C$4:$C$615))</f>
        <v>0</v>
      </c>
      <c r="Z93" s="73">
        <f>SUMPRODUCT(-('Gastos Gerais'!$B$4:$B$615=Analítico!$B93),-(Analítico!Z$3&gt;='Gastos Gerais'!$D$4:$D$615),-(Analítico!Z$3&lt;='Gastos Gerais'!$E$4:$E$615),-('Gastos Gerais'!$C$4:$C$615))</f>
        <v>0</v>
      </c>
      <c r="AA93" s="73">
        <f>SUMPRODUCT(-('Gastos Gerais'!$B$4:$B$615=Analítico!$B93),-(Analítico!AA$3&gt;='Gastos Gerais'!$D$4:$D$615),-(Analítico!AA$3&lt;='Gastos Gerais'!$E$4:$E$615),-('Gastos Gerais'!$C$4:$C$615))</f>
        <v>0</v>
      </c>
      <c r="AB93" s="73">
        <f>SUMPRODUCT(-('Gastos Gerais'!$B$4:$B$615=Analítico!$B93),-(Analítico!AB$3&gt;='Gastos Gerais'!$D$4:$D$615),-(Analítico!AB$3&lt;='Gastos Gerais'!$E$4:$E$615),-('Gastos Gerais'!$C$4:$C$615))</f>
        <v>0</v>
      </c>
      <c r="AC93" s="73">
        <f>SUMPRODUCT(-('Gastos Gerais'!$B$4:$B$615=Analítico!$B93),-(Analítico!AC$3&gt;='Gastos Gerais'!$D$4:$D$615),-(Analítico!AC$3&lt;='Gastos Gerais'!$E$4:$E$615),-('Gastos Gerais'!$C$4:$C$615))</f>
        <v>0</v>
      </c>
      <c r="AD93" s="73">
        <f>SUMPRODUCT(-('Gastos Gerais'!$B$4:$B$615=Analítico!$B93),-(Analítico!AD$3&gt;='Gastos Gerais'!$D$4:$D$615),-(Analítico!AD$3&lt;='Gastos Gerais'!$E$4:$E$615),-('Gastos Gerais'!$C$4:$C$615))</f>
        <v>0</v>
      </c>
      <c r="AE93" s="73">
        <f>SUMPRODUCT(-('Gastos Gerais'!$B$4:$B$615=Analítico!$B93),-(Analítico!AE$3&gt;='Gastos Gerais'!$D$4:$D$615),-(Analítico!AE$3&lt;='Gastos Gerais'!$E$4:$E$615),-('Gastos Gerais'!$C$4:$C$615))</f>
        <v>0</v>
      </c>
      <c r="AF93" s="73">
        <f>SUMPRODUCT(-('Gastos Gerais'!$B$4:$B$615=Analítico!$B93),-(Analítico!AF$3&gt;='Gastos Gerais'!$D$4:$D$615),-(Analítico!AF$3&lt;='Gastos Gerais'!$E$4:$E$615),-('Gastos Gerais'!$C$4:$C$615))</f>
        <v>0</v>
      </c>
      <c r="AG93" s="73">
        <f>SUMPRODUCT(-('Gastos Gerais'!$B$4:$B$615=Analítico!$B93),-(Analítico!AG$3&gt;='Gastos Gerais'!$D$4:$D$615),-(Analítico!AG$3&lt;='Gastos Gerais'!$E$4:$E$615),-('Gastos Gerais'!$C$4:$C$615))</f>
        <v>0</v>
      </c>
      <c r="AH93" s="73">
        <f>SUMPRODUCT(-('Gastos Gerais'!$B$4:$B$615=Analítico!$B93),-(Analítico!AH$3&gt;='Gastos Gerais'!$D$4:$D$615),-(Analítico!AH$3&lt;='Gastos Gerais'!$E$4:$E$615),-('Gastos Gerais'!$C$4:$C$615))</f>
        <v>0</v>
      </c>
      <c r="AI93" s="73">
        <f>SUMPRODUCT(-('Gastos Gerais'!$B$4:$B$615=Analítico!$B93),-(Analítico!AI$3&gt;='Gastos Gerais'!$D$4:$D$615),-(Analítico!AI$3&lt;='Gastos Gerais'!$E$4:$E$615),-('Gastos Gerais'!$C$4:$C$615))</f>
        <v>0</v>
      </c>
      <c r="AJ93" s="73">
        <f>SUMPRODUCT(-('Gastos Gerais'!$B$4:$B$615=Analítico!$B93),-(Analítico!AJ$3&gt;='Gastos Gerais'!$D$4:$D$615),-(Analítico!AJ$3&lt;='Gastos Gerais'!$E$4:$E$615),-('Gastos Gerais'!$C$4:$C$615))</f>
        <v>0</v>
      </c>
      <c r="AK93" s="73">
        <f>SUMPRODUCT(-('Gastos Gerais'!$B$4:$B$615=Analítico!$B93),-(Analítico!AK$3&gt;='Gastos Gerais'!$D$4:$D$615),-(Analítico!AK$3&lt;='Gastos Gerais'!$E$4:$E$615),-('Gastos Gerais'!$C$4:$C$615))</f>
        <v>0</v>
      </c>
      <c r="AL93" s="73">
        <f>SUMPRODUCT(-('Gastos Gerais'!$B$4:$B$615=Analítico!$B93),-(Analítico!AL$3&gt;='Gastos Gerais'!$D$4:$D$615),-(Analítico!AL$3&lt;='Gastos Gerais'!$E$4:$E$615),-('Gastos Gerais'!$C$4:$C$615))</f>
        <v>0</v>
      </c>
      <c r="AM93" s="73">
        <f>SUMPRODUCT(-('Gastos Gerais'!$B$4:$B$615=Analítico!$B93),-(Analítico!AM$3&gt;='Gastos Gerais'!$D$4:$D$615),-(Analítico!AM$3&lt;='Gastos Gerais'!$E$4:$E$615),-('Gastos Gerais'!$C$4:$C$615))</f>
        <v>0</v>
      </c>
      <c r="AN93" s="73">
        <f>SUMPRODUCT(-('Gastos Gerais'!$B$4:$B$615=Analítico!$B93),-(Analítico!AN$3&gt;='Gastos Gerais'!$D$4:$D$615),-(Analítico!AN$3&lt;='Gastos Gerais'!$E$4:$E$615),-('Gastos Gerais'!$C$4:$C$615))</f>
        <v>0</v>
      </c>
      <c r="AO93" s="73">
        <f>SUMPRODUCT(-('Gastos Gerais'!$B$4:$B$615=Analítico!$B93),-(Analítico!AO$3&gt;='Gastos Gerais'!$D$4:$D$615),-(Analítico!AO$3&lt;='Gastos Gerais'!$E$4:$E$615),-('Gastos Gerais'!$C$4:$C$615))</f>
        <v>0</v>
      </c>
      <c r="AP93" s="73">
        <f>SUMPRODUCT(-('Gastos Gerais'!$B$4:$B$615=Analítico!$B93),-(Analítico!AP$3&gt;='Gastos Gerais'!$D$4:$D$615),-(Analítico!AP$3&lt;='Gastos Gerais'!$E$4:$E$615),-('Gastos Gerais'!$C$4:$C$615))</f>
        <v>0</v>
      </c>
      <c r="AQ93" s="73">
        <f>SUMPRODUCT(-('Gastos Gerais'!$B$4:$B$615=Analítico!$B93),-(Analítico!AQ$3&gt;='Gastos Gerais'!$D$4:$D$615),-(Analítico!AQ$3&lt;='Gastos Gerais'!$E$4:$E$615),-('Gastos Gerais'!$C$4:$C$615))</f>
        <v>0</v>
      </c>
      <c r="AR93" s="73">
        <f>SUMPRODUCT(-('Gastos Gerais'!$B$4:$B$615=Analítico!$B93),-(Analítico!AR$3&gt;='Gastos Gerais'!$D$4:$D$615),-(Analítico!AR$3&lt;='Gastos Gerais'!$E$4:$E$615),-('Gastos Gerais'!$C$4:$C$615))</f>
        <v>0</v>
      </c>
      <c r="AS93" s="73">
        <f>SUMPRODUCT(-('Gastos Gerais'!$B$4:$B$615=Analítico!$B93),-(Analítico!AS$3&gt;='Gastos Gerais'!$D$4:$D$615),-(Analítico!AS$3&lt;='Gastos Gerais'!$E$4:$E$615),-('Gastos Gerais'!$C$4:$C$615))</f>
        <v>0</v>
      </c>
      <c r="AT93" s="73">
        <f>SUMPRODUCT(-('Gastos Gerais'!$B$4:$B$615=Analítico!$B93),-(Analítico!AT$3&gt;='Gastos Gerais'!$D$4:$D$615),-(Analítico!AT$3&lt;='Gastos Gerais'!$E$4:$E$615),-('Gastos Gerais'!$C$4:$C$615))</f>
        <v>0</v>
      </c>
      <c r="AU93" s="73">
        <f>SUMPRODUCT(-('Gastos Gerais'!$B$4:$B$615=Analítico!$B93),-(Analítico!AU$3&gt;='Gastos Gerais'!$D$4:$D$615),-(Analítico!AU$3&lt;='Gastos Gerais'!$E$4:$E$615),-('Gastos Gerais'!$C$4:$C$615))</f>
        <v>0</v>
      </c>
      <c r="AV93" s="73">
        <f>SUMPRODUCT(-('Gastos Gerais'!$B$4:$B$615=Analítico!$B93),-(Analítico!AV$3&gt;='Gastos Gerais'!$D$4:$D$615),-(Analítico!AV$3&lt;='Gastos Gerais'!$E$4:$E$615),-('Gastos Gerais'!$C$4:$C$615))</f>
        <v>0</v>
      </c>
      <c r="AW93" s="73">
        <f>SUMPRODUCT(-('Gastos Gerais'!$B$4:$B$615=Analítico!$B93),-(Analítico!AW$3&gt;='Gastos Gerais'!$D$4:$D$615),-(Analítico!AW$3&lt;='Gastos Gerais'!$E$4:$E$615),-('Gastos Gerais'!$C$4:$C$615))</f>
        <v>0</v>
      </c>
      <c r="AX93" s="73">
        <f>SUMPRODUCT(-('Gastos Gerais'!$B$4:$B$615=Analítico!$B93),-(Analítico!AX$3&gt;='Gastos Gerais'!$D$4:$D$615),-(Analítico!AX$3&lt;='Gastos Gerais'!$E$4:$E$615),-('Gastos Gerais'!$C$4:$C$615))</f>
        <v>0</v>
      </c>
      <c r="AY93" s="73">
        <f>SUMPRODUCT(-('Gastos Gerais'!$B$4:$B$615=Analítico!$B93),-(Analítico!AY$3&gt;='Gastos Gerais'!$D$4:$D$615),-(Analítico!AY$3&lt;='Gastos Gerais'!$E$4:$E$615),-('Gastos Gerais'!$C$4:$C$615))</f>
        <v>0</v>
      </c>
      <c r="AZ93" s="73">
        <f>SUMPRODUCT(-('Gastos Gerais'!$B$4:$B$615=Analítico!$B93),-(Analítico!AZ$3&gt;='Gastos Gerais'!$D$4:$D$615),-(Analítico!AZ$3&lt;='Gastos Gerais'!$E$4:$E$615),-('Gastos Gerais'!$C$4:$C$615))</f>
        <v>0</v>
      </c>
      <c r="BA93" s="73">
        <f>SUMPRODUCT(-('Gastos Gerais'!$B$4:$B$615=Analítico!$B93),-(Analítico!BA$3&gt;='Gastos Gerais'!$D$4:$D$615),-(Analítico!BA$3&lt;='Gastos Gerais'!$E$4:$E$615),-('Gastos Gerais'!$C$4:$C$615))</f>
        <v>0</v>
      </c>
      <c r="BB93" s="73">
        <f>SUMPRODUCT(-('Gastos Gerais'!$B$4:$B$615=Analítico!$B93),-(Analítico!BB$3&gt;='Gastos Gerais'!$D$4:$D$615),-(Analítico!BB$3&lt;='Gastos Gerais'!$E$4:$E$615),-('Gastos Gerais'!$C$4:$C$615))</f>
        <v>0</v>
      </c>
      <c r="BC93" s="73">
        <f>SUMPRODUCT(-('Gastos Gerais'!$B$4:$B$615=Analítico!$B93),-(Analítico!BC$3&gt;='Gastos Gerais'!$D$4:$D$615),-(Analítico!BC$3&lt;='Gastos Gerais'!$E$4:$E$615),-('Gastos Gerais'!$C$4:$C$615))</f>
        <v>0</v>
      </c>
      <c r="BD93" s="73">
        <f>SUMPRODUCT(-('Gastos Gerais'!$B$4:$B$615=Analítico!$B93),-(Analítico!BD$3&gt;='Gastos Gerais'!$D$4:$D$615),-(Analítico!BD$3&lt;='Gastos Gerais'!$E$4:$E$615),-('Gastos Gerais'!$C$4:$C$615))</f>
        <v>0</v>
      </c>
      <c r="BE93" s="73">
        <f>SUMPRODUCT(-('Gastos Gerais'!$B$4:$B$615=Analítico!$B93),-(Analítico!BE$3&gt;='Gastos Gerais'!$D$4:$D$615),-(Analítico!BE$3&lt;='Gastos Gerais'!$E$4:$E$615),-('Gastos Gerais'!$C$4:$C$615))</f>
        <v>0</v>
      </c>
      <c r="BF93" s="73">
        <f>SUMPRODUCT(-('Gastos Gerais'!$B$4:$B$615=Analítico!$B93),-(Analítico!BF$3&gt;='Gastos Gerais'!$D$4:$D$615),-(Analítico!BF$3&lt;='Gastos Gerais'!$E$4:$E$615),-('Gastos Gerais'!$C$4:$C$615))</f>
        <v>0</v>
      </c>
      <c r="BG93" s="73">
        <f>SUMPRODUCT(-('Gastos Gerais'!$B$4:$B$615=Analítico!$B93),-(Analítico!BG$3&gt;='Gastos Gerais'!$D$4:$D$615),-(Analítico!BG$3&lt;='Gastos Gerais'!$E$4:$E$615),-('Gastos Gerais'!$C$4:$C$615))</f>
        <v>0</v>
      </c>
      <c r="BH93" s="73">
        <f>SUMPRODUCT(-('Gastos Gerais'!$B$4:$B$615=Analítico!$B93),-(Analítico!BH$3&gt;='Gastos Gerais'!$D$4:$D$615),-(Analítico!BH$3&lt;='Gastos Gerais'!$E$4:$E$615),-('Gastos Gerais'!$C$4:$C$615))</f>
        <v>0</v>
      </c>
      <c r="BI93" s="73">
        <f>SUMPRODUCT(-('Gastos Gerais'!$B$4:$B$615=Analítico!$B93),-(Analítico!BI$3&gt;='Gastos Gerais'!$D$4:$D$615),-(Analítico!BI$3&lt;='Gastos Gerais'!$E$4:$E$615),-('Gastos Gerais'!$C$4:$C$615))</f>
        <v>0</v>
      </c>
      <c r="BJ93" s="73">
        <f>SUMPRODUCT(-('Gastos Gerais'!$B$4:$B$615=Analítico!$B93),-(Analítico!BJ$3&gt;='Gastos Gerais'!$D$4:$D$615),-(Analítico!BJ$3&lt;='Gastos Gerais'!$E$4:$E$615),-('Gastos Gerais'!$C$4:$C$615))</f>
        <v>0</v>
      </c>
      <c r="BK93" s="71">
        <f t="shared" si="33"/>
        <v>0</v>
      </c>
      <c r="BL93" s="76">
        <f t="shared" ca="1" si="34"/>
        <v>0</v>
      </c>
    </row>
    <row r="94" spans="1:64" s="49" customFormat="1" ht="23.25" customHeight="1" x14ac:dyDescent="0.2">
      <c r="A94" s="109" t="s">
        <v>256</v>
      </c>
      <c r="B94" s="112" t="s">
        <v>257</v>
      </c>
      <c r="C94" s="73">
        <f>SUMPRODUCT(-('Gastos Gerais'!$B$4:$B$615=Analítico!$B94),-(Analítico!C$3&gt;='Gastos Gerais'!$D$4:$D$615),-(Analítico!C$3&lt;='Gastos Gerais'!$E$4:$E$615),-('Gastos Gerais'!$C$4:$C$615))</f>
        <v>17500</v>
      </c>
      <c r="D94" s="73">
        <f>SUMPRODUCT(-('Gastos Gerais'!$B$4:$B$615=Analítico!$B94),-(Analítico!D$3&gt;='Gastos Gerais'!$D$4:$D$615),-(Analítico!D$3&lt;='Gastos Gerais'!$E$4:$E$615),-('Gastos Gerais'!$C$4:$C$615))</f>
        <v>0</v>
      </c>
      <c r="E94" s="73">
        <f>SUMPRODUCT(-('Gastos Gerais'!$B$4:$B$615=Analítico!$B94),-(Analítico!E$3&gt;='Gastos Gerais'!$D$4:$D$615),-(Analítico!E$3&lt;='Gastos Gerais'!$E$4:$E$615),-('Gastos Gerais'!$C$4:$C$615))</f>
        <v>0</v>
      </c>
      <c r="F94" s="73">
        <f>SUMPRODUCT(-('Gastos Gerais'!$B$4:$B$615=Analítico!$B94),-(Analítico!F$3&gt;='Gastos Gerais'!$D$4:$D$615),-(Analítico!F$3&lt;='Gastos Gerais'!$E$4:$E$615),-('Gastos Gerais'!$C$4:$C$615))</f>
        <v>0</v>
      </c>
      <c r="G94" s="73">
        <f>SUMPRODUCT(-('Gastos Gerais'!$B$4:$B$615=Analítico!$B94),-(Analítico!G$3&gt;='Gastos Gerais'!$D$4:$D$615),-(Analítico!G$3&lt;='Gastos Gerais'!$E$4:$E$615),-('Gastos Gerais'!$C$4:$C$615))</f>
        <v>0</v>
      </c>
      <c r="H94" s="73">
        <f>SUMPRODUCT(-('Gastos Gerais'!$B$4:$B$615=Analítico!$B94),-(Analítico!H$3&gt;='Gastos Gerais'!$D$4:$D$615),-(Analítico!H$3&lt;='Gastos Gerais'!$E$4:$E$615),-('Gastos Gerais'!$C$4:$C$615))</f>
        <v>0</v>
      </c>
      <c r="I94" s="73">
        <f>SUMPRODUCT(-('Gastos Gerais'!$B$4:$B$615=Analítico!$B94),-(Analítico!I$3&gt;='Gastos Gerais'!$D$4:$D$615),-(Analítico!I$3&lt;='Gastos Gerais'!$E$4:$E$615),-('Gastos Gerais'!$C$4:$C$615))</f>
        <v>0</v>
      </c>
      <c r="J94" s="73">
        <f>SUMPRODUCT(-('Gastos Gerais'!$B$4:$B$615=Analítico!$B94),-(Analítico!J$3&gt;='Gastos Gerais'!$D$4:$D$615),-(Analítico!J$3&lt;='Gastos Gerais'!$E$4:$E$615),-('Gastos Gerais'!$C$4:$C$615))</f>
        <v>0</v>
      </c>
      <c r="K94" s="73">
        <f>SUMPRODUCT(-('Gastos Gerais'!$B$4:$B$615=Analítico!$B94),-(Analítico!K$3&gt;='Gastos Gerais'!$D$4:$D$615),-(Analítico!K$3&lt;='Gastos Gerais'!$E$4:$E$615),-('Gastos Gerais'!$C$4:$C$615))</f>
        <v>0</v>
      </c>
      <c r="L94" s="73">
        <f>SUMPRODUCT(-('Gastos Gerais'!$B$4:$B$615=Analítico!$B94),-(Analítico!L$3&gt;='Gastos Gerais'!$D$4:$D$615),-(Analítico!L$3&lt;='Gastos Gerais'!$E$4:$E$615),-('Gastos Gerais'!$C$4:$C$615))</f>
        <v>0</v>
      </c>
      <c r="M94" s="73">
        <f>SUMPRODUCT(-('Gastos Gerais'!$B$4:$B$615=Analítico!$B94),-(Analítico!M$3&gt;='Gastos Gerais'!$D$4:$D$615),-(Analítico!M$3&lt;='Gastos Gerais'!$E$4:$E$615),-('Gastos Gerais'!$C$4:$C$615))</f>
        <v>0</v>
      </c>
      <c r="N94" s="73">
        <f>SUMPRODUCT(-('Gastos Gerais'!$B$4:$B$615=Analítico!$B94),-(Analítico!N$3&gt;='Gastos Gerais'!$D$4:$D$615),-(Analítico!N$3&lt;='Gastos Gerais'!$E$4:$E$615),-('Gastos Gerais'!$C$4:$C$615))</f>
        <v>0</v>
      </c>
      <c r="O94" s="73">
        <f>SUMPRODUCT(-('Gastos Gerais'!$B$4:$B$615=Analítico!$B94),-(Analítico!O$3&gt;='Gastos Gerais'!$D$4:$D$615),-(Analítico!O$3&lt;='Gastos Gerais'!$E$4:$E$615),-('Gastos Gerais'!$C$4:$C$615))</f>
        <v>0</v>
      </c>
      <c r="P94" s="73">
        <f>SUMPRODUCT(-('Gastos Gerais'!$B$4:$B$615=Analítico!$B94),-(Analítico!P$3&gt;='Gastos Gerais'!$D$4:$D$615),-(Analítico!P$3&lt;='Gastos Gerais'!$E$4:$E$615),-('Gastos Gerais'!$C$4:$C$615))</f>
        <v>0</v>
      </c>
      <c r="Q94" s="73">
        <f>SUMPRODUCT(-('Gastos Gerais'!$B$4:$B$615=Analítico!$B94),-(Analítico!Q$3&gt;='Gastos Gerais'!$D$4:$D$615),-(Analítico!Q$3&lt;='Gastos Gerais'!$E$4:$E$615),-('Gastos Gerais'!$C$4:$C$615))</f>
        <v>0</v>
      </c>
      <c r="R94" s="73">
        <f>SUMPRODUCT(-('Gastos Gerais'!$B$4:$B$615=Analítico!$B94),-(Analítico!R$3&gt;='Gastos Gerais'!$D$4:$D$615),-(Analítico!R$3&lt;='Gastos Gerais'!$E$4:$E$615),-('Gastos Gerais'!$C$4:$C$615))</f>
        <v>0</v>
      </c>
      <c r="S94" s="73">
        <f>SUMPRODUCT(-('Gastos Gerais'!$B$4:$B$615=Analítico!$B94),-(Analítico!S$3&gt;='Gastos Gerais'!$D$4:$D$615),-(Analítico!S$3&lt;='Gastos Gerais'!$E$4:$E$615),-('Gastos Gerais'!$C$4:$C$615))</f>
        <v>0</v>
      </c>
      <c r="T94" s="73">
        <f>SUMPRODUCT(-('Gastos Gerais'!$B$4:$B$615=Analítico!$B94),-(Analítico!T$3&gt;='Gastos Gerais'!$D$4:$D$615),-(Analítico!T$3&lt;='Gastos Gerais'!$E$4:$E$615),-('Gastos Gerais'!$C$4:$C$615))</f>
        <v>0</v>
      </c>
      <c r="U94" s="73">
        <f>SUMPRODUCT(-('Gastos Gerais'!$B$4:$B$615=Analítico!$B94),-(Analítico!U$3&gt;='Gastos Gerais'!$D$4:$D$615),-(Analítico!U$3&lt;='Gastos Gerais'!$E$4:$E$615),-('Gastos Gerais'!$C$4:$C$615))</f>
        <v>0</v>
      </c>
      <c r="V94" s="73">
        <f>SUMPRODUCT(-('Gastos Gerais'!$B$4:$B$615=Analítico!$B94),-(Analítico!V$3&gt;='Gastos Gerais'!$D$4:$D$615),-(Analítico!V$3&lt;='Gastos Gerais'!$E$4:$E$615),-('Gastos Gerais'!$C$4:$C$615))</f>
        <v>0</v>
      </c>
      <c r="W94" s="73">
        <f>SUMPRODUCT(-('Gastos Gerais'!$B$4:$B$615=Analítico!$B94),-(Analítico!W$3&gt;='Gastos Gerais'!$D$4:$D$615),-(Analítico!W$3&lt;='Gastos Gerais'!$E$4:$E$615),-('Gastos Gerais'!$C$4:$C$615))</f>
        <v>0</v>
      </c>
      <c r="X94" s="73">
        <f>SUMPRODUCT(-('Gastos Gerais'!$B$4:$B$615=Analítico!$B94),-(Analítico!X$3&gt;='Gastos Gerais'!$D$4:$D$615),-(Analítico!X$3&lt;='Gastos Gerais'!$E$4:$E$615),-('Gastos Gerais'!$C$4:$C$615))</f>
        <v>0</v>
      </c>
      <c r="Y94" s="73">
        <f>SUMPRODUCT(-('Gastos Gerais'!$B$4:$B$615=Analítico!$B94),-(Analítico!Y$3&gt;='Gastos Gerais'!$D$4:$D$615),-(Analítico!Y$3&lt;='Gastos Gerais'!$E$4:$E$615),-('Gastos Gerais'!$C$4:$C$615))</f>
        <v>0</v>
      </c>
      <c r="Z94" s="73">
        <f>SUMPRODUCT(-('Gastos Gerais'!$B$4:$B$615=Analítico!$B94),-(Analítico!Z$3&gt;='Gastos Gerais'!$D$4:$D$615),-(Analítico!Z$3&lt;='Gastos Gerais'!$E$4:$E$615),-('Gastos Gerais'!$C$4:$C$615))</f>
        <v>0</v>
      </c>
      <c r="AA94" s="73">
        <f>SUMPRODUCT(-('Gastos Gerais'!$B$4:$B$615=Analítico!$B94),-(Analítico!AA$3&gt;='Gastos Gerais'!$D$4:$D$615),-(Analítico!AA$3&lt;='Gastos Gerais'!$E$4:$E$615),-('Gastos Gerais'!$C$4:$C$615))</f>
        <v>0</v>
      </c>
      <c r="AB94" s="73">
        <f>SUMPRODUCT(-('Gastos Gerais'!$B$4:$B$615=Analítico!$B94),-(Analítico!AB$3&gt;='Gastos Gerais'!$D$4:$D$615),-(Analítico!AB$3&lt;='Gastos Gerais'!$E$4:$E$615),-('Gastos Gerais'!$C$4:$C$615))</f>
        <v>0</v>
      </c>
      <c r="AC94" s="73">
        <f>SUMPRODUCT(-('Gastos Gerais'!$B$4:$B$615=Analítico!$B94),-(Analítico!AC$3&gt;='Gastos Gerais'!$D$4:$D$615),-(Analítico!AC$3&lt;='Gastos Gerais'!$E$4:$E$615),-('Gastos Gerais'!$C$4:$C$615))</f>
        <v>0</v>
      </c>
      <c r="AD94" s="73">
        <f>SUMPRODUCT(-('Gastos Gerais'!$B$4:$B$615=Analítico!$B94),-(Analítico!AD$3&gt;='Gastos Gerais'!$D$4:$D$615),-(Analítico!AD$3&lt;='Gastos Gerais'!$E$4:$E$615),-('Gastos Gerais'!$C$4:$C$615))</f>
        <v>0</v>
      </c>
      <c r="AE94" s="73">
        <f>SUMPRODUCT(-('Gastos Gerais'!$B$4:$B$615=Analítico!$B94),-(Analítico!AE$3&gt;='Gastos Gerais'!$D$4:$D$615),-(Analítico!AE$3&lt;='Gastos Gerais'!$E$4:$E$615),-('Gastos Gerais'!$C$4:$C$615))</f>
        <v>0</v>
      </c>
      <c r="AF94" s="73">
        <f>SUMPRODUCT(-('Gastos Gerais'!$B$4:$B$615=Analítico!$B94),-(Analítico!AF$3&gt;='Gastos Gerais'!$D$4:$D$615),-(Analítico!AF$3&lt;='Gastos Gerais'!$E$4:$E$615),-('Gastos Gerais'!$C$4:$C$615))</f>
        <v>0</v>
      </c>
      <c r="AG94" s="73">
        <f>SUMPRODUCT(-('Gastos Gerais'!$B$4:$B$615=Analítico!$B94),-(Analítico!AG$3&gt;='Gastos Gerais'!$D$4:$D$615),-(Analítico!AG$3&lt;='Gastos Gerais'!$E$4:$E$615),-('Gastos Gerais'!$C$4:$C$615))</f>
        <v>0</v>
      </c>
      <c r="AH94" s="73">
        <f>SUMPRODUCT(-('Gastos Gerais'!$B$4:$B$615=Analítico!$B94),-(Analítico!AH$3&gt;='Gastos Gerais'!$D$4:$D$615),-(Analítico!AH$3&lt;='Gastos Gerais'!$E$4:$E$615),-('Gastos Gerais'!$C$4:$C$615))</f>
        <v>0</v>
      </c>
      <c r="AI94" s="73">
        <f>SUMPRODUCT(-('Gastos Gerais'!$B$4:$B$615=Analítico!$B94),-(Analítico!AI$3&gt;='Gastos Gerais'!$D$4:$D$615),-(Analítico!AI$3&lt;='Gastos Gerais'!$E$4:$E$615),-('Gastos Gerais'!$C$4:$C$615))</f>
        <v>0</v>
      </c>
      <c r="AJ94" s="73">
        <f>SUMPRODUCT(-('Gastos Gerais'!$B$4:$B$615=Analítico!$B94),-(Analítico!AJ$3&gt;='Gastos Gerais'!$D$4:$D$615),-(Analítico!AJ$3&lt;='Gastos Gerais'!$E$4:$E$615),-('Gastos Gerais'!$C$4:$C$615))</f>
        <v>0</v>
      </c>
      <c r="AK94" s="73">
        <f>SUMPRODUCT(-('Gastos Gerais'!$B$4:$B$615=Analítico!$B94),-(Analítico!AK$3&gt;='Gastos Gerais'!$D$4:$D$615),-(Analítico!AK$3&lt;='Gastos Gerais'!$E$4:$E$615),-('Gastos Gerais'!$C$4:$C$615))</f>
        <v>0</v>
      </c>
      <c r="AL94" s="73">
        <f>SUMPRODUCT(-('Gastos Gerais'!$B$4:$B$615=Analítico!$B94),-(Analítico!AL$3&gt;='Gastos Gerais'!$D$4:$D$615),-(Analítico!AL$3&lt;='Gastos Gerais'!$E$4:$E$615),-('Gastos Gerais'!$C$4:$C$615))</f>
        <v>0</v>
      </c>
      <c r="AM94" s="73">
        <f>SUMPRODUCT(-('Gastos Gerais'!$B$4:$B$615=Analítico!$B94),-(Analítico!AM$3&gt;='Gastos Gerais'!$D$4:$D$615),-(Analítico!AM$3&lt;='Gastos Gerais'!$E$4:$E$615),-('Gastos Gerais'!$C$4:$C$615))</f>
        <v>0</v>
      </c>
      <c r="AN94" s="73">
        <f>SUMPRODUCT(-('Gastos Gerais'!$B$4:$B$615=Analítico!$B94),-(Analítico!AN$3&gt;='Gastos Gerais'!$D$4:$D$615),-(Analítico!AN$3&lt;='Gastos Gerais'!$E$4:$E$615),-('Gastos Gerais'!$C$4:$C$615))</f>
        <v>0</v>
      </c>
      <c r="AO94" s="73">
        <f>SUMPRODUCT(-('Gastos Gerais'!$B$4:$B$615=Analítico!$B94),-(Analítico!AO$3&gt;='Gastos Gerais'!$D$4:$D$615),-(Analítico!AO$3&lt;='Gastos Gerais'!$E$4:$E$615),-('Gastos Gerais'!$C$4:$C$615))</f>
        <v>0</v>
      </c>
      <c r="AP94" s="73">
        <f>SUMPRODUCT(-('Gastos Gerais'!$B$4:$B$615=Analítico!$B94),-(Analítico!AP$3&gt;='Gastos Gerais'!$D$4:$D$615),-(Analítico!AP$3&lt;='Gastos Gerais'!$E$4:$E$615),-('Gastos Gerais'!$C$4:$C$615))</f>
        <v>0</v>
      </c>
      <c r="AQ94" s="73">
        <f>SUMPRODUCT(-('Gastos Gerais'!$B$4:$B$615=Analítico!$B94),-(Analítico!AQ$3&gt;='Gastos Gerais'!$D$4:$D$615),-(Analítico!AQ$3&lt;='Gastos Gerais'!$E$4:$E$615),-('Gastos Gerais'!$C$4:$C$615))</f>
        <v>0</v>
      </c>
      <c r="AR94" s="73">
        <f>SUMPRODUCT(-('Gastos Gerais'!$B$4:$B$615=Analítico!$B94),-(Analítico!AR$3&gt;='Gastos Gerais'!$D$4:$D$615),-(Analítico!AR$3&lt;='Gastos Gerais'!$E$4:$E$615),-('Gastos Gerais'!$C$4:$C$615))</f>
        <v>0</v>
      </c>
      <c r="AS94" s="73">
        <f>SUMPRODUCT(-('Gastos Gerais'!$B$4:$B$615=Analítico!$B94),-(Analítico!AS$3&gt;='Gastos Gerais'!$D$4:$D$615),-(Analítico!AS$3&lt;='Gastos Gerais'!$E$4:$E$615),-('Gastos Gerais'!$C$4:$C$615))</f>
        <v>0</v>
      </c>
      <c r="AT94" s="73">
        <f>SUMPRODUCT(-('Gastos Gerais'!$B$4:$B$615=Analítico!$B94),-(Analítico!AT$3&gt;='Gastos Gerais'!$D$4:$D$615),-(Analítico!AT$3&lt;='Gastos Gerais'!$E$4:$E$615),-('Gastos Gerais'!$C$4:$C$615))</f>
        <v>0</v>
      </c>
      <c r="AU94" s="73">
        <f>SUMPRODUCT(-('Gastos Gerais'!$B$4:$B$615=Analítico!$B94),-(Analítico!AU$3&gt;='Gastos Gerais'!$D$4:$D$615),-(Analítico!AU$3&lt;='Gastos Gerais'!$E$4:$E$615),-('Gastos Gerais'!$C$4:$C$615))</f>
        <v>0</v>
      </c>
      <c r="AV94" s="73">
        <f>SUMPRODUCT(-('Gastos Gerais'!$B$4:$B$615=Analítico!$B94),-(Analítico!AV$3&gt;='Gastos Gerais'!$D$4:$D$615),-(Analítico!AV$3&lt;='Gastos Gerais'!$E$4:$E$615),-('Gastos Gerais'!$C$4:$C$615))</f>
        <v>0</v>
      </c>
      <c r="AW94" s="73">
        <f>SUMPRODUCT(-('Gastos Gerais'!$B$4:$B$615=Analítico!$B94),-(Analítico!AW$3&gt;='Gastos Gerais'!$D$4:$D$615),-(Analítico!AW$3&lt;='Gastos Gerais'!$E$4:$E$615),-('Gastos Gerais'!$C$4:$C$615))</f>
        <v>0</v>
      </c>
      <c r="AX94" s="73">
        <f>SUMPRODUCT(-('Gastos Gerais'!$B$4:$B$615=Analítico!$B94),-(Analítico!AX$3&gt;='Gastos Gerais'!$D$4:$D$615),-(Analítico!AX$3&lt;='Gastos Gerais'!$E$4:$E$615),-('Gastos Gerais'!$C$4:$C$615))</f>
        <v>0</v>
      </c>
      <c r="AY94" s="73">
        <f>SUMPRODUCT(-('Gastos Gerais'!$B$4:$B$615=Analítico!$B94),-(Analítico!AY$3&gt;='Gastos Gerais'!$D$4:$D$615),-(Analítico!AY$3&lt;='Gastos Gerais'!$E$4:$E$615),-('Gastos Gerais'!$C$4:$C$615))</f>
        <v>0</v>
      </c>
      <c r="AZ94" s="73">
        <f>SUMPRODUCT(-('Gastos Gerais'!$B$4:$B$615=Analítico!$B94),-(Analítico!AZ$3&gt;='Gastos Gerais'!$D$4:$D$615),-(Analítico!AZ$3&lt;='Gastos Gerais'!$E$4:$E$615),-('Gastos Gerais'!$C$4:$C$615))</f>
        <v>0</v>
      </c>
      <c r="BA94" s="73">
        <f>SUMPRODUCT(-('Gastos Gerais'!$B$4:$B$615=Analítico!$B94),-(Analítico!BA$3&gt;='Gastos Gerais'!$D$4:$D$615),-(Analítico!BA$3&lt;='Gastos Gerais'!$E$4:$E$615),-('Gastos Gerais'!$C$4:$C$615))</f>
        <v>0</v>
      </c>
      <c r="BB94" s="73">
        <f>SUMPRODUCT(-('Gastos Gerais'!$B$4:$B$615=Analítico!$B94),-(Analítico!BB$3&gt;='Gastos Gerais'!$D$4:$D$615),-(Analítico!BB$3&lt;='Gastos Gerais'!$E$4:$E$615),-('Gastos Gerais'!$C$4:$C$615))</f>
        <v>0</v>
      </c>
      <c r="BC94" s="73">
        <f>SUMPRODUCT(-('Gastos Gerais'!$B$4:$B$615=Analítico!$B94),-(Analítico!BC$3&gt;='Gastos Gerais'!$D$4:$D$615),-(Analítico!BC$3&lt;='Gastos Gerais'!$E$4:$E$615),-('Gastos Gerais'!$C$4:$C$615))</f>
        <v>0</v>
      </c>
      <c r="BD94" s="73">
        <f>SUMPRODUCT(-('Gastos Gerais'!$B$4:$B$615=Analítico!$B94),-(Analítico!BD$3&gt;='Gastos Gerais'!$D$4:$D$615),-(Analítico!BD$3&lt;='Gastos Gerais'!$E$4:$E$615),-('Gastos Gerais'!$C$4:$C$615))</f>
        <v>0</v>
      </c>
      <c r="BE94" s="73">
        <f>SUMPRODUCT(-('Gastos Gerais'!$B$4:$B$615=Analítico!$B94),-(Analítico!BE$3&gt;='Gastos Gerais'!$D$4:$D$615),-(Analítico!BE$3&lt;='Gastos Gerais'!$E$4:$E$615),-('Gastos Gerais'!$C$4:$C$615))</f>
        <v>0</v>
      </c>
      <c r="BF94" s="73">
        <f>SUMPRODUCT(-('Gastos Gerais'!$B$4:$B$615=Analítico!$B94),-(Analítico!BF$3&gt;='Gastos Gerais'!$D$4:$D$615),-(Analítico!BF$3&lt;='Gastos Gerais'!$E$4:$E$615),-('Gastos Gerais'!$C$4:$C$615))</f>
        <v>0</v>
      </c>
      <c r="BG94" s="73">
        <f>SUMPRODUCT(-('Gastos Gerais'!$B$4:$B$615=Analítico!$B94),-(Analítico!BG$3&gt;='Gastos Gerais'!$D$4:$D$615),-(Analítico!BG$3&lt;='Gastos Gerais'!$E$4:$E$615),-('Gastos Gerais'!$C$4:$C$615))</f>
        <v>0</v>
      </c>
      <c r="BH94" s="73">
        <f>SUMPRODUCT(-('Gastos Gerais'!$B$4:$B$615=Analítico!$B94),-(Analítico!BH$3&gt;='Gastos Gerais'!$D$4:$D$615),-(Analítico!BH$3&lt;='Gastos Gerais'!$E$4:$E$615),-('Gastos Gerais'!$C$4:$C$615))</f>
        <v>0</v>
      </c>
      <c r="BI94" s="73">
        <f>SUMPRODUCT(-('Gastos Gerais'!$B$4:$B$615=Analítico!$B94),-(Analítico!BI$3&gt;='Gastos Gerais'!$D$4:$D$615),-(Analítico!BI$3&lt;='Gastos Gerais'!$E$4:$E$615),-('Gastos Gerais'!$C$4:$C$615))</f>
        <v>0</v>
      </c>
      <c r="BJ94" s="73">
        <f>SUMPRODUCT(-('Gastos Gerais'!$B$4:$B$615=Analítico!$B94),-(Analítico!BJ$3&gt;='Gastos Gerais'!$D$4:$D$615),-(Analítico!BJ$3&lt;='Gastos Gerais'!$E$4:$E$615),-('Gastos Gerais'!$C$4:$C$615))</f>
        <v>0</v>
      </c>
      <c r="BK94" s="71">
        <f t="shared" si="33"/>
        <v>17500</v>
      </c>
      <c r="BL94" s="76">
        <f t="shared" ca="1" si="34"/>
        <v>4.7732972444942736E-5</v>
      </c>
    </row>
    <row r="95" spans="1:64" s="49" customFormat="1" ht="23.25" customHeight="1" x14ac:dyDescent="0.2">
      <c r="A95" s="109" t="s">
        <v>258</v>
      </c>
      <c r="B95" s="112" t="s">
        <v>259</v>
      </c>
      <c r="C95" s="73">
        <f>SUMPRODUCT(-('Gastos Gerais'!$B$4:$B$615=Analítico!$B95),-(Analítico!C$3&gt;='Gastos Gerais'!$D$4:$D$615),-(Analítico!C$3&lt;='Gastos Gerais'!$E$4:$E$615),-('Gastos Gerais'!$C$4:$C$615))</f>
        <v>0</v>
      </c>
      <c r="D95" s="73">
        <f>SUMPRODUCT(-('Gastos Gerais'!$B$4:$B$615=Analítico!$B95),-(Analítico!D$3&gt;='Gastos Gerais'!$D$4:$D$615),-(Analítico!D$3&lt;='Gastos Gerais'!$E$4:$E$615),-('Gastos Gerais'!$C$4:$C$615))</f>
        <v>0</v>
      </c>
      <c r="E95" s="73">
        <f>SUMPRODUCT(-('Gastos Gerais'!$B$4:$B$615=Analítico!$B95),-(Analítico!E$3&gt;='Gastos Gerais'!$D$4:$D$615),-(Analítico!E$3&lt;='Gastos Gerais'!$E$4:$E$615),-('Gastos Gerais'!$C$4:$C$615))</f>
        <v>0</v>
      </c>
      <c r="F95" s="73">
        <f>SUMPRODUCT(-('Gastos Gerais'!$B$4:$B$615=Analítico!$B95),-(Analítico!F$3&gt;='Gastos Gerais'!$D$4:$D$615),-(Analítico!F$3&lt;='Gastos Gerais'!$E$4:$E$615),-('Gastos Gerais'!$C$4:$C$615))</f>
        <v>0</v>
      </c>
      <c r="G95" s="73">
        <f>SUMPRODUCT(-('Gastos Gerais'!$B$4:$B$615=Analítico!$B95),-(Analítico!G$3&gt;='Gastos Gerais'!$D$4:$D$615),-(Analítico!G$3&lt;='Gastos Gerais'!$E$4:$E$615),-('Gastos Gerais'!$C$4:$C$615))</f>
        <v>0</v>
      </c>
      <c r="H95" s="73">
        <f>SUMPRODUCT(-('Gastos Gerais'!$B$4:$B$615=Analítico!$B95),-(Analítico!H$3&gt;='Gastos Gerais'!$D$4:$D$615),-(Analítico!H$3&lt;='Gastos Gerais'!$E$4:$E$615),-('Gastos Gerais'!$C$4:$C$615))</f>
        <v>0</v>
      </c>
      <c r="I95" s="73">
        <f>SUMPRODUCT(-('Gastos Gerais'!$B$4:$B$615=Analítico!$B95),-(Analítico!I$3&gt;='Gastos Gerais'!$D$4:$D$615),-(Analítico!I$3&lt;='Gastos Gerais'!$E$4:$E$615),-('Gastos Gerais'!$C$4:$C$615))</f>
        <v>0</v>
      </c>
      <c r="J95" s="73">
        <f>SUMPRODUCT(-('Gastos Gerais'!$B$4:$B$615=Analítico!$B95),-(Analítico!J$3&gt;='Gastos Gerais'!$D$4:$D$615),-(Analítico!J$3&lt;='Gastos Gerais'!$E$4:$E$615),-('Gastos Gerais'!$C$4:$C$615))</f>
        <v>0</v>
      </c>
      <c r="K95" s="73">
        <f>SUMPRODUCT(-('Gastos Gerais'!$B$4:$B$615=Analítico!$B95),-(Analítico!K$3&gt;='Gastos Gerais'!$D$4:$D$615),-(Analítico!K$3&lt;='Gastos Gerais'!$E$4:$E$615),-('Gastos Gerais'!$C$4:$C$615))</f>
        <v>0</v>
      </c>
      <c r="L95" s="73">
        <f>SUMPRODUCT(-('Gastos Gerais'!$B$4:$B$615=Analítico!$B95),-(Analítico!L$3&gt;='Gastos Gerais'!$D$4:$D$615),-(Analítico!L$3&lt;='Gastos Gerais'!$E$4:$E$615),-('Gastos Gerais'!$C$4:$C$615))</f>
        <v>0</v>
      </c>
      <c r="M95" s="73">
        <f>SUMPRODUCT(-('Gastos Gerais'!$B$4:$B$615=Analítico!$B95),-(Analítico!M$3&gt;='Gastos Gerais'!$D$4:$D$615),-(Analítico!M$3&lt;='Gastos Gerais'!$E$4:$E$615),-('Gastos Gerais'!$C$4:$C$615))</f>
        <v>0</v>
      </c>
      <c r="N95" s="73">
        <f>SUMPRODUCT(-('Gastos Gerais'!$B$4:$B$615=Analítico!$B95),-(Analítico!N$3&gt;='Gastos Gerais'!$D$4:$D$615),-(Analítico!N$3&lt;='Gastos Gerais'!$E$4:$E$615),-('Gastos Gerais'!$C$4:$C$615))</f>
        <v>0</v>
      </c>
      <c r="O95" s="73">
        <f>SUMPRODUCT(-('Gastos Gerais'!$B$4:$B$615=Analítico!$B95),-(Analítico!O$3&gt;='Gastos Gerais'!$D$4:$D$615),-(Analítico!O$3&lt;='Gastos Gerais'!$E$4:$E$615),-('Gastos Gerais'!$C$4:$C$615))</f>
        <v>0</v>
      </c>
      <c r="P95" s="73">
        <f>SUMPRODUCT(-('Gastos Gerais'!$B$4:$B$615=Analítico!$B95),-(Analítico!P$3&gt;='Gastos Gerais'!$D$4:$D$615),-(Analítico!P$3&lt;='Gastos Gerais'!$E$4:$E$615),-('Gastos Gerais'!$C$4:$C$615))</f>
        <v>0</v>
      </c>
      <c r="Q95" s="73">
        <f>SUMPRODUCT(-('Gastos Gerais'!$B$4:$B$615=Analítico!$B95),-(Analítico!Q$3&gt;='Gastos Gerais'!$D$4:$D$615),-(Analítico!Q$3&lt;='Gastos Gerais'!$E$4:$E$615),-('Gastos Gerais'!$C$4:$C$615))</f>
        <v>0</v>
      </c>
      <c r="R95" s="73">
        <f>SUMPRODUCT(-('Gastos Gerais'!$B$4:$B$615=Analítico!$B95),-(Analítico!R$3&gt;='Gastos Gerais'!$D$4:$D$615),-(Analítico!R$3&lt;='Gastos Gerais'!$E$4:$E$615),-('Gastos Gerais'!$C$4:$C$615))</f>
        <v>0</v>
      </c>
      <c r="S95" s="73">
        <f>SUMPRODUCT(-('Gastos Gerais'!$B$4:$B$615=Analítico!$B95),-(Analítico!S$3&gt;='Gastos Gerais'!$D$4:$D$615),-(Analítico!S$3&lt;='Gastos Gerais'!$E$4:$E$615),-('Gastos Gerais'!$C$4:$C$615))</f>
        <v>0</v>
      </c>
      <c r="T95" s="73">
        <f>SUMPRODUCT(-('Gastos Gerais'!$B$4:$B$615=Analítico!$B95),-(Analítico!T$3&gt;='Gastos Gerais'!$D$4:$D$615),-(Analítico!T$3&lt;='Gastos Gerais'!$E$4:$E$615),-('Gastos Gerais'!$C$4:$C$615))</f>
        <v>0</v>
      </c>
      <c r="U95" s="73">
        <f>SUMPRODUCT(-('Gastos Gerais'!$B$4:$B$615=Analítico!$B95),-(Analítico!U$3&gt;='Gastos Gerais'!$D$4:$D$615),-(Analítico!U$3&lt;='Gastos Gerais'!$E$4:$E$615),-('Gastos Gerais'!$C$4:$C$615))</f>
        <v>0</v>
      </c>
      <c r="V95" s="73">
        <f>SUMPRODUCT(-('Gastos Gerais'!$B$4:$B$615=Analítico!$B95),-(Analítico!V$3&gt;='Gastos Gerais'!$D$4:$D$615),-(Analítico!V$3&lt;='Gastos Gerais'!$E$4:$E$615),-('Gastos Gerais'!$C$4:$C$615))</f>
        <v>0</v>
      </c>
      <c r="W95" s="73">
        <f>SUMPRODUCT(-('Gastos Gerais'!$B$4:$B$615=Analítico!$B95),-(Analítico!W$3&gt;='Gastos Gerais'!$D$4:$D$615),-(Analítico!W$3&lt;='Gastos Gerais'!$E$4:$E$615),-('Gastos Gerais'!$C$4:$C$615))</f>
        <v>0</v>
      </c>
      <c r="X95" s="73">
        <f>SUMPRODUCT(-('Gastos Gerais'!$B$4:$B$615=Analítico!$B95),-(Analítico!X$3&gt;='Gastos Gerais'!$D$4:$D$615),-(Analítico!X$3&lt;='Gastos Gerais'!$E$4:$E$615),-('Gastos Gerais'!$C$4:$C$615))</f>
        <v>0</v>
      </c>
      <c r="Y95" s="73">
        <f>SUMPRODUCT(-('Gastos Gerais'!$B$4:$B$615=Analítico!$B95),-(Analítico!Y$3&gt;='Gastos Gerais'!$D$4:$D$615),-(Analítico!Y$3&lt;='Gastos Gerais'!$E$4:$E$615),-('Gastos Gerais'!$C$4:$C$615))</f>
        <v>0</v>
      </c>
      <c r="Z95" s="73">
        <f>SUMPRODUCT(-('Gastos Gerais'!$B$4:$B$615=Analítico!$B95),-(Analítico!Z$3&gt;='Gastos Gerais'!$D$4:$D$615),-(Analítico!Z$3&lt;='Gastos Gerais'!$E$4:$E$615),-('Gastos Gerais'!$C$4:$C$615))</f>
        <v>0</v>
      </c>
      <c r="AA95" s="73">
        <f>SUMPRODUCT(-('Gastos Gerais'!$B$4:$B$615=Analítico!$B95),-(Analítico!AA$3&gt;='Gastos Gerais'!$D$4:$D$615),-(Analítico!AA$3&lt;='Gastos Gerais'!$E$4:$E$615),-('Gastos Gerais'!$C$4:$C$615))</f>
        <v>0</v>
      </c>
      <c r="AB95" s="73">
        <f>SUMPRODUCT(-('Gastos Gerais'!$B$4:$B$615=Analítico!$B95),-(Analítico!AB$3&gt;='Gastos Gerais'!$D$4:$D$615),-(Analítico!AB$3&lt;='Gastos Gerais'!$E$4:$E$615),-('Gastos Gerais'!$C$4:$C$615))</f>
        <v>0</v>
      </c>
      <c r="AC95" s="73">
        <f>SUMPRODUCT(-('Gastos Gerais'!$B$4:$B$615=Analítico!$B95),-(Analítico!AC$3&gt;='Gastos Gerais'!$D$4:$D$615),-(Analítico!AC$3&lt;='Gastos Gerais'!$E$4:$E$615),-('Gastos Gerais'!$C$4:$C$615))</f>
        <v>0</v>
      </c>
      <c r="AD95" s="73">
        <f>SUMPRODUCT(-('Gastos Gerais'!$B$4:$B$615=Analítico!$B95),-(Analítico!AD$3&gt;='Gastos Gerais'!$D$4:$D$615),-(Analítico!AD$3&lt;='Gastos Gerais'!$E$4:$E$615),-('Gastos Gerais'!$C$4:$C$615))</f>
        <v>0</v>
      </c>
      <c r="AE95" s="73">
        <f>SUMPRODUCT(-('Gastos Gerais'!$B$4:$B$615=Analítico!$B95),-(Analítico!AE$3&gt;='Gastos Gerais'!$D$4:$D$615),-(Analítico!AE$3&lt;='Gastos Gerais'!$E$4:$E$615),-('Gastos Gerais'!$C$4:$C$615))</f>
        <v>0</v>
      </c>
      <c r="AF95" s="73">
        <f>SUMPRODUCT(-('Gastos Gerais'!$B$4:$B$615=Analítico!$B95),-(Analítico!AF$3&gt;='Gastos Gerais'!$D$4:$D$615),-(Analítico!AF$3&lt;='Gastos Gerais'!$E$4:$E$615),-('Gastos Gerais'!$C$4:$C$615))</f>
        <v>0</v>
      </c>
      <c r="AG95" s="73">
        <f>SUMPRODUCT(-('Gastos Gerais'!$B$4:$B$615=Analítico!$B95),-(Analítico!AG$3&gt;='Gastos Gerais'!$D$4:$D$615),-(Analítico!AG$3&lt;='Gastos Gerais'!$E$4:$E$615),-('Gastos Gerais'!$C$4:$C$615))</f>
        <v>0</v>
      </c>
      <c r="AH95" s="73">
        <f>SUMPRODUCT(-('Gastos Gerais'!$B$4:$B$615=Analítico!$B95),-(Analítico!AH$3&gt;='Gastos Gerais'!$D$4:$D$615),-(Analítico!AH$3&lt;='Gastos Gerais'!$E$4:$E$615),-('Gastos Gerais'!$C$4:$C$615))</f>
        <v>0</v>
      </c>
      <c r="AI95" s="73">
        <f>SUMPRODUCT(-('Gastos Gerais'!$B$4:$B$615=Analítico!$B95),-(Analítico!AI$3&gt;='Gastos Gerais'!$D$4:$D$615),-(Analítico!AI$3&lt;='Gastos Gerais'!$E$4:$E$615),-('Gastos Gerais'!$C$4:$C$615))</f>
        <v>0</v>
      </c>
      <c r="AJ95" s="73">
        <f>SUMPRODUCT(-('Gastos Gerais'!$B$4:$B$615=Analítico!$B95),-(Analítico!AJ$3&gt;='Gastos Gerais'!$D$4:$D$615),-(Analítico!AJ$3&lt;='Gastos Gerais'!$E$4:$E$615),-('Gastos Gerais'!$C$4:$C$615))</f>
        <v>0</v>
      </c>
      <c r="AK95" s="73">
        <f>SUMPRODUCT(-('Gastos Gerais'!$B$4:$B$615=Analítico!$B95),-(Analítico!AK$3&gt;='Gastos Gerais'!$D$4:$D$615),-(Analítico!AK$3&lt;='Gastos Gerais'!$E$4:$E$615),-('Gastos Gerais'!$C$4:$C$615))</f>
        <v>0</v>
      </c>
      <c r="AL95" s="73">
        <f>SUMPRODUCT(-('Gastos Gerais'!$B$4:$B$615=Analítico!$B95),-(Analítico!AL$3&gt;='Gastos Gerais'!$D$4:$D$615),-(Analítico!AL$3&lt;='Gastos Gerais'!$E$4:$E$615),-('Gastos Gerais'!$C$4:$C$615))</f>
        <v>0</v>
      </c>
      <c r="AM95" s="73">
        <f>SUMPRODUCT(-('Gastos Gerais'!$B$4:$B$615=Analítico!$B95),-(Analítico!AM$3&gt;='Gastos Gerais'!$D$4:$D$615),-(Analítico!AM$3&lt;='Gastos Gerais'!$E$4:$E$615),-('Gastos Gerais'!$C$4:$C$615))</f>
        <v>0</v>
      </c>
      <c r="AN95" s="73">
        <f>SUMPRODUCT(-('Gastos Gerais'!$B$4:$B$615=Analítico!$B95),-(Analítico!AN$3&gt;='Gastos Gerais'!$D$4:$D$615),-(Analítico!AN$3&lt;='Gastos Gerais'!$E$4:$E$615),-('Gastos Gerais'!$C$4:$C$615))</f>
        <v>0</v>
      </c>
      <c r="AO95" s="73">
        <f>SUMPRODUCT(-('Gastos Gerais'!$B$4:$B$615=Analítico!$B95),-(Analítico!AO$3&gt;='Gastos Gerais'!$D$4:$D$615),-(Analítico!AO$3&lt;='Gastos Gerais'!$E$4:$E$615),-('Gastos Gerais'!$C$4:$C$615))</f>
        <v>0</v>
      </c>
      <c r="AP95" s="73">
        <f>SUMPRODUCT(-('Gastos Gerais'!$B$4:$B$615=Analítico!$B95),-(Analítico!AP$3&gt;='Gastos Gerais'!$D$4:$D$615),-(Analítico!AP$3&lt;='Gastos Gerais'!$E$4:$E$615),-('Gastos Gerais'!$C$4:$C$615))</f>
        <v>0</v>
      </c>
      <c r="AQ95" s="73">
        <f>SUMPRODUCT(-('Gastos Gerais'!$B$4:$B$615=Analítico!$B95),-(Analítico!AQ$3&gt;='Gastos Gerais'!$D$4:$D$615),-(Analítico!AQ$3&lt;='Gastos Gerais'!$E$4:$E$615),-('Gastos Gerais'!$C$4:$C$615))</f>
        <v>0</v>
      </c>
      <c r="AR95" s="73">
        <f>SUMPRODUCT(-('Gastos Gerais'!$B$4:$B$615=Analítico!$B95),-(Analítico!AR$3&gt;='Gastos Gerais'!$D$4:$D$615),-(Analítico!AR$3&lt;='Gastos Gerais'!$E$4:$E$615),-('Gastos Gerais'!$C$4:$C$615))</f>
        <v>0</v>
      </c>
      <c r="AS95" s="73">
        <f>SUMPRODUCT(-('Gastos Gerais'!$B$4:$B$615=Analítico!$B95),-(Analítico!AS$3&gt;='Gastos Gerais'!$D$4:$D$615),-(Analítico!AS$3&lt;='Gastos Gerais'!$E$4:$E$615),-('Gastos Gerais'!$C$4:$C$615))</f>
        <v>0</v>
      </c>
      <c r="AT95" s="73">
        <f>SUMPRODUCT(-('Gastos Gerais'!$B$4:$B$615=Analítico!$B95),-(Analítico!AT$3&gt;='Gastos Gerais'!$D$4:$D$615),-(Analítico!AT$3&lt;='Gastos Gerais'!$E$4:$E$615),-('Gastos Gerais'!$C$4:$C$615))</f>
        <v>0</v>
      </c>
      <c r="AU95" s="73">
        <f>SUMPRODUCT(-('Gastos Gerais'!$B$4:$B$615=Analítico!$B95),-(Analítico!AU$3&gt;='Gastos Gerais'!$D$4:$D$615),-(Analítico!AU$3&lt;='Gastos Gerais'!$E$4:$E$615),-('Gastos Gerais'!$C$4:$C$615))</f>
        <v>0</v>
      </c>
      <c r="AV95" s="73">
        <f>SUMPRODUCT(-('Gastos Gerais'!$B$4:$B$615=Analítico!$B95),-(Analítico!AV$3&gt;='Gastos Gerais'!$D$4:$D$615),-(Analítico!AV$3&lt;='Gastos Gerais'!$E$4:$E$615),-('Gastos Gerais'!$C$4:$C$615))</f>
        <v>0</v>
      </c>
      <c r="AW95" s="73">
        <f>SUMPRODUCT(-('Gastos Gerais'!$B$4:$B$615=Analítico!$B95),-(Analítico!AW$3&gt;='Gastos Gerais'!$D$4:$D$615),-(Analítico!AW$3&lt;='Gastos Gerais'!$E$4:$E$615),-('Gastos Gerais'!$C$4:$C$615))</f>
        <v>0</v>
      </c>
      <c r="AX95" s="73">
        <f>SUMPRODUCT(-('Gastos Gerais'!$B$4:$B$615=Analítico!$B95),-(Analítico!AX$3&gt;='Gastos Gerais'!$D$4:$D$615),-(Analítico!AX$3&lt;='Gastos Gerais'!$E$4:$E$615),-('Gastos Gerais'!$C$4:$C$615))</f>
        <v>0</v>
      </c>
      <c r="AY95" s="73">
        <f>SUMPRODUCT(-('Gastos Gerais'!$B$4:$B$615=Analítico!$B95),-(Analítico!AY$3&gt;='Gastos Gerais'!$D$4:$D$615),-(Analítico!AY$3&lt;='Gastos Gerais'!$E$4:$E$615),-('Gastos Gerais'!$C$4:$C$615))</f>
        <v>0</v>
      </c>
      <c r="AZ95" s="73">
        <f>SUMPRODUCT(-('Gastos Gerais'!$B$4:$B$615=Analítico!$B95),-(Analítico!AZ$3&gt;='Gastos Gerais'!$D$4:$D$615),-(Analítico!AZ$3&lt;='Gastos Gerais'!$E$4:$E$615),-('Gastos Gerais'!$C$4:$C$615))</f>
        <v>0</v>
      </c>
      <c r="BA95" s="73">
        <f>SUMPRODUCT(-('Gastos Gerais'!$B$4:$B$615=Analítico!$B95),-(Analítico!BA$3&gt;='Gastos Gerais'!$D$4:$D$615),-(Analítico!BA$3&lt;='Gastos Gerais'!$E$4:$E$615),-('Gastos Gerais'!$C$4:$C$615))</f>
        <v>0</v>
      </c>
      <c r="BB95" s="73">
        <f>SUMPRODUCT(-('Gastos Gerais'!$B$4:$B$615=Analítico!$B95),-(Analítico!BB$3&gt;='Gastos Gerais'!$D$4:$D$615),-(Analítico!BB$3&lt;='Gastos Gerais'!$E$4:$E$615),-('Gastos Gerais'!$C$4:$C$615))</f>
        <v>0</v>
      </c>
      <c r="BC95" s="73">
        <f>SUMPRODUCT(-('Gastos Gerais'!$B$4:$B$615=Analítico!$B95),-(Analítico!BC$3&gt;='Gastos Gerais'!$D$4:$D$615),-(Analítico!BC$3&lt;='Gastos Gerais'!$E$4:$E$615),-('Gastos Gerais'!$C$4:$C$615))</f>
        <v>0</v>
      </c>
      <c r="BD95" s="73">
        <f>SUMPRODUCT(-('Gastos Gerais'!$B$4:$B$615=Analítico!$B95),-(Analítico!BD$3&gt;='Gastos Gerais'!$D$4:$D$615),-(Analítico!BD$3&lt;='Gastos Gerais'!$E$4:$E$615),-('Gastos Gerais'!$C$4:$C$615))</f>
        <v>0</v>
      </c>
      <c r="BE95" s="73">
        <f>SUMPRODUCT(-('Gastos Gerais'!$B$4:$B$615=Analítico!$B95),-(Analítico!BE$3&gt;='Gastos Gerais'!$D$4:$D$615),-(Analítico!BE$3&lt;='Gastos Gerais'!$E$4:$E$615),-('Gastos Gerais'!$C$4:$C$615))</f>
        <v>0</v>
      </c>
      <c r="BF95" s="73">
        <f>SUMPRODUCT(-('Gastos Gerais'!$B$4:$B$615=Analítico!$B95),-(Analítico!BF$3&gt;='Gastos Gerais'!$D$4:$D$615),-(Analítico!BF$3&lt;='Gastos Gerais'!$E$4:$E$615),-('Gastos Gerais'!$C$4:$C$615))</f>
        <v>0</v>
      </c>
      <c r="BG95" s="73">
        <f>SUMPRODUCT(-('Gastos Gerais'!$B$4:$B$615=Analítico!$B95),-(Analítico!BG$3&gt;='Gastos Gerais'!$D$4:$D$615),-(Analítico!BG$3&lt;='Gastos Gerais'!$E$4:$E$615),-('Gastos Gerais'!$C$4:$C$615))</f>
        <v>0</v>
      </c>
      <c r="BH95" s="73">
        <f>SUMPRODUCT(-('Gastos Gerais'!$B$4:$B$615=Analítico!$B95),-(Analítico!BH$3&gt;='Gastos Gerais'!$D$4:$D$615),-(Analítico!BH$3&lt;='Gastos Gerais'!$E$4:$E$615),-('Gastos Gerais'!$C$4:$C$615))</f>
        <v>0</v>
      </c>
      <c r="BI95" s="73">
        <f>SUMPRODUCT(-('Gastos Gerais'!$B$4:$B$615=Analítico!$B95),-(Analítico!BI$3&gt;='Gastos Gerais'!$D$4:$D$615),-(Analítico!BI$3&lt;='Gastos Gerais'!$E$4:$E$615),-('Gastos Gerais'!$C$4:$C$615))</f>
        <v>0</v>
      </c>
      <c r="BJ95" s="73">
        <f>SUMPRODUCT(-('Gastos Gerais'!$B$4:$B$615=Analítico!$B95),-(Analítico!BJ$3&gt;='Gastos Gerais'!$D$4:$D$615),-(Analítico!BJ$3&lt;='Gastos Gerais'!$E$4:$E$615),-('Gastos Gerais'!$C$4:$C$615))</f>
        <v>0</v>
      </c>
      <c r="BK95" s="71">
        <f t="shared" si="33"/>
        <v>0</v>
      </c>
      <c r="BL95" s="76">
        <f t="shared" ca="1" si="34"/>
        <v>0</v>
      </c>
    </row>
    <row r="96" spans="1:64" s="49" customFormat="1" ht="23.25" customHeight="1" x14ac:dyDescent="0.2">
      <c r="A96" s="109" t="s">
        <v>260</v>
      </c>
      <c r="B96" s="112" t="s">
        <v>261</v>
      </c>
      <c r="C96" s="73">
        <f>SUMPRODUCT(-('Gastos Gerais'!$B$4:$B$615=Analítico!$B96),-(Analítico!C$3&gt;='Gastos Gerais'!$D$4:$D$615),-(Analítico!C$3&lt;='Gastos Gerais'!$E$4:$E$615),-('Gastos Gerais'!$C$4:$C$615))</f>
        <v>0</v>
      </c>
      <c r="D96" s="73">
        <f>SUMPRODUCT(-('Gastos Gerais'!$B$4:$B$615=Analítico!$B96),-(Analítico!D$3&gt;='Gastos Gerais'!$D$4:$D$615),-(Analítico!D$3&lt;='Gastos Gerais'!$E$4:$E$615),-('Gastos Gerais'!$C$4:$C$615))</f>
        <v>0</v>
      </c>
      <c r="E96" s="73">
        <f>SUMPRODUCT(-('Gastos Gerais'!$B$4:$B$615=Analítico!$B96),-(Analítico!E$3&gt;='Gastos Gerais'!$D$4:$D$615),-(Analítico!E$3&lt;='Gastos Gerais'!$E$4:$E$615),-('Gastos Gerais'!$C$4:$C$615))</f>
        <v>0</v>
      </c>
      <c r="F96" s="73">
        <f>SUMPRODUCT(-('Gastos Gerais'!$B$4:$B$615=Analítico!$B96),-(Analítico!F$3&gt;='Gastos Gerais'!$D$4:$D$615),-(Analítico!F$3&lt;='Gastos Gerais'!$E$4:$E$615),-('Gastos Gerais'!$C$4:$C$615))</f>
        <v>0</v>
      </c>
      <c r="G96" s="73">
        <f>SUMPRODUCT(-('Gastos Gerais'!$B$4:$B$615=Analítico!$B96),-(Analítico!G$3&gt;='Gastos Gerais'!$D$4:$D$615),-(Analítico!G$3&lt;='Gastos Gerais'!$E$4:$E$615),-('Gastos Gerais'!$C$4:$C$615))</f>
        <v>0</v>
      </c>
      <c r="H96" s="73">
        <f>SUMPRODUCT(-('Gastos Gerais'!$B$4:$B$615=Analítico!$B96),-(Analítico!H$3&gt;='Gastos Gerais'!$D$4:$D$615),-(Analítico!H$3&lt;='Gastos Gerais'!$E$4:$E$615),-('Gastos Gerais'!$C$4:$C$615))</f>
        <v>0</v>
      </c>
      <c r="I96" s="73">
        <f>SUMPRODUCT(-('Gastos Gerais'!$B$4:$B$615=Analítico!$B96),-(Analítico!I$3&gt;='Gastos Gerais'!$D$4:$D$615),-(Analítico!I$3&lt;='Gastos Gerais'!$E$4:$E$615),-('Gastos Gerais'!$C$4:$C$615))</f>
        <v>0</v>
      </c>
      <c r="J96" s="73">
        <f>SUMPRODUCT(-('Gastos Gerais'!$B$4:$B$615=Analítico!$B96),-(Analítico!J$3&gt;='Gastos Gerais'!$D$4:$D$615),-(Analítico!J$3&lt;='Gastos Gerais'!$E$4:$E$615),-('Gastos Gerais'!$C$4:$C$615))</f>
        <v>0</v>
      </c>
      <c r="K96" s="73">
        <f>SUMPRODUCT(-('Gastos Gerais'!$B$4:$B$615=Analítico!$B96),-(Analítico!K$3&gt;='Gastos Gerais'!$D$4:$D$615),-(Analítico!K$3&lt;='Gastos Gerais'!$E$4:$E$615),-('Gastos Gerais'!$C$4:$C$615))</f>
        <v>0</v>
      </c>
      <c r="L96" s="73">
        <f>SUMPRODUCT(-('Gastos Gerais'!$B$4:$B$615=Analítico!$B96),-(Analítico!L$3&gt;='Gastos Gerais'!$D$4:$D$615),-(Analítico!L$3&lt;='Gastos Gerais'!$E$4:$E$615),-('Gastos Gerais'!$C$4:$C$615))</f>
        <v>0</v>
      </c>
      <c r="M96" s="73">
        <f>SUMPRODUCT(-('Gastos Gerais'!$B$4:$B$615=Analítico!$B96),-(Analítico!M$3&gt;='Gastos Gerais'!$D$4:$D$615),-(Analítico!M$3&lt;='Gastos Gerais'!$E$4:$E$615),-('Gastos Gerais'!$C$4:$C$615))</f>
        <v>0</v>
      </c>
      <c r="N96" s="73">
        <f>SUMPRODUCT(-('Gastos Gerais'!$B$4:$B$615=Analítico!$B96),-(Analítico!N$3&gt;='Gastos Gerais'!$D$4:$D$615),-(Analítico!N$3&lt;='Gastos Gerais'!$E$4:$E$615),-('Gastos Gerais'!$C$4:$C$615))</f>
        <v>0</v>
      </c>
      <c r="O96" s="73">
        <f>SUMPRODUCT(-('Gastos Gerais'!$B$4:$B$615=Analítico!$B96),-(Analítico!O$3&gt;='Gastos Gerais'!$D$4:$D$615),-(Analítico!O$3&lt;='Gastos Gerais'!$E$4:$E$615),-('Gastos Gerais'!$C$4:$C$615))</f>
        <v>0</v>
      </c>
      <c r="P96" s="73">
        <f>SUMPRODUCT(-('Gastos Gerais'!$B$4:$B$615=Analítico!$B96),-(Analítico!P$3&gt;='Gastos Gerais'!$D$4:$D$615),-(Analítico!P$3&lt;='Gastos Gerais'!$E$4:$E$615),-('Gastos Gerais'!$C$4:$C$615))</f>
        <v>0</v>
      </c>
      <c r="Q96" s="73">
        <f>SUMPRODUCT(-('Gastos Gerais'!$B$4:$B$615=Analítico!$B96),-(Analítico!Q$3&gt;='Gastos Gerais'!$D$4:$D$615),-(Analítico!Q$3&lt;='Gastos Gerais'!$E$4:$E$615),-('Gastos Gerais'!$C$4:$C$615))</f>
        <v>0</v>
      </c>
      <c r="R96" s="73">
        <f>SUMPRODUCT(-('Gastos Gerais'!$B$4:$B$615=Analítico!$B96),-(Analítico!R$3&gt;='Gastos Gerais'!$D$4:$D$615),-(Analítico!R$3&lt;='Gastos Gerais'!$E$4:$E$615),-('Gastos Gerais'!$C$4:$C$615))</f>
        <v>0</v>
      </c>
      <c r="S96" s="73">
        <f>SUMPRODUCT(-('Gastos Gerais'!$B$4:$B$615=Analítico!$B96),-(Analítico!S$3&gt;='Gastos Gerais'!$D$4:$D$615),-(Analítico!S$3&lt;='Gastos Gerais'!$E$4:$E$615),-('Gastos Gerais'!$C$4:$C$615))</f>
        <v>0</v>
      </c>
      <c r="T96" s="73">
        <f>SUMPRODUCT(-('Gastos Gerais'!$B$4:$B$615=Analítico!$B96),-(Analítico!T$3&gt;='Gastos Gerais'!$D$4:$D$615),-(Analítico!T$3&lt;='Gastos Gerais'!$E$4:$E$615),-('Gastos Gerais'!$C$4:$C$615))</f>
        <v>0</v>
      </c>
      <c r="U96" s="73">
        <f>SUMPRODUCT(-('Gastos Gerais'!$B$4:$B$615=Analítico!$B96),-(Analítico!U$3&gt;='Gastos Gerais'!$D$4:$D$615),-(Analítico!U$3&lt;='Gastos Gerais'!$E$4:$E$615),-('Gastos Gerais'!$C$4:$C$615))</f>
        <v>0</v>
      </c>
      <c r="V96" s="73">
        <f>SUMPRODUCT(-('Gastos Gerais'!$B$4:$B$615=Analítico!$B96),-(Analítico!V$3&gt;='Gastos Gerais'!$D$4:$D$615),-(Analítico!V$3&lt;='Gastos Gerais'!$E$4:$E$615),-('Gastos Gerais'!$C$4:$C$615))</f>
        <v>0</v>
      </c>
      <c r="W96" s="73">
        <f>SUMPRODUCT(-('Gastos Gerais'!$B$4:$B$615=Analítico!$B96),-(Analítico!W$3&gt;='Gastos Gerais'!$D$4:$D$615),-(Analítico!W$3&lt;='Gastos Gerais'!$E$4:$E$615),-('Gastos Gerais'!$C$4:$C$615))</f>
        <v>0</v>
      </c>
      <c r="X96" s="73">
        <f>SUMPRODUCT(-('Gastos Gerais'!$B$4:$B$615=Analítico!$B96),-(Analítico!X$3&gt;='Gastos Gerais'!$D$4:$D$615),-(Analítico!X$3&lt;='Gastos Gerais'!$E$4:$E$615),-('Gastos Gerais'!$C$4:$C$615))</f>
        <v>0</v>
      </c>
      <c r="Y96" s="73">
        <f>SUMPRODUCT(-('Gastos Gerais'!$B$4:$B$615=Analítico!$B96),-(Analítico!Y$3&gt;='Gastos Gerais'!$D$4:$D$615),-(Analítico!Y$3&lt;='Gastos Gerais'!$E$4:$E$615),-('Gastos Gerais'!$C$4:$C$615))</f>
        <v>0</v>
      </c>
      <c r="Z96" s="73">
        <f>SUMPRODUCT(-('Gastos Gerais'!$B$4:$B$615=Analítico!$B96),-(Analítico!Z$3&gt;='Gastos Gerais'!$D$4:$D$615),-(Analítico!Z$3&lt;='Gastos Gerais'!$E$4:$E$615),-('Gastos Gerais'!$C$4:$C$615))</f>
        <v>0</v>
      </c>
      <c r="AA96" s="73">
        <f>SUMPRODUCT(-('Gastos Gerais'!$B$4:$B$615=Analítico!$B96),-(Analítico!AA$3&gt;='Gastos Gerais'!$D$4:$D$615),-(Analítico!AA$3&lt;='Gastos Gerais'!$E$4:$E$615),-('Gastos Gerais'!$C$4:$C$615))</f>
        <v>0</v>
      </c>
      <c r="AB96" s="73">
        <f>SUMPRODUCT(-('Gastos Gerais'!$B$4:$B$615=Analítico!$B96),-(Analítico!AB$3&gt;='Gastos Gerais'!$D$4:$D$615),-(Analítico!AB$3&lt;='Gastos Gerais'!$E$4:$E$615),-('Gastos Gerais'!$C$4:$C$615))</f>
        <v>0</v>
      </c>
      <c r="AC96" s="73">
        <f>SUMPRODUCT(-('Gastos Gerais'!$B$4:$B$615=Analítico!$B96),-(Analítico!AC$3&gt;='Gastos Gerais'!$D$4:$D$615),-(Analítico!AC$3&lt;='Gastos Gerais'!$E$4:$E$615),-('Gastos Gerais'!$C$4:$C$615))</f>
        <v>0</v>
      </c>
      <c r="AD96" s="73">
        <f>SUMPRODUCT(-('Gastos Gerais'!$B$4:$B$615=Analítico!$B96),-(Analítico!AD$3&gt;='Gastos Gerais'!$D$4:$D$615),-(Analítico!AD$3&lt;='Gastos Gerais'!$E$4:$E$615),-('Gastos Gerais'!$C$4:$C$615))</f>
        <v>0</v>
      </c>
      <c r="AE96" s="73">
        <f>SUMPRODUCT(-('Gastos Gerais'!$B$4:$B$615=Analítico!$B96),-(Analítico!AE$3&gt;='Gastos Gerais'!$D$4:$D$615),-(Analítico!AE$3&lt;='Gastos Gerais'!$E$4:$E$615),-('Gastos Gerais'!$C$4:$C$615))</f>
        <v>0</v>
      </c>
      <c r="AF96" s="73">
        <f>SUMPRODUCT(-('Gastos Gerais'!$B$4:$B$615=Analítico!$B96),-(Analítico!AF$3&gt;='Gastos Gerais'!$D$4:$D$615),-(Analítico!AF$3&lt;='Gastos Gerais'!$E$4:$E$615),-('Gastos Gerais'!$C$4:$C$615))</f>
        <v>0</v>
      </c>
      <c r="AG96" s="73">
        <f>SUMPRODUCT(-('Gastos Gerais'!$B$4:$B$615=Analítico!$B96),-(Analítico!AG$3&gt;='Gastos Gerais'!$D$4:$D$615),-(Analítico!AG$3&lt;='Gastos Gerais'!$E$4:$E$615),-('Gastos Gerais'!$C$4:$C$615))</f>
        <v>0</v>
      </c>
      <c r="AH96" s="73">
        <f>SUMPRODUCT(-('Gastos Gerais'!$B$4:$B$615=Analítico!$B96),-(Analítico!AH$3&gt;='Gastos Gerais'!$D$4:$D$615),-(Analítico!AH$3&lt;='Gastos Gerais'!$E$4:$E$615),-('Gastos Gerais'!$C$4:$C$615))</f>
        <v>0</v>
      </c>
      <c r="AI96" s="73">
        <f>SUMPRODUCT(-('Gastos Gerais'!$B$4:$B$615=Analítico!$B96),-(Analítico!AI$3&gt;='Gastos Gerais'!$D$4:$D$615),-(Analítico!AI$3&lt;='Gastos Gerais'!$E$4:$E$615),-('Gastos Gerais'!$C$4:$C$615))</f>
        <v>0</v>
      </c>
      <c r="AJ96" s="73">
        <f>SUMPRODUCT(-('Gastos Gerais'!$B$4:$B$615=Analítico!$B96),-(Analítico!AJ$3&gt;='Gastos Gerais'!$D$4:$D$615),-(Analítico!AJ$3&lt;='Gastos Gerais'!$E$4:$E$615),-('Gastos Gerais'!$C$4:$C$615))</f>
        <v>0</v>
      </c>
      <c r="AK96" s="73">
        <f>SUMPRODUCT(-('Gastos Gerais'!$B$4:$B$615=Analítico!$B96),-(Analítico!AK$3&gt;='Gastos Gerais'!$D$4:$D$615),-(Analítico!AK$3&lt;='Gastos Gerais'!$E$4:$E$615),-('Gastos Gerais'!$C$4:$C$615))</f>
        <v>0</v>
      </c>
      <c r="AL96" s="73">
        <f>SUMPRODUCT(-('Gastos Gerais'!$B$4:$B$615=Analítico!$B96),-(Analítico!AL$3&gt;='Gastos Gerais'!$D$4:$D$615),-(Analítico!AL$3&lt;='Gastos Gerais'!$E$4:$E$615),-('Gastos Gerais'!$C$4:$C$615))</f>
        <v>0</v>
      </c>
      <c r="AM96" s="73">
        <f>SUMPRODUCT(-('Gastos Gerais'!$B$4:$B$615=Analítico!$B96),-(Analítico!AM$3&gt;='Gastos Gerais'!$D$4:$D$615),-(Analítico!AM$3&lt;='Gastos Gerais'!$E$4:$E$615),-('Gastos Gerais'!$C$4:$C$615))</f>
        <v>0</v>
      </c>
      <c r="AN96" s="73">
        <f>SUMPRODUCT(-('Gastos Gerais'!$B$4:$B$615=Analítico!$B96),-(Analítico!AN$3&gt;='Gastos Gerais'!$D$4:$D$615),-(Analítico!AN$3&lt;='Gastos Gerais'!$E$4:$E$615),-('Gastos Gerais'!$C$4:$C$615))</f>
        <v>0</v>
      </c>
      <c r="AO96" s="73">
        <f>SUMPRODUCT(-('Gastos Gerais'!$B$4:$B$615=Analítico!$B96),-(Analítico!AO$3&gt;='Gastos Gerais'!$D$4:$D$615),-(Analítico!AO$3&lt;='Gastos Gerais'!$E$4:$E$615),-('Gastos Gerais'!$C$4:$C$615))</f>
        <v>0</v>
      </c>
      <c r="AP96" s="73">
        <f>SUMPRODUCT(-('Gastos Gerais'!$B$4:$B$615=Analítico!$B96),-(Analítico!AP$3&gt;='Gastos Gerais'!$D$4:$D$615),-(Analítico!AP$3&lt;='Gastos Gerais'!$E$4:$E$615),-('Gastos Gerais'!$C$4:$C$615))</f>
        <v>0</v>
      </c>
      <c r="AQ96" s="73">
        <f>SUMPRODUCT(-('Gastos Gerais'!$B$4:$B$615=Analítico!$B96),-(Analítico!AQ$3&gt;='Gastos Gerais'!$D$4:$D$615),-(Analítico!AQ$3&lt;='Gastos Gerais'!$E$4:$E$615),-('Gastos Gerais'!$C$4:$C$615))</f>
        <v>0</v>
      </c>
      <c r="AR96" s="73">
        <f>SUMPRODUCT(-('Gastos Gerais'!$B$4:$B$615=Analítico!$B96),-(Analítico!AR$3&gt;='Gastos Gerais'!$D$4:$D$615),-(Analítico!AR$3&lt;='Gastos Gerais'!$E$4:$E$615),-('Gastos Gerais'!$C$4:$C$615))</f>
        <v>0</v>
      </c>
      <c r="AS96" s="73">
        <f>SUMPRODUCT(-('Gastos Gerais'!$B$4:$B$615=Analítico!$B96),-(Analítico!AS$3&gt;='Gastos Gerais'!$D$4:$D$615),-(Analítico!AS$3&lt;='Gastos Gerais'!$E$4:$E$615),-('Gastos Gerais'!$C$4:$C$615))</f>
        <v>0</v>
      </c>
      <c r="AT96" s="73">
        <f>SUMPRODUCT(-('Gastos Gerais'!$B$4:$B$615=Analítico!$B96),-(Analítico!AT$3&gt;='Gastos Gerais'!$D$4:$D$615),-(Analítico!AT$3&lt;='Gastos Gerais'!$E$4:$E$615),-('Gastos Gerais'!$C$4:$C$615))</f>
        <v>0</v>
      </c>
      <c r="AU96" s="73">
        <f>SUMPRODUCT(-('Gastos Gerais'!$B$4:$B$615=Analítico!$B96),-(Analítico!AU$3&gt;='Gastos Gerais'!$D$4:$D$615),-(Analítico!AU$3&lt;='Gastos Gerais'!$E$4:$E$615),-('Gastos Gerais'!$C$4:$C$615))</f>
        <v>0</v>
      </c>
      <c r="AV96" s="73">
        <f>SUMPRODUCT(-('Gastos Gerais'!$B$4:$B$615=Analítico!$B96),-(Analítico!AV$3&gt;='Gastos Gerais'!$D$4:$D$615),-(Analítico!AV$3&lt;='Gastos Gerais'!$E$4:$E$615),-('Gastos Gerais'!$C$4:$C$615))</f>
        <v>0</v>
      </c>
      <c r="AW96" s="73">
        <f>SUMPRODUCT(-('Gastos Gerais'!$B$4:$B$615=Analítico!$B96),-(Analítico!AW$3&gt;='Gastos Gerais'!$D$4:$D$615),-(Analítico!AW$3&lt;='Gastos Gerais'!$E$4:$E$615),-('Gastos Gerais'!$C$4:$C$615))</f>
        <v>0</v>
      </c>
      <c r="AX96" s="73">
        <f>SUMPRODUCT(-('Gastos Gerais'!$B$4:$B$615=Analítico!$B96),-(Analítico!AX$3&gt;='Gastos Gerais'!$D$4:$D$615),-(Analítico!AX$3&lt;='Gastos Gerais'!$E$4:$E$615),-('Gastos Gerais'!$C$4:$C$615))</f>
        <v>0</v>
      </c>
      <c r="AY96" s="73">
        <f>SUMPRODUCT(-('Gastos Gerais'!$B$4:$B$615=Analítico!$B96),-(Analítico!AY$3&gt;='Gastos Gerais'!$D$4:$D$615),-(Analítico!AY$3&lt;='Gastos Gerais'!$E$4:$E$615),-('Gastos Gerais'!$C$4:$C$615))</f>
        <v>0</v>
      </c>
      <c r="AZ96" s="73">
        <f>SUMPRODUCT(-('Gastos Gerais'!$B$4:$B$615=Analítico!$B96),-(Analítico!AZ$3&gt;='Gastos Gerais'!$D$4:$D$615),-(Analítico!AZ$3&lt;='Gastos Gerais'!$E$4:$E$615),-('Gastos Gerais'!$C$4:$C$615))</f>
        <v>0</v>
      </c>
      <c r="BA96" s="73">
        <f>SUMPRODUCT(-('Gastos Gerais'!$B$4:$B$615=Analítico!$B96),-(Analítico!BA$3&gt;='Gastos Gerais'!$D$4:$D$615),-(Analítico!BA$3&lt;='Gastos Gerais'!$E$4:$E$615),-('Gastos Gerais'!$C$4:$C$615))</f>
        <v>0</v>
      </c>
      <c r="BB96" s="73">
        <f>SUMPRODUCT(-('Gastos Gerais'!$B$4:$B$615=Analítico!$B96),-(Analítico!BB$3&gt;='Gastos Gerais'!$D$4:$D$615),-(Analítico!BB$3&lt;='Gastos Gerais'!$E$4:$E$615),-('Gastos Gerais'!$C$4:$C$615))</f>
        <v>0</v>
      </c>
      <c r="BC96" s="73">
        <f>SUMPRODUCT(-('Gastos Gerais'!$B$4:$B$615=Analítico!$B96),-(Analítico!BC$3&gt;='Gastos Gerais'!$D$4:$D$615),-(Analítico!BC$3&lt;='Gastos Gerais'!$E$4:$E$615),-('Gastos Gerais'!$C$4:$C$615))</f>
        <v>0</v>
      </c>
      <c r="BD96" s="73">
        <f>SUMPRODUCT(-('Gastos Gerais'!$B$4:$B$615=Analítico!$B96),-(Analítico!BD$3&gt;='Gastos Gerais'!$D$4:$D$615),-(Analítico!BD$3&lt;='Gastos Gerais'!$E$4:$E$615),-('Gastos Gerais'!$C$4:$C$615))</f>
        <v>0</v>
      </c>
      <c r="BE96" s="73">
        <f>SUMPRODUCT(-('Gastos Gerais'!$B$4:$B$615=Analítico!$B96),-(Analítico!BE$3&gt;='Gastos Gerais'!$D$4:$D$615),-(Analítico!BE$3&lt;='Gastos Gerais'!$E$4:$E$615),-('Gastos Gerais'!$C$4:$C$615))</f>
        <v>0</v>
      </c>
      <c r="BF96" s="73">
        <f>SUMPRODUCT(-('Gastos Gerais'!$B$4:$B$615=Analítico!$B96),-(Analítico!BF$3&gt;='Gastos Gerais'!$D$4:$D$615),-(Analítico!BF$3&lt;='Gastos Gerais'!$E$4:$E$615),-('Gastos Gerais'!$C$4:$C$615))</f>
        <v>0</v>
      </c>
      <c r="BG96" s="73">
        <f>SUMPRODUCT(-('Gastos Gerais'!$B$4:$B$615=Analítico!$B96),-(Analítico!BG$3&gt;='Gastos Gerais'!$D$4:$D$615),-(Analítico!BG$3&lt;='Gastos Gerais'!$E$4:$E$615),-('Gastos Gerais'!$C$4:$C$615))</f>
        <v>0</v>
      </c>
      <c r="BH96" s="73">
        <f>SUMPRODUCT(-('Gastos Gerais'!$B$4:$B$615=Analítico!$B96),-(Analítico!BH$3&gt;='Gastos Gerais'!$D$4:$D$615),-(Analítico!BH$3&lt;='Gastos Gerais'!$E$4:$E$615),-('Gastos Gerais'!$C$4:$C$615))</f>
        <v>0</v>
      </c>
      <c r="BI96" s="73">
        <f>SUMPRODUCT(-('Gastos Gerais'!$B$4:$B$615=Analítico!$B96),-(Analítico!BI$3&gt;='Gastos Gerais'!$D$4:$D$615),-(Analítico!BI$3&lt;='Gastos Gerais'!$E$4:$E$615),-('Gastos Gerais'!$C$4:$C$615))</f>
        <v>0</v>
      </c>
      <c r="BJ96" s="73">
        <f>SUMPRODUCT(-('Gastos Gerais'!$B$4:$B$615=Analítico!$B96),-(Analítico!BJ$3&gt;='Gastos Gerais'!$D$4:$D$615),-(Analítico!BJ$3&lt;='Gastos Gerais'!$E$4:$E$615),-('Gastos Gerais'!$C$4:$C$615))</f>
        <v>0</v>
      </c>
      <c r="BK96" s="71">
        <f t="shared" si="33"/>
        <v>0</v>
      </c>
      <c r="BL96" s="76">
        <f t="shared" ca="1" si="34"/>
        <v>0</v>
      </c>
    </row>
    <row r="97" spans="1:64" s="49" customFormat="1" ht="23.25" customHeight="1" x14ac:dyDescent="0.2">
      <c r="A97" s="109" t="s">
        <v>262</v>
      </c>
      <c r="B97" s="112" t="s">
        <v>263</v>
      </c>
      <c r="C97" s="73">
        <f>SUMPRODUCT(-('Gastos Gerais'!$B$4:$B$615=Analítico!$B97),-(Analítico!C$3&gt;='Gastos Gerais'!$D$4:$D$615),-(Analítico!C$3&lt;='Gastos Gerais'!$E$4:$E$615),-('Gastos Gerais'!$C$4:$C$615))</f>
        <v>0</v>
      </c>
      <c r="D97" s="73">
        <f>SUMPRODUCT(-('Gastos Gerais'!$B$4:$B$615=Analítico!$B97),-(Analítico!D$3&gt;='Gastos Gerais'!$D$4:$D$615),-(Analítico!D$3&lt;='Gastos Gerais'!$E$4:$E$615),-('Gastos Gerais'!$C$4:$C$615))</f>
        <v>0</v>
      </c>
      <c r="E97" s="73">
        <f>SUMPRODUCT(-('Gastos Gerais'!$B$4:$B$615=Analítico!$B97),-(Analítico!E$3&gt;='Gastos Gerais'!$D$4:$D$615),-(Analítico!E$3&lt;='Gastos Gerais'!$E$4:$E$615),-('Gastos Gerais'!$C$4:$C$615))</f>
        <v>0</v>
      </c>
      <c r="F97" s="73">
        <f>SUMPRODUCT(-('Gastos Gerais'!$B$4:$B$615=Analítico!$B97),-(Analítico!F$3&gt;='Gastos Gerais'!$D$4:$D$615),-(Analítico!F$3&lt;='Gastos Gerais'!$E$4:$E$615),-('Gastos Gerais'!$C$4:$C$615))</f>
        <v>0</v>
      </c>
      <c r="G97" s="73">
        <f>SUMPRODUCT(-('Gastos Gerais'!$B$4:$B$615=Analítico!$B97),-(Analítico!G$3&gt;='Gastos Gerais'!$D$4:$D$615),-(Analítico!G$3&lt;='Gastos Gerais'!$E$4:$E$615),-('Gastos Gerais'!$C$4:$C$615))</f>
        <v>0</v>
      </c>
      <c r="H97" s="73">
        <f>SUMPRODUCT(-('Gastos Gerais'!$B$4:$B$615=Analítico!$B97),-(Analítico!H$3&gt;='Gastos Gerais'!$D$4:$D$615),-(Analítico!H$3&lt;='Gastos Gerais'!$E$4:$E$615),-('Gastos Gerais'!$C$4:$C$615))</f>
        <v>0</v>
      </c>
      <c r="I97" s="73">
        <f>SUMPRODUCT(-('Gastos Gerais'!$B$4:$B$615=Analítico!$B97),-(Analítico!I$3&gt;='Gastos Gerais'!$D$4:$D$615),-(Analítico!I$3&lt;='Gastos Gerais'!$E$4:$E$615),-('Gastos Gerais'!$C$4:$C$615))</f>
        <v>0</v>
      </c>
      <c r="J97" s="73">
        <f>SUMPRODUCT(-('Gastos Gerais'!$B$4:$B$615=Analítico!$B97),-(Analítico!J$3&gt;='Gastos Gerais'!$D$4:$D$615),-(Analítico!J$3&lt;='Gastos Gerais'!$E$4:$E$615),-('Gastos Gerais'!$C$4:$C$615))</f>
        <v>0</v>
      </c>
      <c r="K97" s="73">
        <f>SUMPRODUCT(-('Gastos Gerais'!$B$4:$B$615=Analítico!$B97),-(Analítico!K$3&gt;='Gastos Gerais'!$D$4:$D$615),-(Analítico!K$3&lt;='Gastos Gerais'!$E$4:$E$615),-('Gastos Gerais'!$C$4:$C$615))</f>
        <v>0</v>
      </c>
      <c r="L97" s="73">
        <f>SUMPRODUCT(-('Gastos Gerais'!$B$4:$B$615=Analítico!$B97),-(Analítico!L$3&gt;='Gastos Gerais'!$D$4:$D$615),-(Analítico!L$3&lt;='Gastos Gerais'!$E$4:$E$615),-('Gastos Gerais'!$C$4:$C$615))</f>
        <v>0</v>
      </c>
      <c r="M97" s="73">
        <f>SUMPRODUCT(-('Gastos Gerais'!$B$4:$B$615=Analítico!$B97),-(Analítico!M$3&gt;='Gastos Gerais'!$D$4:$D$615),-(Analítico!M$3&lt;='Gastos Gerais'!$E$4:$E$615),-('Gastos Gerais'!$C$4:$C$615))</f>
        <v>0</v>
      </c>
      <c r="N97" s="73">
        <f>SUMPRODUCT(-('Gastos Gerais'!$B$4:$B$615=Analítico!$B97),-(Analítico!N$3&gt;='Gastos Gerais'!$D$4:$D$615),-(Analítico!N$3&lt;='Gastos Gerais'!$E$4:$E$615),-('Gastos Gerais'!$C$4:$C$615))</f>
        <v>0</v>
      </c>
      <c r="O97" s="73">
        <f>SUMPRODUCT(-('Gastos Gerais'!$B$4:$B$615=Analítico!$B97),-(Analítico!O$3&gt;='Gastos Gerais'!$D$4:$D$615),-(Analítico!O$3&lt;='Gastos Gerais'!$E$4:$E$615),-('Gastos Gerais'!$C$4:$C$615))</f>
        <v>0</v>
      </c>
      <c r="P97" s="73">
        <f>SUMPRODUCT(-('Gastos Gerais'!$B$4:$B$615=Analítico!$B97),-(Analítico!P$3&gt;='Gastos Gerais'!$D$4:$D$615),-(Analítico!P$3&lt;='Gastos Gerais'!$E$4:$E$615),-('Gastos Gerais'!$C$4:$C$615))</f>
        <v>0</v>
      </c>
      <c r="Q97" s="73">
        <f>SUMPRODUCT(-('Gastos Gerais'!$B$4:$B$615=Analítico!$B97),-(Analítico!Q$3&gt;='Gastos Gerais'!$D$4:$D$615),-(Analítico!Q$3&lt;='Gastos Gerais'!$E$4:$E$615),-('Gastos Gerais'!$C$4:$C$615))</f>
        <v>0</v>
      </c>
      <c r="R97" s="73">
        <f>SUMPRODUCT(-('Gastos Gerais'!$B$4:$B$615=Analítico!$B97),-(Analítico!R$3&gt;='Gastos Gerais'!$D$4:$D$615),-(Analítico!R$3&lt;='Gastos Gerais'!$E$4:$E$615),-('Gastos Gerais'!$C$4:$C$615))</f>
        <v>0</v>
      </c>
      <c r="S97" s="73">
        <f>SUMPRODUCT(-('Gastos Gerais'!$B$4:$B$615=Analítico!$B97),-(Analítico!S$3&gt;='Gastos Gerais'!$D$4:$D$615),-(Analítico!S$3&lt;='Gastos Gerais'!$E$4:$E$615),-('Gastos Gerais'!$C$4:$C$615))</f>
        <v>0</v>
      </c>
      <c r="T97" s="73">
        <f>SUMPRODUCT(-('Gastos Gerais'!$B$4:$B$615=Analítico!$B97),-(Analítico!T$3&gt;='Gastos Gerais'!$D$4:$D$615),-(Analítico!T$3&lt;='Gastos Gerais'!$E$4:$E$615),-('Gastos Gerais'!$C$4:$C$615))</f>
        <v>0</v>
      </c>
      <c r="U97" s="73">
        <f>SUMPRODUCT(-('Gastos Gerais'!$B$4:$B$615=Analítico!$B97),-(Analítico!U$3&gt;='Gastos Gerais'!$D$4:$D$615),-(Analítico!U$3&lt;='Gastos Gerais'!$E$4:$E$615),-('Gastos Gerais'!$C$4:$C$615))</f>
        <v>0</v>
      </c>
      <c r="V97" s="73">
        <f>SUMPRODUCT(-('Gastos Gerais'!$B$4:$B$615=Analítico!$B97),-(Analítico!V$3&gt;='Gastos Gerais'!$D$4:$D$615),-(Analítico!V$3&lt;='Gastos Gerais'!$E$4:$E$615),-('Gastos Gerais'!$C$4:$C$615))</f>
        <v>0</v>
      </c>
      <c r="W97" s="73">
        <f>SUMPRODUCT(-('Gastos Gerais'!$B$4:$B$615=Analítico!$B97),-(Analítico!W$3&gt;='Gastos Gerais'!$D$4:$D$615),-(Analítico!W$3&lt;='Gastos Gerais'!$E$4:$E$615),-('Gastos Gerais'!$C$4:$C$615))</f>
        <v>0</v>
      </c>
      <c r="X97" s="73">
        <f>SUMPRODUCT(-('Gastos Gerais'!$B$4:$B$615=Analítico!$B97),-(Analítico!X$3&gt;='Gastos Gerais'!$D$4:$D$615),-(Analítico!X$3&lt;='Gastos Gerais'!$E$4:$E$615),-('Gastos Gerais'!$C$4:$C$615))</f>
        <v>0</v>
      </c>
      <c r="Y97" s="73">
        <f>SUMPRODUCT(-('Gastos Gerais'!$B$4:$B$615=Analítico!$B97),-(Analítico!Y$3&gt;='Gastos Gerais'!$D$4:$D$615),-(Analítico!Y$3&lt;='Gastos Gerais'!$E$4:$E$615),-('Gastos Gerais'!$C$4:$C$615))</f>
        <v>0</v>
      </c>
      <c r="Z97" s="73">
        <f>SUMPRODUCT(-('Gastos Gerais'!$B$4:$B$615=Analítico!$B97),-(Analítico!Z$3&gt;='Gastos Gerais'!$D$4:$D$615),-(Analítico!Z$3&lt;='Gastos Gerais'!$E$4:$E$615),-('Gastos Gerais'!$C$4:$C$615))</f>
        <v>0</v>
      </c>
      <c r="AA97" s="73">
        <f>SUMPRODUCT(-('Gastos Gerais'!$B$4:$B$615=Analítico!$B97),-(Analítico!AA$3&gt;='Gastos Gerais'!$D$4:$D$615),-(Analítico!AA$3&lt;='Gastos Gerais'!$E$4:$E$615),-('Gastos Gerais'!$C$4:$C$615))</f>
        <v>0</v>
      </c>
      <c r="AB97" s="73">
        <f>SUMPRODUCT(-('Gastos Gerais'!$B$4:$B$615=Analítico!$B97),-(Analítico!AB$3&gt;='Gastos Gerais'!$D$4:$D$615),-(Analítico!AB$3&lt;='Gastos Gerais'!$E$4:$E$615),-('Gastos Gerais'!$C$4:$C$615))</f>
        <v>0</v>
      </c>
      <c r="AC97" s="73">
        <f>SUMPRODUCT(-('Gastos Gerais'!$B$4:$B$615=Analítico!$B97),-(Analítico!AC$3&gt;='Gastos Gerais'!$D$4:$D$615),-(Analítico!AC$3&lt;='Gastos Gerais'!$E$4:$E$615),-('Gastos Gerais'!$C$4:$C$615))</f>
        <v>0</v>
      </c>
      <c r="AD97" s="73">
        <f>SUMPRODUCT(-('Gastos Gerais'!$B$4:$B$615=Analítico!$B97),-(Analítico!AD$3&gt;='Gastos Gerais'!$D$4:$D$615),-(Analítico!AD$3&lt;='Gastos Gerais'!$E$4:$E$615),-('Gastos Gerais'!$C$4:$C$615))</f>
        <v>0</v>
      </c>
      <c r="AE97" s="73">
        <f>SUMPRODUCT(-('Gastos Gerais'!$B$4:$B$615=Analítico!$B97),-(Analítico!AE$3&gt;='Gastos Gerais'!$D$4:$D$615),-(Analítico!AE$3&lt;='Gastos Gerais'!$E$4:$E$615),-('Gastos Gerais'!$C$4:$C$615))</f>
        <v>0</v>
      </c>
      <c r="AF97" s="73">
        <f>SUMPRODUCT(-('Gastos Gerais'!$B$4:$B$615=Analítico!$B97),-(Analítico!AF$3&gt;='Gastos Gerais'!$D$4:$D$615),-(Analítico!AF$3&lt;='Gastos Gerais'!$E$4:$E$615),-('Gastos Gerais'!$C$4:$C$615))</f>
        <v>0</v>
      </c>
      <c r="AG97" s="73">
        <f>SUMPRODUCT(-('Gastos Gerais'!$B$4:$B$615=Analítico!$B97),-(Analítico!AG$3&gt;='Gastos Gerais'!$D$4:$D$615),-(Analítico!AG$3&lt;='Gastos Gerais'!$E$4:$E$615),-('Gastos Gerais'!$C$4:$C$615))</f>
        <v>0</v>
      </c>
      <c r="AH97" s="73">
        <f>SUMPRODUCT(-('Gastos Gerais'!$B$4:$B$615=Analítico!$B97),-(Analítico!AH$3&gt;='Gastos Gerais'!$D$4:$D$615),-(Analítico!AH$3&lt;='Gastos Gerais'!$E$4:$E$615),-('Gastos Gerais'!$C$4:$C$615))</f>
        <v>0</v>
      </c>
      <c r="AI97" s="73">
        <f>SUMPRODUCT(-('Gastos Gerais'!$B$4:$B$615=Analítico!$B97),-(Analítico!AI$3&gt;='Gastos Gerais'!$D$4:$D$615),-(Analítico!AI$3&lt;='Gastos Gerais'!$E$4:$E$615),-('Gastos Gerais'!$C$4:$C$615))</f>
        <v>0</v>
      </c>
      <c r="AJ97" s="73">
        <f>SUMPRODUCT(-('Gastos Gerais'!$B$4:$B$615=Analítico!$B97),-(Analítico!AJ$3&gt;='Gastos Gerais'!$D$4:$D$615),-(Analítico!AJ$3&lt;='Gastos Gerais'!$E$4:$E$615),-('Gastos Gerais'!$C$4:$C$615))</f>
        <v>0</v>
      </c>
      <c r="AK97" s="73">
        <f>SUMPRODUCT(-('Gastos Gerais'!$B$4:$B$615=Analítico!$B97),-(Analítico!AK$3&gt;='Gastos Gerais'!$D$4:$D$615),-(Analítico!AK$3&lt;='Gastos Gerais'!$E$4:$E$615),-('Gastos Gerais'!$C$4:$C$615))</f>
        <v>0</v>
      </c>
      <c r="AL97" s="73">
        <f>SUMPRODUCT(-('Gastos Gerais'!$B$4:$B$615=Analítico!$B97),-(Analítico!AL$3&gt;='Gastos Gerais'!$D$4:$D$615),-(Analítico!AL$3&lt;='Gastos Gerais'!$E$4:$E$615),-('Gastos Gerais'!$C$4:$C$615))</f>
        <v>0</v>
      </c>
      <c r="AM97" s="73">
        <f>SUMPRODUCT(-('Gastos Gerais'!$B$4:$B$615=Analítico!$B97),-(Analítico!AM$3&gt;='Gastos Gerais'!$D$4:$D$615),-(Analítico!AM$3&lt;='Gastos Gerais'!$E$4:$E$615),-('Gastos Gerais'!$C$4:$C$615))</f>
        <v>0</v>
      </c>
      <c r="AN97" s="73">
        <f>SUMPRODUCT(-('Gastos Gerais'!$B$4:$B$615=Analítico!$B97),-(Analítico!AN$3&gt;='Gastos Gerais'!$D$4:$D$615),-(Analítico!AN$3&lt;='Gastos Gerais'!$E$4:$E$615),-('Gastos Gerais'!$C$4:$C$615))</f>
        <v>0</v>
      </c>
      <c r="AO97" s="73">
        <f>SUMPRODUCT(-('Gastos Gerais'!$B$4:$B$615=Analítico!$B97),-(Analítico!AO$3&gt;='Gastos Gerais'!$D$4:$D$615),-(Analítico!AO$3&lt;='Gastos Gerais'!$E$4:$E$615),-('Gastos Gerais'!$C$4:$C$615))</f>
        <v>0</v>
      </c>
      <c r="AP97" s="73">
        <f>SUMPRODUCT(-('Gastos Gerais'!$B$4:$B$615=Analítico!$B97),-(Analítico!AP$3&gt;='Gastos Gerais'!$D$4:$D$615),-(Analítico!AP$3&lt;='Gastos Gerais'!$E$4:$E$615),-('Gastos Gerais'!$C$4:$C$615))</f>
        <v>0</v>
      </c>
      <c r="AQ97" s="73">
        <f>SUMPRODUCT(-('Gastos Gerais'!$B$4:$B$615=Analítico!$B97),-(Analítico!AQ$3&gt;='Gastos Gerais'!$D$4:$D$615),-(Analítico!AQ$3&lt;='Gastos Gerais'!$E$4:$E$615),-('Gastos Gerais'!$C$4:$C$615))</f>
        <v>0</v>
      </c>
      <c r="AR97" s="73">
        <f>SUMPRODUCT(-('Gastos Gerais'!$B$4:$B$615=Analítico!$B97),-(Analítico!AR$3&gt;='Gastos Gerais'!$D$4:$D$615),-(Analítico!AR$3&lt;='Gastos Gerais'!$E$4:$E$615),-('Gastos Gerais'!$C$4:$C$615))</f>
        <v>0</v>
      </c>
      <c r="AS97" s="73">
        <f>SUMPRODUCT(-('Gastos Gerais'!$B$4:$B$615=Analítico!$B97),-(Analítico!AS$3&gt;='Gastos Gerais'!$D$4:$D$615),-(Analítico!AS$3&lt;='Gastos Gerais'!$E$4:$E$615),-('Gastos Gerais'!$C$4:$C$615))</f>
        <v>0</v>
      </c>
      <c r="AT97" s="73">
        <f>SUMPRODUCT(-('Gastos Gerais'!$B$4:$B$615=Analítico!$B97),-(Analítico!AT$3&gt;='Gastos Gerais'!$D$4:$D$615),-(Analítico!AT$3&lt;='Gastos Gerais'!$E$4:$E$615),-('Gastos Gerais'!$C$4:$C$615))</f>
        <v>0</v>
      </c>
      <c r="AU97" s="73">
        <f>SUMPRODUCT(-('Gastos Gerais'!$B$4:$B$615=Analítico!$B97),-(Analítico!AU$3&gt;='Gastos Gerais'!$D$4:$D$615),-(Analítico!AU$3&lt;='Gastos Gerais'!$E$4:$E$615),-('Gastos Gerais'!$C$4:$C$615))</f>
        <v>0</v>
      </c>
      <c r="AV97" s="73">
        <f>SUMPRODUCT(-('Gastos Gerais'!$B$4:$B$615=Analítico!$B97),-(Analítico!AV$3&gt;='Gastos Gerais'!$D$4:$D$615),-(Analítico!AV$3&lt;='Gastos Gerais'!$E$4:$E$615),-('Gastos Gerais'!$C$4:$C$615))</f>
        <v>0</v>
      </c>
      <c r="AW97" s="73">
        <f>SUMPRODUCT(-('Gastos Gerais'!$B$4:$B$615=Analítico!$B97),-(Analítico!AW$3&gt;='Gastos Gerais'!$D$4:$D$615),-(Analítico!AW$3&lt;='Gastos Gerais'!$E$4:$E$615),-('Gastos Gerais'!$C$4:$C$615))</f>
        <v>0</v>
      </c>
      <c r="AX97" s="73">
        <f>SUMPRODUCT(-('Gastos Gerais'!$B$4:$B$615=Analítico!$B97),-(Analítico!AX$3&gt;='Gastos Gerais'!$D$4:$D$615),-(Analítico!AX$3&lt;='Gastos Gerais'!$E$4:$E$615),-('Gastos Gerais'!$C$4:$C$615))</f>
        <v>0</v>
      </c>
      <c r="AY97" s="73">
        <f>SUMPRODUCT(-('Gastos Gerais'!$B$4:$B$615=Analítico!$B97),-(Analítico!AY$3&gt;='Gastos Gerais'!$D$4:$D$615),-(Analítico!AY$3&lt;='Gastos Gerais'!$E$4:$E$615),-('Gastos Gerais'!$C$4:$C$615))</f>
        <v>0</v>
      </c>
      <c r="AZ97" s="73">
        <f>SUMPRODUCT(-('Gastos Gerais'!$B$4:$B$615=Analítico!$B97),-(Analítico!AZ$3&gt;='Gastos Gerais'!$D$4:$D$615),-(Analítico!AZ$3&lt;='Gastos Gerais'!$E$4:$E$615),-('Gastos Gerais'!$C$4:$C$615))</f>
        <v>0</v>
      </c>
      <c r="BA97" s="73">
        <f>SUMPRODUCT(-('Gastos Gerais'!$B$4:$B$615=Analítico!$B97),-(Analítico!BA$3&gt;='Gastos Gerais'!$D$4:$D$615),-(Analítico!BA$3&lt;='Gastos Gerais'!$E$4:$E$615),-('Gastos Gerais'!$C$4:$C$615))</f>
        <v>0</v>
      </c>
      <c r="BB97" s="73">
        <f>SUMPRODUCT(-('Gastos Gerais'!$B$4:$B$615=Analítico!$B97),-(Analítico!BB$3&gt;='Gastos Gerais'!$D$4:$D$615),-(Analítico!BB$3&lt;='Gastos Gerais'!$E$4:$E$615),-('Gastos Gerais'!$C$4:$C$615))</f>
        <v>0</v>
      </c>
      <c r="BC97" s="73">
        <f>SUMPRODUCT(-('Gastos Gerais'!$B$4:$B$615=Analítico!$B97),-(Analítico!BC$3&gt;='Gastos Gerais'!$D$4:$D$615),-(Analítico!BC$3&lt;='Gastos Gerais'!$E$4:$E$615),-('Gastos Gerais'!$C$4:$C$615))</f>
        <v>0</v>
      </c>
      <c r="BD97" s="73">
        <f>SUMPRODUCT(-('Gastos Gerais'!$B$4:$B$615=Analítico!$B97),-(Analítico!BD$3&gt;='Gastos Gerais'!$D$4:$D$615),-(Analítico!BD$3&lt;='Gastos Gerais'!$E$4:$E$615),-('Gastos Gerais'!$C$4:$C$615))</f>
        <v>0</v>
      </c>
      <c r="BE97" s="73">
        <f>SUMPRODUCT(-('Gastos Gerais'!$B$4:$B$615=Analítico!$B97),-(Analítico!BE$3&gt;='Gastos Gerais'!$D$4:$D$615),-(Analítico!BE$3&lt;='Gastos Gerais'!$E$4:$E$615),-('Gastos Gerais'!$C$4:$C$615))</f>
        <v>0</v>
      </c>
      <c r="BF97" s="73">
        <f>SUMPRODUCT(-('Gastos Gerais'!$B$4:$B$615=Analítico!$B97),-(Analítico!BF$3&gt;='Gastos Gerais'!$D$4:$D$615),-(Analítico!BF$3&lt;='Gastos Gerais'!$E$4:$E$615),-('Gastos Gerais'!$C$4:$C$615))</f>
        <v>0</v>
      </c>
      <c r="BG97" s="73">
        <f>SUMPRODUCT(-('Gastos Gerais'!$B$4:$B$615=Analítico!$B97),-(Analítico!BG$3&gt;='Gastos Gerais'!$D$4:$D$615),-(Analítico!BG$3&lt;='Gastos Gerais'!$E$4:$E$615),-('Gastos Gerais'!$C$4:$C$615))</f>
        <v>0</v>
      </c>
      <c r="BH97" s="73">
        <f>SUMPRODUCT(-('Gastos Gerais'!$B$4:$B$615=Analítico!$B97),-(Analítico!BH$3&gt;='Gastos Gerais'!$D$4:$D$615),-(Analítico!BH$3&lt;='Gastos Gerais'!$E$4:$E$615),-('Gastos Gerais'!$C$4:$C$615))</f>
        <v>0</v>
      </c>
      <c r="BI97" s="73">
        <f>SUMPRODUCT(-('Gastos Gerais'!$B$4:$B$615=Analítico!$B97),-(Analítico!BI$3&gt;='Gastos Gerais'!$D$4:$D$615),-(Analítico!BI$3&lt;='Gastos Gerais'!$E$4:$E$615),-('Gastos Gerais'!$C$4:$C$615))</f>
        <v>0</v>
      </c>
      <c r="BJ97" s="73">
        <f>SUMPRODUCT(-('Gastos Gerais'!$B$4:$B$615=Analítico!$B97),-(Analítico!BJ$3&gt;='Gastos Gerais'!$D$4:$D$615),-(Analítico!BJ$3&lt;='Gastos Gerais'!$E$4:$E$615),-('Gastos Gerais'!$C$4:$C$615))</f>
        <v>0</v>
      </c>
      <c r="BK97" s="71">
        <f t="shared" si="33"/>
        <v>0</v>
      </c>
      <c r="BL97" s="76">
        <f t="shared" ca="1" si="34"/>
        <v>0</v>
      </c>
    </row>
    <row r="98" spans="1:64" s="49" customFormat="1" ht="23.25" customHeight="1" x14ac:dyDescent="0.2">
      <c r="A98" s="109" t="s">
        <v>264</v>
      </c>
      <c r="B98" s="112" t="s">
        <v>265</v>
      </c>
      <c r="C98" s="73">
        <f>SUMPRODUCT(-('Gastos Gerais'!$B$4:$B$615=Analítico!$B98),-(Analítico!C$3&gt;='Gastos Gerais'!$D$4:$D$615),-(Analítico!C$3&lt;='Gastos Gerais'!$E$4:$E$615),-('Gastos Gerais'!$C$4:$C$615))</f>
        <v>40000</v>
      </c>
      <c r="D98" s="73">
        <f>SUMPRODUCT(-('Gastos Gerais'!$B$4:$B$615=Analítico!$B98),-(Analítico!D$3&gt;='Gastos Gerais'!$D$4:$D$615),-(Analítico!D$3&lt;='Gastos Gerais'!$E$4:$E$615),-('Gastos Gerais'!$C$4:$C$615))</f>
        <v>40000</v>
      </c>
      <c r="E98" s="73">
        <f>SUMPRODUCT(-('Gastos Gerais'!$B$4:$B$615=Analítico!$B98),-(Analítico!E$3&gt;='Gastos Gerais'!$D$4:$D$615),-(Analítico!E$3&lt;='Gastos Gerais'!$E$4:$E$615),-('Gastos Gerais'!$C$4:$C$615))</f>
        <v>40000</v>
      </c>
      <c r="F98" s="73">
        <f>SUMPRODUCT(-('Gastos Gerais'!$B$4:$B$615=Analítico!$B98),-(Analítico!F$3&gt;='Gastos Gerais'!$D$4:$D$615),-(Analítico!F$3&lt;='Gastos Gerais'!$E$4:$E$615),-('Gastos Gerais'!$C$4:$C$615))</f>
        <v>40000</v>
      </c>
      <c r="G98" s="73">
        <f>SUMPRODUCT(-('Gastos Gerais'!$B$4:$B$615=Analítico!$B98),-(Analítico!G$3&gt;='Gastos Gerais'!$D$4:$D$615),-(Analítico!G$3&lt;='Gastos Gerais'!$E$4:$E$615),-('Gastos Gerais'!$C$4:$C$615))</f>
        <v>40000</v>
      </c>
      <c r="H98" s="73">
        <f>SUMPRODUCT(-('Gastos Gerais'!$B$4:$B$615=Analítico!$B98),-(Analítico!H$3&gt;='Gastos Gerais'!$D$4:$D$615),-(Analítico!H$3&lt;='Gastos Gerais'!$E$4:$E$615),-('Gastos Gerais'!$C$4:$C$615))</f>
        <v>40000</v>
      </c>
      <c r="I98" s="73">
        <f>SUMPRODUCT(-('Gastos Gerais'!$B$4:$B$615=Analítico!$B98),-(Analítico!I$3&gt;='Gastos Gerais'!$D$4:$D$615),-(Analítico!I$3&lt;='Gastos Gerais'!$E$4:$E$615),-('Gastos Gerais'!$C$4:$C$615))</f>
        <v>40000</v>
      </c>
      <c r="J98" s="73">
        <f>SUMPRODUCT(-('Gastos Gerais'!$B$4:$B$615=Analítico!$B98),-(Analítico!J$3&gt;='Gastos Gerais'!$D$4:$D$615),-(Analítico!J$3&lt;='Gastos Gerais'!$E$4:$E$615),-('Gastos Gerais'!$C$4:$C$615))</f>
        <v>40000</v>
      </c>
      <c r="K98" s="73">
        <f>SUMPRODUCT(-('Gastos Gerais'!$B$4:$B$615=Analítico!$B98),-(Analítico!K$3&gt;='Gastos Gerais'!$D$4:$D$615),-(Analítico!K$3&lt;='Gastos Gerais'!$E$4:$E$615),-('Gastos Gerais'!$C$4:$C$615))</f>
        <v>40000</v>
      </c>
      <c r="L98" s="73">
        <f>SUMPRODUCT(-('Gastos Gerais'!$B$4:$B$615=Analítico!$B98),-(Analítico!L$3&gt;='Gastos Gerais'!$D$4:$D$615),-(Analítico!L$3&lt;='Gastos Gerais'!$E$4:$E$615),-('Gastos Gerais'!$C$4:$C$615))</f>
        <v>40000</v>
      </c>
      <c r="M98" s="73">
        <f>SUMPRODUCT(-('Gastos Gerais'!$B$4:$B$615=Analítico!$B98),-(Analítico!M$3&gt;='Gastos Gerais'!$D$4:$D$615),-(Analítico!M$3&lt;='Gastos Gerais'!$E$4:$E$615),-('Gastos Gerais'!$C$4:$C$615))</f>
        <v>40000</v>
      </c>
      <c r="N98" s="73">
        <f>SUMPRODUCT(-('Gastos Gerais'!$B$4:$B$615=Analítico!$B98),-(Analítico!N$3&gt;='Gastos Gerais'!$D$4:$D$615),-(Analítico!N$3&lt;='Gastos Gerais'!$E$4:$E$615),-('Gastos Gerais'!$C$4:$C$615))</f>
        <v>40000</v>
      </c>
      <c r="O98" s="73">
        <f>SUMPRODUCT(-('Gastos Gerais'!$B$4:$B$615=Analítico!$B98),-(Analítico!O$3&gt;='Gastos Gerais'!$D$4:$D$615),-(Analítico!O$3&lt;='Gastos Gerais'!$E$4:$E$615),-('Gastos Gerais'!$C$4:$C$615))</f>
        <v>40000</v>
      </c>
      <c r="P98" s="73">
        <f>SUMPRODUCT(-('Gastos Gerais'!$B$4:$B$615=Analítico!$B98),-(Analítico!P$3&gt;='Gastos Gerais'!$D$4:$D$615),-(Analítico!P$3&lt;='Gastos Gerais'!$E$4:$E$615),-('Gastos Gerais'!$C$4:$C$615))</f>
        <v>40000</v>
      </c>
      <c r="Q98" s="73">
        <f>SUMPRODUCT(-('Gastos Gerais'!$B$4:$B$615=Analítico!$B98),-(Analítico!Q$3&gt;='Gastos Gerais'!$D$4:$D$615),-(Analítico!Q$3&lt;='Gastos Gerais'!$E$4:$E$615),-('Gastos Gerais'!$C$4:$C$615))</f>
        <v>40000</v>
      </c>
      <c r="R98" s="73">
        <f>SUMPRODUCT(-('Gastos Gerais'!$B$4:$B$615=Analítico!$B98),-(Analítico!R$3&gt;='Gastos Gerais'!$D$4:$D$615),-(Analítico!R$3&lt;='Gastos Gerais'!$E$4:$E$615),-('Gastos Gerais'!$C$4:$C$615))</f>
        <v>40000</v>
      </c>
      <c r="S98" s="73">
        <f>SUMPRODUCT(-('Gastos Gerais'!$B$4:$B$615=Analítico!$B98),-(Analítico!S$3&gt;='Gastos Gerais'!$D$4:$D$615),-(Analítico!S$3&lt;='Gastos Gerais'!$E$4:$E$615),-('Gastos Gerais'!$C$4:$C$615))</f>
        <v>40000</v>
      </c>
      <c r="T98" s="73">
        <f>SUMPRODUCT(-('Gastos Gerais'!$B$4:$B$615=Analítico!$B98),-(Analítico!T$3&gt;='Gastos Gerais'!$D$4:$D$615),-(Analítico!T$3&lt;='Gastos Gerais'!$E$4:$E$615),-('Gastos Gerais'!$C$4:$C$615))</f>
        <v>40000</v>
      </c>
      <c r="U98" s="73">
        <f>SUMPRODUCT(-('Gastos Gerais'!$B$4:$B$615=Analítico!$B98),-(Analítico!U$3&gt;='Gastos Gerais'!$D$4:$D$615),-(Analítico!U$3&lt;='Gastos Gerais'!$E$4:$E$615),-('Gastos Gerais'!$C$4:$C$615))</f>
        <v>40000</v>
      </c>
      <c r="V98" s="73">
        <f>SUMPRODUCT(-('Gastos Gerais'!$B$4:$B$615=Analítico!$B98),-(Analítico!V$3&gt;='Gastos Gerais'!$D$4:$D$615),-(Analítico!V$3&lt;='Gastos Gerais'!$E$4:$E$615),-('Gastos Gerais'!$C$4:$C$615))</f>
        <v>40000</v>
      </c>
      <c r="W98" s="73">
        <f>SUMPRODUCT(-('Gastos Gerais'!$B$4:$B$615=Analítico!$B98),-(Analítico!W$3&gt;='Gastos Gerais'!$D$4:$D$615),-(Analítico!W$3&lt;='Gastos Gerais'!$E$4:$E$615),-('Gastos Gerais'!$C$4:$C$615))</f>
        <v>40000</v>
      </c>
      <c r="X98" s="73">
        <f>SUMPRODUCT(-('Gastos Gerais'!$B$4:$B$615=Analítico!$B98),-(Analítico!X$3&gt;='Gastos Gerais'!$D$4:$D$615),-(Analítico!X$3&lt;='Gastos Gerais'!$E$4:$E$615),-('Gastos Gerais'!$C$4:$C$615))</f>
        <v>40000</v>
      </c>
      <c r="Y98" s="73">
        <f>SUMPRODUCT(-('Gastos Gerais'!$B$4:$B$615=Analítico!$B98),-(Analítico!Y$3&gt;='Gastos Gerais'!$D$4:$D$615),-(Analítico!Y$3&lt;='Gastos Gerais'!$E$4:$E$615),-('Gastos Gerais'!$C$4:$C$615))</f>
        <v>40000</v>
      </c>
      <c r="Z98" s="73">
        <f>SUMPRODUCT(-('Gastos Gerais'!$B$4:$B$615=Analítico!$B98),-(Analítico!Z$3&gt;='Gastos Gerais'!$D$4:$D$615),-(Analítico!Z$3&lt;='Gastos Gerais'!$E$4:$E$615),-('Gastos Gerais'!$C$4:$C$615))</f>
        <v>40000</v>
      </c>
      <c r="AA98" s="73">
        <f>SUMPRODUCT(-('Gastos Gerais'!$B$4:$B$615=Analítico!$B98),-(Analítico!AA$3&gt;='Gastos Gerais'!$D$4:$D$615),-(Analítico!AA$3&lt;='Gastos Gerais'!$E$4:$E$615),-('Gastos Gerais'!$C$4:$C$615))</f>
        <v>40000</v>
      </c>
      <c r="AB98" s="73">
        <f>SUMPRODUCT(-('Gastos Gerais'!$B$4:$B$615=Analítico!$B98),-(Analítico!AB$3&gt;='Gastos Gerais'!$D$4:$D$615),-(Analítico!AB$3&lt;='Gastos Gerais'!$E$4:$E$615),-('Gastos Gerais'!$C$4:$C$615))</f>
        <v>40000</v>
      </c>
      <c r="AC98" s="73">
        <f>SUMPRODUCT(-('Gastos Gerais'!$B$4:$B$615=Analítico!$B98),-(Analítico!AC$3&gt;='Gastos Gerais'!$D$4:$D$615),-(Analítico!AC$3&lt;='Gastos Gerais'!$E$4:$E$615),-('Gastos Gerais'!$C$4:$C$615))</f>
        <v>40000</v>
      </c>
      <c r="AD98" s="73">
        <f>SUMPRODUCT(-('Gastos Gerais'!$B$4:$B$615=Analítico!$B98),-(Analítico!AD$3&gt;='Gastos Gerais'!$D$4:$D$615),-(Analítico!AD$3&lt;='Gastos Gerais'!$E$4:$E$615),-('Gastos Gerais'!$C$4:$C$615))</f>
        <v>40000</v>
      </c>
      <c r="AE98" s="73">
        <f>SUMPRODUCT(-('Gastos Gerais'!$B$4:$B$615=Analítico!$B98),-(Analítico!AE$3&gt;='Gastos Gerais'!$D$4:$D$615),-(Analítico!AE$3&lt;='Gastos Gerais'!$E$4:$E$615),-('Gastos Gerais'!$C$4:$C$615))</f>
        <v>40000</v>
      </c>
      <c r="AF98" s="73">
        <f>SUMPRODUCT(-('Gastos Gerais'!$B$4:$B$615=Analítico!$B98),-(Analítico!AF$3&gt;='Gastos Gerais'!$D$4:$D$615),-(Analítico!AF$3&lt;='Gastos Gerais'!$E$4:$E$615),-('Gastos Gerais'!$C$4:$C$615))</f>
        <v>40000</v>
      </c>
      <c r="AG98" s="73">
        <f>SUMPRODUCT(-('Gastos Gerais'!$B$4:$B$615=Analítico!$B98),-(Analítico!AG$3&gt;='Gastos Gerais'!$D$4:$D$615),-(Analítico!AG$3&lt;='Gastos Gerais'!$E$4:$E$615),-('Gastos Gerais'!$C$4:$C$615))</f>
        <v>40000</v>
      </c>
      <c r="AH98" s="73">
        <f>SUMPRODUCT(-('Gastos Gerais'!$B$4:$B$615=Analítico!$B98),-(Analítico!AH$3&gt;='Gastos Gerais'!$D$4:$D$615),-(Analítico!AH$3&lt;='Gastos Gerais'!$E$4:$E$615),-('Gastos Gerais'!$C$4:$C$615))</f>
        <v>40000</v>
      </c>
      <c r="AI98" s="73">
        <f>SUMPRODUCT(-('Gastos Gerais'!$B$4:$B$615=Analítico!$B98),-(Analítico!AI$3&gt;='Gastos Gerais'!$D$4:$D$615),-(Analítico!AI$3&lt;='Gastos Gerais'!$E$4:$E$615),-('Gastos Gerais'!$C$4:$C$615))</f>
        <v>40000</v>
      </c>
      <c r="AJ98" s="73">
        <f>SUMPRODUCT(-('Gastos Gerais'!$B$4:$B$615=Analítico!$B98),-(Analítico!AJ$3&gt;='Gastos Gerais'!$D$4:$D$615),-(Analítico!AJ$3&lt;='Gastos Gerais'!$E$4:$E$615),-('Gastos Gerais'!$C$4:$C$615))</f>
        <v>40000</v>
      </c>
      <c r="AK98" s="73">
        <f>SUMPRODUCT(-('Gastos Gerais'!$B$4:$B$615=Analítico!$B98),-(Analítico!AK$3&gt;='Gastos Gerais'!$D$4:$D$615),-(Analítico!AK$3&lt;='Gastos Gerais'!$E$4:$E$615),-('Gastos Gerais'!$C$4:$C$615))</f>
        <v>40000</v>
      </c>
      <c r="AL98" s="73">
        <f>SUMPRODUCT(-('Gastos Gerais'!$B$4:$B$615=Analítico!$B98),-(Analítico!AL$3&gt;='Gastos Gerais'!$D$4:$D$615),-(Analítico!AL$3&lt;='Gastos Gerais'!$E$4:$E$615),-('Gastos Gerais'!$C$4:$C$615))</f>
        <v>40000</v>
      </c>
      <c r="AM98" s="73">
        <f>SUMPRODUCT(-('Gastos Gerais'!$B$4:$B$615=Analítico!$B98),-(Analítico!AM$3&gt;='Gastos Gerais'!$D$4:$D$615),-(Analítico!AM$3&lt;='Gastos Gerais'!$E$4:$E$615),-('Gastos Gerais'!$C$4:$C$615))</f>
        <v>0</v>
      </c>
      <c r="AN98" s="73">
        <f>SUMPRODUCT(-('Gastos Gerais'!$B$4:$B$615=Analítico!$B98),-(Analítico!AN$3&gt;='Gastos Gerais'!$D$4:$D$615),-(Analítico!AN$3&lt;='Gastos Gerais'!$E$4:$E$615),-('Gastos Gerais'!$C$4:$C$615))</f>
        <v>0</v>
      </c>
      <c r="AO98" s="73">
        <f>SUMPRODUCT(-('Gastos Gerais'!$B$4:$B$615=Analítico!$B98),-(Analítico!AO$3&gt;='Gastos Gerais'!$D$4:$D$615),-(Analítico!AO$3&lt;='Gastos Gerais'!$E$4:$E$615),-('Gastos Gerais'!$C$4:$C$615))</f>
        <v>0</v>
      </c>
      <c r="AP98" s="73">
        <f>SUMPRODUCT(-('Gastos Gerais'!$B$4:$B$615=Analítico!$B98),-(Analítico!AP$3&gt;='Gastos Gerais'!$D$4:$D$615),-(Analítico!AP$3&lt;='Gastos Gerais'!$E$4:$E$615),-('Gastos Gerais'!$C$4:$C$615))</f>
        <v>0</v>
      </c>
      <c r="AQ98" s="73">
        <f>SUMPRODUCT(-('Gastos Gerais'!$B$4:$B$615=Analítico!$B98),-(Analítico!AQ$3&gt;='Gastos Gerais'!$D$4:$D$615),-(Analítico!AQ$3&lt;='Gastos Gerais'!$E$4:$E$615),-('Gastos Gerais'!$C$4:$C$615))</f>
        <v>0</v>
      </c>
      <c r="AR98" s="73">
        <f>SUMPRODUCT(-('Gastos Gerais'!$B$4:$B$615=Analítico!$B98),-(Analítico!AR$3&gt;='Gastos Gerais'!$D$4:$D$615),-(Analítico!AR$3&lt;='Gastos Gerais'!$E$4:$E$615),-('Gastos Gerais'!$C$4:$C$615))</f>
        <v>0</v>
      </c>
      <c r="AS98" s="73">
        <f>SUMPRODUCT(-('Gastos Gerais'!$B$4:$B$615=Analítico!$B98),-(Analítico!AS$3&gt;='Gastos Gerais'!$D$4:$D$615),-(Analítico!AS$3&lt;='Gastos Gerais'!$E$4:$E$615),-('Gastos Gerais'!$C$4:$C$615))</f>
        <v>0</v>
      </c>
      <c r="AT98" s="73">
        <f>SUMPRODUCT(-('Gastos Gerais'!$B$4:$B$615=Analítico!$B98),-(Analítico!AT$3&gt;='Gastos Gerais'!$D$4:$D$615),-(Analítico!AT$3&lt;='Gastos Gerais'!$E$4:$E$615),-('Gastos Gerais'!$C$4:$C$615))</f>
        <v>0</v>
      </c>
      <c r="AU98" s="73">
        <f>SUMPRODUCT(-('Gastos Gerais'!$B$4:$B$615=Analítico!$B98),-(Analítico!AU$3&gt;='Gastos Gerais'!$D$4:$D$615),-(Analítico!AU$3&lt;='Gastos Gerais'!$E$4:$E$615),-('Gastos Gerais'!$C$4:$C$615))</f>
        <v>0</v>
      </c>
      <c r="AV98" s="73">
        <f>SUMPRODUCT(-('Gastos Gerais'!$B$4:$B$615=Analítico!$B98),-(Analítico!AV$3&gt;='Gastos Gerais'!$D$4:$D$615),-(Analítico!AV$3&lt;='Gastos Gerais'!$E$4:$E$615),-('Gastos Gerais'!$C$4:$C$615))</f>
        <v>0</v>
      </c>
      <c r="AW98" s="73">
        <f>SUMPRODUCT(-('Gastos Gerais'!$B$4:$B$615=Analítico!$B98),-(Analítico!AW$3&gt;='Gastos Gerais'!$D$4:$D$615),-(Analítico!AW$3&lt;='Gastos Gerais'!$E$4:$E$615),-('Gastos Gerais'!$C$4:$C$615))</f>
        <v>0</v>
      </c>
      <c r="AX98" s="73">
        <f>SUMPRODUCT(-('Gastos Gerais'!$B$4:$B$615=Analítico!$B98),-(Analítico!AX$3&gt;='Gastos Gerais'!$D$4:$D$615),-(Analítico!AX$3&lt;='Gastos Gerais'!$E$4:$E$615),-('Gastos Gerais'!$C$4:$C$615))</f>
        <v>0</v>
      </c>
      <c r="AY98" s="73">
        <f>SUMPRODUCT(-('Gastos Gerais'!$B$4:$B$615=Analítico!$B98),-(Analítico!AY$3&gt;='Gastos Gerais'!$D$4:$D$615),-(Analítico!AY$3&lt;='Gastos Gerais'!$E$4:$E$615),-('Gastos Gerais'!$C$4:$C$615))</f>
        <v>0</v>
      </c>
      <c r="AZ98" s="73">
        <f>SUMPRODUCT(-('Gastos Gerais'!$B$4:$B$615=Analítico!$B98),-(Analítico!AZ$3&gt;='Gastos Gerais'!$D$4:$D$615),-(Analítico!AZ$3&lt;='Gastos Gerais'!$E$4:$E$615),-('Gastos Gerais'!$C$4:$C$615))</f>
        <v>0</v>
      </c>
      <c r="BA98" s="73">
        <f>SUMPRODUCT(-('Gastos Gerais'!$B$4:$B$615=Analítico!$B98),-(Analítico!BA$3&gt;='Gastos Gerais'!$D$4:$D$615),-(Analítico!BA$3&lt;='Gastos Gerais'!$E$4:$E$615),-('Gastos Gerais'!$C$4:$C$615))</f>
        <v>0</v>
      </c>
      <c r="BB98" s="73">
        <f>SUMPRODUCT(-('Gastos Gerais'!$B$4:$B$615=Analítico!$B98),-(Analítico!BB$3&gt;='Gastos Gerais'!$D$4:$D$615),-(Analítico!BB$3&lt;='Gastos Gerais'!$E$4:$E$615),-('Gastos Gerais'!$C$4:$C$615))</f>
        <v>0</v>
      </c>
      <c r="BC98" s="73">
        <f>SUMPRODUCT(-('Gastos Gerais'!$B$4:$B$615=Analítico!$B98),-(Analítico!BC$3&gt;='Gastos Gerais'!$D$4:$D$615),-(Analítico!BC$3&lt;='Gastos Gerais'!$E$4:$E$615),-('Gastos Gerais'!$C$4:$C$615))</f>
        <v>0</v>
      </c>
      <c r="BD98" s="73">
        <f>SUMPRODUCT(-('Gastos Gerais'!$B$4:$B$615=Analítico!$B98),-(Analítico!BD$3&gt;='Gastos Gerais'!$D$4:$D$615),-(Analítico!BD$3&lt;='Gastos Gerais'!$E$4:$E$615),-('Gastos Gerais'!$C$4:$C$615))</f>
        <v>0</v>
      </c>
      <c r="BE98" s="73">
        <f>SUMPRODUCT(-('Gastos Gerais'!$B$4:$B$615=Analítico!$B98),-(Analítico!BE$3&gt;='Gastos Gerais'!$D$4:$D$615),-(Analítico!BE$3&lt;='Gastos Gerais'!$E$4:$E$615),-('Gastos Gerais'!$C$4:$C$615))</f>
        <v>0</v>
      </c>
      <c r="BF98" s="73">
        <f>SUMPRODUCT(-('Gastos Gerais'!$B$4:$B$615=Analítico!$B98),-(Analítico!BF$3&gt;='Gastos Gerais'!$D$4:$D$615),-(Analítico!BF$3&lt;='Gastos Gerais'!$E$4:$E$615),-('Gastos Gerais'!$C$4:$C$615))</f>
        <v>0</v>
      </c>
      <c r="BG98" s="73">
        <f>SUMPRODUCT(-('Gastos Gerais'!$B$4:$B$615=Analítico!$B98),-(Analítico!BG$3&gt;='Gastos Gerais'!$D$4:$D$615),-(Analítico!BG$3&lt;='Gastos Gerais'!$E$4:$E$615),-('Gastos Gerais'!$C$4:$C$615))</f>
        <v>0</v>
      </c>
      <c r="BH98" s="73">
        <f>SUMPRODUCT(-('Gastos Gerais'!$B$4:$B$615=Analítico!$B98),-(Analítico!BH$3&gt;='Gastos Gerais'!$D$4:$D$615),-(Analítico!BH$3&lt;='Gastos Gerais'!$E$4:$E$615),-('Gastos Gerais'!$C$4:$C$615))</f>
        <v>0</v>
      </c>
      <c r="BI98" s="73">
        <f>SUMPRODUCT(-('Gastos Gerais'!$B$4:$B$615=Analítico!$B98),-(Analítico!BI$3&gt;='Gastos Gerais'!$D$4:$D$615),-(Analítico!BI$3&lt;='Gastos Gerais'!$E$4:$E$615),-('Gastos Gerais'!$C$4:$C$615))</f>
        <v>0</v>
      </c>
      <c r="BJ98" s="73">
        <f>SUMPRODUCT(-('Gastos Gerais'!$B$4:$B$615=Analítico!$B98),-(Analítico!BJ$3&gt;='Gastos Gerais'!$D$4:$D$615),-(Analítico!BJ$3&lt;='Gastos Gerais'!$E$4:$E$615),-('Gastos Gerais'!$C$4:$C$615))</f>
        <v>0</v>
      </c>
      <c r="BK98" s="71">
        <f t="shared" si="33"/>
        <v>1440000</v>
      </c>
      <c r="BL98" s="76">
        <f t="shared" ca="1" si="34"/>
        <v>3.927741732612431E-3</v>
      </c>
    </row>
    <row r="99" spans="1:64" s="49" customFormat="1" ht="23.25" customHeight="1" x14ac:dyDescent="0.2">
      <c r="A99" s="109" t="s">
        <v>266</v>
      </c>
      <c r="B99" s="112" t="s">
        <v>267</v>
      </c>
      <c r="C99" s="73">
        <f>SUMPRODUCT(-('Gastos Gerais'!$B$4:$B$615=Analítico!$B99),-(Analítico!C$3&gt;='Gastos Gerais'!$D$4:$D$615),-(Analítico!C$3&lt;='Gastos Gerais'!$E$4:$E$615),-('Gastos Gerais'!$C$4:$C$615))</f>
        <v>1500</v>
      </c>
      <c r="D99" s="73">
        <f>SUMPRODUCT(-('Gastos Gerais'!$B$4:$B$615=Analítico!$B99),-(Analítico!D$3&gt;='Gastos Gerais'!$D$4:$D$615),-(Analítico!D$3&lt;='Gastos Gerais'!$E$4:$E$615),-('Gastos Gerais'!$C$4:$C$615))</f>
        <v>1500</v>
      </c>
      <c r="E99" s="73">
        <f>SUMPRODUCT(-('Gastos Gerais'!$B$4:$B$615=Analítico!$B99),-(Analítico!E$3&gt;='Gastos Gerais'!$D$4:$D$615),-(Analítico!E$3&lt;='Gastos Gerais'!$E$4:$E$615),-('Gastos Gerais'!$C$4:$C$615))</f>
        <v>1500</v>
      </c>
      <c r="F99" s="73">
        <f>SUMPRODUCT(-('Gastos Gerais'!$B$4:$B$615=Analítico!$B99),-(Analítico!F$3&gt;='Gastos Gerais'!$D$4:$D$615),-(Analítico!F$3&lt;='Gastos Gerais'!$E$4:$E$615),-('Gastos Gerais'!$C$4:$C$615))</f>
        <v>1500</v>
      </c>
      <c r="G99" s="73">
        <f>SUMPRODUCT(-('Gastos Gerais'!$B$4:$B$615=Analítico!$B99),-(Analítico!G$3&gt;='Gastos Gerais'!$D$4:$D$615),-(Analítico!G$3&lt;='Gastos Gerais'!$E$4:$E$615),-('Gastos Gerais'!$C$4:$C$615))</f>
        <v>1500</v>
      </c>
      <c r="H99" s="73">
        <f>SUMPRODUCT(-('Gastos Gerais'!$B$4:$B$615=Analítico!$B99),-(Analítico!H$3&gt;='Gastos Gerais'!$D$4:$D$615),-(Analítico!H$3&lt;='Gastos Gerais'!$E$4:$E$615),-('Gastos Gerais'!$C$4:$C$615))</f>
        <v>1500</v>
      </c>
      <c r="I99" s="73">
        <f>SUMPRODUCT(-('Gastos Gerais'!$B$4:$B$615=Analítico!$B99),-(Analítico!I$3&gt;='Gastos Gerais'!$D$4:$D$615),-(Analítico!I$3&lt;='Gastos Gerais'!$E$4:$E$615),-('Gastos Gerais'!$C$4:$C$615))</f>
        <v>1500</v>
      </c>
      <c r="J99" s="73">
        <f>SUMPRODUCT(-('Gastos Gerais'!$B$4:$B$615=Analítico!$B99),-(Analítico!J$3&gt;='Gastos Gerais'!$D$4:$D$615),-(Analítico!J$3&lt;='Gastos Gerais'!$E$4:$E$615),-('Gastos Gerais'!$C$4:$C$615))</f>
        <v>1500</v>
      </c>
      <c r="K99" s="73">
        <f>SUMPRODUCT(-('Gastos Gerais'!$B$4:$B$615=Analítico!$B99),-(Analítico!K$3&gt;='Gastos Gerais'!$D$4:$D$615),-(Analítico!K$3&lt;='Gastos Gerais'!$E$4:$E$615),-('Gastos Gerais'!$C$4:$C$615))</f>
        <v>1500</v>
      </c>
      <c r="L99" s="73">
        <f>SUMPRODUCT(-('Gastos Gerais'!$B$4:$B$615=Analítico!$B99),-(Analítico!L$3&gt;='Gastos Gerais'!$D$4:$D$615),-(Analítico!L$3&lt;='Gastos Gerais'!$E$4:$E$615),-('Gastos Gerais'!$C$4:$C$615))</f>
        <v>1500</v>
      </c>
      <c r="M99" s="73">
        <f>SUMPRODUCT(-('Gastos Gerais'!$B$4:$B$615=Analítico!$B99),-(Analítico!M$3&gt;='Gastos Gerais'!$D$4:$D$615),-(Analítico!M$3&lt;='Gastos Gerais'!$E$4:$E$615),-('Gastos Gerais'!$C$4:$C$615))</f>
        <v>1500</v>
      </c>
      <c r="N99" s="73">
        <f>SUMPRODUCT(-('Gastos Gerais'!$B$4:$B$615=Analítico!$B99),-(Analítico!N$3&gt;='Gastos Gerais'!$D$4:$D$615),-(Analítico!N$3&lt;='Gastos Gerais'!$E$4:$E$615),-('Gastos Gerais'!$C$4:$C$615))</f>
        <v>1500</v>
      </c>
      <c r="O99" s="73">
        <f>SUMPRODUCT(-('Gastos Gerais'!$B$4:$B$615=Analítico!$B99),-(Analítico!O$3&gt;='Gastos Gerais'!$D$4:$D$615),-(Analítico!O$3&lt;='Gastos Gerais'!$E$4:$E$615),-('Gastos Gerais'!$C$4:$C$615))</f>
        <v>1500</v>
      </c>
      <c r="P99" s="73">
        <f>SUMPRODUCT(-('Gastos Gerais'!$B$4:$B$615=Analítico!$B99),-(Analítico!P$3&gt;='Gastos Gerais'!$D$4:$D$615),-(Analítico!P$3&lt;='Gastos Gerais'!$E$4:$E$615),-('Gastos Gerais'!$C$4:$C$615))</f>
        <v>1500</v>
      </c>
      <c r="Q99" s="73">
        <f>SUMPRODUCT(-('Gastos Gerais'!$B$4:$B$615=Analítico!$B99),-(Analítico!Q$3&gt;='Gastos Gerais'!$D$4:$D$615),-(Analítico!Q$3&lt;='Gastos Gerais'!$E$4:$E$615),-('Gastos Gerais'!$C$4:$C$615))</f>
        <v>1500</v>
      </c>
      <c r="R99" s="73">
        <f>SUMPRODUCT(-('Gastos Gerais'!$B$4:$B$615=Analítico!$B99),-(Analítico!R$3&gt;='Gastos Gerais'!$D$4:$D$615),-(Analítico!R$3&lt;='Gastos Gerais'!$E$4:$E$615),-('Gastos Gerais'!$C$4:$C$615))</f>
        <v>1500</v>
      </c>
      <c r="S99" s="73">
        <f>SUMPRODUCT(-('Gastos Gerais'!$B$4:$B$615=Analítico!$B99),-(Analítico!S$3&gt;='Gastos Gerais'!$D$4:$D$615),-(Analítico!S$3&lt;='Gastos Gerais'!$E$4:$E$615),-('Gastos Gerais'!$C$4:$C$615))</f>
        <v>1500</v>
      </c>
      <c r="T99" s="73">
        <f>SUMPRODUCT(-('Gastos Gerais'!$B$4:$B$615=Analítico!$B99),-(Analítico!T$3&gt;='Gastos Gerais'!$D$4:$D$615),-(Analítico!T$3&lt;='Gastos Gerais'!$E$4:$E$615),-('Gastos Gerais'!$C$4:$C$615))</f>
        <v>1500</v>
      </c>
      <c r="U99" s="73">
        <f>SUMPRODUCT(-('Gastos Gerais'!$B$4:$B$615=Analítico!$B99),-(Analítico!U$3&gt;='Gastos Gerais'!$D$4:$D$615),-(Analítico!U$3&lt;='Gastos Gerais'!$E$4:$E$615),-('Gastos Gerais'!$C$4:$C$615))</f>
        <v>1500</v>
      </c>
      <c r="V99" s="73">
        <f>SUMPRODUCT(-('Gastos Gerais'!$B$4:$B$615=Analítico!$B99),-(Analítico!V$3&gt;='Gastos Gerais'!$D$4:$D$615),-(Analítico!V$3&lt;='Gastos Gerais'!$E$4:$E$615),-('Gastos Gerais'!$C$4:$C$615))</f>
        <v>1500</v>
      </c>
      <c r="W99" s="73">
        <f>SUMPRODUCT(-('Gastos Gerais'!$B$4:$B$615=Analítico!$B99),-(Analítico!W$3&gt;='Gastos Gerais'!$D$4:$D$615),-(Analítico!W$3&lt;='Gastos Gerais'!$E$4:$E$615),-('Gastos Gerais'!$C$4:$C$615))</f>
        <v>1500</v>
      </c>
      <c r="X99" s="73">
        <f>SUMPRODUCT(-('Gastos Gerais'!$B$4:$B$615=Analítico!$B99),-(Analítico!X$3&gt;='Gastos Gerais'!$D$4:$D$615),-(Analítico!X$3&lt;='Gastos Gerais'!$E$4:$E$615),-('Gastos Gerais'!$C$4:$C$615))</f>
        <v>1500</v>
      </c>
      <c r="Y99" s="73">
        <f>SUMPRODUCT(-('Gastos Gerais'!$B$4:$B$615=Analítico!$B99),-(Analítico!Y$3&gt;='Gastos Gerais'!$D$4:$D$615),-(Analítico!Y$3&lt;='Gastos Gerais'!$E$4:$E$615),-('Gastos Gerais'!$C$4:$C$615))</f>
        <v>1500</v>
      </c>
      <c r="Z99" s="73">
        <f>SUMPRODUCT(-('Gastos Gerais'!$B$4:$B$615=Analítico!$B99),-(Analítico!Z$3&gt;='Gastos Gerais'!$D$4:$D$615),-(Analítico!Z$3&lt;='Gastos Gerais'!$E$4:$E$615),-('Gastos Gerais'!$C$4:$C$615))</f>
        <v>1500</v>
      </c>
      <c r="AA99" s="73">
        <f>SUMPRODUCT(-('Gastos Gerais'!$B$4:$B$615=Analítico!$B99),-(Analítico!AA$3&gt;='Gastos Gerais'!$D$4:$D$615),-(Analítico!AA$3&lt;='Gastos Gerais'!$E$4:$E$615),-('Gastos Gerais'!$C$4:$C$615))</f>
        <v>1500</v>
      </c>
      <c r="AB99" s="73">
        <f>SUMPRODUCT(-('Gastos Gerais'!$B$4:$B$615=Analítico!$B99),-(Analítico!AB$3&gt;='Gastos Gerais'!$D$4:$D$615),-(Analítico!AB$3&lt;='Gastos Gerais'!$E$4:$E$615),-('Gastos Gerais'!$C$4:$C$615))</f>
        <v>1500</v>
      </c>
      <c r="AC99" s="73">
        <f>SUMPRODUCT(-('Gastos Gerais'!$B$4:$B$615=Analítico!$B99),-(Analítico!AC$3&gt;='Gastos Gerais'!$D$4:$D$615),-(Analítico!AC$3&lt;='Gastos Gerais'!$E$4:$E$615),-('Gastos Gerais'!$C$4:$C$615))</f>
        <v>1500</v>
      </c>
      <c r="AD99" s="73">
        <f>SUMPRODUCT(-('Gastos Gerais'!$B$4:$B$615=Analítico!$B99),-(Analítico!AD$3&gt;='Gastos Gerais'!$D$4:$D$615),-(Analítico!AD$3&lt;='Gastos Gerais'!$E$4:$E$615),-('Gastos Gerais'!$C$4:$C$615))</f>
        <v>1500</v>
      </c>
      <c r="AE99" s="73">
        <f>SUMPRODUCT(-('Gastos Gerais'!$B$4:$B$615=Analítico!$B99),-(Analítico!AE$3&gt;='Gastos Gerais'!$D$4:$D$615),-(Analítico!AE$3&lt;='Gastos Gerais'!$E$4:$E$615),-('Gastos Gerais'!$C$4:$C$615))</f>
        <v>1500</v>
      </c>
      <c r="AF99" s="73">
        <f>SUMPRODUCT(-('Gastos Gerais'!$B$4:$B$615=Analítico!$B99),-(Analítico!AF$3&gt;='Gastos Gerais'!$D$4:$D$615),-(Analítico!AF$3&lt;='Gastos Gerais'!$E$4:$E$615),-('Gastos Gerais'!$C$4:$C$615))</f>
        <v>1500</v>
      </c>
      <c r="AG99" s="73">
        <f>SUMPRODUCT(-('Gastos Gerais'!$B$4:$B$615=Analítico!$B99),-(Analítico!AG$3&gt;='Gastos Gerais'!$D$4:$D$615),-(Analítico!AG$3&lt;='Gastos Gerais'!$E$4:$E$615),-('Gastos Gerais'!$C$4:$C$615))</f>
        <v>1500</v>
      </c>
      <c r="AH99" s="73">
        <f>SUMPRODUCT(-('Gastos Gerais'!$B$4:$B$615=Analítico!$B99),-(Analítico!AH$3&gt;='Gastos Gerais'!$D$4:$D$615),-(Analítico!AH$3&lt;='Gastos Gerais'!$E$4:$E$615),-('Gastos Gerais'!$C$4:$C$615))</f>
        <v>1500</v>
      </c>
      <c r="AI99" s="73">
        <f>SUMPRODUCT(-('Gastos Gerais'!$B$4:$B$615=Analítico!$B99),-(Analítico!AI$3&gt;='Gastos Gerais'!$D$4:$D$615),-(Analítico!AI$3&lt;='Gastos Gerais'!$E$4:$E$615),-('Gastos Gerais'!$C$4:$C$615))</f>
        <v>1500</v>
      </c>
      <c r="AJ99" s="73">
        <f>SUMPRODUCT(-('Gastos Gerais'!$B$4:$B$615=Analítico!$B99),-(Analítico!AJ$3&gt;='Gastos Gerais'!$D$4:$D$615),-(Analítico!AJ$3&lt;='Gastos Gerais'!$E$4:$E$615),-('Gastos Gerais'!$C$4:$C$615))</f>
        <v>1500</v>
      </c>
      <c r="AK99" s="73">
        <f>SUMPRODUCT(-('Gastos Gerais'!$B$4:$B$615=Analítico!$B99),-(Analítico!AK$3&gt;='Gastos Gerais'!$D$4:$D$615),-(Analítico!AK$3&lt;='Gastos Gerais'!$E$4:$E$615),-('Gastos Gerais'!$C$4:$C$615))</f>
        <v>1500</v>
      </c>
      <c r="AL99" s="73">
        <f>SUMPRODUCT(-('Gastos Gerais'!$B$4:$B$615=Analítico!$B99),-(Analítico!AL$3&gt;='Gastos Gerais'!$D$4:$D$615),-(Analítico!AL$3&lt;='Gastos Gerais'!$E$4:$E$615),-('Gastos Gerais'!$C$4:$C$615))</f>
        <v>1500</v>
      </c>
      <c r="AM99" s="73">
        <f>SUMPRODUCT(-('Gastos Gerais'!$B$4:$B$615=Analítico!$B99),-(Analítico!AM$3&gt;='Gastos Gerais'!$D$4:$D$615),-(Analítico!AM$3&lt;='Gastos Gerais'!$E$4:$E$615),-('Gastos Gerais'!$C$4:$C$615))</f>
        <v>0</v>
      </c>
      <c r="AN99" s="73">
        <f>SUMPRODUCT(-('Gastos Gerais'!$B$4:$B$615=Analítico!$B99),-(Analítico!AN$3&gt;='Gastos Gerais'!$D$4:$D$615),-(Analítico!AN$3&lt;='Gastos Gerais'!$E$4:$E$615),-('Gastos Gerais'!$C$4:$C$615))</f>
        <v>0</v>
      </c>
      <c r="AO99" s="73">
        <f>SUMPRODUCT(-('Gastos Gerais'!$B$4:$B$615=Analítico!$B99),-(Analítico!AO$3&gt;='Gastos Gerais'!$D$4:$D$615),-(Analítico!AO$3&lt;='Gastos Gerais'!$E$4:$E$615),-('Gastos Gerais'!$C$4:$C$615))</f>
        <v>0</v>
      </c>
      <c r="AP99" s="73">
        <f>SUMPRODUCT(-('Gastos Gerais'!$B$4:$B$615=Analítico!$B99),-(Analítico!AP$3&gt;='Gastos Gerais'!$D$4:$D$615),-(Analítico!AP$3&lt;='Gastos Gerais'!$E$4:$E$615),-('Gastos Gerais'!$C$4:$C$615))</f>
        <v>0</v>
      </c>
      <c r="AQ99" s="73">
        <f>SUMPRODUCT(-('Gastos Gerais'!$B$4:$B$615=Analítico!$B99),-(Analítico!AQ$3&gt;='Gastos Gerais'!$D$4:$D$615),-(Analítico!AQ$3&lt;='Gastos Gerais'!$E$4:$E$615),-('Gastos Gerais'!$C$4:$C$615))</f>
        <v>0</v>
      </c>
      <c r="AR99" s="73">
        <f>SUMPRODUCT(-('Gastos Gerais'!$B$4:$B$615=Analítico!$B99),-(Analítico!AR$3&gt;='Gastos Gerais'!$D$4:$D$615),-(Analítico!AR$3&lt;='Gastos Gerais'!$E$4:$E$615),-('Gastos Gerais'!$C$4:$C$615))</f>
        <v>0</v>
      </c>
      <c r="AS99" s="73">
        <f>SUMPRODUCT(-('Gastos Gerais'!$B$4:$B$615=Analítico!$B99),-(Analítico!AS$3&gt;='Gastos Gerais'!$D$4:$D$615),-(Analítico!AS$3&lt;='Gastos Gerais'!$E$4:$E$615),-('Gastos Gerais'!$C$4:$C$615))</f>
        <v>0</v>
      </c>
      <c r="AT99" s="73">
        <f>SUMPRODUCT(-('Gastos Gerais'!$B$4:$B$615=Analítico!$B99),-(Analítico!AT$3&gt;='Gastos Gerais'!$D$4:$D$615),-(Analítico!AT$3&lt;='Gastos Gerais'!$E$4:$E$615),-('Gastos Gerais'!$C$4:$C$615))</f>
        <v>0</v>
      </c>
      <c r="AU99" s="73">
        <f>SUMPRODUCT(-('Gastos Gerais'!$B$4:$B$615=Analítico!$B99),-(Analítico!AU$3&gt;='Gastos Gerais'!$D$4:$D$615),-(Analítico!AU$3&lt;='Gastos Gerais'!$E$4:$E$615),-('Gastos Gerais'!$C$4:$C$615))</f>
        <v>0</v>
      </c>
      <c r="AV99" s="73">
        <f>SUMPRODUCT(-('Gastos Gerais'!$B$4:$B$615=Analítico!$B99),-(Analítico!AV$3&gt;='Gastos Gerais'!$D$4:$D$615),-(Analítico!AV$3&lt;='Gastos Gerais'!$E$4:$E$615),-('Gastos Gerais'!$C$4:$C$615))</f>
        <v>0</v>
      </c>
      <c r="AW99" s="73">
        <f>SUMPRODUCT(-('Gastos Gerais'!$B$4:$B$615=Analítico!$B99),-(Analítico!AW$3&gt;='Gastos Gerais'!$D$4:$D$615),-(Analítico!AW$3&lt;='Gastos Gerais'!$E$4:$E$615),-('Gastos Gerais'!$C$4:$C$615))</f>
        <v>0</v>
      </c>
      <c r="AX99" s="73">
        <f>SUMPRODUCT(-('Gastos Gerais'!$B$4:$B$615=Analítico!$B99),-(Analítico!AX$3&gt;='Gastos Gerais'!$D$4:$D$615),-(Analítico!AX$3&lt;='Gastos Gerais'!$E$4:$E$615),-('Gastos Gerais'!$C$4:$C$615))</f>
        <v>0</v>
      </c>
      <c r="AY99" s="73">
        <f>SUMPRODUCT(-('Gastos Gerais'!$B$4:$B$615=Analítico!$B99),-(Analítico!AY$3&gt;='Gastos Gerais'!$D$4:$D$615),-(Analítico!AY$3&lt;='Gastos Gerais'!$E$4:$E$615),-('Gastos Gerais'!$C$4:$C$615))</f>
        <v>0</v>
      </c>
      <c r="AZ99" s="73">
        <f>SUMPRODUCT(-('Gastos Gerais'!$B$4:$B$615=Analítico!$B99),-(Analítico!AZ$3&gt;='Gastos Gerais'!$D$4:$D$615),-(Analítico!AZ$3&lt;='Gastos Gerais'!$E$4:$E$615),-('Gastos Gerais'!$C$4:$C$615))</f>
        <v>0</v>
      </c>
      <c r="BA99" s="73">
        <f>SUMPRODUCT(-('Gastos Gerais'!$B$4:$B$615=Analítico!$B99),-(Analítico!BA$3&gt;='Gastos Gerais'!$D$4:$D$615),-(Analítico!BA$3&lt;='Gastos Gerais'!$E$4:$E$615),-('Gastos Gerais'!$C$4:$C$615))</f>
        <v>0</v>
      </c>
      <c r="BB99" s="73">
        <f>SUMPRODUCT(-('Gastos Gerais'!$B$4:$B$615=Analítico!$B99),-(Analítico!BB$3&gt;='Gastos Gerais'!$D$4:$D$615),-(Analítico!BB$3&lt;='Gastos Gerais'!$E$4:$E$615),-('Gastos Gerais'!$C$4:$C$615))</f>
        <v>0</v>
      </c>
      <c r="BC99" s="73">
        <f>SUMPRODUCT(-('Gastos Gerais'!$B$4:$B$615=Analítico!$B99),-(Analítico!BC$3&gt;='Gastos Gerais'!$D$4:$D$615),-(Analítico!BC$3&lt;='Gastos Gerais'!$E$4:$E$615),-('Gastos Gerais'!$C$4:$C$615))</f>
        <v>0</v>
      </c>
      <c r="BD99" s="73">
        <f>SUMPRODUCT(-('Gastos Gerais'!$B$4:$B$615=Analítico!$B99),-(Analítico!BD$3&gt;='Gastos Gerais'!$D$4:$D$615),-(Analítico!BD$3&lt;='Gastos Gerais'!$E$4:$E$615),-('Gastos Gerais'!$C$4:$C$615))</f>
        <v>0</v>
      </c>
      <c r="BE99" s="73">
        <f>SUMPRODUCT(-('Gastos Gerais'!$B$4:$B$615=Analítico!$B99),-(Analítico!BE$3&gt;='Gastos Gerais'!$D$4:$D$615),-(Analítico!BE$3&lt;='Gastos Gerais'!$E$4:$E$615),-('Gastos Gerais'!$C$4:$C$615))</f>
        <v>0</v>
      </c>
      <c r="BF99" s="73">
        <f>SUMPRODUCT(-('Gastos Gerais'!$B$4:$B$615=Analítico!$B99),-(Analítico!BF$3&gt;='Gastos Gerais'!$D$4:$D$615),-(Analítico!BF$3&lt;='Gastos Gerais'!$E$4:$E$615),-('Gastos Gerais'!$C$4:$C$615))</f>
        <v>0</v>
      </c>
      <c r="BG99" s="73">
        <f>SUMPRODUCT(-('Gastos Gerais'!$B$4:$B$615=Analítico!$B99),-(Analítico!BG$3&gt;='Gastos Gerais'!$D$4:$D$615),-(Analítico!BG$3&lt;='Gastos Gerais'!$E$4:$E$615),-('Gastos Gerais'!$C$4:$C$615))</f>
        <v>0</v>
      </c>
      <c r="BH99" s="73">
        <f>SUMPRODUCT(-('Gastos Gerais'!$B$4:$B$615=Analítico!$B99),-(Analítico!BH$3&gt;='Gastos Gerais'!$D$4:$D$615),-(Analítico!BH$3&lt;='Gastos Gerais'!$E$4:$E$615),-('Gastos Gerais'!$C$4:$C$615))</f>
        <v>0</v>
      </c>
      <c r="BI99" s="73">
        <f>SUMPRODUCT(-('Gastos Gerais'!$B$4:$B$615=Analítico!$B99),-(Analítico!BI$3&gt;='Gastos Gerais'!$D$4:$D$615),-(Analítico!BI$3&lt;='Gastos Gerais'!$E$4:$E$615),-('Gastos Gerais'!$C$4:$C$615))</f>
        <v>0</v>
      </c>
      <c r="BJ99" s="73">
        <f>SUMPRODUCT(-('Gastos Gerais'!$B$4:$B$615=Analítico!$B99),-(Analítico!BJ$3&gt;='Gastos Gerais'!$D$4:$D$615),-(Analítico!BJ$3&lt;='Gastos Gerais'!$E$4:$E$615),-('Gastos Gerais'!$C$4:$C$615))</f>
        <v>0</v>
      </c>
      <c r="BK99" s="71">
        <f t="shared" si="33"/>
        <v>54000</v>
      </c>
      <c r="BL99" s="76">
        <f t="shared" ca="1" si="34"/>
        <v>1.4729031497296617E-4</v>
      </c>
    </row>
    <row r="100" spans="1:64" s="49" customFormat="1" ht="23.25" customHeight="1" x14ac:dyDescent="0.2">
      <c r="A100" s="109" t="s">
        <v>268</v>
      </c>
      <c r="B100" s="112" t="s">
        <v>269</v>
      </c>
      <c r="C100" s="73">
        <f>SUMPRODUCT(-('Gastos Gerais'!$B$4:$B$615=Analítico!$B100),-(Analítico!C$3&gt;='Gastos Gerais'!$D$4:$D$615),-(Analítico!C$3&lt;='Gastos Gerais'!$E$4:$E$615),-('Gastos Gerais'!$C$4:$C$615))</f>
        <v>910000</v>
      </c>
      <c r="D100" s="73">
        <f>SUMPRODUCT(-('Gastos Gerais'!$B$4:$B$615=Analítico!$B100),-(Analítico!D$3&gt;='Gastos Gerais'!$D$4:$D$615),-(Analítico!D$3&lt;='Gastos Gerais'!$E$4:$E$615),-('Gastos Gerais'!$C$4:$C$615))</f>
        <v>910000</v>
      </c>
      <c r="E100" s="73">
        <f>SUMPRODUCT(-('Gastos Gerais'!$B$4:$B$615=Analítico!$B100),-(Analítico!E$3&gt;='Gastos Gerais'!$D$4:$D$615),-(Analítico!E$3&lt;='Gastos Gerais'!$E$4:$E$615),-('Gastos Gerais'!$C$4:$C$615))</f>
        <v>910000</v>
      </c>
      <c r="F100" s="73">
        <f>SUMPRODUCT(-('Gastos Gerais'!$B$4:$B$615=Analítico!$B100),-(Analítico!F$3&gt;='Gastos Gerais'!$D$4:$D$615),-(Analítico!F$3&lt;='Gastos Gerais'!$E$4:$E$615),-('Gastos Gerais'!$C$4:$C$615))</f>
        <v>910000</v>
      </c>
      <c r="G100" s="73">
        <f>SUMPRODUCT(-('Gastos Gerais'!$B$4:$B$615=Analítico!$B100),-(Analítico!G$3&gt;='Gastos Gerais'!$D$4:$D$615),-(Analítico!G$3&lt;='Gastos Gerais'!$E$4:$E$615),-('Gastos Gerais'!$C$4:$C$615))</f>
        <v>910000</v>
      </c>
      <c r="H100" s="73">
        <f>SUMPRODUCT(-('Gastos Gerais'!$B$4:$B$615=Analítico!$B100),-(Analítico!H$3&gt;='Gastos Gerais'!$D$4:$D$615),-(Analítico!H$3&lt;='Gastos Gerais'!$E$4:$E$615),-('Gastos Gerais'!$C$4:$C$615))</f>
        <v>910000</v>
      </c>
      <c r="I100" s="73">
        <f>SUMPRODUCT(-('Gastos Gerais'!$B$4:$B$615=Analítico!$B100),-(Analítico!I$3&gt;='Gastos Gerais'!$D$4:$D$615),-(Analítico!I$3&lt;='Gastos Gerais'!$E$4:$E$615),-('Gastos Gerais'!$C$4:$C$615))</f>
        <v>910000</v>
      </c>
      <c r="J100" s="73">
        <f>SUMPRODUCT(-('Gastos Gerais'!$B$4:$B$615=Analítico!$B100),-(Analítico!J$3&gt;='Gastos Gerais'!$D$4:$D$615),-(Analítico!J$3&lt;='Gastos Gerais'!$E$4:$E$615),-('Gastos Gerais'!$C$4:$C$615))</f>
        <v>910000</v>
      </c>
      <c r="K100" s="73">
        <f>SUMPRODUCT(-('Gastos Gerais'!$B$4:$B$615=Analítico!$B100),-(Analítico!K$3&gt;='Gastos Gerais'!$D$4:$D$615),-(Analítico!K$3&lt;='Gastos Gerais'!$E$4:$E$615),-('Gastos Gerais'!$C$4:$C$615))</f>
        <v>910000</v>
      </c>
      <c r="L100" s="73">
        <f>SUMPRODUCT(-('Gastos Gerais'!$B$4:$B$615=Analítico!$B100),-(Analítico!L$3&gt;='Gastos Gerais'!$D$4:$D$615),-(Analítico!L$3&lt;='Gastos Gerais'!$E$4:$E$615),-('Gastos Gerais'!$C$4:$C$615))</f>
        <v>910000</v>
      </c>
      <c r="M100" s="73">
        <f>SUMPRODUCT(-('Gastos Gerais'!$B$4:$B$615=Analítico!$B100),-(Analítico!M$3&gt;='Gastos Gerais'!$D$4:$D$615),-(Analítico!M$3&lt;='Gastos Gerais'!$E$4:$E$615),-('Gastos Gerais'!$C$4:$C$615))</f>
        <v>910000</v>
      </c>
      <c r="N100" s="73">
        <f>SUMPRODUCT(-('Gastos Gerais'!$B$4:$B$615=Analítico!$B100),-(Analítico!N$3&gt;='Gastos Gerais'!$D$4:$D$615),-(Analítico!N$3&lt;='Gastos Gerais'!$E$4:$E$615),-('Gastos Gerais'!$C$4:$C$615))</f>
        <v>910000</v>
      </c>
      <c r="O100" s="73">
        <f>SUMPRODUCT(-('Gastos Gerais'!$B$4:$B$615=Analítico!$B100),-(Analítico!O$3&gt;='Gastos Gerais'!$D$4:$D$615),-(Analítico!O$3&lt;='Gastos Gerais'!$E$4:$E$615),-('Gastos Gerais'!$C$4:$C$615))</f>
        <v>1023500</v>
      </c>
      <c r="P100" s="73">
        <f>SUMPRODUCT(-('Gastos Gerais'!$B$4:$B$615=Analítico!$B100),-(Analítico!P$3&gt;='Gastos Gerais'!$D$4:$D$615),-(Analítico!P$3&lt;='Gastos Gerais'!$E$4:$E$615),-('Gastos Gerais'!$C$4:$C$615))</f>
        <v>1023500</v>
      </c>
      <c r="Q100" s="73">
        <f>SUMPRODUCT(-('Gastos Gerais'!$B$4:$B$615=Analítico!$B100),-(Analítico!Q$3&gt;='Gastos Gerais'!$D$4:$D$615),-(Analítico!Q$3&lt;='Gastos Gerais'!$E$4:$E$615),-('Gastos Gerais'!$C$4:$C$615))</f>
        <v>1023500</v>
      </c>
      <c r="R100" s="73">
        <f>SUMPRODUCT(-('Gastos Gerais'!$B$4:$B$615=Analítico!$B100),-(Analítico!R$3&gt;='Gastos Gerais'!$D$4:$D$615),-(Analítico!R$3&lt;='Gastos Gerais'!$E$4:$E$615),-('Gastos Gerais'!$C$4:$C$615))</f>
        <v>1023500</v>
      </c>
      <c r="S100" s="73">
        <f>SUMPRODUCT(-('Gastos Gerais'!$B$4:$B$615=Analítico!$B100),-(Analítico!S$3&gt;='Gastos Gerais'!$D$4:$D$615),-(Analítico!S$3&lt;='Gastos Gerais'!$E$4:$E$615),-('Gastos Gerais'!$C$4:$C$615))</f>
        <v>1023500</v>
      </c>
      <c r="T100" s="73">
        <f>SUMPRODUCT(-('Gastos Gerais'!$B$4:$B$615=Analítico!$B100),-(Analítico!T$3&gt;='Gastos Gerais'!$D$4:$D$615),-(Analítico!T$3&lt;='Gastos Gerais'!$E$4:$E$615),-('Gastos Gerais'!$C$4:$C$615))</f>
        <v>1023500</v>
      </c>
      <c r="U100" s="73">
        <f>SUMPRODUCT(-('Gastos Gerais'!$B$4:$B$615=Analítico!$B100),-(Analítico!U$3&gt;='Gastos Gerais'!$D$4:$D$615),-(Analítico!U$3&lt;='Gastos Gerais'!$E$4:$E$615),-('Gastos Gerais'!$C$4:$C$615))</f>
        <v>1023500</v>
      </c>
      <c r="V100" s="73">
        <f>SUMPRODUCT(-('Gastos Gerais'!$B$4:$B$615=Analítico!$B100),-(Analítico!V$3&gt;='Gastos Gerais'!$D$4:$D$615),-(Analítico!V$3&lt;='Gastos Gerais'!$E$4:$E$615),-('Gastos Gerais'!$C$4:$C$615))</f>
        <v>1023500</v>
      </c>
      <c r="W100" s="73">
        <f>SUMPRODUCT(-('Gastos Gerais'!$B$4:$B$615=Analítico!$B100),-(Analítico!W$3&gt;='Gastos Gerais'!$D$4:$D$615),-(Analítico!W$3&lt;='Gastos Gerais'!$E$4:$E$615),-('Gastos Gerais'!$C$4:$C$615))</f>
        <v>1023500</v>
      </c>
      <c r="X100" s="73">
        <f>SUMPRODUCT(-('Gastos Gerais'!$B$4:$B$615=Analítico!$B100),-(Analítico!X$3&gt;='Gastos Gerais'!$D$4:$D$615),-(Analítico!X$3&lt;='Gastos Gerais'!$E$4:$E$615),-('Gastos Gerais'!$C$4:$C$615))</f>
        <v>1023500</v>
      </c>
      <c r="Y100" s="73">
        <f>SUMPRODUCT(-('Gastos Gerais'!$B$4:$B$615=Analítico!$B100),-(Analítico!Y$3&gt;='Gastos Gerais'!$D$4:$D$615),-(Analítico!Y$3&lt;='Gastos Gerais'!$E$4:$E$615),-('Gastos Gerais'!$C$4:$C$615))</f>
        <v>1023500</v>
      </c>
      <c r="Z100" s="73">
        <f>SUMPRODUCT(-('Gastos Gerais'!$B$4:$B$615=Analítico!$B100),-(Analítico!Z$3&gt;='Gastos Gerais'!$D$4:$D$615),-(Analítico!Z$3&lt;='Gastos Gerais'!$E$4:$E$615),-('Gastos Gerais'!$C$4:$C$615))</f>
        <v>1023500</v>
      </c>
      <c r="AA100" s="73">
        <f>SUMPRODUCT(-('Gastos Gerais'!$B$4:$B$615=Analítico!$B100),-(Analítico!AA$3&gt;='Gastos Gerais'!$D$4:$D$615),-(Analítico!AA$3&lt;='Gastos Gerais'!$E$4:$E$615),-('Gastos Gerais'!$C$4:$C$615))</f>
        <v>1103000</v>
      </c>
      <c r="AB100" s="73">
        <f>SUMPRODUCT(-('Gastos Gerais'!$B$4:$B$615=Analítico!$B100),-(Analítico!AB$3&gt;='Gastos Gerais'!$D$4:$D$615),-(Analítico!AB$3&lt;='Gastos Gerais'!$E$4:$E$615),-('Gastos Gerais'!$C$4:$C$615))</f>
        <v>1103000</v>
      </c>
      <c r="AC100" s="73">
        <f>SUMPRODUCT(-('Gastos Gerais'!$B$4:$B$615=Analítico!$B100),-(Analítico!AC$3&gt;='Gastos Gerais'!$D$4:$D$615),-(Analítico!AC$3&lt;='Gastos Gerais'!$E$4:$E$615),-('Gastos Gerais'!$C$4:$C$615))</f>
        <v>1103000</v>
      </c>
      <c r="AD100" s="73">
        <f>SUMPRODUCT(-('Gastos Gerais'!$B$4:$B$615=Analítico!$B100),-(Analítico!AD$3&gt;='Gastos Gerais'!$D$4:$D$615),-(Analítico!AD$3&lt;='Gastos Gerais'!$E$4:$E$615),-('Gastos Gerais'!$C$4:$C$615))</f>
        <v>1103000</v>
      </c>
      <c r="AE100" s="73">
        <f>SUMPRODUCT(-('Gastos Gerais'!$B$4:$B$615=Analítico!$B100),-(Analítico!AE$3&gt;='Gastos Gerais'!$D$4:$D$615),-(Analítico!AE$3&lt;='Gastos Gerais'!$E$4:$E$615),-('Gastos Gerais'!$C$4:$C$615))</f>
        <v>1103000</v>
      </c>
      <c r="AF100" s="73">
        <f>SUMPRODUCT(-('Gastos Gerais'!$B$4:$B$615=Analítico!$B100),-(Analítico!AF$3&gt;='Gastos Gerais'!$D$4:$D$615),-(Analítico!AF$3&lt;='Gastos Gerais'!$E$4:$E$615),-('Gastos Gerais'!$C$4:$C$615))</f>
        <v>1103000</v>
      </c>
      <c r="AG100" s="73">
        <f>SUMPRODUCT(-('Gastos Gerais'!$B$4:$B$615=Analítico!$B100),-(Analítico!AG$3&gt;='Gastos Gerais'!$D$4:$D$615),-(Analítico!AG$3&lt;='Gastos Gerais'!$E$4:$E$615),-('Gastos Gerais'!$C$4:$C$615))</f>
        <v>1103000</v>
      </c>
      <c r="AH100" s="73">
        <f>SUMPRODUCT(-('Gastos Gerais'!$B$4:$B$615=Analítico!$B100),-(Analítico!AH$3&gt;='Gastos Gerais'!$D$4:$D$615),-(Analítico!AH$3&lt;='Gastos Gerais'!$E$4:$E$615),-('Gastos Gerais'!$C$4:$C$615))</f>
        <v>1103000</v>
      </c>
      <c r="AI100" s="73">
        <f>SUMPRODUCT(-('Gastos Gerais'!$B$4:$B$615=Analítico!$B100),-(Analítico!AI$3&gt;='Gastos Gerais'!$D$4:$D$615),-(Analítico!AI$3&lt;='Gastos Gerais'!$E$4:$E$615),-('Gastos Gerais'!$C$4:$C$615))</f>
        <v>1103000</v>
      </c>
      <c r="AJ100" s="73">
        <f>SUMPRODUCT(-('Gastos Gerais'!$B$4:$B$615=Analítico!$B100),-(Analítico!AJ$3&gt;='Gastos Gerais'!$D$4:$D$615),-(Analítico!AJ$3&lt;='Gastos Gerais'!$E$4:$E$615),-('Gastos Gerais'!$C$4:$C$615))</f>
        <v>1103000</v>
      </c>
      <c r="AK100" s="73">
        <f>SUMPRODUCT(-('Gastos Gerais'!$B$4:$B$615=Analítico!$B100),-(Analítico!AK$3&gt;='Gastos Gerais'!$D$4:$D$615),-(Analítico!AK$3&lt;='Gastos Gerais'!$E$4:$E$615),-('Gastos Gerais'!$C$4:$C$615))</f>
        <v>1103000</v>
      </c>
      <c r="AL100" s="73">
        <f>SUMPRODUCT(-('Gastos Gerais'!$B$4:$B$615=Analítico!$B100),-(Analítico!AL$3&gt;='Gastos Gerais'!$D$4:$D$615),-(Analítico!AL$3&lt;='Gastos Gerais'!$E$4:$E$615),-('Gastos Gerais'!$C$4:$C$615))</f>
        <v>1103000</v>
      </c>
      <c r="AM100" s="73">
        <f>SUMPRODUCT(-('Gastos Gerais'!$B$4:$B$615=Analítico!$B100),-(Analítico!AM$3&gt;='Gastos Gerais'!$D$4:$D$615),-(Analítico!AM$3&lt;='Gastos Gerais'!$E$4:$E$615),-('Gastos Gerais'!$C$4:$C$615))</f>
        <v>0</v>
      </c>
      <c r="AN100" s="73">
        <f>SUMPRODUCT(-('Gastos Gerais'!$B$4:$B$615=Analítico!$B100),-(Analítico!AN$3&gt;='Gastos Gerais'!$D$4:$D$615),-(Analítico!AN$3&lt;='Gastos Gerais'!$E$4:$E$615),-('Gastos Gerais'!$C$4:$C$615))</f>
        <v>0</v>
      </c>
      <c r="AO100" s="73">
        <f>SUMPRODUCT(-('Gastos Gerais'!$B$4:$B$615=Analítico!$B100),-(Analítico!AO$3&gt;='Gastos Gerais'!$D$4:$D$615),-(Analítico!AO$3&lt;='Gastos Gerais'!$E$4:$E$615),-('Gastos Gerais'!$C$4:$C$615))</f>
        <v>0</v>
      </c>
      <c r="AP100" s="73">
        <f>SUMPRODUCT(-('Gastos Gerais'!$B$4:$B$615=Analítico!$B100),-(Analítico!AP$3&gt;='Gastos Gerais'!$D$4:$D$615),-(Analítico!AP$3&lt;='Gastos Gerais'!$E$4:$E$615),-('Gastos Gerais'!$C$4:$C$615))</f>
        <v>0</v>
      </c>
      <c r="AQ100" s="73">
        <f>SUMPRODUCT(-('Gastos Gerais'!$B$4:$B$615=Analítico!$B100),-(Analítico!AQ$3&gt;='Gastos Gerais'!$D$4:$D$615),-(Analítico!AQ$3&lt;='Gastos Gerais'!$E$4:$E$615),-('Gastos Gerais'!$C$4:$C$615))</f>
        <v>0</v>
      </c>
      <c r="AR100" s="73">
        <f>SUMPRODUCT(-('Gastos Gerais'!$B$4:$B$615=Analítico!$B100),-(Analítico!AR$3&gt;='Gastos Gerais'!$D$4:$D$615),-(Analítico!AR$3&lt;='Gastos Gerais'!$E$4:$E$615),-('Gastos Gerais'!$C$4:$C$615))</f>
        <v>0</v>
      </c>
      <c r="AS100" s="73">
        <f>SUMPRODUCT(-('Gastos Gerais'!$B$4:$B$615=Analítico!$B100),-(Analítico!AS$3&gt;='Gastos Gerais'!$D$4:$D$615),-(Analítico!AS$3&lt;='Gastos Gerais'!$E$4:$E$615),-('Gastos Gerais'!$C$4:$C$615))</f>
        <v>0</v>
      </c>
      <c r="AT100" s="73">
        <f>SUMPRODUCT(-('Gastos Gerais'!$B$4:$B$615=Analítico!$B100),-(Analítico!AT$3&gt;='Gastos Gerais'!$D$4:$D$615),-(Analítico!AT$3&lt;='Gastos Gerais'!$E$4:$E$615),-('Gastos Gerais'!$C$4:$C$615))</f>
        <v>0</v>
      </c>
      <c r="AU100" s="73">
        <f>SUMPRODUCT(-('Gastos Gerais'!$B$4:$B$615=Analítico!$B100),-(Analítico!AU$3&gt;='Gastos Gerais'!$D$4:$D$615),-(Analítico!AU$3&lt;='Gastos Gerais'!$E$4:$E$615),-('Gastos Gerais'!$C$4:$C$615))</f>
        <v>0</v>
      </c>
      <c r="AV100" s="73">
        <f>SUMPRODUCT(-('Gastos Gerais'!$B$4:$B$615=Analítico!$B100),-(Analítico!AV$3&gt;='Gastos Gerais'!$D$4:$D$615),-(Analítico!AV$3&lt;='Gastos Gerais'!$E$4:$E$615),-('Gastos Gerais'!$C$4:$C$615))</f>
        <v>0</v>
      </c>
      <c r="AW100" s="73">
        <f>SUMPRODUCT(-('Gastos Gerais'!$B$4:$B$615=Analítico!$B100),-(Analítico!AW$3&gt;='Gastos Gerais'!$D$4:$D$615),-(Analítico!AW$3&lt;='Gastos Gerais'!$E$4:$E$615),-('Gastos Gerais'!$C$4:$C$615))</f>
        <v>0</v>
      </c>
      <c r="AX100" s="73">
        <f>SUMPRODUCT(-('Gastos Gerais'!$B$4:$B$615=Analítico!$B100),-(Analítico!AX$3&gt;='Gastos Gerais'!$D$4:$D$615),-(Analítico!AX$3&lt;='Gastos Gerais'!$E$4:$E$615),-('Gastos Gerais'!$C$4:$C$615))</f>
        <v>0</v>
      </c>
      <c r="AY100" s="73">
        <f>SUMPRODUCT(-('Gastos Gerais'!$B$4:$B$615=Analítico!$B100),-(Analítico!AY$3&gt;='Gastos Gerais'!$D$4:$D$615),-(Analítico!AY$3&lt;='Gastos Gerais'!$E$4:$E$615),-('Gastos Gerais'!$C$4:$C$615))</f>
        <v>0</v>
      </c>
      <c r="AZ100" s="73">
        <f>SUMPRODUCT(-('Gastos Gerais'!$B$4:$B$615=Analítico!$B100),-(Analítico!AZ$3&gt;='Gastos Gerais'!$D$4:$D$615),-(Analítico!AZ$3&lt;='Gastos Gerais'!$E$4:$E$615),-('Gastos Gerais'!$C$4:$C$615))</f>
        <v>0</v>
      </c>
      <c r="BA100" s="73">
        <f>SUMPRODUCT(-('Gastos Gerais'!$B$4:$B$615=Analítico!$B100),-(Analítico!BA$3&gt;='Gastos Gerais'!$D$4:$D$615),-(Analítico!BA$3&lt;='Gastos Gerais'!$E$4:$E$615),-('Gastos Gerais'!$C$4:$C$615))</f>
        <v>0</v>
      </c>
      <c r="BB100" s="73">
        <f>SUMPRODUCT(-('Gastos Gerais'!$B$4:$B$615=Analítico!$B100),-(Analítico!BB$3&gt;='Gastos Gerais'!$D$4:$D$615),-(Analítico!BB$3&lt;='Gastos Gerais'!$E$4:$E$615),-('Gastos Gerais'!$C$4:$C$615))</f>
        <v>0</v>
      </c>
      <c r="BC100" s="73">
        <f>SUMPRODUCT(-('Gastos Gerais'!$B$4:$B$615=Analítico!$B100),-(Analítico!BC$3&gt;='Gastos Gerais'!$D$4:$D$615),-(Analítico!BC$3&lt;='Gastos Gerais'!$E$4:$E$615),-('Gastos Gerais'!$C$4:$C$615))</f>
        <v>0</v>
      </c>
      <c r="BD100" s="73">
        <f>SUMPRODUCT(-('Gastos Gerais'!$B$4:$B$615=Analítico!$B100),-(Analítico!BD$3&gt;='Gastos Gerais'!$D$4:$D$615),-(Analítico!BD$3&lt;='Gastos Gerais'!$E$4:$E$615),-('Gastos Gerais'!$C$4:$C$615))</f>
        <v>0</v>
      </c>
      <c r="BE100" s="73">
        <f>SUMPRODUCT(-('Gastos Gerais'!$B$4:$B$615=Analítico!$B100),-(Analítico!BE$3&gt;='Gastos Gerais'!$D$4:$D$615),-(Analítico!BE$3&lt;='Gastos Gerais'!$E$4:$E$615),-('Gastos Gerais'!$C$4:$C$615))</f>
        <v>0</v>
      </c>
      <c r="BF100" s="73">
        <f>SUMPRODUCT(-('Gastos Gerais'!$B$4:$B$615=Analítico!$B100),-(Analítico!BF$3&gt;='Gastos Gerais'!$D$4:$D$615),-(Analítico!BF$3&lt;='Gastos Gerais'!$E$4:$E$615),-('Gastos Gerais'!$C$4:$C$615))</f>
        <v>0</v>
      </c>
      <c r="BG100" s="73">
        <f>SUMPRODUCT(-('Gastos Gerais'!$B$4:$B$615=Analítico!$B100),-(Analítico!BG$3&gt;='Gastos Gerais'!$D$4:$D$615),-(Analítico!BG$3&lt;='Gastos Gerais'!$E$4:$E$615),-('Gastos Gerais'!$C$4:$C$615))</f>
        <v>0</v>
      </c>
      <c r="BH100" s="73">
        <f>SUMPRODUCT(-('Gastos Gerais'!$B$4:$B$615=Analítico!$B100),-(Analítico!BH$3&gt;='Gastos Gerais'!$D$4:$D$615),-(Analítico!BH$3&lt;='Gastos Gerais'!$E$4:$E$615),-('Gastos Gerais'!$C$4:$C$615))</f>
        <v>0</v>
      </c>
      <c r="BI100" s="73">
        <f>SUMPRODUCT(-('Gastos Gerais'!$B$4:$B$615=Analítico!$B100),-(Analítico!BI$3&gt;='Gastos Gerais'!$D$4:$D$615),-(Analítico!BI$3&lt;='Gastos Gerais'!$E$4:$E$615),-('Gastos Gerais'!$C$4:$C$615))</f>
        <v>0</v>
      </c>
      <c r="BJ100" s="73">
        <f>SUMPRODUCT(-('Gastos Gerais'!$B$4:$B$615=Analítico!$B100),-(Analítico!BJ$3&gt;='Gastos Gerais'!$D$4:$D$615),-(Analítico!BJ$3&lt;='Gastos Gerais'!$E$4:$E$615),-('Gastos Gerais'!$C$4:$C$615))</f>
        <v>0</v>
      </c>
      <c r="BK100" s="71">
        <f t="shared" si="33"/>
        <v>36438000</v>
      </c>
      <c r="BL100" s="76">
        <f t="shared" ca="1" si="34"/>
        <v>9.9388231425647053E-2</v>
      </c>
    </row>
    <row r="101" spans="1:64" s="49" customFormat="1" ht="23.25" customHeight="1" x14ac:dyDescent="0.2">
      <c r="A101" s="109" t="s">
        <v>270</v>
      </c>
      <c r="B101" s="112" t="s">
        <v>271</v>
      </c>
      <c r="C101" s="73">
        <f>SUMPRODUCT(-('Gastos Gerais'!$B$4:$B$615=Analítico!$B101),-(Analítico!C$3&gt;='Gastos Gerais'!$D$4:$D$615),-(Analítico!C$3&lt;='Gastos Gerais'!$E$4:$E$615),-('Gastos Gerais'!$C$4:$C$615))</f>
        <v>0</v>
      </c>
      <c r="D101" s="73">
        <f>SUMPRODUCT(-('Gastos Gerais'!$B$4:$B$615=Analítico!$B101),-(Analítico!D$3&gt;='Gastos Gerais'!$D$4:$D$615),-(Analítico!D$3&lt;='Gastos Gerais'!$E$4:$E$615),-('Gastos Gerais'!$C$4:$C$615))</f>
        <v>0</v>
      </c>
      <c r="E101" s="73">
        <f>SUMPRODUCT(-('Gastos Gerais'!$B$4:$B$615=Analítico!$B101),-(Analítico!E$3&gt;='Gastos Gerais'!$D$4:$D$615),-(Analítico!E$3&lt;='Gastos Gerais'!$E$4:$E$615),-('Gastos Gerais'!$C$4:$C$615))</f>
        <v>0</v>
      </c>
      <c r="F101" s="73">
        <f>SUMPRODUCT(-('Gastos Gerais'!$B$4:$B$615=Analítico!$B101),-(Analítico!F$3&gt;='Gastos Gerais'!$D$4:$D$615),-(Analítico!F$3&lt;='Gastos Gerais'!$E$4:$E$615),-('Gastos Gerais'!$C$4:$C$615))</f>
        <v>0</v>
      </c>
      <c r="G101" s="73">
        <f>SUMPRODUCT(-('Gastos Gerais'!$B$4:$B$615=Analítico!$B101),-(Analítico!G$3&gt;='Gastos Gerais'!$D$4:$D$615),-(Analítico!G$3&lt;='Gastos Gerais'!$E$4:$E$615),-('Gastos Gerais'!$C$4:$C$615))</f>
        <v>0</v>
      </c>
      <c r="H101" s="73">
        <f>SUMPRODUCT(-('Gastos Gerais'!$B$4:$B$615=Analítico!$B101),-(Analítico!H$3&gt;='Gastos Gerais'!$D$4:$D$615),-(Analítico!H$3&lt;='Gastos Gerais'!$E$4:$E$615),-('Gastos Gerais'!$C$4:$C$615))</f>
        <v>0</v>
      </c>
      <c r="I101" s="73">
        <f>SUMPRODUCT(-('Gastos Gerais'!$B$4:$B$615=Analítico!$B101),-(Analítico!I$3&gt;='Gastos Gerais'!$D$4:$D$615),-(Analítico!I$3&lt;='Gastos Gerais'!$E$4:$E$615),-('Gastos Gerais'!$C$4:$C$615))</f>
        <v>0</v>
      </c>
      <c r="J101" s="73">
        <f>SUMPRODUCT(-('Gastos Gerais'!$B$4:$B$615=Analítico!$B101),-(Analítico!J$3&gt;='Gastos Gerais'!$D$4:$D$615),-(Analítico!J$3&lt;='Gastos Gerais'!$E$4:$E$615),-('Gastos Gerais'!$C$4:$C$615))</f>
        <v>0</v>
      </c>
      <c r="K101" s="73">
        <f>SUMPRODUCT(-('Gastos Gerais'!$B$4:$B$615=Analítico!$B101),-(Analítico!K$3&gt;='Gastos Gerais'!$D$4:$D$615),-(Analítico!K$3&lt;='Gastos Gerais'!$E$4:$E$615),-('Gastos Gerais'!$C$4:$C$615))</f>
        <v>0</v>
      </c>
      <c r="L101" s="73">
        <f>SUMPRODUCT(-('Gastos Gerais'!$B$4:$B$615=Analítico!$B101),-(Analítico!L$3&gt;='Gastos Gerais'!$D$4:$D$615),-(Analítico!L$3&lt;='Gastos Gerais'!$E$4:$E$615),-('Gastos Gerais'!$C$4:$C$615))</f>
        <v>0</v>
      </c>
      <c r="M101" s="73">
        <f>SUMPRODUCT(-('Gastos Gerais'!$B$4:$B$615=Analítico!$B101),-(Analítico!M$3&gt;='Gastos Gerais'!$D$4:$D$615),-(Analítico!M$3&lt;='Gastos Gerais'!$E$4:$E$615),-('Gastos Gerais'!$C$4:$C$615))</f>
        <v>0</v>
      </c>
      <c r="N101" s="73">
        <f>SUMPRODUCT(-('Gastos Gerais'!$B$4:$B$615=Analítico!$B101),-(Analítico!N$3&gt;='Gastos Gerais'!$D$4:$D$615),-(Analítico!N$3&lt;='Gastos Gerais'!$E$4:$E$615),-('Gastos Gerais'!$C$4:$C$615))</f>
        <v>0</v>
      </c>
      <c r="O101" s="73">
        <f>SUMPRODUCT(-('Gastos Gerais'!$B$4:$B$615=Analítico!$B101),-(Analítico!O$3&gt;='Gastos Gerais'!$D$4:$D$615),-(Analítico!O$3&lt;='Gastos Gerais'!$E$4:$E$615),-('Gastos Gerais'!$C$4:$C$615))</f>
        <v>0</v>
      </c>
      <c r="P101" s="73">
        <f>SUMPRODUCT(-('Gastos Gerais'!$B$4:$B$615=Analítico!$B101),-(Analítico!P$3&gt;='Gastos Gerais'!$D$4:$D$615),-(Analítico!P$3&lt;='Gastos Gerais'!$E$4:$E$615),-('Gastos Gerais'!$C$4:$C$615))</f>
        <v>0</v>
      </c>
      <c r="Q101" s="73">
        <f>SUMPRODUCT(-('Gastos Gerais'!$B$4:$B$615=Analítico!$B101),-(Analítico!Q$3&gt;='Gastos Gerais'!$D$4:$D$615),-(Analítico!Q$3&lt;='Gastos Gerais'!$E$4:$E$615),-('Gastos Gerais'!$C$4:$C$615))</f>
        <v>0</v>
      </c>
      <c r="R101" s="73">
        <f>SUMPRODUCT(-('Gastos Gerais'!$B$4:$B$615=Analítico!$B101),-(Analítico!R$3&gt;='Gastos Gerais'!$D$4:$D$615),-(Analítico!R$3&lt;='Gastos Gerais'!$E$4:$E$615),-('Gastos Gerais'!$C$4:$C$615))</f>
        <v>0</v>
      </c>
      <c r="S101" s="73">
        <f>SUMPRODUCT(-('Gastos Gerais'!$B$4:$B$615=Analítico!$B101),-(Analítico!S$3&gt;='Gastos Gerais'!$D$4:$D$615),-(Analítico!S$3&lt;='Gastos Gerais'!$E$4:$E$615),-('Gastos Gerais'!$C$4:$C$615))</f>
        <v>0</v>
      </c>
      <c r="T101" s="73">
        <f>SUMPRODUCT(-('Gastos Gerais'!$B$4:$B$615=Analítico!$B101),-(Analítico!T$3&gt;='Gastos Gerais'!$D$4:$D$615),-(Analítico!T$3&lt;='Gastos Gerais'!$E$4:$E$615),-('Gastos Gerais'!$C$4:$C$615))</f>
        <v>0</v>
      </c>
      <c r="U101" s="73">
        <f>SUMPRODUCT(-('Gastos Gerais'!$B$4:$B$615=Analítico!$B101),-(Analítico!U$3&gt;='Gastos Gerais'!$D$4:$D$615),-(Analítico!U$3&lt;='Gastos Gerais'!$E$4:$E$615),-('Gastos Gerais'!$C$4:$C$615))</f>
        <v>0</v>
      </c>
      <c r="V101" s="73">
        <f>SUMPRODUCT(-('Gastos Gerais'!$B$4:$B$615=Analítico!$B101),-(Analítico!V$3&gt;='Gastos Gerais'!$D$4:$D$615),-(Analítico!V$3&lt;='Gastos Gerais'!$E$4:$E$615),-('Gastos Gerais'!$C$4:$C$615))</f>
        <v>0</v>
      </c>
      <c r="W101" s="73">
        <f>SUMPRODUCT(-('Gastos Gerais'!$B$4:$B$615=Analítico!$B101),-(Analítico!W$3&gt;='Gastos Gerais'!$D$4:$D$615),-(Analítico!W$3&lt;='Gastos Gerais'!$E$4:$E$615),-('Gastos Gerais'!$C$4:$C$615))</f>
        <v>0</v>
      </c>
      <c r="X101" s="73">
        <f>SUMPRODUCT(-('Gastos Gerais'!$B$4:$B$615=Analítico!$B101),-(Analítico!X$3&gt;='Gastos Gerais'!$D$4:$D$615),-(Analítico!X$3&lt;='Gastos Gerais'!$E$4:$E$615),-('Gastos Gerais'!$C$4:$C$615))</f>
        <v>0</v>
      </c>
      <c r="Y101" s="73">
        <f>SUMPRODUCT(-('Gastos Gerais'!$B$4:$B$615=Analítico!$B101),-(Analítico!Y$3&gt;='Gastos Gerais'!$D$4:$D$615),-(Analítico!Y$3&lt;='Gastos Gerais'!$E$4:$E$615),-('Gastos Gerais'!$C$4:$C$615))</f>
        <v>0</v>
      </c>
      <c r="Z101" s="73">
        <f>SUMPRODUCT(-('Gastos Gerais'!$B$4:$B$615=Analítico!$B101),-(Analítico!Z$3&gt;='Gastos Gerais'!$D$4:$D$615),-(Analítico!Z$3&lt;='Gastos Gerais'!$E$4:$E$615),-('Gastos Gerais'!$C$4:$C$615))</f>
        <v>0</v>
      </c>
      <c r="AA101" s="73">
        <f>SUMPRODUCT(-('Gastos Gerais'!$B$4:$B$615=Analítico!$B101),-(Analítico!AA$3&gt;='Gastos Gerais'!$D$4:$D$615),-(Analítico!AA$3&lt;='Gastos Gerais'!$E$4:$E$615),-('Gastos Gerais'!$C$4:$C$615))</f>
        <v>0</v>
      </c>
      <c r="AB101" s="73">
        <f>SUMPRODUCT(-('Gastos Gerais'!$B$4:$B$615=Analítico!$B101),-(Analítico!AB$3&gt;='Gastos Gerais'!$D$4:$D$615),-(Analítico!AB$3&lt;='Gastos Gerais'!$E$4:$E$615),-('Gastos Gerais'!$C$4:$C$615))</f>
        <v>0</v>
      </c>
      <c r="AC101" s="73">
        <f>SUMPRODUCT(-('Gastos Gerais'!$B$4:$B$615=Analítico!$B101),-(Analítico!AC$3&gt;='Gastos Gerais'!$D$4:$D$615),-(Analítico!AC$3&lt;='Gastos Gerais'!$E$4:$E$615),-('Gastos Gerais'!$C$4:$C$615))</f>
        <v>0</v>
      </c>
      <c r="AD101" s="73">
        <f>SUMPRODUCT(-('Gastos Gerais'!$B$4:$B$615=Analítico!$B101),-(Analítico!AD$3&gt;='Gastos Gerais'!$D$4:$D$615),-(Analítico!AD$3&lt;='Gastos Gerais'!$E$4:$E$615),-('Gastos Gerais'!$C$4:$C$615))</f>
        <v>0</v>
      </c>
      <c r="AE101" s="73">
        <f>SUMPRODUCT(-('Gastos Gerais'!$B$4:$B$615=Analítico!$B101),-(Analítico!AE$3&gt;='Gastos Gerais'!$D$4:$D$615),-(Analítico!AE$3&lt;='Gastos Gerais'!$E$4:$E$615),-('Gastos Gerais'!$C$4:$C$615))</f>
        <v>0</v>
      </c>
      <c r="AF101" s="73">
        <f>SUMPRODUCT(-('Gastos Gerais'!$B$4:$B$615=Analítico!$B101),-(Analítico!AF$3&gt;='Gastos Gerais'!$D$4:$D$615),-(Analítico!AF$3&lt;='Gastos Gerais'!$E$4:$E$615),-('Gastos Gerais'!$C$4:$C$615))</f>
        <v>0</v>
      </c>
      <c r="AG101" s="73">
        <f>SUMPRODUCT(-('Gastos Gerais'!$B$4:$B$615=Analítico!$B101),-(Analítico!AG$3&gt;='Gastos Gerais'!$D$4:$D$615),-(Analítico!AG$3&lt;='Gastos Gerais'!$E$4:$E$615),-('Gastos Gerais'!$C$4:$C$615))</f>
        <v>0</v>
      </c>
      <c r="AH101" s="73">
        <f>SUMPRODUCT(-('Gastos Gerais'!$B$4:$B$615=Analítico!$B101),-(Analítico!AH$3&gt;='Gastos Gerais'!$D$4:$D$615),-(Analítico!AH$3&lt;='Gastos Gerais'!$E$4:$E$615),-('Gastos Gerais'!$C$4:$C$615))</f>
        <v>0</v>
      </c>
      <c r="AI101" s="73">
        <f>SUMPRODUCT(-('Gastos Gerais'!$B$4:$B$615=Analítico!$B101),-(Analítico!AI$3&gt;='Gastos Gerais'!$D$4:$D$615),-(Analítico!AI$3&lt;='Gastos Gerais'!$E$4:$E$615),-('Gastos Gerais'!$C$4:$C$615))</f>
        <v>0</v>
      </c>
      <c r="AJ101" s="73">
        <f>SUMPRODUCT(-('Gastos Gerais'!$B$4:$B$615=Analítico!$B101),-(Analítico!AJ$3&gt;='Gastos Gerais'!$D$4:$D$615),-(Analítico!AJ$3&lt;='Gastos Gerais'!$E$4:$E$615),-('Gastos Gerais'!$C$4:$C$615))</f>
        <v>0</v>
      </c>
      <c r="AK101" s="73">
        <f>SUMPRODUCT(-('Gastos Gerais'!$B$4:$B$615=Analítico!$B101),-(Analítico!AK$3&gt;='Gastos Gerais'!$D$4:$D$615),-(Analítico!AK$3&lt;='Gastos Gerais'!$E$4:$E$615),-('Gastos Gerais'!$C$4:$C$615))</f>
        <v>0</v>
      </c>
      <c r="AL101" s="73">
        <f>SUMPRODUCT(-('Gastos Gerais'!$B$4:$B$615=Analítico!$B101),-(Analítico!AL$3&gt;='Gastos Gerais'!$D$4:$D$615),-(Analítico!AL$3&lt;='Gastos Gerais'!$E$4:$E$615),-('Gastos Gerais'!$C$4:$C$615))</f>
        <v>0</v>
      </c>
      <c r="AM101" s="73">
        <f>SUMPRODUCT(-('Gastos Gerais'!$B$4:$B$615=Analítico!$B101),-(Analítico!AM$3&gt;='Gastos Gerais'!$D$4:$D$615),-(Analítico!AM$3&lt;='Gastos Gerais'!$E$4:$E$615),-('Gastos Gerais'!$C$4:$C$615))</f>
        <v>0</v>
      </c>
      <c r="AN101" s="73">
        <f>SUMPRODUCT(-('Gastos Gerais'!$B$4:$B$615=Analítico!$B101),-(Analítico!AN$3&gt;='Gastos Gerais'!$D$4:$D$615),-(Analítico!AN$3&lt;='Gastos Gerais'!$E$4:$E$615),-('Gastos Gerais'!$C$4:$C$615))</f>
        <v>0</v>
      </c>
      <c r="AO101" s="73">
        <f>SUMPRODUCT(-('Gastos Gerais'!$B$4:$B$615=Analítico!$B101),-(Analítico!AO$3&gt;='Gastos Gerais'!$D$4:$D$615),-(Analítico!AO$3&lt;='Gastos Gerais'!$E$4:$E$615),-('Gastos Gerais'!$C$4:$C$615))</f>
        <v>0</v>
      </c>
      <c r="AP101" s="73">
        <f>SUMPRODUCT(-('Gastos Gerais'!$B$4:$B$615=Analítico!$B101),-(Analítico!AP$3&gt;='Gastos Gerais'!$D$4:$D$615),-(Analítico!AP$3&lt;='Gastos Gerais'!$E$4:$E$615),-('Gastos Gerais'!$C$4:$C$615))</f>
        <v>0</v>
      </c>
      <c r="AQ101" s="73">
        <f>SUMPRODUCT(-('Gastos Gerais'!$B$4:$B$615=Analítico!$B101),-(Analítico!AQ$3&gt;='Gastos Gerais'!$D$4:$D$615),-(Analítico!AQ$3&lt;='Gastos Gerais'!$E$4:$E$615),-('Gastos Gerais'!$C$4:$C$615))</f>
        <v>0</v>
      </c>
      <c r="AR101" s="73">
        <f>SUMPRODUCT(-('Gastos Gerais'!$B$4:$B$615=Analítico!$B101),-(Analítico!AR$3&gt;='Gastos Gerais'!$D$4:$D$615),-(Analítico!AR$3&lt;='Gastos Gerais'!$E$4:$E$615),-('Gastos Gerais'!$C$4:$C$615))</f>
        <v>0</v>
      </c>
      <c r="AS101" s="73">
        <f>SUMPRODUCT(-('Gastos Gerais'!$B$4:$B$615=Analítico!$B101),-(Analítico!AS$3&gt;='Gastos Gerais'!$D$4:$D$615),-(Analítico!AS$3&lt;='Gastos Gerais'!$E$4:$E$615),-('Gastos Gerais'!$C$4:$C$615))</f>
        <v>0</v>
      </c>
      <c r="AT101" s="73">
        <f>SUMPRODUCT(-('Gastos Gerais'!$B$4:$B$615=Analítico!$B101),-(Analítico!AT$3&gt;='Gastos Gerais'!$D$4:$D$615),-(Analítico!AT$3&lt;='Gastos Gerais'!$E$4:$E$615),-('Gastos Gerais'!$C$4:$C$615))</f>
        <v>0</v>
      </c>
      <c r="AU101" s="73">
        <f>SUMPRODUCT(-('Gastos Gerais'!$B$4:$B$615=Analítico!$B101),-(Analítico!AU$3&gt;='Gastos Gerais'!$D$4:$D$615),-(Analítico!AU$3&lt;='Gastos Gerais'!$E$4:$E$615),-('Gastos Gerais'!$C$4:$C$615))</f>
        <v>0</v>
      </c>
      <c r="AV101" s="73">
        <f>SUMPRODUCT(-('Gastos Gerais'!$B$4:$B$615=Analítico!$B101),-(Analítico!AV$3&gt;='Gastos Gerais'!$D$4:$D$615),-(Analítico!AV$3&lt;='Gastos Gerais'!$E$4:$E$615),-('Gastos Gerais'!$C$4:$C$615))</f>
        <v>0</v>
      </c>
      <c r="AW101" s="73">
        <f>SUMPRODUCT(-('Gastos Gerais'!$B$4:$B$615=Analítico!$B101),-(Analítico!AW$3&gt;='Gastos Gerais'!$D$4:$D$615),-(Analítico!AW$3&lt;='Gastos Gerais'!$E$4:$E$615),-('Gastos Gerais'!$C$4:$C$615))</f>
        <v>0</v>
      </c>
      <c r="AX101" s="73">
        <f>SUMPRODUCT(-('Gastos Gerais'!$B$4:$B$615=Analítico!$B101),-(Analítico!AX$3&gt;='Gastos Gerais'!$D$4:$D$615),-(Analítico!AX$3&lt;='Gastos Gerais'!$E$4:$E$615),-('Gastos Gerais'!$C$4:$C$615))</f>
        <v>0</v>
      </c>
      <c r="AY101" s="73">
        <f>SUMPRODUCT(-('Gastos Gerais'!$B$4:$B$615=Analítico!$B101),-(Analítico!AY$3&gt;='Gastos Gerais'!$D$4:$D$615),-(Analítico!AY$3&lt;='Gastos Gerais'!$E$4:$E$615),-('Gastos Gerais'!$C$4:$C$615))</f>
        <v>0</v>
      </c>
      <c r="AZ101" s="73">
        <f>SUMPRODUCT(-('Gastos Gerais'!$B$4:$B$615=Analítico!$B101),-(Analítico!AZ$3&gt;='Gastos Gerais'!$D$4:$D$615),-(Analítico!AZ$3&lt;='Gastos Gerais'!$E$4:$E$615),-('Gastos Gerais'!$C$4:$C$615))</f>
        <v>0</v>
      </c>
      <c r="BA101" s="73">
        <f>SUMPRODUCT(-('Gastos Gerais'!$B$4:$B$615=Analítico!$B101),-(Analítico!BA$3&gt;='Gastos Gerais'!$D$4:$D$615),-(Analítico!BA$3&lt;='Gastos Gerais'!$E$4:$E$615),-('Gastos Gerais'!$C$4:$C$615))</f>
        <v>0</v>
      </c>
      <c r="BB101" s="73">
        <f>SUMPRODUCT(-('Gastos Gerais'!$B$4:$B$615=Analítico!$B101),-(Analítico!BB$3&gt;='Gastos Gerais'!$D$4:$D$615),-(Analítico!BB$3&lt;='Gastos Gerais'!$E$4:$E$615),-('Gastos Gerais'!$C$4:$C$615))</f>
        <v>0</v>
      </c>
      <c r="BC101" s="73">
        <f>SUMPRODUCT(-('Gastos Gerais'!$B$4:$B$615=Analítico!$B101),-(Analítico!BC$3&gt;='Gastos Gerais'!$D$4:$D$615),-(Analítico!BC$3&lt;='Gastos Gerais'!$E$4:$E$615),-('Gastos Gerais'!$C$4:$C$615))</f>
        <v>0</v>
      </c>
      <c r="BD101" s="73">
        <f>SUMPRODUCT(-('Gastos Gerais'!$B$4:$B$615=Analítico!$B101),-(Analítico!BD$3&gt;='Gastos Gerais'!$D$4:$D$615),-(Analítico!BD$3&lt;='Gastos Gerais'!$E$4:$E$615),-('Gastos Gerais'!$C$4:$C$615))</f>
        <v>0</v>
      </c>
      <c r="BE101" s="73">
        <f>SUMPRODUCT(-('Gastos Gerais'!$B$4:$B$615=Analítico!$B101),-(Analítico!BE$3&gt;='Gastos Gerais'!$D$4:$D$615),-(Analítico!BE$3&lt;='Gastos Gerais'!$E$4:$E$615),-('Gastos Gerais'!$C$4:$C$615))</f>
        <v>0</v>
      </c>
      <c r="BF101" s="73">
        <f>SUMPRODUCT(-('Gastos Gerais'!$B$4:$B$615=Analítico!$B101),-(Analítico!BF$3&gt;='Gastos Gerais'!$D$4:$D$615),-(Analítico!BF$3&lt;='Gastos Gerais'!$E$4:$E$615),-('Gastos Gerais'!$C$4:$C$615))</f>
        <v>0</v>
      </c>
      <c r="BG101" s="73">
        <f>SUMPRODUCT(-('Gastos Gerais'!$B$4:$B$615=Analítico!$B101),-(Analítico!BG$3&gt;='Gastos Gerais'!$D$4:$D$615),-(Analítico!BG$3&lt;='Gastos Gerais'!$E$4:$E$615),-('Gastos Gerais'!$C$4:$C$615))</f>
        <v>0</v>
      </c>
      <c r="BH101" s="73">
        <f>SUMPRODUCT(-('Gastos Gerais'!$B$4:$B$615=Analítico!$B101),-(Analítico!BH$3&gt;='Gastos Gerais'!$D$4:$D$615),-(Analítico!BH$3&lt;='Gastos Gerais'!$E$4:$E$615),-('Gastos Gerais'!$C$4:$C$615))</f>
        <v>0</v>
      </c>
      <c r="BI101" s="73">
        <f>SUMPRODUCT(-('Gastos Gerais'!$B$4:$B$615=Analítico!$B101),-(Analítico!BI$3&gt;='Gastos Gerais'!$D$4:$D$615),-(Analítico!BI$3&lt;='Gastos Gerais'!$E$4:$E$615),-('Gastos Gerais'!$C$4:$C$615))</f>
        <v>0</v>
      </c>
      <c r="BJ101" s="73">
        <f>SUMPRODUCT(-('Gastos Gerais'!$B$4:$B$615=Analítico!$B101),-(Analítico!BJ$3&gt;='Gastos Gerais'!$D$4:$D$615),-(Analítico!BJ$3&lt;='Gastos Gerais'!$E$4:$E$615),-('Gastos Gerais'!$C$4:$C$615))</f>
        <v>0</v>
      </c>
      <c r="BK101" s="71">
        <f t="shared" si="33"/>
        <v>0</v>
      </c>
      <c r="BL101" s="76">
        <f t="shared" ca="1" si="34"/>
        <v>0</v>
      </c>
    </row>
    <row r="102" spans="1:64" s="49" customFormat="1" ht="23.25" customHeight="1" x14ac:dyDescent="0.2">
      <c r="A102" s="109" t="s">
        <v>272</v>
      </c>
      <c r="B102" s="112" t="s">
        <v>273</v>
      </c>
      <c r="C102" s="73">
        <f>SUMPRODUCT(-('Gastos Gerais'!$B$4:$B$615=Analítico!$B102),-(Analítico!C$3&gt;='Gastos Gerais'!$D$4:$D$615),-(Analítico!C$3&lt;='Gastos Gerais'!$E$4:$E$615),-('Gastos Gerais'!$C$4:$C$615))</f>
        <v>14600</v>
      </c>
      <c r="D102" s="73">
        <f>SUMPRODUCT(-('Gastos Gerais'!$B$4:$B$615=Analítico!$B102),-(Analítico!D$3&gt;='Gastos Gerais'!$D$4:$D$615),-(Analítico!D$3&lt;='Gastos Gerais'!$E$4:$E$615),-('Gastos Gerais'!$C$4:$C$615))</f>
        <v>14600</v>
      </c>
      <c r="E102" s="73">
        <f>SUMPRODUCT(-('Gastos Gerais'!$B$4:$B$615=Analítico!$B102),-(Analítico!E$3&gt;='Gastos Gerais'!$D$4:$D$615),-(Analítico!E$3&lt;='Gastos Gerais'!$E$4:$E$615),-('Gastos Gerais'!$C$4:$C$615))</f>
        <v>14600</v>
      </c>
      <c r="F102" s="73">
        <f>SUMPRODUCT(-('Gastos Gerais'!$B$4:$B$615=Analítico!$B102),-(Analítico!F$3&gt;='Gastos Gerais'!$D$4:$D$615),-(Analítico!F$3&lt;='Gastos Gerais'!$E$4:$E$615),-('Gastos Gerais'!$C$4:$C$615))</f>
        <v>14600</v>
      </c>
      <c r="G102" s="73">
        <f>SUMPRODUCT(-('Gastos Gerais'!$B$4:$B$615=Analítico!$B102),-(Analítico!G$3&gt;='Gastos Gerais'!$D$4:$D$615),-(Analítico!G$3&lt;='Gastos Gerais'!$E$4:$E$615),-('Gastos Gerais'!$C$4:$C$615))</f>
        <v>14600</v>
      </c>
      <c r="H102" s="73">
        <f>SUMPRODUCT(-('Gastos Gerais'!$B$4:$B$615=Analítico!$B102),-(Analítico!H$3&gt;='Gastos Gerais'!$D$4:$D$615),-(Analítico!H$3&lt;='Gastos Gerais'!$E$4:$E$615),-('Gastos Gerais'!$C$4:$C$615))</f>
        <v>14600</v>
      </c>
      <c r="I102" s="73">
        <f>SUMPRODUCT(-('Gastos Gerais'!$B$4:$B$615=Analítico!$B102),-(Analítico!I$3&gt;='Gastos Gerais'!$D$4:$D$615),-(Analítico!I$3&lt;='Gastos Gerais'!$E$4:$E$615),-('Gastos Gerais'!$C$4:$C$615))</f>
        <v>14600</v>
      </c>
      <c r="J102" s="73">
        <f>SUMPRODUCT(-('Gastos Gerais'!$B$4:$B$615=Analítico!$B102),-(Analítico!J$3&gt;='Gastos Gerais'!$D$4:$D$615),-(Analítico!J$3&lt;='Gastos Gerais'!$E$4:$E$615),-('Gastos Gerais'!$C$4:$C$615))</f>
        <v>14600</v>
      </c>
      <c r="K102" s="73">
        <f>SUMPRODUCT(-('Gastos Gerais'!$B$4:$B$615=Analítico!$B102),-(Analítico!K$3&gt;='Gastos Gerais'!$D$4:$D$615),-(Analítico!K$3&lt;='Gastos Gerais'!$E$4:$E$615),-('Gastos Gerais'!$C$4:$C$615))</f>
        <v>14600</v>
      </c>
      <c r="L102" s="73">
        <f>SUMPRODUCT(-('Gastos Gerais'!$B$4:$B$615=Analítico!$B102),-(Analítico!L$3&gt;='Gastos Gerais'!$D$4:$D$615),-(Analítico!L$3&lt;='Gastos Gerais'!$E$4:$E$615),-('Gastos Gerais'!$C$4:$C$615))</f>
        <v>14600</v>
      </c>
      <c r="M102" s="73">
        <f>SUMPRODUCT(-('Gastos Gerais'!$B$4:$B$615=Analítico!$B102),-(Analítico!M$3&gt;='Gastos Gerais'!$D$4:$D$615),-(Analítico!M$3&lt;='Gastos Gerais'!$E$4:$E$615),-('Gastos Gerais'!$C$4:$C$615))</f>
        <v>14600</v>
      </c>
      <c r="N102" s="73">
        <f>SUMPRODUCT(-('Gastos Gerais'!$B$4:$B$615=Analítico!$B102),-(Analítico!N$3&gt;='Gastos Gerais'!$D$4:$D$615),-(Analítico!N$3&lt;='Gastos Gerais'!$E$4:$E$615),-('Gastos Gerais'!$C$4:$C$615))</f>
        <v>14600</v>
      </c>
      <c r="O102" s="73">
        <f>SUMPRODUCT(-('Gastos Gerais'!$B$4:$B$615=Analítico!$B102),-(Analítico!O$3&gt;='Gastos Gerais'!$D$4:$D$615),-(Analítico!O$3&lt;='Gastos Gerais'!$E$4:$E$615),-('Gastos Gerais'!$C$4:$C$615))</f>
        <v>14600</v>
      </c>
      <c r="P102" s="73">
        <f>SUMPRODUCT(-('Gastos Gerais'!$B$4:$B$615=Analítico!$B102),-(Analítico!P$3&gt;='Gastos Gerais'!$D$4:$D$615),-(Analítico!P$3&lt;='Gastos Gerais'!$E$4:$E$615),-('Gastos Gerais'!$C$4:$C$615))</f>
        <v>14600</v>
      </c>
      <c r="Q102" s="73">
        <f>SUMPRODUCT(-('Gastos Gerais'!$B$4:$B$615=Analítico!$B102),-(Analítico!Q$3&gt;='Gastos Gerais'!$D$4:$D$615),-(Analítico!Q$3&lt;='Gastos Gerais'!$E$4:$E$615),-('Gastos Gerais'!$C$4:$C$615))</f>
        <v>14600</v>
      </c>
      <c r="R102" s="73">
        <f>SUMPRODUCT(-('Gastos Gerais'!$B$4:$B$615=Analítico!$B102),-(Analítico!R$3&gt;='Gastos Gerais'!$D$4:$D$615),-(Analítico!R$3&lt;='Gastos Gerais'!$E$4:$E$615),-('Gastos Gerais'!$C$4:$C$615))</f>
        <v>14600</v>
      </c>
      <c r="S102" s="73">
        <f>SUMPRODUCT(-('Gastos Gerais'!$B$4:$B$615=Analítico!$B102),-(Analítico!S$3&gt;='Gastos Gerais'!$D$4:$D$615),-(Analítico!S$3&lt;='Gastos Gerais'!$E$4:$E$615),-('Gastos Gerais'!$C$4:$C$615))</f>
        <v>14600</v>
      </c>
      <c r="T102" s="73">
        <f>SUMPRODUCT(-('Gastos Gerais'!$B$4:$B$615=Analítico!$B102),-(Analítico!T$3&gt;='Gastos Gerais'!$D$4:$D$615),-(Analítico!T$3&lt;='Gastos Gerais'!$E$4:$E$615),-('Gastos Gerais'!$C$4:$C$615))</f>
        <v>14600</v>
      </c>
      <c r="U102" s="73">
        <f>SUMPRODUCT(-('Gastos Gerais'!$B$4:$B$615=Analítico!$B102),-(Analítico!U$3&gt;='Gastos Gerais'!$D$4:$D$615),-(Analítico!U$3&lt;='Gastos Gerais'!$E$4:$E$615),-('Gastos Gerais'!$C$4:$C$615))</f>
        <v>14600</v>
      </c>
      <c r="V102" s="73">
        <f>SUMPRODUCT(-('Gastos Gerais'!$B$4:$B$615=Analítico!$B102),-(Analítico!V$3&gt;='Gastos Gerais'!$D$4:$D$615),-(Analítico!V$3&lt;='Gastos Gerais'!$E$4:$E$615),-('Gastos Gerais'!$C$4:$C$615))</f>
        <v>14600</v>
      </c>
      <c r="W102" s="73">
        <f>SUMPRODUCT(-('Gastos Gerais'!$B$4:$B$615=Analítico!$B102),-(Analítico!W$3&gt;='Gastos Gerais'!$D$4:$D$615),-(Analítico!W$3&lt;='Gastos Gerais'!$E$4:$E$615),-('Gastos Gerais'!$C$4:$C$615))</f>
        <v>14600</v>
      </c>
      <c r="X102" s="73">
        <f>SUMPRODUCT(-('Gastos Gerais'!$B$4:$B$615=Analítico!$B102),-(Analítico!X$3&gt;='Gastos Gerais'!$D$4:$D$615),-(Analítico!X$3&lt;='Gastos Gerais'!$E$4:$E$615),-('Gastos Gerais'!$C$4:$C$615))</f>
        <v>14600</v>
      </c>
      <c r="Y102" s="73">
        <f>SUMPRODUCT(-('Gastos Gerais'!$B$4:$B$615=Analítico!$B102),-(Analítico!Y$3&gt;='Gastos Gerais'!$D$4:$D$615),-(Analítico!Y$3&lt;='Gastos Gerais'!$E$4:$E$615),-('Gastos Gerais'!$C$4:$C$615))</f>
        <v>14600</v>
      </c>
      <c r="Z102" s="73">
        <f>SUMPRODUCT(-('Gastos Gerais'!$B$4:$B$615=Analítico!$B102),-(Analítico!Z$3&gt;='Gastos Gerais'!$D$4:$D$615),-(Analítico!Z$3&lt;='Gastos Gerais'!$E$4:$E$615),-('Gastos Gerais'!$C$4:$C$615))</f>
        <v>14600</v>
      </c>
      <c r="AA102" s="73">
        <f>SUMPRODUCT(-('Gastos Gerais'!$B$4:$B$615=Analítico!$B102),-(Analítico!AA$3&gt;='Gastos Gerais'!$D$4:$D$615),-(Analítico!AA$3&lt;='Gastos Gerais'!$E$4:$E$615),-('Gastos Gerais'!$C$4:$C$615))</f>
        <v>14600</v>
      </c>
      <c r="AB102" s="73">
        <f>SUMPRODUCT(-('Gastos Gerais'!$B$4:$B$615=Analítico!$B102),-(Analítico!AB$3&gt;='Gastos Gerais'!$D$4:$D$615),-(Analítico!AB$3&lt;='Gastos Gerais'!$E$4:$E$615),-('Gastos Gerais'!$C$4:$C$615))</f>
        <v>14600</v>
      </c>
      <c r="AC102" s="73">
        <f>SUMPRODUCT(-('Gastos Gerais'!$B$4:$B$615=Analítico!$B102),-(Analítico!AC$3&gt;='Gastos Gerais'!$D$4:$D$615),-(Analítico!AC$3&lt;='Gastos Gerais'!$E$4:$E$615),-('Gastos Gerais'!$C$4:$C$615))</f>
        <v>14600</v>
      </c>
      <c r="AD102" s="73">
        <f>SUMPRODUCT(-('Gastos Gerais'!$B$4:$B$615=Analítico!$B102),-(Analítico!AD$3&gt;='Gastos Gerais'!$D$4:$D$615),-(Analítico!AD$3&lt;='Gastos Gerais'!$E$4:$E$615),-('Gastos Gerais'!$C$4:$C$615))</f>
        <v>14600</v>
      </c>
      <c r="AE102" s="73">
        <f>SUMPRODUCT(-('Gastos Gerais'!$B$4:$B$615=Analítico!$B102),-(Analítico!AE$3&gt;='Gastos Gerais'!$D$4:$D$615),-(Analítico!AE$3&lt;='Gastos Gerais'!$E$4:$E$615),-('Gastos Gerais'!$C$4:$C$615))</f>
        <v>14600</v>
      </c>
      <c r="AF102" s="73">
        <f>SUMPRODUCT(-('Gastos Gerais'!$B$4:$B$615=Analítico!$B102),-(Analítico!AF$3&gt;='Gastos Gerais'!$D$4:$D$615),-(Analítico!AF$3&lt;='Gastos Gerais'!$E$4:$E$615),-('Gastos Gerais'!$C$4:$C$615))</f>
        <v>14600</v>
      </c>
      <c r="AG102" s="73">
        <f>SUMPRODUCT(-('Gastos Gerais'!$B$4:$B$615=Analítico!$B102),-(Analítico!AG$3&gt;='Gastos Gerais'!$D$4:$D$615),-(Analítico!AG$3&lt;='Gastos Gerais'!$E$4:$E$615),-('Gastos Gerais'!$C$4:$C$615))</f>
        <v>14600</v>
      </c>
      <c r="AH102" s="73">
        <f>SUMPRODUCT(-('Gastos Gerais'!$B$4:$B$615=Analítico!$B102),-(Analítico!AH$3&gt;='Gastos Gerais'!$D$4:$D$615),-(Analítico!AH$3&lt;='Gastos Gerais'!$E$4:$E$615),-('Gastos Gerais'!$C$4:$C$615))</f>
        <v>14600</v>
      </c>
      <c r="AI102" s="73">
        <f>SUMPRODUCT(-('Gastos Gerais'!$B$4:$B$615=Analítico!$B102),-(Analítico!AI$3&gt;='Gastos Gerais'!$D$4:$D$615),-(Analítico!AI$3&lt;='Gastos Gerais'!$E$4:$E$615),-('Gastos Gerais'!$C$4:$C$615))</f>
        <v>14600</v>
      </c>
      <c r="AJ102" s="73">
        <f>SUMPRODUCT(-('Gastos Gerais'!$B$4:$B$615=Analítico!$B102),-(Analítico!AJ$3&gt;='Gastos Gerais'!$D$4:$D$615),-(Analítico!AJ$3&lt;='Gastos Gerais'!$E$4:$E$615),-('Gastos Gerais'!$C$4:$C$615))</f>
        <v>14600</v>
      </c>
      <c r="AK102" s="73">
        <f>SUMPRODUCT(-('Gastos Gerais'!$B$4:$B$615=Analítico!$B102),-(Analítico!AK$3&gt;='Gastos Gerais'!$D$4:$D$615),-(Analítico!AK$3&lt;='Gastos Gerais'!$E$4:$E$615),-('Gastos Gerais'!$C$4:$C$615))</f>
        <v>14600</v>
      </c>
      <c r="AL102" s="73">
        <f>SUMPRODUCT(-('Gastos Gerais'!$B$4:$B$615=Analítico!$B102),-(Analítico!AL$3&gt;='Gastos Gerais'!$D$4:$D$615),-(Analítico!AL$3&lt;='Gastos Gerais'!$E$4:$E$615),-('Gastos Gerais'!$C$4:$C$615))</f>
        <v>14600</v>
      </c>
      <c r="AM102" s="73">
        <f>SUMPRODUCT(-('Gastos Gerais'!$B$4:$B$615=Analítico!$B102),-(Analítico!AM$3&gt;='Gastos Gerais'!$D$4:$D$615),-(Analítico!AM$3&lt;='Gastos Gerais'!$E$4:$E$615),-('Gastos Gerais'!$C$4:$C$615))</f>
        <v>0</v>
      </c>
      <c r="AN102" s="73">
        <f>SUMPRODUCT(-('Gastos Gerais'!$B$4:$B$615=Analítico!$B102),-(Analítico!AN$3&gt;='Gastos Gerais'!$D$4:$D$615),-(Analítico!AN$3&lt;='Gastos Gerais'!$E$4:$E$615),-('Gastos Gerais'!$C$4:$C$615))</f>
        <v>0</v>
      </c>
      <c r="AO102" s="73">
        <f>SUMPRODUCT(-('Gastos Gerais'!$B$4:$B$615=Analítico!$B102),-(Analítico!AO$3&gt;='Gastos Gerais'!$D$4:$D$615),-(Analítico!AO$3&lt;='Gastos Gerais'!$E$4:$E$615),-('Gastos Gerais'!$C$4:$C$615))</f>
        <v>0</v>
      </c>
      <c r="AP102" s="73">
        <f>SUMPRODUCT(-('Gastos Gerais'!$B$4:$B$615=Analítico!$B102),-(Analítico!AP$3&gt;='Gastos Gerais'!$D$4:$D$615),-(Analítico!AP$3&lt;='Gastos Gerais'!$E$4:$E$615),-('Gastos Gerais'!$C$4:$C$615))</f>
        <v>0</v>
      </c>
      <c r="AQ102" s="73">
        <f>SUMPRODUCT(-('Gastos Gerais'!$B$4:$B$615=Analítico!$B102),-(Analítico!AQ$3&gt;='Gastos Gerais'!$D$4:$D$615),-(Analítico!AQ$3&lt;='Gastos Gerais'!$E$4:$E$615),-('Gastos Gerais'!$C$4:$C$615))</f>
        <v>0</v>
      </c>
      <c r="AR102" s="73">
        <f>SUMPRODUCT(-('Gastos Gerais'!$B$4:$B$615=Analítico!$B102),-(Analítico!AR$3&gt;='Gastos Gerais'!$D$4:$D$615),-(Analítico!AR$3&lt;='Gastos Gerais'!$E$4:$E$615),-('Gastos Gerais'!$C$4:$C$615))</f>
        <v>0</v>
      </c>
      <c r="AS102" s="73">
        <f>SUMPRODUCT(-('Gastos Gerais'!$B$4:$B$615=Analítico!$B102),-(Analítico!AS$3&gt;='Gastos Gerais'!$D$4:$D$615),-(Analítico!AS$3&lt;='Gastos Gerais'!$E$4:$E$615),-('Gastos Gerais'!$C$4:$C$615))</f>
        <v>0</v>
      </c>
      <c r="AT102" s="73">
        <f>SUMPRODUCT(-('Gastos Gerais'!$B$4:$B$615=Analítico!$B102),-(Analítico!AT$3&gt;='Gastos Gerais'!$D$4:$D$615),-(Analítico!AT$3&lt;='Gastos Gerais'!$E$4:$E$615),-('Gastos Gerais'!$C$4:$C$615))</f>
        <v>0</v>
      </c>
      <c r="AU102" s="73">
        <f>SUMPRODUCT(-('Gastos Gerais'!$B$4:$B$615=Analítico!$B102),-(Analítico!AU$3&gt;='Gastos Gerais'!$D$4:$D$615),-(Analítico!AU$3&lt;='Gastos Gerais'!$E$4:$E$615),-('Gastos Gerais'!$C$4:$C$615))</f>
        <v>0</v>
      </c>
      <c r="AV102" s="73">
        <f>SUMPRODUCT(-('Gastos Gerais'!$B$4:$B$615=Analítico!$B102),-(Analítico!AV$3&gt;='Gastos Gerais'!$D$4:$D$615),-(Analítico!AV$3&lt;='Gastos Gerais'!$E$4:$E$615),-('Gastos Gerais'!$C$4:$C$615))</f>
        <v>0</v>
      </c>
      <c r="AW102" s="73">
        <f>SUMPRODUCT(-('Gastos Gerais'!$B$4:$B$615=Analítico!$B102),-(Analítico!AW$3&gt;='Gastos Gerais'!$D$4:$D$615),-(Analítico!AW$3&lt;='Gastos Gerais'!$E$4:$E$615),-('Gastos Gerais'!$C$4:$C$615))</f>
        <v>0</v>
      </c>
      <c r="AX102" s="73">
        <f>SUMPRODUCT(-('Gastos Gerais'!$B$4:$B$615=Analítico!$B102),-(Analítico!AX$3&gt;='Gastos Gerais'!$D$4:$D$615),-(Analítico!AX$3&lt;='Gastos Gerais'!$E$4:$E$615),-('Gastos Gerais'!$C$4:$C$615))</f>
        <v>0</v>
      </c>
      <c r="AY102" s="73">
        <f>SUMPRODUCT(-('Gastos Gerais'!$B$4:$B$615=Analítico!$B102),-(Analítico!AY$3&gt;='Gastos Gerais'!$D$4:$D$615),-(Analítico!AY$3&lt;='Gastos Gerais'!$E$4:$E$615),-('Gastos Gerais'!$C$4:$C$615))</f>
        <v>0</v>
      </c>
      <c r="AZ102" s="73">
        <f>SUMPRODUCT(-('Gastos Gerais'!$B$4:$B$615=Analítico!$B102),-(Analítico!AZ$3&gt;='Gastos Gerais'!$D$4:$D$615),-(Analítico!AZ$3&lt;='Gastos Gerais'!$E$4:$E$615),-('Gastos Gerais'!$C$4:$C$615))</f>
        <v>0</v>
      </c>
      <c r="BA102" s="73">
        <f>SUMPRODUCT(-('Gastos Gerais'!$B$4:$B$615=Analítico!$B102),-(Analítico!BA$3&gt;='Gastos Gerais'!$D$4:$D$615),-(Analítico!BA$3&lt;='Gastos Gerais'!$E$4:$E$615),-('Gastos Gerais'!$C$4:$C$615))</f>
        <v>0</v>
      </c>
      <c r="BB102" s="73">
        <f>SUMPRODUCT(-('Gastos Gerais'!$B$4:$B$615=Analítico!$B102),-(Analítico!BB$3&gt;='Gastos Gerais'!$D$4:$D$615),-(Analítico!BB$3&lt;='Gastos Gerais'!$E$4:$E$615),-('Gastos Gerais'!$C$4:$C$615))</f>
        <v>0</v>
      </c>
      <c r="BC102" s="73">
        <f>SUMPRODUCT(-('Gastos Gerais'!$B$4:$B$615=Analítico!$B102),-(Analítico!BC$3&gt;='Gastos Gerais'!$D$4:$D$615),-(Analítico!BC$3&lt;='Gastos Gerais'!$E$4:$E$615),-('Gastos Gerais'!$C$4:$C$615))</f>
        <v>0</v>
      </c>
      <c r="BD102" s="73">
        <f>SUMPRODUCT(-('Gastos Gerais'!$B$4:$B$615=Analítico!$B102),-(Analítico!BD$3&gt;='Gastos Gerais'!$D$4:$D$615),-(Analítico!BD$3&lt;='Gastos Gerais'!$E$4:$E$615),-('Gastos Gerais'!$C$4:$C$615))</f>
        <v>0</v>
      </c>
      <c r="BE102" s="73">
        <f>SUMPRODUCT(-('Gastos Gerais'!$B$4:$B$615=Analítico!$B102),-(Analítico!BE$3&gt;='Gastos Gerais'!$D$4:$D$615),-(Analítico!BE$3&lt;='Gastos Gerais'!$E$4:$E$615),-('Gastos Gerais'!$C$4:$C$615))</f>
        <v>0</v>
      </c>
      <c r="BF102" s="73">
        <f>SUMPRODUCT(-('Gastos Gerais'!$B$4:$B$615=Analítico!$B102),-(Analítico!BF$3&gt;='Gastos Gerais'!$D$4:$D$615),-(Analítico!BF$3&lt;='Gastos Gerais'!$E$4:$E$615),-('Gastos Gerais'!$C$4:$C$615))</f>
        <v>0</v>
      </c>
      <c r="BG102" s="73">
        <f>SUMPRODUCT(-('Gastos Gerais'!$B$4:$B$615=Analítico!$B102),-(Analítico!BG$3&gt;='Gastos Gerais'!$D$4:$D$615),-(Analítico!BG$3&lt;='Gastos Gerais'!$E$4:$E$615),-('Gastos Gerais'!$C$4:$C$615))</f>
        <v>0</v>
      </c>
      <c r="BH102" s="73">
        <f>SUMPRODUCT(-('Gastos Gerais'!$B$4:$B$615=Analítico!$B102),-(Analítico!BH$3&gt;='Gastos Gerais'!$D$4:$D$615),-(Analítico!BH$3&lt;='Gastos Gerais'!$E$4:$E$615),-('Gastos Gerais'!$C$4:$C$615))</f>
        <v>0</v>
      </c>
      <c r="BI102" s="73">
        <f>SUMPRODUCT(-('Gastos Gerais'!$B$4:$B$615=Analítico!$B102),-(Analítico!BI$3&gt;='Gastos Gerais'!$D$4:$D$615),-(Analítico!BI$3&lt;='Gastos Gerais'!$E$4:$E$615),-('Gastos Gerais'!$C$4:$C$615))</f>
        <v>0</v>
      </c>
      <c r="BJ102" s="73">
        <f>SUMPRODUCT(-('Gastos Gerais'!$B$4:$B$615=Analítico!$B102),-(Analítico!BJ$3&gt;='Gastos Gerais'!$D$4:$D$615),-(Analítico!BJ$3&lt;='Gastos Gerais'!$E$4:$E$615),-('Gastos Gerais'!$C$4:$C$615))</f>
        <v>0</v>
      </c>
      <c r="BK102" s="71">
        <f t="shared" si="33"/>
        <v>525600</v>
      </c>
      <c r="BL102" s="76">
        <f t="shared" ca="1" si="34"/>
        <v>1.4336257324035373E-3</v>
      </c>
    </row>
    <row r="103" spans="1:64" s="49" customFormat="1" ht="23.25" customHeight="1" x14ac:dyDescent="0.2">
      <c r="A103" s="109" t="s">
        <v>274</v>
      </c>
      <c r="B103" s="112" t="s">
        <v>275</v>
      </c>
      <c r="C103" s="73">
        <f>SUMPRODUCT(-('Gastos Gerais'!$B$4:$B$615=Analítico!$B103),-(Analítico!C$3&gt;='Gastos Gerais'!$D$4:$D$615),-(Analítico!C$3&lt;='Gastos Gerais'!$E$4:$E$615),-('Gastos Gerais'!$C$4:$C$615))</f>
        <v>28300</v>
      </c>
      <c r="D103" s="73">
        <f>SUMPRODUCT(-('Gastos Gerais'!$B$4:$B$615=Analítico!$B103),-(Analítico!D$3&gt;='Gastos Gerais'!$D$4:$D$615),-(Analítico!D$3&lt;='Gastos Gerais'!$E$4:$E$615),-('Gastos Gerais'!$C$4:$C$615))</f>
        <v>28300</v>
      </c>
      <c r="E103" s="73">
        <f>SUMPRODUCT(-('Gastos Gerais'!$B$4:$B$615=Analítico!$B103),-(Analítico!E$3&gt;='Gastos Gerais'!$D$4:$D$615),-(Analítico!E$3&lt;='Gastos Gerais'!$E$4:$E$615),-('Gastos Gerais'!$C$4:$C$615))</f>
        <v>28300</v>
      </c>
      <c r="F103" s="73">
        <f>SUMPRODUCT(-('Gastos Gerais'!$B$4:$B$615=Analítico!$B103),-(Analítico!F$3&gt;='Gastos Gerais'!$D$4:$D$615),-(Analítico!F$3&lt;='Gastos Gerais'!$E$4:$E$615),-('Gastos Gerais'!$C$4:$C$615))</f>
        <v>28300</v>
      </c>
      <c r="G103" s="73">
        <f>SUMPRODUCT(-('Gastos Gerais'!$B$4:$B$615=Analítico!$B103),-(Analítico!G$3&gt;='Gastos Gerais'!$D$4:$D$615),-(Analítico!G$3&lt;='Gastos Gerais'!$E$4:$E$615),-('Gastos Gerais'!$C$4:$C$615))</f>
        <v>28300</v>
      </c>
      <c r="H103" s="73">
        <f>SUMPRODUCT(-('Gastos Gerais'!$B$4:$B$615=Analítico!$B103),-(Analítico!H$3&gt;='Gastos Gerais'!$D$4:$D$615),-(Analítico!H$3&lt;='Gastos Gerais'!$E$4:$E$615),-('Gastos Gerais'!$C$4:$C$615))</f>
        <v>28300</v>
      </c>
      <c r="I103" s="73">
        <f>SUMPRODUCT(-('Gastos Gerais'!$B$4:$B$615=Analítico!$B103),-(Analítico!I$3&gt;='Gastos Gerais'!$D$4:$D$615),-(Analítico!I$3&lt;='Gastos Gerais'!$E$4:$E$615),-('Gastos Gerais'!$C$4:$C$615))</f>
        <v>28300</v>
      </c>
      <c r="J103" s="73">
        <f>SUMPRODUCT(-('Gastos Gerais'!$B$4:$B$615=Analítico!$B103),-(Analítico!J$3&gt;='Gastos Gerais'!$D$4:$D$615),-(Analítico!J$3&lt;='Gastos Gerais'!$E$4:$E$615),-('Gastos Gerais'!$C$4:$C$615))</f>
        <v>28300</v>
      </c>
      <c r="K103" s="73">
        <f>SUMPRODUCT(-('Gastos Gerais'!$B$4:$B$615=Analítico!$B103),-(Analítico!K$3&gt;='Gastos Gerais'!$D$4:$D$615),-(Analítico!K$3&lt;='Gastos Gerais'!$E$4:$E$615),-('Gastos Gerais'!$C$4:$C$615))</f>
        <v>28300</v>
      </c>
      <c r="L103" s="73">
        <f>SUMPRODUCT(-('Gastos Gerais'!$B$4:$B$615=Analítico!$B103),-(Analítico!L$3&gt;='Gastos Gerais'!$D$4:$D$615),-(Analítico!L$3&lt;='Gastos Gerais'!$E$4:$E$615),-('Gastos Gerais'!$C$4:$C$615))</f>
        <v>28300</v>
      </c>
      <c r="M103" s="73">
        <f>SUMPRODUCT(-('Gastos Gerais'!$B$4:$B$615=Analítico!$B103),-(Analítico!M$3&gt;='Gastos Gerais'!$D$4:$D$615),-(Analítico!M$3&lt;='Gastos Gerais'!$E$4:$E$615),-('Gastos Gerais'!$C$4:$C$615))</f>
        <v>28300</v>
      </c>
      <c r="N103" s="73">
        <f>SUMPRODUCT(-('Gastos Gerais'!$B$4:$B$615=Analítico!$B103),-(Analítico!N$3&gt;='Gastos Gerais'!$D$4:$D$615),-(Analítico!N$3&lt;='Gastos Gerais'!$E$4:$E$615),-('Gastos Gerais'!$C$4:$C$615))</f>
        <v>28300</v>
      </c>
      <c r="O103" s="73">
        <f>SUMPRODUCT(-('Gastos Gerais'!$B$4:$B$615=Analítico!$B103),-(Analítico!O$3&gt;='Gastos Gerais'!$D$4:$D$615),-(Analítico!O$3&lt;='Gastos Gerais'!$E$4:$E$615),-('Gastos Gerais'!$C$4:$C$615))</f>
        <v>28300</v>
      </c>
      <c r="P103" s="73">
        <f>SUMPRODUCT(-('Gastos Gerais'!$B$4:$B$615=Analítico!$B103),-(Analítico!P$3&gt;='Gastos Gerais'!$D$4:$D$615),-(Analítico!P$3&lt;='Gastos Gerais'!$E$4:$E$615),-('Gastos Gerais'!$C$4:$C$615))</f>
        <v>28300</v>
      </c>
      <c r="Q103" s="73">
        <f>SUMPRODUCT(-('Gastos Gerais'!$B$4:$B$615=Analítico!$B103),-(Analítico!Q$3&gt;='Gastos Gerais'!$D$4:$D$615),-(Analítico!Q$3&lt;='Gastos Gerais'!$E$4:$E$615),-('Gastos Gerais'!$C$4:$C$615))</f>
        <v>28300</v>
      </c>
      <c r="R103" s="73">
        <f>SUMPRODUCT(-('Gastos Gerais'!$B$4:$B$615=Analítico!$B103),-(Analítico!R$3&gt;='Gastos Gerais'!$D$4:$D$615),-(Analítico!R$3&lt;='Gastos Gerais'!$E$4:$E$615),-('Gastos Gerais'!$C$4:$C$615))</f>
        <v>28300</v>
      </c>
      <c r="S103" s="73">
        <f>SUMPRODUCT(-('Gastos Gerais'!$B$4:$B$615=Analítico!$B103),-(Analítico!S$3&gt;='Gastos Gerais'!$D$4:$D$615),-(Analítico!S$3&lt;='Gastos Gerais'!$E$4:$E$615),-('Gastos Gerais'!$C$4:$C$615))</f>
        <v>28300</v>
      </c>
      <c r="T103" s="73">
        <f>SUMPRODUCT(-('Gastos Gerais'!$B$4:$B$615=Analítico!$B103),-(Analítico!T$3&gt;='Gastos Gerais'!$D$4:$D$615),-(Analítico!T$3&lt;='Gastos Gerais'!$E$4:$E$615),-('Gastos Gerais'!$C$4:$C$615))</f>
        <v>28300</v>
      </c>
      <c r="U103" s="73">
        <f>SUMPRODUCT(-('Gastos Gerais'!$B$4:$B$615=Analítico!$B103),-(Analítico!U$3&gt;='Gastos Gerais'!$D$4:$D$615),-(Analítico!U$3&lt;='Gastos Gerais'!$E$4:$E$615),-('Gastos Gerais'!$C$4:$C$615))</f>
        <v>28300</v>
      </c>
      <c r="V103" s="73">
        <f>SUMPRODUCT(-('Gastos Gerais'!$B$4:$B$615=Analítico!$B103),-(Analítico!V$3&gt;='Gastos Gerais'!$D$4:$D$615),-(Analítico!V$3&lt;='Gastos Gerais'!$E$4:$E$615),-('Gastos Gerais'!$C$4:$C$615))</f>
        <v>28300</v>
      </c>
      <c r="W103" s="73">
        <f>SUMPRODUCT(-('Gastos Gerais'!$B$4:$B$615=Analítico!$B103),-(Analítico!W$3&gt;='Gastos Gerais'!$D$4:$D$615),-(Analítico!W$3&lt;='Gastos Gerais'!$E$4:$E$615),-('Gastos Gerais'!$C$4:$C$615))</f>
        <v>28300</v>
      </c>
      <c r="X103" s="73">
        <f>SUMPRODUCT(-('Gastos Gerais'!$B$4:$B$615=Analítico!$B103),-(Analítico!X$3&gt;='Gastos Gerais'!$D$4:$D$615),-(Analítico!X$3&lt;='Gastos Gerais'!$E$4:$E$615),-('Gastos Gerais'!$C$4:$C$615))</f>
        <v>28300</v>
      </c>
      <c r="Y103" s="73">
        <f>SUMPRODUCT(-('Gastos Gerais'!$B$4:$B$615=Analítico!$B103),-(Analítico!Y$3&gt;='Gastos Gerais'!$D$4:$D$615),-(Analítico!Y$3&lt;='Gastos Gerais'!$E$4:$E$615),-('Gastos Gerais'!$C$4:$C$615))</f>
        <v>28300</v>
      </c>
      <c r="Z103" s="73">
        <f>SUMPRODUCT(-('Gastos Gerais'!$B$4:$B$615=Analítico!$B103),-(Analítico!Z$3&gt;='Gastos Gerais'!$D$4:$D$615),-(Analítico!Z$3&lt;='Gastos Gerais'!$E$4:$E$615),-('Gastos Gerais'!$C$4:$C$615))</f>
        <v>28300</v>
      </c>
      <c r="AA103" s="73">
        <f>SUMPRODUCT(-('Gastos Gerais'!$B$4:$B$615=Analítico!$B103),-(Analítico!AA$3&gt;='Gastos Gerais'!$D$4:$D$615),-(Analítico!AA$3&lt;='Gastos Gerais'!$E$4:$E$615),-('Gastos Gerais'!$C$4:$C$615))</f>
        <v>28300</v>
      </c>
      <c r="AB103" s="73">
        <f>SUMPRODUCT(-('Gastos Gerais'!$B$4:$B$615=Analítico!$B103),-(Analítico!AB$3&gt;='Gastos Gerais'!$D$4:$D$615),-(Analítico!AB$3&lt;='Gastos Gerais'!$E$4:$E$615),-('Gastos Gerais'!$C$4:$C$615))</f>
        <v>28300</v>
      </c>
      <c r="AC103" s="73">
        <f>SUMPRODUCT(-('Gastos Gerais'!$B$4:$B$615=Analítico!$B103),-(Analítico!AC$3&gt;='Gastos Gerais'!$D$4:$D$615),-(Analítico!AC$3&lt;='Gastos Gerais'!$E$4:$E$615),-('Gastos Gerais'!$C$4:$C$615))</f>
        <v>28300</v>
      </c>
      <c r="AD103" s="73">
        <f>SUMPRODUCT(-('Gastos Gerais'!$B$4:$B$615=Analítico!$B103),-(Analítico!AD$3&gt;='Gastos Gerais'!$D$4:$D$615),-(Analítico!AD$3&lt;='Gastos Gerais'!$E$4:$E$615),-('Gastos Gerais'!$C$4:$C$615))</f>
        <v>28300</v>
      </c>
      <c r="AE103" s="73">
        <f>SUMPRODUCT(-('Gastos Gerais'!$B$4:$B$615=Analítico!$B103),-(Analítico!AE$3&gt;='Gastos Gerais'!$D$4:$D$615),-(Analítico!AE$3&lt;='Gastos Gerais'!$E$4:$E$615),-('Gastos Gerais'!$C$4:$C$615))</f>
        <v>28300</v>
      </c>
      <c r="AF103" s="73">
        <f>SUMPRODUCT(-('Gastos Gerais'!$B$4:$B$615=Analítico!$B103),-(Analítico!AF$3&gt;='Gastos Gerais'!$D$4:$D$615),-(Analítico!AF$3&lt;='Gastos Gerais'!$E$4:$E$615),-('Gastos Gerais'!$C$4:$C$615))</f>
        <v>28300</v>
      </c>
      <c r="AG103" s="73">
        <f>SUMPRODUCT(-('Gastos Gerais'!$B$4:$B$615=Analítico!$B103),-(Analítico!AG$3&gt;='Gastos Gerais'!$D$4:$D$615),-(Analítico!AG$3&lt;='Gastos Gerais'!$E$4:$E$615),-('Gastos Gerais'!$C$4:$C$615))</f>
        <v>28300</v>
      </c>
      <c r="AH103" s="73">
        <f>SUMPRODUCT(-('Gastos Gerais'!$B$4:$B$615=Analítico!$B103),-(Analítico!AH$3&gt;='Gastos Gerais'!$D$4:$D$615),-(Analítico!AH$3&lt;='Gastos Gerais'!$E$4:$E$615),-('Gastos Gerais'!$C$4:$C$615))</f>
        <v>28300</v>
      </c>
      <c r="AI103" s="73">
        <f>SUMPRODUCT(-('Gastos Gerais'!$B$4:$B$615=Analítico!$B103),-(Analítico!AI$3&gt;='Gastos Gerais'!$D$4:$D$615),-(Analítico!AI$3&lt;='Gastos Gerais'!$E$4:$E$615),-('Gastos Gerais'!$C$4:$C$615))</f>
        <v>28300</v>
      </c>
      <c r="AJ103" s="73">
        <f>SUMPRODUCT(-('Gastos Gerais'!$B$4:$B$615=Analítico!$B103),-(Analítico!AJ$3&gt;='Gastos Gerais'!$D$4:$D$615),-(Analítico!AJ$3&lt;='Gastos Gerais'!$E$4:$E$615),-('Gastos Gerais'!$C$4:$C$615))</f>
        <v>28300</v>
      </c>
      <c r="AK103" s="73">
        <f>SUMPRODUCT(-('Gastos Gerais'!$B$4:$B$615=Analítico!$B103),-(Analítico!AK$3&gt;='Gastos Gerais'!$D$4:$D$615),-(Analítico!AK$3&lt;='Gastos Gerais'!$E$4:$E$615),-('Gastos Gerais'!$C$4:$C$615))</f>
        <v>28300</v>
      </c>
      <c r="AL103" s="73">
        <f>SUMPRODUCT(-('Gastos Gerais'!$B$4:$B$615=Analítico!$B103),-(Analítico!AL$3&gt;='Gastos Gerais'!$D$4:$D$615),-(Analítico!AL$3&lt;='Gastos Gerais'!$E$4:$E$615),-('Gastos Gerais'!$C$4:$C$615))</f>
        <v>28300</v>
      </c>
      <c r="AM103" s="73">
        <f>SUMPRODUCT(-('Gastos Gerais'!$B$4:$B$615=Analítico!$B103),-(Analítico!AM$3&gt;='Gastos Gerais'!$D$4:$D$615),-(Analítico!AM$3&lt;='Gastos Gerais'!$E$4:$E$615),-('Gastos Gerais'!$C$4:$C$615))</f>
        <v>0</v>
      </c>
      <c r="AN103" s="73">
        <f>SUMPRODUCT(-('Gastos Gerais'!$B$4:$B$615=Analítico!$B103),-(Analítico!AN$3&gt;='Gastos Gerais'!$D$4:$D$615),-(Analítico!AN$3&lt;='Gastos Gerais'!$E$4:$E$615),-('Gastos Gerais'!$C$4:$C$615))</f>
        <v>0</v>
      </c>
      <c r="AO103" s="73">
        <f>SUMPRODUCT(-('Gastos Gerais'!$B$4:$B$615=Analítico!$B103),-(Analítico!AO$3&gt;='Gastos Gerais'!$D$4:$D$615),-(Analítico!AO$3&lt;='Gastos Gerais'!$E$4:$E$615),-('Gastos Gerais'!$C$4:$C$615))</f>
        <v>0</v>
      </c>
      <c r="AP103" s="73">
        <f>SUMPRODUCT(-('Gastos Gerais'!$B$4:$B$615=Analítico!$B103),-(Analítico!AP$3&gt;='Gastos Gerais'!$D$4:$D$615),-(Analítico!AP$3&lt;='Gastos Gerais'!$E$4:$E$615),-('Gastos Gerais'!$C$4:$C$615))</f>
        <v>0</v>
      </c>
      <c r="AQ103" s="73">
        <f>SUMPRODUCT(-('Gastos Gerais'!$B$4:$B$615=Analítico!$B103),-(Analítico!AQ$3&gt;='Gastos Gerais'!$D$4:$D$615),-(Analítico!AQ$3&lt;='Gastos Gerais'!$E$4:$E$615),-('Gastos Gerais'!$C$4:$C$615))</f>
        <v>0</v>
      </c>
      <c r="AR103" s="73">
        <f>SUMPRODUCT(-('Gastos Gerais'!$B$4:$B$615=Analítico!$B103),-(Analítico!AR$3&gt;='Gastos Gerais'!$D$4:$D$615),-(Analítico!AR$3&lt;='Gastos Gerais'!$E$4:$E$615),-('Gastos Gerais'!$C$4:$C$615))</f>
        <v>0</v>
      </c>
      <c r="AS103" s="73">
        <f>SUMPRODUCT(-('Gastos Gerais'!$B$4:$B$615=Analítico!$B103),-(Analítico!AS$3&gt;='Gastos Gerais'!$D$4:$D$615),-(Analítico!AS$3&lt;='Gastos Gerais'!$E$4:$E$615),-('Gastos Gerais'!$C$4:$C$615))</f>
        <v>0</v>
      </c>
      <c r="AT103" s="73">
        <f>SUMPRODUCT(-('Gastos Gerais'!$B$4:$B$615=Analítico!$B103),-(Analítico!AT$3&gt;='Gastos Gerais'!$D$4:$D$615),-(Analítico!AT$3&lt;='Gastos Gerais'!$E$4:$E$615),-('Gastos Gerais'!$C$4:$C$615))</f>
        <v>0</v>
      </c>
      <c r="AU103" s="73">
        <f>SUMPRODUCT(-('Gastos Gerais'!$B$4:$B$615=Analítico!$B103),-(Analítico!AU$3&gt;='Gastos Gerais'!$D$4:$D$615),-(Analítico!AU$3&lt;='Gastos Gerais'!$E$4:$E$615),-('Gastos Gerais'!$C$4:$C$615))</f>
        <v>0</v>
      </c>
      <c r="AV103" s="73">
        <f>SUMPRODUCT(-('Gastos Gerais'!$B$4:$B$615=Analítico!$B103),-(Analítico!AV$3&gt;='Gastos Gerais'!$D$4:$D$615),-(Analítico!AV$3&lt;='Gastos Gerais'!$E$4:$E$615),-('Gastos Gerais'!$C$4:$C$615))</f>
        <v>0</v>
      </c>
      <c r="AW103" s="73">
        <f>SUMPRODUCT(-('Gastos Gerais'!$B$4:$B$615=Analítico!$B103),-(Analítico!AW$3&gt;='Gastos Gerais'!$D$4:$D$615),-(Analítico!AW$3&lt;='Gastos Gerais'!$E$4:$E$615),-('Gastos Gerais'!$C$4:$C$615))</f>
        <v>0</v>
      </c>
      <c r="AX103" s="73">
        <f>SUMPRODUCT(-('Gastos Gerais'!$B$4:$B$615=Analítico!$B103),-(Analítico!AX$3&gt;='Gastos Gerais'!$D$4:$D$615),-(Analítico!AX$3&lt;='Gastos Gerais'!$E$4:$E$615),-('Gastos Gerais'!$C$4:$C$615))</f>
        <v>0</v>
      </c>
      <c r="AY103" s="73">
        <f>SUMPRODUCT(-('Gastos Gerais'!$B$4:$B$615=Analítico!$B103),-(Analítico!AY$3&gt;='Gastos Gerais'!$D$4:$D$615),-(Analítico!AY$3&lt;='Gastos Gerais'!$E$4:$E$615),-('Gastos Gerais'!$C$4:$C$615))</f>
        <v>0</v>
      </c>
      <c r="AZ103" s="73">
        <f>SUMPRODUCT(-('Gastos Gerais'!$B$4:$B$615=Analítico!$B103),-(Analítico!AZ$3&gt;='Gastos Gerais'!$D$4:$D$615),-(Analítico!AZ$3&lt;='Gastos Gerais'!$E$4:$E$615),-('Gastos Gerais'!$C$4:$C$615))</f>
        <v>0</v>
      </c>
      <c r="BA103" s="73">
        <f>SUMPRODUCT(-('Gastos Gerais'!$B$4:$B$615=Analítico!$B103),-(Analítico!BA$3&gt;='Gastos Gerais'!$D$4:$D$615),-(Analítico!BA$3&lt;='Gastos Gerais'!$E$4:$E$615),-('Gastos Gerais'!$C$4:$C$615))</f>
        <v>0</v>
      </c>
      <c r="BB103" s="73">
        <f>SUMPRODUCT(-('Gastos Gerais'!$B$4:$B$615=Analítico!$B103),-(Analítico!BB$3&gt;='Gastos Gerais'!$D$4:$D$615),-(Analítico!BB$3&lt;='Gastos Gerais'!$E$4:$E$615),-('Gastos Gerais'!$C$4:$C$615))</f>
        <v>0</v>
      </c>
      <c r="BC103" s="73">
        <f>SUMPRODUCT(-('Gastos Gerais'!$B$4:$B$615=Analítico!$B103),-(Analítico!BC$3&gt;='Gastos Gerais'!$D$4:$D$615),-(Analítico!BC$3&lt;='Gastos Gerais'!$E$4:$E$615),-('Gastos Gerais'!$C$4:$C$615))</f>
        <v>0</v>
      </c>
      <c r="BD103" s="73">
        <f>SUMPRODUCT(-('Gastos Gerais'!$B$4:$B$615=Analítico!$B103),-(Analítico!BD$3&gt;='Gastos Gerais'!$D$4:$D$615),-(Analítico!BD$3&lt;='Gastos Gerais'!$E$4:$E$615),-('Gastos Gerais'!$C$4:$C$615))</f>
        <v>0</v>
      </c>
      <c r="BE103" s="73">
        <f>SUMPRODUCT(-('Gastos Gerais'!$B$4:$B$615=Analítico!$B103),-(Analítico!BE$3&gt;='Gastos Gerais'!$D$4:$D$615),-(Analítico!BE$3&lt;='Gastos Gerais'!$E$4:$E$615),-('Gastos Gerais'!$C$4:$C$615))</f>
        <v>0</v>
      </c>
      <c r="BF103" s="73">
        <f>SUMPRODUCT(-('Gastos Gerais'!$B$4:$B$615=Analítico!$B103),-(Analítico!BF$3&gt;='Gastos Gerais'!$D$4:$D$615),-(Analítico!BF$3&lt;='Gastos Gerais'!$E$4:$E$615),-('Gastos Gerais'!$C$4:$C$615))</f>
        <v>0</v>
      </c>
      <c r="BG103" s="73">
        <f>SUMPRODUCT(-('Gastos Gerais'!$B$4:$B$615=Analítico!$B103),-(Analítico!BG$3&gt;='Gastos Gerais'!$D$4:$D$615),-(Analítico!BG$3&lt;='Gastos Gerais'!$E$4:$E$615),-('Gastos Gerais'!$C$4:$C$615))</f>
        <v>0</v>
      </c>
      <c r="BH103" s="73">
        <f>SUMPRODUCT(-('Gastos Gerais'!$B$4:$B$615=Analítico!$B103),-(Analítico!BH$3&gt;='Gastos Gerais'!$D$4:$D$615),-(Analítico!BH$3&lt;='Gastos Gerais'!$E$4:$E$615),-('Gastos Gerais'!$C$4:$C$615))</f>
        <v>0</v>
      </c>
      <c r="BI103" s="73">
        <f>SUMPRODUCT(-('Gastos Gerais'!$B$4:$B$615=Analítico!$B103),-(Analítico!BI$3&gt;='Gastos Gerais'!$D$4:$D$615),-(Analítico!BI$3&lt;='Gastos Gerais'!$E$4:$E$615),-('Gastos Gerais'!$C$4:$C$615))</f>
        <v>0</v>
      </c>
      <c r="BJ103" s="73">
        <f>SUMPRODUCT(-('Gastos Gerais'!$B$4:$B$615=Analítico!$B103),-(Analítico!BJ$3&gt;='Gastos Gerais'!$D$4:$D$615),-(Analítico!BJ$3&lt;='Gastos Gerais'!$E$4:$E$615),-('Gastos Gerais'!$C$4:$C$615))</f>
        <v>0</v>
      </c>
      <c r="BK103" s="71">
        <f t="shared" si="33"/>
        <v>1018800</v>
      </c>
      <c r="BL103" s="76">
        <f t="shared" ca="1" si="34"/>
        <v>2.7788772758232951E-3</v>
      </c>
    </row>
    <row r="104" spans="1:64" s="49" customFormat="1" ht="23.25" customHeight="1" x14ac:dyDescent="0.2">
      <c r="A104" s="109" t="s">
        <v>276</v>
      </c>
      <c r="B104" s="111" t="s">
        <v>277</v>
      </c>
      <c r="C104" s="73">
        <f>SUMPRODUCT(-('Gastos Gerais'!$B$4:$B$615=Analítico!$B104),-(Analítico!C$3&gt;='Gastos Gerais'!$D$4:$D$615),-(Analítico!C$3&lt;='Gastos Gerais'!$E$4:$E$615),-('Gastos Gerais'!$C$4:$C$615))</f>
        <v>47055</v>
      </c>
      <c r="D104" s="73">
        <f>SUMPRODUCT(-('Gastos Gerais'!$B$4:$B$615=Analítico!$B104),-(Analítico!D$3&gt;='Gastos Gerais'!$D$4:$D$615),-(Analítico!D$3&lt;='Gastos Gerais'!$E$4:$E$615),-('Gastos Gerais'!$C$4:$C$615))</f>
        <v>47055</v>
      </c>
      <c r="E104" s="73">
        <f>SUMPRODUCT(-('Gastos Gerais'!$B$4:$B$615=Analítico!$B104),-(Analítico!E$3&gt;='Gastos Gerais'!$D$4:$D$615),-(Analítico!E$3&lt;='Gastos Gerais'!$E$4:$E$615),-('Gastos Gerais'!$C$4:$C$615))</f>
        <v>47055</v>
      </c>
      <c r="F104" s="73">
        <f>SUMPRODUCT(-('Gastos Gerais'!$B$4:$B$615=Analítico!$B104),-(Analítico!F$3&gt;='Gastos Gerais'!$D$4:$D$615),-(Analítico!F$3&lt;='Gastos Gerais'!$E$4:$E$615),-('Gastos Gerais'!$C$4:$C$615))</f>
        <v>47055</v>
      </c>
      <c r="G104" s="73">
        <f>SUMPRODUCT(-('Gastos Gerais'!$B$4:$B$615=Analítico!$B104),-(Analítico!G$3&gt;='Gastos Gerais'!$D$4:$D$615),-(Analítico!G$3&lt;='Gastos Gerais'!$E$4:$E$615),-('Gastos Gerais'!$C$4:$C$615))</f>
        <v>47055</v>
      </c>
      <c r="H104" s="73">
        <f>SUMPRODUCT(-('Gastos Gerais'!$B$4:$B$615=Analítico!$B104),-(Analítico!H$3&gt;='Gastos Gerais'!$D$4:$D$615),-(Analítico!H$3&lt;='Gastos Gerais'!$E$4:$E$615),-('Gastos Gerais'!$C$4:$C$615))</f>
        <v>47055</v>
      </c>
      <c r="I104" s="73">
        <f>SUMPRODUCT(-('Gastos Gerais'!$B$4:$B$615=Analítico!$B104),-(Analítico!I$3&gt;='Gastos Gerais'!$D$4:$D$615),-(Analítico!I$3&lt;='Gastos Gerais'!$E$4:$E$615),-('Gastos Gerais'!$C$4:$C$615))</f>
        <v>47055</v>
      </c>
      <c r="J104" s="73">
        <f>SUMPRODUCT(-('Gastos Gerais'!$B$4:$B$615=Analítico!$B104),-(Analítico!J$3&gt;='Gastos Gerais'!$D$4:$D$615),-(Analítico!J$3&lt;='Gastos Gerais'!$E$4:$E$615),-('Gastos Gerais'!$C$4:$C$615))</f>
        <v>47055</v>
      </c>
      <c r="K104" s="73">
        <f>SUMPRODUCT(-('Gastos Gerais'!$B$4:$B$615=Analítico!$B104),-(Analítico!K$3&gt;='Gastos Gerais'!$D$4:$D$615),-(Analítico!K$3&lt;='Gastos Gerais'!$E$4:$E$615),-('Gastos Gerais'!$C$4:$C$615))</f>
        <v>47055</v>
      </c>
      <c r="L104" s="73">
        <f>SUMPRODUCT(-('Gastos Gerais'!$B$4:$B$615=Analítico!$B104),-(Analítico!L$3&gt;='Gastos Gerais'!$D$4:$D$615),-(Analítico!L$3&lt;='Gastos Gerais'!$E$4:$E$615),-('Gastos Gerais'!$C$4:$C$615))</f>
        <v>47055</v>
      </c>
      <c r="M104" s="73">
        <f>SUMPRODUCT(-('Gastos Gerais'!$B$4:$B$615=Analítico!$B104),-(Analítico!M$3&gt;='Gastos Gerais'!$D$4:$D$615),-(Analítico!M$3&lt;='Gastos Gerais'!$E$4:$E$615),-('Gastos Gerais'!$C$4:$C$615))</f>
        <v>47055</v>
      </c>
      <c r="N104" s="73">
        <f>SUMPRODUCT(-('Gastos Gerais'!$B$4:$B$615=Analítico!$B104),-(Analítico!N$3&gt;='Gastos Gerais'!$D$4:$D$615),-(Analítico!N$3&lt;='Gastos Gerais'!$E$4:$E$615),-('Gastos Gerais'!$C$4:$C$615))</f>
        <v>47055</v>
      </c>
      <c r="O104" s="73">
        <f>SUMPRODUCT(-('Gastos Gerais'!$B$4:$B$615=Analítico!$B104),-(Analítico!O$3&gt;='Gastos Gerais'!$D$4:$D$615),-(Analítico!O$3&lt;='Gastos Gerais'!$E$4:$E$615),-('Gastos Gerais'!$C$4:$C$615))</f>
        <v>47055</v>
      </c>
      <c r="P104" s="73">
        <f>SUMPRODUCT(-('Gastos Gerais'!$B$4:$B$615=Analítico!$B104),-(Analítico!P$3&gt;='Gastos Gerais'!$D$4:$D$615),-(Analítico!P$3&lt;='Gastos Gerais'!$E$4:$E$615),-('Gastos Gerais'!$C$4:$C$615))</f>
        <v>47055</v>
      </c>
      <c r="Q104" s="73">
        <f>SUMPRODUCT(-('Gastos Gerais'!$B$4:$B$615=Analítico!$B104),-(Analítico!Q$3&gt;='Gastos Gerais'!$D$4:$D$615),-(Analítico!Q$3&lt;='Gastos Gerais'!$E$4:$E$615),-('Gastos Gerais'!$C$4:$C$615))</f>
        <v>47055</v>
      </c>
      <c r="R104" s="73">
        <f>SUMPRODUCT(-('Gastos Gerais'!$B$4:$B$615=Analítico!$B104),-(Analítico!R$3&gt;='Gastos Gerais'!$D$4:$D$615),-(Analítico!R$3&lt;='Gastos Gerais'!$E$4:$E$615),-('Gastos Gerais'!$C$4:$C$615))</f>
        <v>47055</v>
      </c>
      <c r="S104" s="73">
        <f>SUMPRODUCT(-('Gastos Gerais'!$B$4:$B$615=Analítico!$B104),-(Analítico!S$3&gt;='Gastos Gerais'!$D$4:$D$615),-(Analítico!S$3&lt;='Gastos Gerais'!$E$4:$E$615),-('Gastos Gerais'!$C$4:$C$615))</f>
        <v>47055</v>
      </c>
      <c r="T104" s="73">
        <f>SUMPRODUCT(-('Gastos Gerais'!$B$4:$B$615=Analítico!$B104),-(Analítico!T$3&gt;='Gastos Gerais'!$D$4:$D$615),-(Analítico!T$3&lt;='Gastos Gerais'!$E$4:$E$615),-('Gastos Gerais'!$C$4:$C$615))</f>
        <v>47055</v>
      </c>
      <c r="U104" s="73">
        <f>SUMPRODUCT(-('Gastos Gerais'!$B$4:$B$615=Analítico!$B104),-(Analítico!U$3&gt;='Gastos Gerais'!$D$4:$D$615),-(Analítico!U$3&lt;='Gastos Gerais'!$E$4:$E$615),-('Gastos Gerais'!$C$4:$C$615))</f>
        <v>47055</v>
      </c>
      <c r="V104" s="73">
        <f>SUMPRODUCT(-('Gastos Gerais'!$B$4:$B$615=Analítico!$B104),-(Analítico!V$3&gt;='Gastos Gerais'!$D$4:$D$615),-(Analítico!V$3&lt;='Gastos Gerais'!$E$4:$E$615),-('Gastos Gerais'!$C$4:$C$615))</f>
        <v>47055</v>
      </c>
      <c r="W104" s="73">
        <f>SUMPRODUCT(-('Gastos Gerais'!$B$4:$B$615=Analítico!$B104),-(Analítico!W$3&gt;='Gastos Gerais'!$D$4:$D$615),-(Analítico!W$3&lt;='Gastos Gerais'!$E$4:$E$615),-('Gastos Gerais'!$C$4:$C$615))</f>
        <v>47055</v>
      </c>
      <c r="X104" s="73">
        <f>SUMPRODUCT(-('Gastos Gerais'!$B$4:$B$615=Analítico!$B104),-(Analítico!X$3&gt;='Gastos Gerais'!$D$4:$D$615),-(Analítico!X$3&lt;='Gastos Gerais'!$E$4:$E$615),-('Gastos Gerais'!$C$4:$C$615))</f>
        <v>47055</v>
      </c>
      <c r="Y104" s="73">
        <f>SUMPRODUCT(-('Gastos Gerais'!$B$4:$B$615=Analítico!$B104),-(Analítico!Y$3&gt;='Gastos Gerais'!$D$4:$D$615),-(Analítico!Y$3&lt;='Gastos Gerais'!$E$4:$E$615),-('Gastos Gerais'!$C$4:$C$615))</f>
        <v>47055</v>
      </c>
      <c r="Z104" s="73">
        <f>SUMPRODUCT(-('Gastos Gerais'!$B$4:$B$615=Analítico!$B104),-(Analítico!Z$3&gt;='Gastos Gerais'!$D$4:$D$615),-(Analítico!Z$3&lt;='Gastos Gerais'!$E$4:$E$615),-('Gastos Gerais'!$C$4:$C$615))</f>
        <v>47055</v>
      </c>
      <c r="AA104" s="73">
        <f>SUMPRODUCT(-('Gastos Gerais'!$B$4:$B$615=Analítico!$B104),-(Analítico!AA$3&gt;='Gastos Gerais'!$D$4:$D$615),-(Analítico!AA$3&lt;='Gastos Gerais'!$E$4:$E$615),-('Gastos Gerais'!$C$4:$C$615))</f>
        <v>47055</v>
      </c>
      <c r="AB104" s="73">
        <f>SUMPRODUCT(-('Gastos Gerais'!$B$4:$B$615=Analítico!$B104),-(Analítico!AB$3&gt;='Gastos Gerais'!$D$4:$D$615),-(Analítico!AB$3&lt;='Gastos Gerais'!$E$4:$E$615),-('Gastos Gerais'!$C$4:$C$615))</f>
        <v>47055</v>
      </c>
      <c r="AC104" s="73">
        <f>SUMPRODUCT(-('Gastos Gerais'!$B$4:$B$615=Analítico!$B104),-(Analítico!AC$3&gt;='Gastos Gerais'!$D$4:$D$615),-(Analítico!AC$3&lt;='Gastos Gerais'!$E$4:$E$615),-('Gastos Gerais'!$C$4:$C$615))</f>
        <v>47055</v>
      </c>
      <c r="AD104" s="73">
        <f>SUMPRODUCT(-('Gastos Gerais'!$B$4:$B$615=Analítico!$B104),-(Analítico!AD$3&gt;='Gastos Gerais'!$D$4:$D$615),-(Analítico!AD$3&lt;='Gastos Gerais'!$E$4:$E$615),-('Gastos Gerais'!$C$4:$C$615))</f>
        <v>47055</v>
      </c>
      <c r="AE104" s="73">
        <f>SUMPRODUCT(-('Gastos Gerais'!$B$4:$B$615=Analítico!$B104),-(Analítico!AE$3&gt;='Gastos Gerais'!$D$4:$D$615),-(Analítico!AE$3&lt;='Gastos Gerais'!$E$4:$E$615),-('Gastos Gerais'!$C$4:$C$615))</f>
        <v>47055</v>
      </c>
      <c r="AF104" s="73">
        <f>SUMPRODUCT(-('Gastos Gerais'!$B$4:$B$615=Analítico!$B104),-(Analítico!AF$3&gt;='Gastos Gerais'!$D$4:$D$615),-(Analítico!AF$3&lt;='Gastos Gerais'!$E$4:$E$615),-('Gastos Gerais'!$C$4:$C$615))</f>
        <v>47055</v>
      </c>
      <c r="AG104" s="73">
        <f>SUMPRODUCT(-('Gastos Gerais'!$B$4:$B$615=Analítico!$B104),-(Analítico!AG$3&gt;='Gastos Gerais'!$D$4:$D$615),-(Analítico!AG$3&lt;='Gastos Gerais'!$E$4:$E$615),-('Gastos Gerais'!$C$4:$C$615))</f>
        <v>47055</v>
      </c>
      <c r="AH104" s="73">
        <f>SUMPRODUCT(-('Gastos Gerais'!$B$4:$B$615=Analítico!$B104),-(Analítico!AH$3&gt;='Gastos Gerais'!$D$4:$D$615),-(Analítico!AH$3&lt;='Gastos Gerais'!$E$4:$E$615),-('Gastos Gerais'!$C$4:$C$615))</f>
        <v>47055</v>
      </c>
      <c r="AI104" s="73">
        <f>SUMPRODUCT(-('Gastos Gerais'!$B$4:$B$615=Analítico!$B104),-(Analítico!AI$3&gt;='Gastos Gerais'!$D$4:$D$615),-(Analítico!AI$3&lt;='Gastos Gerais'!$E$4:$E$615),-('Gastos Gerais'!$C$4:$C$615))</f>
        <v>47055</v>
      </c>
      <c r="AJ104" s="73">
        <f>SUMPRODUCT(-('Gastos Gerais'!$B$4:$B$615=Analítico!$B104),-(Analítico!AJ$3&gt;='Gastos Gerais'!$D$4:$D$615),-(Analítico!AJ$3&lt;='Gastos Gerais'!$E$4:$E$615),-('Gastos Gerais'!$C$4:$C$615))</f>
        <v>47055</v>
      </c>
      <c r="AK104" s="73">
        <f>SUMPRODUCT(-('Gastos Gerais'!$B$4:$B$615=Analítico!$B104),-(Analítico!AK$3&gt;='Gastos Gerais'!$D$4:$D$615),-(Analítico!AK$3&lt;='Gastos Gerais'!$E$4:$E$615),-('Gastos Gerais'!$C$4:$C$615))</f>
        <v>47055</v>
      </c>
      <c r="AL104" s="73">
        <f>SUMPRODUCT(-('Gastos Gerais'!$B$4:$B$615=Analítico!$B104),-(Analítico!AL$3&gt;='Gastos Gerais'!$D$4:$D$615),-(Analítico!AL$3&lt;='Gastos Gerais'!$E$4:$E$615),-('Gastos Gerais'!$C$4:$C$615))</f>
        <v>47055</v>
      </c>
      <c r="AM104" s="73">
        <f>SUMPRODUCT(-('Gastos Gerais'!$B$4:$B$615=Analítico!$B104),-(Analítico!AM$3&gt;='Gastos Gerais'!$D$4:$D$615),-(Analítico!AM$3&lt;='Gastos Gerais'!$E$4:$E$615),-('Gastos Gerais'!$C$4:$C$615))</f>
        <v>0</v>
      </c>
      <c r="AN104" s="73">
        <f>SUMPRODUCT(-('Gastos Gerais'!$B$4:$B$615=Analítico!$B104),-(Analítico!AN$3&gt;='Gastos Gerais'!$D$4:$D$615),-(Analítico!AN$3&lt;='Gastos Gerais'!$E$4:$E$615),-('Gastos Gerais'!$C$4:$C$615))</f>
        <v>0</v>
      </c>
      <c r="AO104" s="73">
        <f>SUMPRODUCT(-('Gastos Gerais'!$B$4:$B$615=Analítico!$B104),-(Analítico!AO$3&gt;='Gastos Gerais'!$D$4:$D$615),-(Analítico!AO$3&lt;='Gastos Gerais'!$E$4:$E$615),-('Gastos Gerais'!$C$4:$C$615))</f>
        <v>0</v>
      </c>
      <c r="AP104" s="73">
        <f>SUMPRODUCT(-('Gastos Gerais'!$B$4:$B$615=Analítico!$B104),-(Analítico!AP$3&gt;='Gastos Gerais'!$D$4:$D$615),-(Analítico!AP$3&lt;='Gastos Gerais'!$E$4:$E$615),-('Gastos Gerais'!$C$4:$C$615))</f>
        <v>0</v>
      </c>
      <c r="AQ104" s="73">
        <f>SUMPRODUCT(-('Gastos Gerais'!$B$4:$B$615=Analítico!$B104),-(Analítico!AQ$3&gt;='Gastos Gerais'!$D$4:$D$615),-(Analítico!AQ$3&lt;='Gastos Gerais'!$E$4:$E$615),-('Gastos Gerais'!$C$4:$C$615))</f>
        <v>0</v>
      </c>
      <c r="AR104" s="73">
        <f>SUMPRODUCT(-('Gastos Gerais'!$B$4:$B$615=Analítico!$B104),-(Analítico!AR$3&gt;='Gastos Gerais'!$D$4:$D$615),-(Analítico!AR$3&lt;='Gastos Gerais'!$E$4:$E$615),-('Gastos Gerais'!$C$4:$C$615))</f>
        <v>0</v>
      </c>
      <c r="AS104" s="73">
        <f>SUMPRODUCT(-('Gastos Gerais'!$B$4:$B$615=Analítico!$B104),-(Analítico!AS$3&gt;='Gastos Gerais'!$D$4:$D$615),-(Analítico!AS$3&lt;='Gastos Gerais'!$E$4:$E$615),-('Gastos Gerais'!$C$4:$C$615))</f>
        <v>0</v>
      </c>
      <c r="AT104" s="73">
        <f>SUMPRODUCT(-('Gastos Gerais'!$B$4:$B$615=Analítico!$B104),-(Analítico!AT$3&gt;='Gastos Gerais'!$D$4:$D$615),-(Analítico!AT$3&lt;='Gastos Gerais'!$E$4:$E$615),-('Gastos Gerais'!$C$4:$C$615))</f>
        <v>0</v>
      </c>
      <c r="AU104" s="73">
        <f>SUMPRODUCT(-('Gastos Gerais'!$B$4:$B$615=Analítico!$B104),-(Analítico!AU$3&gt;='Gastos Gerais'!$D$4:$D$615),-(Analítico!AU$3&lt;='Gastos Gerais'!$E$4:$E$615),-('Gastos Gerais'!$C$4:$C$615))</f>
        <v>0</v>
      </c>
      <c r="AV104" s="73">
        <f>SUMPRODUCT(-('Gastos Gerais'!$B$4:$B$615=Analítico!$B104),-(Analítico!AV$3&gt;='Gastos Gerais'!$D$4:$D$615),-(Analítico!AV$3&lt;='Gastos Gerais'!$E$4:$E$615),-('Gastos Gerais'!$C$4:$C$615))</f>
        <v>0</v>
      </c>
      <c r="AW104" s="73">
        <f>SUMPRODUCT(-('Gastos Gerais'!$B$4:$B$615=Analítico!$B104),-(Analítico!AW$3&gt;='Gastos Gerais'!$D$4:$D$615),-(Analítico!AW$3&lt;='Gastos Gerais'!$E$4:$E$615),-('Gastos Gerais'!$C$4:$C$615))</f>
        <v>0</v>
      </c>
      <c r="AX104" s="73">
        <f>SUMPRODUCT(-('Gastos Gerais'!$B$4:$B$615=Analítico!$B104),-(Analítico!AX$3&gt;='Gastos Gerais'!$D$4:$D$615),-(Analítico!AX$3&lt;='Gastos Gerais'!$E$4:$E$615),-('Gastos Gerais'!$C$4:$C$615))</f>
        <v>0</v>
      </c>
      <c r="AY104" s="73">
        <f>SUMPRODUCT(-('Gastos Gerais'!$B$4:$B$615=Analítico!$B104),-(Analítico!AY$3&gt;='Gastos Gerais'!$D$4:$D$615),-(Analítico!AY$3&lt;='Gastos Gerais'!$E$4:$E$615),-('Gastos Gerais'!$C$4:$C$615))</f>
        <v>0</v>
      </c>
      <c r="AZ104" s="73">
        <f>SUMPRODUCT(-('Gastos Gerais'!$B$4:$B$615=Analítico!$B104),-(Analítico!AZ$3&gt;='Gastos Gerais'!$D$4:$D$615),-(Analítico!AZ$3&lt;='Gastos Gerais'!$E$4:$E$615),-('Gastos Gerais'!$C$4:$C$615))</f>
        <v>0</v>
      </c>
      <c r="BA104" s="73">
        <f>SUMPRODUCT(-('Gastos Gerais'!$B$4:$B$615=Analítico!$B104),-(Analítico!BA$3&gt;='Gastos Gerais'!$D$4:$D$615),-(Analítico!BA$3&lt;='Gastos Gerais'!$E$4:$E$615),-('Gastos Gerais'!$C$4:$C$615))</f>
        <v>0</v>
      </c>
      <c r="BB104" s="73">
        <f>SUMPRODUCT(-('Gastos Gerais'!$B$4:$B$615=Analítico!$B104),-(Analítico!BB$3&gt;='Gastos Gerais'!$D$4:$D$615),-(Analítico!BB$3&lt;='Gastos Gerais'!$E$4:$E$615),-('Gastos Gerais'!$C$4:$C$615))</f>
        <v>0</v>
      </c>
      <c r="BC104" s="73">
        <f>SUMPRODUCT(-('Gastos Gerais'!$B$4:$B$615=Analítico!$B104),-(Analítico!BC$3&gt;='Gastos Gerais'!$D$4:$D$615),-(Analítico!BC$3&lt;='Gastos Gerais'!$E$4:$E$615),-('Gastos Gerais'!$C$4:$C$615))</f>
        <v>0</v>
      </c>
      <c r="BD104" s="73">
        <f>SUMPRODUCT(-('Gastos Gerais'!$B$4:$B$615=Analítico!$B104),-(Analítico!BD$3&gt;='Gastos Gerais'!$D$4:$D$615),-(Analítico!BD$3&lt;='Gastos Gerais'!$E$4:$E$615),-('Gastos Gerais'!$C$4:$C$615))</f>
        <v>0</v>
      </c>
      <c r="BE104" s="73">
        <f>SUMPRODUCT(-('Gastos Gerais'!$B$4:$B$615=Analítico!$B104),-(Analítico!BE$3&gt;='Gastos Gerais'!$D$4:$D$615),-(Analítico!BE$3&lt;='Gastos Gerais'!$E$4:$E$615),-('Gastos Gerais'!$C$4:$C$615))</f>
        <v>0</v>
      </c>
      <c r="BF104" s="73">
        <f>SUMPRODUCT(-('Gastos Gerais'!$B$4:$B$615=Analítico!$B104),-(Analítico!BF$3&gt;='Gastos Gerais'!$D$4:$D$615),-(Analítico!BF$3&lt;='Gastos Gerais'!$E$4:$E$615),-('Gastos Gerais'!$C$4:$C$615))</f>
        <v>0</v>
      </c>
      <c r="BG104" s="73">
        <f>SUMPRODUCT(-('Gastos Gerais'!$B$4:$B$615=Analítico!$B104),-(Analítico!BG$3&gt;='Gastos Gerais'!$D$4:$D$615),-(Analítico!BG$3&lt;='Gastos Gerais'!$E$4:$E$615),-('Gastos Gerais'!$C$4:$C$615))</f>
        <v>0</v>
      </c>
      <c r="BH104" s="73">
        <f>SUMPRODUCT(-('Gastos Gerais'!$B$4:$B$615=Analítico!$B104),-(Analítico!BH$3&gt;='Gastos Gerais'!$D$4:$D$615),-(Analítico!BH$3&lt;='Gastos Gerais'!$E$4:$E$615),-('Gastos Gerais'!$C$4:$C$615))</f>
        <v>0</v>
      </c>
      <c r="BI104" s="73">
        <f>SUMPRODUCT(-('Gastos Gerais'!$B$4:$B$615=Analítico!$B104),-(Analítico!BI$3&gt;='Gastos Gerais'!$D$4:$D$615),-(Analítico!BI$3&lt;='Gastos Gerais'!$E$4:$E$615),-('Gastos Gerais'!$C$4:$C$615))</f>
        <v>0</v>
      </c>
      <c r="BJ104" s="73">
        <f>SUMPRODUCT(-('Gastos Gerais'!$B$4:$B$615=Analítico!$B104),-(Analítico!BJ$3&gt;='Gastos Gerais'!$D$4:$D$615),-(Analítico!BJ$3&lt;='Gastos Gerais'!$E$4:$E$615),-('Gastos Gerais'!$C$4:$C$615))</f>
        <v>0</v>
      </c>
      <c r="BK104" s="71">
        <f t="shared" si="33"/>
        <v>1693980</v>
      </c>
      <c r="BL104" s="76">
        <f t="shared" ca="1" si="34"/>
        <v>4.6204971807019485E-3</v>
      </c>
    </row>
    <row r="105" spans="1:64" s="49" customFormat="1" ht="23.25" customHeight="1" x14ac:dyDescent="0.2">
      <c r="A105" s="109" t="s">
        <v>278</v>
      </c>
      <c r="B105" s="125" t="s">
        <v>279</v>
      </c>
      <c r="C105" s="73">
        <f>SUMPRODUCT(-('Gastos Gerais'!$B$4:$B$615=Analítico!$B105),-(Analítico!C$3&gt;='Gastos Gerais'!$D$4:$D$615),-(Analítico!C$3&lt;='Gastos Gerais'!$E$4:$E$615),-('Gastos Gerais'!$C$4:$C$615))</f>
        <v>0</v>
      </c>
      <c r="D105" s="73">
        <f>SUMPRODUCT(-('Gastos Gerais'!$B$4:$B$615=Analítico!$B105),-(Analítico!D$3&gt;='Gastos Gerais'!$D$4:$D$615),-(Analítico!D$3&lt;='Gastos Gerais'!$E$4:$E$615),-('Gastos Gerais'!$C$4:$C$615))</f>
        <v>0</v>
      </c>
      <c r="E105" s="73">
        <f>SUMPRODUCT(-('Gastos Gerais'!$B$4:$B$615=Analítico!$B105),-(Analítico!E$3&gt;='Gastos Gerais'!$D$4:$D$615),-(Analítico!E$3&lt;='Gastos Gerais'!$E$4:$E$615),-('Gastos Gerais'!$C$4:$C$615))</f>
        <v>0</v>
      </c>
      <c r="F105" s="73">
        <f>SUMPRODUCT(-('Gastos Gerais'!$B$4:$B$615=Analítico!$B105),-(Analítico!F$3&gt;='Gastos Gerais'!$D$4:$D$615),-(Analítico!F$3&lt;='Gastos Gerais'!$E$4:$E$615),-('Gastos Gerais'!$C$4:$C$615))</f>
        <v>0</v>
      </c>
      <c r="G105" s="73">
        <f>SUMPRODUCT(-('Gastos Gerais'!$B$4:$B$615=Analítico!$B105),-(Analítico!G$3&gt;='Gastos Gerais'!$D$4:$D$615),-(Analítico!G$3&lt;='Gastos Gerais'!$E$4:$E$615),-('Gastos Gerais'!$C$4:$C$615))</f>
        <v>0</v>
      </c>
      <c r="H105" s="73">
        <f>SUMPRODUCT(-('Gastos Gerais'!$B$4:$B$615=Analítico!$B105),-(Analítico!H$3&gt;='Gastos Gerais'!$D$4:$D$615),-(Analítico!H$3&lt;='Gastos Gerais'!$E$4:$E$615),-('Gastos Gerais'!$C$4:$C$615))</f>
        <v>0</v>
      </c>
      <c r="I105" s="73">
        <f>SUMPRODUCT(-('Gastos Gerais'!$B$4:$B$615=Analítico!$B105),-(Analítico!I$3&gt;='Gastos Gerais'!$D$4:$D$615),-(Analítico!I$3&lt;='Gastos Gerais'!$E$4:$E$615),-('Gastos Gerais'!$C$4:$C$615))</f>
        <v>0</v>
      </c>
      <c r="J105" s="73">
        <f>SUMPRODUCT(-('Gastos Gerais'!$B$4:$B$615=Analítico!$B105),-(Analítico!J$3&gt;='Gastos Gerais'!$D$4:$D$615),-(Analítico!J$3&lt;='Gastos Gerais'!$E$4:$E$615),-('Gastos Gerais'!$C$4:$C$615))</f>
        <v>0</v>
      </c>
      <c r="K105" s="73">
        <f>SUMPRODUCT(-('Gastos Gerais'!$B$4:$B$615=Analítico!$B105),-(Analítico!K$3&gt;='Gastos Gerais'!$D$4:$D$615),-(Analítico!K$3&lt;='Gastos Gerais'!$E$4:$E$615),-('Gastos Gerais'!$C$4:$C$615))</f>
        <v>0</v>
      </c>
      <c r="L105" s="73">
        <f>SUMPRODUCT(-('Gastos Gerais'!$B$4:$B$615=Analítico!$B105),-(Analítico!L$3&gt;='Gastos Gerais'!$D$4:$D$615),-(Analítico!L$3&lt;='Gastos Gerais'!$E$4:$E$615),-('Gastos Gerais'!$C$4:$C$615))</f>
        <v>0</v>
      </c>
      <c r="M105" s="73">
        <f>SUMPRODUCT(-('Gastos Gerais'!$B$4:$B$615=Analítico!$B105),-(Analítico!M$3&gt;='Gastos Gerais'!$D$4:$D$615),-(Analítico!M$3&lt;='Gastos Gerais'!$E$4:$E$615),-('Gastos Gerais'!$C$4:$C$615))</f>
        <v>0</v>
      </c>
      <c r="N105" s="73">
        <f>SUMPRODUCT(-('Gastos Gerais'!$B$4:$B$615=Analítico!$B105),-(Analítico!N$3&gt;='Gastos Gerais'!$D$4:$D$615),-(Analítico!N$3&lt;='Gastos Gerais'!$E$4:$E$615),-('Gastos Gerais'!$C$4:$C$615))</f>
        <v>0</v>
      </c>
      <c r="O105" s="73">
        <f>SUMPRODUCT(-('Gastos Gerais'!$B$4:$B$615=Analítico!$B105),-(Analítico!O$3&gt;='Gastos Gerais'!$D$4:$D$615),-(Analítico!O$3&lt;='Gastos Gerais'!$E$4:$E$615),-('Gastos Gerais'!$C$4:$C$615))</f>
        <v>0</v>
      </c>
      <c r="P105" s="73">
        <f>SUMPRODUCT(-('Gastos Gerais'!$B$4:$B$615=Analítico!$B105),-(Analítico!P$3&gt;='Gastos Gerais'!$D$4:$D$615),-(Analítico!P$3&lt;='Gastos Gerais'!$E$4:$E$615),-('Gastos Gerais'!$C$4:$C$615))</f>
        <v>0</v>
      </c>
      <c r="Q105" s="73">
        <f>SUMPRODUCT(-('Gastos Gerais'!$B$4:$B$615=Analítico!$B105),-(Analítico!Q$3&gt;='Gastos Gerais'!$D$4:$D$615),-(Analítico!Q$3&lt;='Gastos Gerais'!$E$4:$E$615),-('Gastos Gerais'!$C$4:$C$615))</f>
        <v>0</v>
      </c>
      <c r="R105" s="73">
        <f>SUMPRODUCT(-('Gastos Gerais'!$B$4:$B$615=Analítico!$B105),-(Analítico!R$3&gt;='Gastos Gerais'!$D$4:$D$615),-(Analítico!R$3&lt;='Gastos Gerais'!$E$4:$E$615),-('Gastos Gerais'!$C$4:$C$615))</f>
        <v>0</v>
      </c>
      <c r="S105" s="73">
        <f>SUMPRODUCT(-('Gastos Gerais'!$B$4:$B$615=Analítico!$B105),-(Analítico!S$3&gt;='Gastos Gerais'!$D$4:$D$615),-(Analítico!S$3&lt;='Gastos Gerais'!$E$4:$E$615),-('Gastos Gerais'!$C$4:$C$615))</f>
        <v>0</v>
      </c>
      <c r="T105" s="73">
        <f>SUMPRODUCT(-('Gastos Gerais'!$B$4:$B$615=Analítico!$B105),-(Analítico!T$3&gt;='Gastos Gerais'!$D$4:$D$615),-(Analítico!T$3&lt;='Gastos Gerais'!$E$4:$E$615),-('Gastos Gerais'!$C$4:$C$615))</f>
        <v>0</v>
      </c>
      <c r="U105" s="73">
        <f>SUMPRODUCT(-('Gastos Gerais'!$B$4:$B$615=Analítico!$B105),-(Analítico!U$3&gt;='Gastos Gerais'!$D$4:$D$615),-(Analítico!U$3&lt;='Gastos Gerais'!$E$4:$E$615),-('Gastos Gerais'!$C$4:$C$615))</f>
        <v>0</v>
      </c>
      <c r="V105" s="73">
        <f>SUMPRODUCT(-('Gastos Gerais'!$B$4:$B$615=Analítico!$B105),-(Analítico!V$3&gt;='Gastos Gerais'!$D$4:$D$615),-(Analítico!V$3&lt;='Gastos Gerais'!$E$4:$E$615),-('Gastos Gerais'!$C$4:$C$615))</f>
        <v>0</v>
      </c>
      <c r="W105" s="73">
        <f>SUMPRODUCT(-('Gastos Gerais'!$B$4:$B$615=Analítico!$B105),-(Analítico!W$3&gt;='Gastos Gerais'!$D$4:$D$615),-(Analítico!W$3&lt;='Gastos Gerais'!$E$4:$E$615),-('Gastos Gerais'!$C$4:$C$615))</f>
        <v>0</v>
      </c>
      <c r="X105" s="73">
        <f>SUMPRODUCT(-('Gastos Gerais'!$B$4:$B$615=Analítico!$B105),-(Analítico!X$3&gt;='Gastos Gerais'!$D$4:$D$615),-(Analítico!X$3&lt;='Gastos Gerais'!$E$4:$E$615),-('Gastos Gerais'!$C$4:$C$615))</f>
        <v>0</v>
      </c>
      <c r="Y105" s="73">
        <f>SUMPRODUCT(-('Gastos Gerais'!$B$4:$B$615=Analítico!$B105),-(Analítico!Y$3&gt;='Gastos Gerais'!$D$4:$D$615),-(Analítico!Y$3&lt;='Gastos Gerais'!$E$4:$E$615),-('Gastos Gerais'!$C$4:$C$615))</f>
        <v>0</v>
      </c>
      <c r="Z105" s="73">
        <f>SUMPRODUCT(-('Gastos Gerais'!$B$4:$B$615=Analítico!$B105),-(Analítico!Z$3&gt;='Gastos Gerais'!$D$4:$D$615),-(Analítico!Z$3&lt;='Gastos Gerais'!$E$4:$E$615),-('Gastos Gerais'!$C$4:$C$615))</f>
        <v>0</v>
      </c>
      <c r="AA105" s="73">
        <f>SUMPRODUCT(-('Gastos Gerais'!$B$4:$B$615=Analítico!$B105),-(Analítico!AA$3&gt;='Gastos Gerais'!$D$4:$D$615),-(Analítico!AA$3&lt;='Gastos Gerais'!$E$4:$E$615),-('Gastos Gerais'!$C$4:$C$615))</f>
        <v>0</v>
      </c>
      <c r="AB105" s="73">
        <f>SUMPRODUCT(-('Gastos Gerais'!$B$4:$B$615=Analítico!$B105),-(Analítico!AB$3&gt;='Gastos Gerais'!$D$4:$D$615),-(Analítico!AB$3&lt;='Gastos Gerais'!$E$4:$E$615),-('Gastos Gerais'!$C$4:$C$615))</f>
        <v>0</v>
      </c>
      <c r="AC105" s="73">
        <f>SUMPRODUCT(-('Gastos Gerais'!$B$4:$B$615=Analítico!$B105),-(Analítico!AC$3&gt;='Gastos Gerais'!$D$4:$D$615),-(Analítico!AC$3&lt;='Gastos Gerais'!$E$4:$E$615),-('Gastos Gerais'!$C$4:$C$615))</f>
        <v>0</v>
      </c>
      <c r="AD105" s="73">
        <f>SUMPRODUCT(-('Gastos Gerais'!$B$4:$B$615=Analítico!$B105),-(Analítico!AD$3&gt;='Gastos Gerais'!$D$4:$D$615),-(Analítico!AD$3&lt;='Gastos Gerais'!$E$4:$E$615),-('Gastos Gerais'!$C$4:$C$615))</f>
        <v>0</v>
      </c>
      <c r="AE105" s="73">
        <f>SUMPRODUCT(-('Gastos Gerais'!$B$4:$B$615=Analítico!$B105),-(Analítico!AE$3&gt;='Gastos Gerais'!$D$4:$D$615),-(Analítico!AE$3&lt;='Gastos Gerais'!$E$4:$E$615),-('Gastos Gerais'!$C$4:$C$615))</f>
        <v>0</v>
      </c>
      <c r="AF105" s="73">
        <f>SUMPRODUCT(-('Gastos Gerais'!$B$4:$B$615=Analítico!$B105),-(Analítico!AF$3&gt;='Gastos Gerais'!$D$4:$D$615),-(Analítico!AF$3&lt;='Gastos Gerais'!$E$4:$E$615),-('Gastos Gerais'!$C$4:$C$615))</f>
        <v>0</v>
      </c>
      <c r="AG105" s="73">
        <f>SUMPRODUCT(-('Gastos Gerais'!$B$4:$B$615=Analítico!$B105),-(Analítico!AG$3&gt;='Gastos Gerais'!$D$4:$D$615),-(Analítico!AG$3&lt;='Gastos Gerais'!$E$4:$E$615),-('Gastos Gerais'!$C$4:$C$615))</f>
        <v>0</v>
      </c>
      <c r="AH105" s="73">
        <f>SUMPRODUCT(-('Gastos Gerais'!$B$4:$B$615=Analítico!$B105),-(Analítico!AH$3&gt;='Gastos Gerais'!$D$4:$D$615),-(Analítico!AH$3&lt;='Gastos Gerais'!$E$4:$E$615),-('Gastos Gerais'!$C$4:$C$615))</f>
        <v>0</v>
      </c>
      <c r="AI105" s="73">
        <f>SUMPRODUCT(-('Gastos Gerais'!$B$4:$B$615=Analítico!$B105),-(Analítico!AI$3&gt;='Gastos Gerais'!$D$4:$D$615),-(Analítico!AI$3&lt;='Gastos Gerais'!$E$4:$E$615),-('Gastos Gerais'!$C$4:$C$615))</f>
        <v>0</v>
      </c>
      <c r="AJ105" s="73">
        <f>SUMPRODUCT(-('Gastos Gerais'!$B$4:$B$615=Analítico!$B105),-(Analítico!AJ$3&gt;='Gastos Gerais'!$D$4:$D$615),-(Analítico!AJ$3&lt;='Gastos Gerais'!$E$4:$E$615),-('Gastos Gerais'!$C$4:$C$615))</f>
        <v>0</v>
      </c>
      <c r="AK105" s="73">
        <f>SUMPRODUCT(-('Gastos Gerais'!$B$4:$B$615=Analítico!$B105),-(Analítico!AK$3&gt;='Gastos Gerais'!$D$4:$D$615),-(Analítico!AK$3&lt;='Gastos Gerais'!$E$4:$E$615),-('Gastos Gerais'!$C$4:$C$615))</f>
        <v>0</v>
      </c>
      <c r="AL105" s="73">
        <f>SUMPRODUCT(-('Gastos Gerais'!$B$4:$B$615=Analítico!$B105),-(Analítico!AL$3&gt;='Gastos Gerais'!$D$4:$D$615),-(Analítico!AL$3&lt;='Gastos Gerais'!$E$4:$E$615),-('Gastos Gerais'!$C$4:$C$615))</f>
        <v>0</v>
      </c>
      <c r="AM105" s="73">
        <f>SUMPRODUCT(-('Gastos Gerais'!$B$4:$B$615=Analítico!$B105),-(Analítico!AM$3&gt;='Gastos Gerais'!$D$4:$D$615),-(Analítico!AM$3&lt;='Gastos Gerais'!$E$4:$E$615),-('Gastos Gerais'!$C$4:$C$615))</f>
        <v>0</v>
      </c>
      <c r="AN105" s="73">
        <f>SUMPRODUCT(-('Gastos Gerais'!$B$4:$B$615=Analítico!$B105),-(Analítico!AN$3&gt;='Gastos Gerais'!$D$4:$D$615),-(Analítico!AN$3&lt;='Gastos Gerais'!$E$4:$E$615),-('Gastos Gerais'!$C$4:$C$615))</f>
        <v>0</v>
      </c>
      <c r="AO105" s="73">
        <f>SUMPRODUCT(-('Gastos Gerais'!$B$4:$B$615=Analítico!$B105),-(Analítico!AO$3&gt;='Gastos Gerais'!$D$4:$D$615),-(Analítico!AO$3&lt;='Gastos Gerais'!$E$4:$E$615),-('Gastos Gerais'!$C$4:$C$615))</f>
        <v>0</v>
      </c>
      <c r="AP105" s="73">
        <f>SUMPRODUCT(-('Gastos Gerais'!$B$4:$B$615=Analítico!$B105),-(Analítico!AP$3&gt;='Gastos Gerais'!$D$4:$D$615),-(Analítico!AP$3&lt;='Gastos Gerais'!$E$4:$E$615),-('Gastos Gerais'!$C$4:$C$615))</f>
        <v>0</v>
      </c>
      <c r="AQ105" s="73">
        <f>SUMPRODUCT(-('Gastos Gerais'!$B$4:$B$615=Analítico!$B105),-(Analítico!AQ$3&gt;='Gastos Gerais'!$D$4:$D$615),-(Analítico!AQ$3&lt;='Gastos Gerais'!$E$4:$E$615),-('Gastos Gerais'!$C$4:$C$615))</f>
        <v>0</v>
      </c>
      <c r="AR105" s="73">
        <f>SUMPRODUCT(-('Gastos Gerais'!$B$4:$B$615=Analítico!$B105),-(Analítico!AR$3&gt;='Gastos Gerais'!$D$4:$D$615),-(Analítico!AR$3&lt;='Gastos Gerais'!$E$4:$E$615),-('Gastos Gerais'!$C$4:$C$615))</f>
        <v>0</v>
      </c>
      <c r="AS105" s="73">
        <f>SUMPRODUCT(-('Gastos Gerais'!$B$4:$B$615=Analítico!$B105),-(Analítico!AS$3&gt;='Gastos Gerais'!$D$4:$D$615),-(Analítico!AS$3&lt;='Gastos Gerais'!$E$4:$E$615),-('Gastos Gerais'!$C$4:$C$615))</f>
        <v>0</v>
      </c>
      <c r="AT105" s="73">
        <f>SUMPRODUCT(-('Gastos Gerais'!$B$4:$B$615=Analítico!$B105),-(Analítico!AT$3&gt;='Gastos Gerais'!$D$4:$D$615),-(Analítico!AT$3&lt;='Gastos Gerais'!$E$4:$E$615),-('Gastos Gerais'!$C$4:$C$615))</f>
        <v>0</v>
      </c>
      <c r="AU105" s="73">
        <f>SUMPRODUCT(-('Gastos Gerais'!$B$4:$B$615=Analítico!$B105),-(Analítico!AU$3&gt;='Gastos Gerais'!$D$4:$D$615),-(Analítico!AU$3&lt;='Gastos Gerais'!$E$4:$E$615),-('Gastos Gerais'!$C$4:$C$615))</f>
        <v>0</v>
      </c>
      <c r="AV105" s="73">
        <f>SUMPRODUCT(-('Gastos Gerais'!$B$4:$B$615=Analítico!$B105),-(Analítico!AV$3&gt;='Gastos Gerais'!$D$4:$D$615),-(Analítico!AV$3&lt;='Gastos Gerais'!$E$4:$E$615),-('Gastos Gerais'!$C$4:$C$615))</f>
        <v>0</v>
      </c>
      <c r="AW105" s="73">
        <f>SUMPRODUCT(-('Gastos Gerais'!$B$4:$B$615=Analítico!$B105),-(Analítico!AW$3&gt;='Gastos Gerais'!$D$4:$D$615),-(Analítico!AW$3&lt;='Gastos Gerais'!$E$4:$E$615),-('Gastos Gerais'!$C$4:$C$615))</f>
        <v>0</v>
      </c>
      <c r="AX105" s="73">
        <f>SUMPRODUCT(-('Gastos Gerais'!$B$4:$B$615=Analítico!$B105),-(Analítico!AX$3&gt;='Gastos Gerais'!$D$4:$D$615),-(Analítico!AX$3&lt;='Gastos Gerais'!$E$4:$E$615),-('Gastos Gerais'!$C$4:$C$615))</f>
        <v>0</v>
      </c>
      <c r="AY105" s="73">
        <f>SUMPRODUCT(-('Gastos Gerais'!$B$4:$B$615=Analítico!$B105),-(Analítico!AY$3&gt;='Gastos Gerais'!$D$4:$D$615),-(Analítico!AY$3&lt;='Gastos Gerais'!$E$4:$E$615),-('Gastos Gerais'!$C$4:$C$615))</f>
        <v>0</v>
      </c>
      <c r="AZ105" s="73">
        <f>SUMPRODUCT(-('Gastos Gerais'!$B$4:$B$615=Analítico!$B105),-(Analítico!AZ$3&gt;='Gastos Gerais'!$D$4:$D$615),-(Analítico!AZ$3&lt;='Gastos Gerais'!$E$4:$E$615),-('Gastos Gerais'!$C$4:$C$615))</f>
        <v>0</v>
      </c>
      <c r="BA105" s="73">
        <f>SUMPRODUCT(-('Gastos Gerais'!$B$4:$B$615=Analítico!$B105),-(Analítico!BA$3&gt;='Gastos Gerais'!$D$4:$D$615),-(Analítico!BA$3&lt;='Gastos Gerais'!$E$4:$E$615),-('Gastos Gerais'!$C$4:$C$615))</f>
        <v>0</v>
      </c>
      <c r="BB105" s="73">
        <f>SUMPRODUCT(-('Gastos Gerais'!$B$4:$B$615=Analítico!$B105),-(Analítico!BB$3&gt;='Gastos Gerais'!$D$4:$D$615),-(Analítico!BB$3&lt;='Gastos Gerais'!$E$4:$E$615),-('Gastos Gerais'!$C$4:$C$615))</f>
        <v>0</v>
      </c>
      <c r="BC105" s="73">
        <f>SUMPRODUCT(-('Gastos Gerais'!$B$4:$B$615=Analítico!$B105),-(Analítico!BC$3&gt;='Gastos Gerais'!$D$4:$D$615),-(Analítico!BC$3&lt;='Gastos Gerais'!$E$4:$E$615),-('Gastos Gerais'!$C$4:$C$615))</f>
        <v>0</v>
      </c>
      <c r="BD105" s="73">
        <f>SUMPRODUCT(-('Gastos Gerais'!$B$4:$B$615=Analítico!$B105),-(Analítico!BD$3&gt;='Gastos Gerais'!$D$4:$D$615),-(Analítico!BD$3&lt;='Gastos Gerais'!$E$4:$E$615),-('Gastos Gerais'!$C$4:$C$615))</f>
        <v>0</v>
      </c>
      <c r="BE105" s="73">
        <f>SUMPRODUCT(-('Gastos Gerais'!$B$4:$B$615=Analítico!$B105),-(Analítico!BE$3&gt;='Gastos Gerais'!$D$4:$D$615),-(Analítico!BE$3&lt;='Gastos Gerais'!$E$4:$E$615),-('Gastos Gerais'!$C$4:$C$615))</f>
        <v>0</v>
      </c>
      <c r="BF105" s="73">
        <f>SUMPRODUCT(-('Gastos Gerais'!$B$4:$B$615=Analítico!$B105),-(Analítico!BF$3&gt;='Gastos Gerais'!$D$4:$D$615),-(Analítico!BF$3&lt;='Gastos Gerais'!$E$4:$E$615),-('Gastos Gerais'!$C$4:$C$615))</f>
        <v>0</v>
      </c>
      <c r="BG105" s="73">
        <f>SUMPRODUCT(-('Gastos Gerais'!$B$4:$B$615=Analítico!$B105),-(Analítico!BG$3&gt;='Gastos Gerais'!$D$4:$D$615),-(Analítico!BG$3&lt;='Gastos Gerais'!$E$4:$E$615),-('Gastos Gerais'!$C$4:$C$615))</f>
        <v>0</v>
      </c>
      <c r="BH105" s="73">
        <f>SUMPRODUCT(-('Gastos Gerais'!$B$4:$B$615=Analítico!$B105),-(Analítico!BH$3&gt;='Gastos Gerais'!$D$4:$D$615),-(Analítico!BH$3&lt;='Gastos Gerais'!$E$4:$E$615),-('Gastos Gerais'!$C$4:$C$615))</f>
        <v>0</v>
      </c>
      <c r="BI105" s="73">
        <f>SUMPRODUCT(-('Gastos Gerais'!$B$4:$B$615=Analítico!$B105),-(Analítico!BI$3&gt;='Gastos Gerais'!$D$4:$D$615),-(Analítico!BI$3&lt;='Gastos Gerais'!$E$4:$E$615),-('Gastos Gerais'!$C$4:$C$615))</f>
        <v>0</v>
      </c>
      <c r="BJ105" s="73">
        <f>SUMPRODUCT(-('Gastos Gerais'!$B$4:$B$615=Analítico!$B105),-(Analítico!BJ$3&gt;='Gastos Gerais'!$D$4:$D$615),-(Analítico!BJ$3&lt;='Gastos Gerais'!$E$4:$E$615),-('Gastos Gerais'!$C$4:$C$615))</f>
        <v>0</v>
      </c>
      <c r="BK105" s="71">
        <f t="shared" si="33"/>
        <v>0</v>
      </c>
      <c r="BL105" s="76">
        <f t="shared" ca="1" si="34"/>
        <v>0</v>
      </c>
    </row>
    <row r="106" spans="1:64" s="49" customFormat="1" ht="23.25" customHeight="1" x14ac:dyDescent="0.2">
      <c r="A106" s="109" t="s">
        <v>280</v>
      </c>
      <c r="B106" s="111" t="s">
        <v>281</v>
      </c>
      <c r="C106" s="73">
        <f>SUMPRODUCT(-('Gastos Gerais'!$B$4:$B$615=Analítico!$B106),-(Analítico!C$3&gt;='Gastos Gerais'!$D$4:$D$615),-(Analítico!C$3&lt;='Gastos Gerais'!$E$4:$E$615),-('Gastos Gerais'!$C$4:$C$615))</f>
        <v>0</v>
      </c>
      <c r="D106" s="73">
        <f>SUMPRODUCT(-('Gastos Gerais'!$B$4:$B$615=Analítico!$B106),-(Analítico!D$3&gt;='Gastos Gerais'!$D$4:$D$615),-(Analítico!D$3&lt;='Gastos Gerais'!$E$4:$E$615),-('Gastos Gerais'!$C$4:$C$615))</f>
        <v>0</v>
      </c>
      <c r="E106" s="73">
        <f>SUMPRODUCT(-('Gastos Gerais'!$B$4:$B$615=Analítico!$B106),-(Analítico!E$3&gt;='Gastos Gerais'!$D$4:$D$615),-(Analítico!E$3&lt;='Gastos Gerais'!$E$4:$E$615),-('Gastos Gerais'!$C$4:$C$615))</f>
        <v>0</v>
      </c>
      <c r="F106" s="73">
        <f>SUMPRODUCT(-('Gastos Gerais'!$B$4:$B$615=Analítico!$B106),-(Analítico!F$3&gt;='Gastos Gerais'!$D$4:$D$615),-(Analítico!F$3&lt;='Gastos Gerais'!$E$4:$E$615),-('Gastos Gerais'!$C$4:$C$615))</f>
        <v>0</v>
      </c>
      <c r="G106" s="73">
        <f>SUMPRODUCT(-('Gastos Gerais'!$B$4:$B$615=Analítico!$B106),-(Analítico!G$3&gt;='Gastos Gerais'!$D$4:$D$615),-(Analítico!G$3&lt;='Gastos Gerais'!$E$4:$E$615),-('Gastos Gerais'!$C$4:$C$615))</f>
        <v>0</v>
      </c>
      <c r="H106" s="73">
        <f>SUMPRODUCT(-('Gastos Gerais'!$B$4:$B$615=Analítico!$B106),-(Analítico!H$3&gt;='Gastos Gerais'!$D$4:$D$615),-(Analítico!H$3&lt;='Gastos Gerais'!$E$4:$E$615),-('Gastos Gerais'!$C$4:$C$615))</f>
        <v>0</v>
      </c>
      <c r="I106" s="73">
        <f>SUMPRODUCT(-('Gastos Gerais'!$B$4:$B$615=Analítico!$B106),-(Analítico!I$3&gt;='Gastos Gerais'!$D$4:$D$615),-(Analítico!I$3&lt;='Gastos Gerais'!$E$4:$E$615),-('Gastos Gerais'!$C$4:$C$615))</f>
        <v>0</v>
      </c>
      <c r="J106" s="73">
        <f>SUMPRODUCT(-('Gastos Gerais'!$B$4:$B$615=Analítico!$B106),-(Analítico!J$3&gt;='Gastos Gerais'!$D$4:$D$615),-(Analítico!J$3&lt;='Gastos Gerais'!$E$4:$E$615),-('Gastos Gerais'!$C$4:$C$615))</f>
        <v>0</v>
      </c>
      <c r="K106" s="73">
        <f>SUMPRODUCT(-('Gastos Gerais'!$B$4:$B$615=Analítico!$B106),-(Analítico!K$3&gt;='Gastos Gerais'!$D$4:$D$615),-(Analítico!K$3&lt;='Gastos Gerais'!$E$4:$E$615),-('Gastos Gerais'!$C$4:$C$615))</f>
        <v>0</v>
      </c>
      <c r="L106" s="73">
        <f>SUMPRODUCT(-('Gastos Gerais'!$B$4:$B$615=Analítico!$B106),-(Analítico!L$3&gt;='Gastos Gerais'!$D$4:$D$615),-(Analítico!L$3&lt;='Gastos Gerais'!$E$4:$E$615),-('Gastos Gerais'!$C$4:$C$615))</f>
        <v>0</v>
      </c>
      <c r="M106" s="73">
        <f>SUMPRODUCT(-('Gastos Gerais'!$B$4:$B$615=Analítico!$B106),-(Analítico!M$3&gt;='Gastos Gerais'!$D$4:$D$615),-(Analítico!M$3&lt;='Gastos Gerais'!$E$4:$E$615),-('Gastos Gerais'!$C$4:$C$615))</f>
        <v>0</v>
      </c>
      <c r="N106" s="73">
        <f>SUMPRODUCT(-('Gastos Gerais'!$B$4:$B$615=Analítico!$B106),-(Analítico!N$3&gt;='Gastos Gerais'!$D$4:$D$615),-(Analítico!N$3&lt;='Gastos Gerais'!$E$4:$E$615),-('Gastos Gerais'!$C$4:$C$615))</f>
        <v>0</v>
      </c>
      <c r="O106" s="73">
        <f>SUMPRODUCT(-('Gastos Gerais'!$B$4:$B$615=Analítico!$B106),-(Analítico!O$3&gt;='Gastos Gerais'!$D$4:$D$615),-(Analítico!O$3&lt;='Gastos Gerais'!$E$4:$E$615),-('Gastos Gerais'!$C$4:$C$615))</f>
        <v>0</v>
      </c>
      <c r="P106" s="73">
        <f>SUMPRODUCT(-('Gastos Gerais'!$B$4:$B$615=Analítico!$B106),-(Analítico!P$3&gt;='Gastos Gerais'!$D$4:$D$615),-(Analítico!P$3&lt;='Gastos Gerais'!$E$4:$E$615),-('Gastos Gerais'!$C$4:$C$615))</f>
        <v>0</v>
      </c>
      <c r="Q106" s="73">
        <f>SUMPRODUCT(-('Gastos Gerais'!$B$4:$B$615=Analítico!$B106),-(Analítico!Q$3&gt;='Gastos Gerais'!$D$4:$D$615),-(Analítico!Q$3&lt;='Gastos Gerais'!$E$4:$E$615),-('Gastos Gerais'!$C$4:$C$615))</f>
        <v>0</v>
      </c>
      <c r="R106" s="73">
        <f>SUMPRODUCT(-('Gastos Gerais'!$B$4:$B$615=Analítico!$B106),-(Analítico!R$3&gt;='Gastos Gerais'!$D$4:$D$615),-(Analítico!R$3&lt;='Gastos Gerais'!$E$4:$E$615),-('Gastos Gerais'!$C$4:$C$615))</f>
        <v>0</v>
      </c>
      <c r="S106" s="73">
        <f>SUMPRODUCT(-('Gastos Gerais'!$B$4:$B$615=Analítico!$B106),-(Analítico!S$3&gt;='Gastos Gerais'!$D$4:$D$615),-(Analítico!S$3&lt;='Gastos Gerais'!$E$4:$E$615),-('Gastos Gerais'!$C$4:$C$615))</f>
        <v>0</v>
      </c>
      <c r="T106" s="73">
        <f>SUMPRODUCT(-('Gastos Gerais'!$B$4:$B$615=Analítico!$B106),-(Analítico!T$3&gt;='Gastos Gerais'!$D$4:$D$615),-(Analítico!T$3&lt;='Gastos Gerais'!$E$4:$E$615),-('Gastos Gerais'!$C$4:$C$615))</f>
        <v>0</v>
      </c>
      <c r="U106" s="73">
        <f>SUMPRODUCT(-('Gastos Gerais'!$B$4:$B$615=Analítico!$B106),-(Analítico!U$3&gt;='Gastos Gerais'!$D$4:$D$615),-(Analítico!U$3&lt;='Gastos Gerais'!$E$4:$E$615),-('Gastos Gerais'!$C$4:$C$615))</f>
        <v>0</v>
      </c>
      <c r="V106" s="73">
        <f>SUMPRODUCT(-('Gastos Gerais'!$B$4:$B$615=Analítico!$B106),-(Analítico!V$3&gt;='Gastos Gerais'!$D$4:$D$615),-(Analítico!V$3&lt;='Gastos Gerais'!$E$4:$E$615),-('Gastos Gerais'!$C$4:$C$615))</f>
        <v>0</v>
      </c>
      <c r="W106" s="73">
        <f>SUMPRODUCT(-('Gastos Gerais'!$B$4:$B$615=Analítico!$B106),-(Analítico!W$3&gt;='Gastos Gerais'!$D$4:$D$615),-(Analítico!W$3&lt;='Gastos Gerais'!$E$4:$E$615),-('Gastos Gerais'!$C$4:$C$615))</f>
        <v>0</v>
      </c>
      <c r="X106" s="73">
        <f>SUMPRODUCT(-('Gastos Gerais'!$B$4:$B$615=Analítico!$B106),-(Analítico!X$3&gt;='Gastos Gerais'!$D$4:$D$615),-(Analítico!X$3&lt;='Gastos Gerais'!$E$4:$E$615),-('Gastos Gerais'!$C$4:$C$615))</f>
        <v>0</v>
      </c>
      <c r="Y106" s="73">
        <f>SUMPRODUCT(-('Gastos Gerais'!$B$4:$B$615=Analítico!$B106),-(Analítico!Y$3&gt;='Gastos Gerais'!$D$4:$D$615),-(Analítico!Y$3&lt;='Gastos Gerais'!$E$4:$E$615),-('Gastos Gerais'!$C$4:$C$615))</f>
        <v>0</v>
      </c>
      <c r="Z106" s="73">
        <f>SUMPRODUCT(-('Gastos Gerais'!$B$4:$B$615=Analítico!$B106),-(Analítico!Z$3&gt;='Gastos Gerais'!$D$4:$D$615),-(Analítico!Z$3&lt;='Gastos Gerais'!$E$4:$E$615),-('Gastos Gerais'!$C$4:$C$615))</f>
        <v>0</v>
      </c>
      <c r="AA106" s="73">
        <f>SUMPRODUCT(-('Gastos Gerais'!$B$4:$B$615=Analítico!$B106),-(Analítico!AA$3&gt;='Gastos Gerais'!$D$4:$D$615),-(Analítico!AA$3&lt;='Gastos Gerais'!$E$4:$E$615),-('Gastos Gerais'!$C$4:$C$615))</f>
        <v>0</v>
      </c>
      <c r="AB106" s="73">
        <f>SUMPRODUCT(-('Gastos Gerais'!$B$4:$B$615=Analítico!$B106),-(Analítico!AB$3&gt;='Gastos Gerais'!$D$4:$D$615),-(Analítico!AB$3&lt;='Gastos Gerais'!$E$4:$E$615),-('Gastos Gerais'!$C$4:$C$615))</f>
        <v>0</v>
      </c>
      <c r="AC106" s="73">
        <f>SUMPRODUCT(-('Gastos Gerais'!$B$4:$B$615=Analítico!$B106),-(Analítico!AC$3&gt;='Gastos Gerais'!$D$4:$D$615),-(Analítico!AC$3&lt;='Gastos Gerais'!$E$4:$E$615),-('Gastos Gerais'!$C$4:$C$615))</f>
        <v>0</v>
      </c>
      <c r="AD106" s="73">
        <f>SUMPRODUCT(-('Gastos Gerais'!$B$4:$B$615=Analítico!$B106),-(Analítico!AD$3&gt;='Gastos Gerais'!$D$4:$D$615),-(Analítico!AD$3&lt;='Gastos Gerais'!$E$4:$E$615),-('Gastos Gerais'!$C$4:$C$615))</f>
        <v>0</v>
      </c>
      <c r="AE106" s="73">
        <f>SUMPRODUCT(-('Gastos Gerais'!$B$4:$B$615=Analítico!$B106),-(Analítico!AE$3&gt;='Gastos Gerais'!$D$4:$D$615),-(Analítico!AE$3&lt;='Gastos Gerais'!$E$4:$E$615),-('Gastos Gerais'!$C$4:$C$615))</f>
        <v>0</v>
      </c>
      <c r="AF106" s="73">
        <f>SUMPRODUCT(-('Gastos Gerais'!$B$4:$B$615=Analítico!$B106),-(Analítico!AF$3&gt;='Gastos Gerais'!$D$4:$D$615),-(Analítico!AF$3&lt;='Gastos Gerais'!$E$4:$E$615),-('Gastos Gerais'!$C$4:$C$615))</f>
        <v>0</v>
      </c>
      <c r="AG106" s="73">
        <f>SUMPRODUCT(-('Gastos Gerais'!$B$4:$B$615=Analítico!$B106),-(Analítico!AG$3&gt;='Gastos Gerais'!$D$4:$D$615),-(Analítico!AG$3&lt;='Gastos Gerais'!$E$4:$E$615),-('Gastos Gerais'!$C$4:$C$615))</f>
        <v>0</v>
      </c>
      <c r="AH106" s="73">
        <f>SUMPRODUCT(-('Gastos Gerais'!$B$4:$B$615=Analítico!$B106),-(Analítico!AH$3&gt;='Gastos Gerais'!$D$4:$D$615),-(Analítico!AH$3&lt;='Gastos Gerais'!$E$4:$E$615),-('Gastos Gerais'!$C$4:$C$615))</f>
        <v>0</v>
      </c>
      <c r="AI106" s="73">
        <f>SUMPRODUCT(-('Gastos Gerais'!$B$4:$B$615=Analítico!$B106),-(Analítico!AI$3&gt;='Gastos Gerais'!$D$4:$D$615),-(Analítico!AI$3&lt;='Gastos Gerais'!$E$4:$E$615),-('Gastos Gerais'!$C$4:$C$615))</f>
        <v>0</v>
      </c>
      <c r="AJ106" s="73">
        <f>SUMPRODUCT(-('Gastos Gerais'!$B$4:$B$615=Analítico!$B106),-(Analítico!AJ$3&gt;='Gastos Gerais'!$D$4:$D$615),-(Analítico!AJ$3&lt;='Gastos Gerais'!$E$4:$E$615),-('Gastos Gerais'!$C$4:$C$615))</f>
        <v>0</v>
      </c>
      <c r="AK106" s="73">
        <f>SUMPRODUCT(-('Gastos Gerais'!$B$4:$B$615=Analítico!$B106),-(Analítico!AK$3&gt;='Gastos Gerais'!$D$4:$D$615),-(Analítico!AK$3&lt;='Gastos Gerais'!$E$4:$E$615),-('Gastos Gerais'!$C$4:$C$615))</f>
        <v>0</v>
      </c>
      <c r="AL106" s="73">
        <f>SUMPRODUCT(-('Gastos Gerais'!$B$4:$B$615=Analítico!$B106),-(Analítico!AL$3&gt;='Gastos Gerais'!$D$4:$D$615),-(Analítico!AL$3&lt;='Gastos Gerais'!$E$4:$E$615),-('Gastos Gerais'!$C$4:$C$615))</f>
        <v>0</v>
      </c>
      <c r="AM106" s="73">
        <f>SUMPRODUCT(-('Gastos Gerais'!$B$4:$B$615=Analítico!$B106),-(Analítico!AM$3&gt;='Gastos Gerais'!$D$4:$D$615),-(Analítico!AM$3&lt;='Gastos Gerais'!$E$4:$E$615),-('Gastos Gerais'!$C$4:$C$615))</f>
        <v>0</v>
      </c>
      <c r="AN106" s="73">
        <f>SUMPRODUCT(-('Gastos Gerais'!$B$4:$B$615=Analítico!$B106),-(Analítico!AN$3&gt;='Gastos Gerais'!$D$4:$D$615),-(Analítico!AN$3&lt;='Gastos Gerais'!$E$4:$E$615),-('Gastos Gerais'!$C$4:$C$615))</f>
        <v>0</v>
      </c>
      <c r="AO106" s="73">
        <f>SUMPRODUCT(-('Gastos Gerais'!$B$4:$B$615=Analítico!$B106),-(Analítico!AO$3&gt;='Gastos Gerais'!$D$4:$D$615),-(Analítico!AO$3&lt;='Gastos Gerais'!$E$4:$E$615),-('Gastos Gerais'!$C$4:$C$615))</f>
        <v>0</v>
      </c>
      <c r="AP106" s="73">
        <f>SUMPRODUCT(-('Gastos Gerais'!$B$4:$B$615=Analítico!$B106),-(Analítico!AP$3&gt;='Gastos Gerais'!$D$4:$D$615),-(Analítico!AP$3&lt;='Gastos Gerais'!$E$4:$E$615),-('Gastos Gerais'!$C$4:$C$615))</f>
        <v>0</v>
      </c>
      <c r="AQ106" s="73">
        <f>SUMPRODUCT(-('Gastos Gerais'!$B$4:$B$615=Analítico!$B106),-(Analítico!AQ$3&gt;='Gastos Gerais'!$D$4:$D$615),-(Analítico!AQ$3&lt;='Gastos Gerais'!$E$4:$E$615),-('Gastos Gerais'!$C$4:$C$615))</f>
        <v>0</v>
      </c>
      <c r="AR106" s="73">
        <f>SUMPRODUCT(-('Gastos Gerais'!$B$4:$B$615=Analítico!$B106),-(Analítico!AR$3&gt;='Gastos Gerais'!$D$4:$D$615),-(Analítico!AR$3&lt;='Gastos Gerais'!$E$4:$E$615),-('Gastos Gerais'!$C$4:$C$615))</f>
        <v>0</v>
      </c>
      <c r="AS106" s="73">
        <f>SUMPRODUCT(-('Gastos Gerais'!$B$4:$B$615=Analítico!$B106),-(Analítico!AS$3&gt;='Gastos Gerais'!$D$4:$D$615),-(Analítico!AS$3&lt;='Gastos Gerais'!$E$4:$E$615),-('Gastos Gerais'!$C$4:$C$615))</f>
        <v>0</v>
      </c>
      <c r="AT106" s="73">
        <f>SUMPRODUCT(-('Gastos Gerais'!$B$4:$B$615=Analítico!$B106),-(Analítico!AT$3&gt;='Gastos Gerais'!$D$4:$D$615),-(Analítico!AT$3&lt;='Gastos Gerais'!$E$4:$E$615),-('Gastos Gerais'!$C$4:$C$615))</f>
        <v>0</v>
      </c>
      <c r="AU106" s="73">
        <f>SUMPRODUCT(-('Gastos Gerais'!$B$4:$B$615=Analítico!$B106),-(Analítico!AU$3&gt;='Gastos Gerais'!$D$4:$D$615),-(Analítico!AU$3&lt;='Gastos Gerais'!$E$4:$E$615),-('Gastos Gerais'!$C$4:$C$615))</f>
        <v>0</v>
      </c>
      <c r="AV106" s="73">
        <f>SUMPRODUCT(-('Gastos Gerais'!$B$4:$B$615=Analítico!$B106),-(Analítico!AV$3&gt;='Gastos Gerais'!$D$4:$D$615),-(Analítico!AV$3&lt;='Gastos Gerais'!$E$4:$E$615),-('Gastos Gerais'!$C$4:$C$615))</f>
        <v>0</v>
      </c>
      <c r="AW106" s="73">
        <f>SUMPRODUCT(-('Gastos Gerais'!$B$4:$B$615=Analítico!$B106),-(Analítico!AW$3&gt;='Gastos Gerais'!$D$4:$D$615),-(Analítico!AW$3&lt;='Gastos Gerais'!$E$4:$E$615),-('Gastos Gerais'!$C$4:$C$615))</f>
        <v>0</v>
      </c>
      <c r="AX106" s="73">
        <f>SUMPRODUCT(-('Gastos Gerais'!$B$4:$B$615=Analítico!$B106),-(Analítico!AX$3&gt;='Gastos Gerais'!$D$4:$D$615),-(Analítico!AX$3&lt;='Gastos Gerais'!$E$4:$E$615),-('Gastos Gerais'!$C$4:$C$615))</f>
        <v>0</v>
      </c>
      <c r="AY106" s="73">
        <f>SUMPRODUCT(-('Gastos Gerais'!$B$4:$B$615=Analítico!$B106),-(Analítico!AY$3&gt;='Gastos Gerais'!$D$4:$D$615),-(Analítico!AY$3&lt;='Gastos Gerais'!$E$4:$E$615),-('Gastos Gerais'!$C$4:$C$615))</f>
        <v>0</v>
      </c>
      <c r="AZ106" s="73">
        <f>SUMPRODUCT(-('Gastos Gerais'!$B$4:$B$615=Analítico!$B106),-(Analítico!AZ$3&gt;='Gastos Gerais'!$D$4:$D$615),-(Analítico!AZ$3&lt;='Gastos Gerais'!$E$4:$E$615),-('Gastos Gerais'!$C$4:$C$615))</f>
        <v>0</v>
      </c>
      <c r="BA106" s="73">
        <f>SUMPRODUCT(-('Gastos Gerais'!$B$4:$B$615=Analítico!$B106),-(Analítico!BA$3&gt;='Gastos Gerais'!$D$4:$D$615),-(Analítico!BA$3&lt;='Gastos Gerais'!$E$4:$E$615),-('Gastos Gerais'!$C$4:$C$615))</f>
        <v>0</v>
      </c>
      <c r="BB106" s="73">
        <f>SUMPRODUCT(-('Gastos Gerais'!$B$4:$B$615=Analítico!$B106),-(Analítico!BB$3&gt;='Gastos Gerais'!$D$4:$D$615),-(Analítico!BB$3&lt;='Gastos Gerais'!$E$4:$E$615),-('Gastos Gerais'!$C$4:$C$615))</f>
        <v>0</v>
      </c>
      <c r="BC106" s="73">
        <f>SUMPRODUCT(-('Gastos Gerais'!$B$4:$B$615=Analítico!$B106),-(Analítico!BC$3&gt;='Gastos Gerais'!$D$4:$D$615),-(Analítico!BC$3&lt;='Gastos Gerais'!$E$4:$E$615),-('Gastos Gerais'!$C$4:$C$615))</f>
        <v>0</v>
      </c>
      <c r="BD106" s="73">
        <f>SUMPRODUCT(-('Gastos Gerais'!$B$4:$B$615=Analítico!$B106),-(Analítico!BD$3&gt;='Gastos Gerais'!$D$4:$D$615),-(Analítico!BD$3&lt;='Gastos Gerais'!$E$4:$E$615),-('Gastos Gerais'!$C$4:$C$615))</f>
        <v>0</v>
      </c>
      <c r="BE106" s="73">
        <f>SUMPRODUCT(-('Gastos Gerais'!$B$4:$B$615=Analítico!$B106),-(Analítico!BE$3&gt;='Gastos Gerais'!$D$4:$D$615),-(Analítico!BE$3&lt;='Gastos Gerais'!$E$4:$E$615),-('Gastos Gerais'!$C$4:$C$615))</f>
        <v>0</v>
      </c>
      <c r="BF106" s="73">
        <f>SUMPRODUCT(-('Gastos Gerais'!$B$4:$B$615=Analítico!$B106),-(Analítico!BF$3&gt;='Gastos Gerais'!$D$4:$D$615),-(Analítico!BF$3&lt;='Gastos Gerais'!$E$4:$E$615),-('Gastos Gerais'!$C$4:$C$615))</f>
        <v>0</v>
      </c>
      <c r="BG106" s="73">
        <f>SUMPRODUCT(-('Gastos Gerais'!$B$4:$B$615=Analítico!$B106),-(Analítico!BG$3&gt;='Gastos Gerais'!$D$4:$D$615),-(Analítico!BG$3&lt;='Gastos Gerais'!$E$4:$E$615),-('Gastos Gerais'!$C$4:$C$615))</f>
        <v>0</v>
      </c>
      <c r="BH106" s="73">
        <f>SUMPRODUCT(-('Gastos Gerais'!$B$4:$B$615=Analítico!$B106),-(Analítico!BH$3&gt;='Gastos Gerais'!$D$4:$D$615),-(Analítico!BH$3&lt;='Gastos Gerais'!$E$4:$E$615),-('Gastos Gerais'!$C$4:$C$615))</f>
        <v>0</v>
      </c>
      <c r="BI106" s="73">
        <f>SUMPRODUCT(-('Gastos Gerais'!$B$4:$B$615=Analítico!$B106),-(Analítico!BI$3&gt;='Gastos Gerais'!$D$4:$D$615),-(Analítico!BI$3&lt;='Gastos Gerais'!$E$4:$E$615),-('Gastos Gerais'!$C$4:$C$615))</f>
        <v>0</v>
      </c>
      <c r="BJ106" s="73">
        <f>SUMPRODUCT(-('Gastos Gerais'!$B$4:$B$615=Analítico!$B106),-(Analítico!BJ$3&gt;='Gastos Gerais'!$D$4:$D$615),-(Analítico!BJ$3&lt;='Gastos Gerais'!$E$4:$E$615),-('Gastos Gerais'!$C$4:$C$615))</f>
        <v>0</v>
      </c>
      <c r="BK106" s="71">
        <f t="shared" si="33"/>
        <v>0</v>
      </c>
      <c r="BL106" s="76">
        <f t="shared" ca="1" si="34"/>
        <v>0</v>
      </c>
    </row>
    <row r="107" spans="1:64" s="49" customFormat="1" ht="23.25" customHeight="1" x14ac:dyDescent="0.2">
      <c r="A107" s="109" t="s">
        <v>282</v>
      </c>
      <c r="B107" s="112" t="s">
        <v>283</v>
      </c>
      <c r="C107" s="73">
        <f>SUMPRODUCT(-('Gastos Gerais'!$B$4:$B$615=Analítico!$B107),-(Analítico!C$3&gt;='Gastos Gerais'!$D$4:$D$615),-(Analítico!C$3&lt;='Gastos Gerais'!$E$4:$E$615),-('Gastos Gerais'!$C$4:$C$615))</f>
        <v>0</v>
      </c>
      <c r="D107" s="73">
        <f>SUMPRODUCT(-('Gastos Gerais'!$B$4:$B$615=Analítico!$B107),-(Analítico!D$3&gt;='Gastos Gerais'!$D$4:$D$615),-(Analítico!D$3&lt;='Gastos Gerais'!$E$4:$E$615),-('Gastos Gerais'!$C$4:$C$615))</f>
        <v>0</v>
      </c>
      <c r="E107" s="73">
        <f>SUMPRODUCT(-('Gastos Gerais'!$B$4:$B$615=Analítico!$B107),-(Analítico!E$3&gt;='Gastos Gerais'!$D$4:$D$615),-(Analítico!E$3&lt;='Gastos Gerais'!$E$4:$E$615),-('Gastos Gerais'!$C$4:$C$615))</f>
        <v>0</v>
      </c>
      <c r="F107" s="73">
        <f>SUMPRODUCT(-('Gastos Gerais'!$B$4:$B$615=Analítico!$B107),-(Analítico!F$3&gt;='Gastos Gerais'!$D$4:$D$615),-(Analítico!F$3&lt;='Gastos Gerais'!$E$4:$E$615),-('Gastos Gerais'!$C$4:$C$615))</f>
        <v>0</v>
      </c>
      <c r="G107" s="73">
        <f>SUMPRODUCT(-('Gastos Gerais'!$B$4:$B$615=Analítico!$B107),-(Analítico!G$3&gt;='Gastos Gerais'!$D$4:$D$615),-(Analítico!G$3&lt;='Gastos Gerais'!$E$4:$E$615),-('Gastos Gerais'!$C$4:$C$615))</f>
        <v>0</v>
      </c>
      <c r="H107" s="73">
        <f>SUMPRODUCT(-('Gastos Gerais'!$B$4:$B$615=Analítico!$B107),-(Analítico!H$3&gt;='Gastos Gerais'!$D$4:$D$615),-(Analítico!H$3&lt;='Gastos Gerais'!$E$4:$E$615),-('Gastos Gerais'!$C$4:$C$615))</f>
        <v>0</v>
      </c>
      <c r="I107" s="73">
        <f>SUMPRODUCT(-('Gastos Gerais'!$B$4:$B$615=Analítico!$B107),-(Analítico!I$3&gt;='Gastos Gerais'!$D$4:$D$615),-(Analítico!I$3&lt;='Gastos Gerais'!$E$4:$E$615),-('Gastos Gerais'!$C$4:$C$615))</f>
        <v>0</v>
      </c>
      <c r="J107" s="73">
        <f>SUMPRODUCT(-('Gastos Gerais'!$B$4:$B$615=Analítico!$B107),-(Analítico!J$3&gt;='Gastos Gerais'!$D$4:$D$615),-(Analítico!J$3&lt;='Gastos Gerais'!$E$4:$E$615),-('Gastos Gerais'!$C$4:$C$615))</f>
        <v>0</v>
      </c>
      <c r="K107" s="73">
        <f>SUMPRODUCT(-('Gastos Gerais'!$B$4:$B$615=Analítico!$B107),-(Analítico!K$3&gt;='Gastos Gerais'!$D$4:$D$615),-(Analítico!K$3&lt;='Gastos Gerais'!$E$4:$E$615),-('Gastos Gerais'!$C$4:$C$615))</f>
        <v>0</v>
      </c>
      <c r="L107" s="73">
        <f>SUMPRODUCT(-('Gastos Gerais'!$B$4:$B$615=Analítico!$B107),-(Analítico!L$3&gt;='Gastos Gerais'!$D$4:$D$615),-(Analítico!L$3&lt;='Gastos Gerais'!$E$4:$E$615),-('Gastos Gerais'!$C$4:$C$615))</f>
        <v>0</v>
      </c>
      <c r="M107" s="73">
        <f>SUMPRODUCT(-('Gastos Gerais'!$B$4:$B$615=Analítico!$B107),-(Analítico!M$3&gt;='Gastos Gerais'!$D$4:$D$615),-(Analítico!M$3&lt;='Gastos Gerais'!$E$4:$E$615),-('Gastos Gerais'!$C$4:$C$615))</f>
        <v>0</v>
      </c>
      <c r="N107" s="73">
        <f>SUMPRODUCT(-('Gastos Gerais'!$B$4:$B$615=Analítico!$B107),-(Analítico!N$3&gt;='Gastos Gerais'!$D$4:$D$615),-(Analítico!N$3&lt;='Gastos Gerais'!$E$4:$E$615),-('Gastos Gerais'!$C$4:$C$615))</f>
        <v>0</v>
      </c>
      <c r="O107" s="73">
        <f>SUMPRODUCT(-('Gastos Gerais'!$B$4:$B$615=Analítico!$B107),-(Analítico!O$3&gt;='Gastos Gerais'!$D$4:$D$615),-(Analítico!O$3&lt;='Gastos Gerais'!$E$4:$E$615),-('Gastos Gerais'!$C$4:$C$615))</f>
        <v>0</v>
      </c>
      <c r="P107" s="73">
        <f>SUMPRODUCT(-('Gastos Gerais'!$B$4:$B$615=Analítico!$B107),-(Analítico!P$3&gt;='Gastos Gerais'!$D$4:$D$615),-(Analítico!P$3&lt;='Gastos Gerais'!$E$4:$E$615),-('Gastos Gerais'!$C$4:$C$615))</f>
        <v>0</v>
      </c>
      <c r="Q107" s="73">
        <f>SUMPRODUCT(-('Gastos Gerais'!$B$4:$B$615=Analítico!$B107),-(Analítico!Q$3&gt;='Gastos Gerais'!$D$4:$D$615),-(Analítico!Q$3&lt;='Gastos Gerais'!$E$4:$E$615),-('Gastos Gerais'!$C$4:$C$615))</f>
        <v>0</v>
      </c>
      <c r="R107" s="73">
        <f>SUMPRODUCT(-('Gastos Gerais'!$B$4:$B$615=Analítico!$B107),-(Analítico!R$3&gt;='Gastos Gerais'!$D$4:$D$615),-(Analítico!R$3&lt;='Gastos Gerais'!$E$4:$E$615),-('Gastos Gerais'!$C$4:$C$615))</f>
        <v>0</v>
      </c>
      <c r="S107" s="73">
        <f>SUMPRODUCT(-('Gastos Gerais'!$B$4:$B$615=Analítico!$B107),-(Analítico!S$3&gt;='Gastos Gerais'!$D$4:$D$615),-(Analítico!S$3&lt;='Gastos Gerais'!$E$4:$E$615),-('Gastos Gerais'!$C$4:$C$615))</f>
        <v>0</v>
      </c>
      <c r="T107" s="73">
        <f>SUMPRODUCT(-('Gastos Gerais'!$B$4:$B$615=Analítico!$B107),-(Analítico!T$3&gt;='Gastos Gerais'!$D$4:$D$615),-(Analítico!T$3&lt;='Gastos Gerais'!$E$4:$E$615),-('Gastos Gerais'!$C$4:$C$615))</f>
        <v>0</v>
      </c>
      <c r="U107" s="73">
        <f>SUMPRODUCT(-('Gastos Gerais'!$B$4:$B$615=Analítico!$B107),-(Analítico!U$3&gt;='Gastos Gerais'!$D$4:$D$615),-(Analítico!U$3&lt;='Gastos Gerais'!$E$4:$E$615),-('Gastos Gerais'!$C$4:$C$615))</f>
        <v>0</v>
      </c>
      <c r="V107" s="73">
        <f>SUMPRODUCT(-('Gastos Gerais'!$B$4:$B$615=Analítico!$B107),-(Analítico!V$3&gt;='Gastos Gerais'!$D$4:$D$615),-(Analítico!V$3&lt;='Gastos Gerais'!$E$4:$E$615),-('Gastos Gerais'!$C$4:$C$615))</f>
        <v>0</v>
      </c>
      <c r="W107" s="73">
        <f>SUMPRODUCT(-('Gastos Gerais'!$B$4:$B$615=Analítico!$B107),-(Analítico!W$3&gt;='Gastos Gerais'!$D$4:$D$615),-(Analítico!W$3&lt;='Gastos Gerais'!$E$4:$E$615),-('Gastos Gerais'!$C$4:$C$615))</f>
        <v>0</v>
      </c>
      <c r="X107" s="73">
        <f>SUMPRODUCT(-('Gastos Gerais'!$B$4:$B$615=Analítico!$B107),-(Analítico!X$3&gt;='Gastos Gerais'!$D$4:$D$615),-(Analítico!X$3&lt;='Gastos Gerais'!$E$4:$E$615),-('Gastos Gerais'!$C$4:$C$615))</f>
        <v>0</v>
      </c>
      <c r="Y107" s="73">
        <f>SUMPRODUCT(-('Gastos Gerais'!$B$4:$B$615=Analítico!$B107),-(Analítico!Y$3&gt;='Gastos Gerais'!$D$4:$D$615),-(Analítico!Y$3&lt;='Gastos Gerais'!$E$4:$E$615),-('Gastos Gerais'!$C$4:$C$615))</f>
        <v>0</v>
      </c>
      <c r="Z107" s="73">
        <f>SUMPRODUCT(-('Gastos Gerais'!$B$4:$B$615=Analítico!$B107),-(Analítico!Z$3&gt;='Gastos Gerais'!$D$4:$D$615),-(Analítico!Z$3&lt;='Gastos Gerais'!$E$4:$E$615),-('Gastos Gerais'!$C$4:$C$615))</f>
        <v>0</v>
      </c>
      <c r="AA107" s="73">
        <f>SUMPRODUCT(-('Gastos Gerais'!$B$4:$B$615=Analítico!$B107),-(Analítico!AA$3&gt;='Gastos Gerais'!$D$4:$D$615),-(Analítico!AA$3&lt;='Gastos Gerais'!$E$4:$E$615),-('Gastos Gerais'!$C$4:$C$615))</f>
        <v>0</v>
      </c>
      <c r="AB107" s="73">
        <f>SUMPRODUCT(-('Gastos Gerais'!$B$4:$B$615=Analítico!$B107),-(Analítico!AB$3&gt;='Gastos Gerais'!$D$4:$D$615),-(Analítico!AB$3&lt;='Gastos Gerais'!$E$4:$E$615),-('Gastos Gerais'!$C$4:$C$615))</f>
        <v>0</v>
      </c>
      <c r="AC107" s="73">
        <f>SUMPRODUCT(-('Gastos Gerais'!$B$4:$B$615=Analítico!$B107),-(Analítico!AC$3&gt;='Gastos Gerais'!$D$4:$D$615),-(Analítico!AC$3&lt;='Gastos Gerais'!$E$4:$E$615),-('Gastos Gerais'!$C$4:$C$615))</f>
        <v>0</v>
      </c>
      <c r="AD107" s="73">
        <f>SUMPRODUCT(-('Gastos Gerais'!$B$4:$B$615=Analítico!$B107),-(Analítico!AD$3&gt;='Gastos Gerais'!$D$4:$D$615),-(Analítico!AD$3&lt;='Gastos Gerais'!$E$4:$E$615),-('Gastos Gerais'!$C$4:$C$615))</f>
        <v>0</v>
      </c>
      <c r="AE107" s="73">
        <f>SUMPRODUCT(-('Gastos Gerais'!$B$4:$B$615=Analítico!$B107),-(Analítico!AE$3&gt;='Gastos Gerais'!$D$4:$D$615),-(Analítico!AE$3&lt;='Gastos Gerais'!$E$4:$E$615),-('Gastos Gerais'!$C$4:$C$615))</f>
        <v>0</v>
      </c>
      <c r="AF107" s="73">
        <f>SUMPRODUCT(-('Gastos Gerais'!$B$4:$B$615=Analítico!$B107),-(Analítico!AF$3&gt;='Gastos Gerais'!$D$4:$D$615),-(Analítico!AF$3&lt;='Gastos Gerais'!$E$4:$E$615),-('Gastos Gerais'!$C$4:$C$615))</f>
        <v>0</v>
      </c>
      <c r="AG107" s="73">
        <f>SUMPRODUCT(-('Gastos Gerais'!$B$4:$B$615=Analítico!$B107),-(Analítico!AG$3&gt;='Gastos Gerais'!$D$4:$D$615),-(Analítico!AG$3&lt;='Gastos Gerais'!$E$4:$E$615),-('Gastos Gerais'!$C$4:$C$615))</f>
        <v>0</v>
      </c>
      <c r="AH107" s="73">
        <f>SUMPRODUCT(-('Gastos Gerais'!$B$4:$B$615=Analítico!$B107),-(Analítico!AH$3&gt;='Gastos Gerais'!$D$4:$D$615),-(Analítico!AH$3&lt;='Gastos Gerais'!$E$4:$E$615),-('Gastos Gerais'!$C$4:$C$615))</f>
        <v>0</v>
      </c>
      <c r="AI107" s="73">
        <f>SUMPRODUCT(-('Gastos Gerais'!$B$4:$B$615=Analítico!$B107),-(Analítico!AI$3&gt;='Gastos Gerais'!$D$4:$D$615),-(Analítico!AI$3&lt;='Gastos Gerais'!$E$4:$E$615),-('Gastos Gerais'!$C$4:$C$615))</f>
        <v>0</v>
      </c>
      <c r="AJ107" s="73">
        <f>SUMPRODUCT(-('Gastos Gerais'!$B$4:$B$615=Analítico!$B107),-(Analítico!AJ$3&gt;='Gastos Gerais'!$D$4:$D$615),-(Analítico!AJ$3&lt;='Gastos Gerais'!$E$4:$E$615),-('Gastos Gerais'!$C$4:$C$615))</f>
        <v>0</v>
      </c>
      <c r="AK107" s="73">
        <f>SUMPRODUCT(-('Gastos Gerais'!$B$4:$B$615=Analítico!$B107),-(Analítico!AK$3&gt;='Gastos Gerais'!$D$4:$D$615),-(Analítico!AK$3&lt;='Gastos Gerais'!$E$4:$E$615),-('Gastos Gerais'!$C$4:$C$615))</f>
        <v>0</v>
      </c>
      <c r="AL107" s="73">
        <f>SUMPRODUCT(-('Gastos Gerais'!$B$4:$B$615=Analítico!$B107),-(Analítico!AL$3&gt;='Gastos Gerais'!$D$4:$D$615),-(Analítico!AL$3&lt;='Gastos Gerais'!$E$4:$E$615),-('Gastos Gerais'!$C$4:$C$615))</f>
        <v>0</v>
      </c>
      <c r="AM107" s="73">
        <f>SUMPRODUCT(-('Gastos Gerais'!$B$4:$B$615=Analítico!$B107),-(Analítico!AM$3&gt;='Gastos Gerais'!$D$4:$D$615),-(Analítico!AM$3&lt;='Gastos Gerais'!$E$4:$E$615),-('Gastos Gerais'!$C$4:$C$615))</f>
        <v>0</v>
      </c>
      <c r="AN107" s="73">
        <f>SUMPRODUCT(-('Gastos Gerais'!$B$4:$B$615=Analítico!$B107),-(Analítico!AN$3&gt;='Gastos Gerais'!$D$4:$D$615),-(Analítico!AN$3&lt;='Gastos Gerais'!$E$4:$E$615),-('Gastos Gerais'!$C$4:$C$615))</f>
        <v>0</v>
      </c>
      <c r="AO107" s="73">
        <f>SUMPRODUCT(-('Gastos Gerais'!$B$4:$B$615=Analítico!$B107),-(Analítico!AO$3&gt;='Gastos Gerais'!$D$4:$D$615),-(Analítico!AO$3&lt;='Gastos Gerais'!$E$4:$E$615),-('Gastos Gerais'!$C$4:$C$615))</f>
        <v>0</v>
      </c>
      <c r="AP107" s="73">
        <f>SUMPRODUCT(-('Gastos Gerais'!$B$4:$B$615=Analítico!$B107),-(Analítico!AP$3&gt;='Gastos Gerais'!$D$4:$D$615),-(Analítico!AP$3&lt;='Gastos Gerais'!$E$4:$E$615),-('Gastos Gerais'!$C$4:$C$615))</f>
        <v>0</v>
      </c>
      <c r="AQ107" s="73">
        <f>SUMPRODUCT(-('Gastos Gerais'!$B$4:$B$615=Analítico!$B107),-(Analítico!AQ$3&gt;='Gastos Gerais'!$D$4:$D$615),-(Analítico!AQ$3&lt;='Gastos Gerais'!$E$4:$E$615),-('Gastos Gerais'!$C$4:$C$615))</f>
        <v>0</v>
      </c>
      <c r="AR107" s="73">
        <f>SUMPRODUCT(-('Gastos Gerais'!$B$4:$B$615=Analítico!$B107),-(Analítico!AR$3&gt;='Gastos Gerais'!$D$4:$D$615),-(Analítico!AR$3&lt;='Gastos Gerais'!$E$4:$E$615),-('Gastos Gerais'!$C$4:$C$615))</f>
        <v>0</v>
      </c>
      <c r="AS107" s="73">
        <f>SUMPRODUCT(-('Gastos Gerais'!$B$4:$B$615=Analítico!$B107),-(Analítico!AS$3&gt;='Gastos Gerais'!$D$4:$D$615),-(Analítico!AS$3&lt;='Gastos Gerais'!$E$4:$E$615),-('Gastos Gerais'!$C$4:$C$615))</f>
        <v>0</v>
      </c>
      <c r="AT107" s="73">
        <f>SUMPRODUCT(-('Gastos Gerais'!$B$4:$B$615=Analítico!$B107),-(Analítico!AT$3&gt;='Gastos Gerais'!$D$4:$D$615),-(Analítico!AT$3&lt;='Gastos Gerais'!$E$4:$E$615),-('Gastos Gerais'!$C$4:$C$615))</f>
        <v>0</v>
      </c>
      <c r="AU107" s="73">
        <f>SUMPRODUCT(-('Gastos Gerais'!$B$4:$B$615=Analítico!$B107),-(Analítico!AU$3&gt;='Gastos Gerais'!$D$4:$D$615),-(Analítico!AU$3&lt;='Gastos Gerais'!$E$4:$E$615),-('Gastos Gerais'!$C$4:$C$615))</f>
        <v>0</v>
      </c>
      <c r="AV107" s="73">
        <f>SUMPRODUCT(-('Gastos Gerais'!$B$4:$B$615=Analítico!$B107),-(Analítico!AV$3&gt;='Gastos Gerais'!$D$4:$D$615),-(Analítico!AV$3&lt;='Gastos Gerais'!$E$4:$E$615),-('Gastos Gerais'!$C$4:$C$615))</f>
        <v>0</v>
      </c>
      <c r="AW107" s="73">
        <f>SUMPRODUCT(-('Gastos Gerais'!$B$4:$B$615=Analítico!$B107),-(Analítico!AW$3&gt;='Gastos Gerais'!$D$4:$D$615),-(Analítico!AW$3&lt;='Gastos Gerais'!$E$4:$E$615),-('Gastos Gerais'!$C$4:$C$615))</f>
        <v>0</v>
      </c>
      <c r="AX107" s="73">
        <f>SUMPRODUCT(-('Gastos Gerais'!$B$4:$B$615=Analítico!$B107),-(Analítico!AX$3&gt;='Gastos Gerais'!$D$4:$D$615),-(Analítico!AX$3&lt;='Gastos Gerais'!$E$4:$E$615),-('Gastos Gerais'!$C$4:$C$615))</f>
        <v>0</v>
      </c>
      <c r="AY107" s="73">
        <f>SUMPRODUCT(-('Gastos Gerais'!$B$4:$B$615=Analítico!$B107),-(Analítico!AY$3&gt;='Gastos Gerais'!$D$4:$D$615),-(Analítico!AY$3&lt;='Gastos Gerais'!$E$4:$E$615),-('Gastos Gerais'!$C$4:$C$615))</f>
        <v>0</v>
      </c>
      <c r="AZ107" s="73">
        <f>SUMPRODUCT(-('Gastos Gerais'!$B$4:$B$615=Analítico!$B107),-(Analítico!AZ$3&gt;='Gastos Gerais'!$D$4:$D$615),-(Analítico!AZ$3&lt;='Gastos Gerais'!$E$4:$E$615),-('Gastos Gerais'!$C$4:$C$615))</f>
        <v>0</v>
      </c>
      <c r="BA107" s="73">
        <f>SUMPRODUCT(-('Gastos Gerais'!$B$4:$B$615=Analítico!$B107),-(Analítico!BA$3&gt;='Gastos Gerais'!$D$4:$D$615),-(Analítico!BA$3&lt;='Gastos Gerais'!$E$4:$E$615),-('Gastos Gerais'!$C$4:$C$615))</f>
        <v>0</v>
      </c>
      <c r="BB107" s="73">
        <f>SUMPRODUCT(-('Gastos Gerais'!$B$4:$B$615=Analítico!$B107),-(Analítico!BB$3&gt;='Gastos Gerais'!$D$4:$D$615),-(Analítico!BB$3&lt;='Gastos Gerais'!$E$4:$E$615),-('Gastos Gerais'!$C$4:$C$615))</f>
        <v>0</v>
      </c>
      <c r="BC107" s="73">
        <f>SUMPRODUCT(-('Gastos Gerais'!$B$4:$B$615=Analítico!$B107),-(Analítico!BC$3&gt;='Gastos Gerais'!$D$4:$D$615),-(Analítico!BC$3&lt;='Gastos Gerais'!$E$4:$E$615),-('Gastos Gerais'!$C$4:$C$615))</f>
        <v>0</v>
      </c>
      <c r="BD107" s="73">
        <f>SUMPRODUCT(-('Gastos Gerais'!$B$4:$B$615=Analítico!$B107),-(Analítico!BD$3&gt;='Gastos Gerais'!$D$4:$D$615),-(Analítico!BD$3&lt;='Gastos Gerais'!$E$4:$E$615),-('Gastos Gerais'!$C$4:$C$615))</f>
        <v>0</v>
      </c>
      <c r="BE107" s="73">
        <f>SUMPRODUCT(-('Gastos Gerais'!$B$4:$B$615=Analítico!$B107),-(Analítico!BE$3&gt;='Gastos Gerais'!$D$4:$D$615),-(Analítico!BE$3&lt;='Gastos Gerais'!$E$4:$E$615),-('Gastos Gerais'!$C$4:$C$615))</f>
        <v>0</v>
      </c>
      <c r="BF107" s="73">
        <f>SUMPRODUCT(-('Gastos Gerais'!$B$4:$B$615=Analítico!$B107),-(Analítico!BF$3&gt;='Gastos Gerais'!$D$4:$D$615),-(Analítico!BF$3&lt;='Gastos Gerais'!$E$4:$E$615),-('Gastos Gerais'!$C$4:$C$615))</f>
        <v>0</v>
      </c>
      <c r="BG107" s="73">
        <f>SUMPRODUCT(-('Gastos Gerais'!$B$4:$B$615=Analítico!$B107),-(Analítico!BG$3&gt;='Gastos Gerais'!$D$4:$D$615),-(Analítico!BG$3&lt;='Gastos Gerais'!$E$4:$E$615),-('Gastos Gerais'!$C$4:$C$615))</f>
        <v>0</v>
      </c>
      <c r="BH107" s="73">
        <f>SUMPRODUCT(-('Gastos Gerais'!$B$4:$B$615=Analítico!$B107),-(Analítico!BH$3&gt;='Gastos Gerais'!$D$4:$D$615),-(Analítico!BH$3&lt;='Gastos Gerais'!$E$4:$E$615),-('Gastos Gerais'!$C$4:$C$615))</f>
        <v>0</v>
      </c>
      <c r="BI107" s="73">
        <f>SUMPRODUCT(-('Gastos Gerais'!$B$4:$B$615=Analítico!$B107),-(Analítico!BI$3&gt;='Gastos Gerais'!$D$4:$D$615),-(Analítico!BI$3&lt;='Gastos Gerais'!$E$4:$E$615),-('Gastos Gerais'!$C$4:$C$615))</f>
        <v>0</v>
      </c>
      <c r="BJ107" s="73">
        <f>SUMPRODUCT(-('Gastos Gerais'!$B$4:$B$615=Analítico!$B107),-(Analítico!BJ$3&gt;='Gastos Gerais'!$D$4:$D$615),-(Analítico!BJ$3&lt;='Gastos Gerais'!$E$4:$E$615),-('Gastos Gerais'!$C$4:$C$615))</f>
        <v>0</v>
      </c>
      <c r="BK107" s="71">
        <f t="shared" si="33"/>
        <v>0</v>
      </c>
      <c r="BL107" s="76">
        <f t="shared" ca="1" si="34"/>
        <v>0</v>
      </c>
    </row>
    <row r="108" spans="1:64" s="49" customFormat="1" ht="23.25" customHeight="1" x14ac:dyDescent="0.2">
      <c r="A108" s="109" t="s">
        <v>284</v>
      </c>
      <c r="B108" s="112" t="s">
        <v>285</v>
      </c>
      <c r="C108" s="73">
        <f>SUMPRODUCT(-('Gastos Gerais'!$B$4:$B$615=Analítico!$B108),-(Analítico!C$3&gt;='Gastos Gerais'!$D$4:$D$615),-(Analítico!C$3&lt;='Gastos Gerais'!$E$4:$E$615),-('Gastos Gerais'!$C$4:$C$615))</f>
        <v>275000</v>
      </c>
      <c r="D108" s="73">
        <f>SUMPRODUCT(-('Gastos Gerais'!$B$4:$B$615=Analítico!$B108),-(Analítico!D$3&gt;='Gastos Gerais'!$D$4:$D$615),-(Analítico!D$3&lt;='Gastos Gerais'!$E$4:$E$615),-('Gastos Gerais'!$C$4:$C$615))</f>
        <v>125000</v>
      </c>
      <c r="E108" s="73">
        <f>SUMPRODUCT(-('Gastos Gerais'!$B$4:$B$615=Analítico!$B108),-(Analítico!E$3&gt;='Gastos Gerais'!$D$4:$D$615),-(Analítico!E$3&lt;='Gastos Gerais'!$E$4:$E$615),-('Gastos Gerais'!$C$4:$C$615))</f>
        <v>325000</v>
      </c>
      <c r="F108" s="73">
        <f>SUMPRODUCT(-('Gastos Gerais'!$B$4:$B$615=Analítico!$B108),-(Analítico!F$3&gt;='Gastos Gerais'!$D$4:$D$615),-(Analítico!F$3&lt;='Gastos Gerais'!$E$4:$E$615),-('Gastos Gerais'!$C$4:$C$615))</f>
        <v>325000</v>
      </c>
      <c r="G108" s="73">
        <f>SUMPRODUCT(-('Gastos Gerais'!$B$4:$B$615=Analítico!$B108),-(Analítico!G$3&gt;='Gastos Gerais'!$D$4:$D$615),-(Analítico!G$3&lt;='Gastos Gerais'!$E$4:$E$615),-('Gastos Gerais'!$C$4:$C$615))</f>
        <v>175000</v>
      </c>
      <c r="H108" s="73">
        <f>SUMPRODUCT(-('Gastos Gerais'!$B$4:$B$615=Analítico!$B108),-(Analítico!H$3&gt;='Gastos Gerais'!$D$4:$D$615),-(Analítico!H$3&lt;='Gastos Gerais'!$E$4:$E$615),-('Gastos Gerais'!$C$4:$C$615))</f>
        <v>425000</v>
      </c>
      <c r="I108" s="73">
        <f>SUMPRODUCT(-('Gastos Gerais'!$B$4:$B$615=Analítico!$B108),-(Analítico!I$3&gt;='Gastos Gerais'!$D$4:$D$615),-(Analítico!I$3&lt;='Gastos Gerais'!$E$4:$E$615),-('Gastos Gerais'!$C$4:$C$615))</f>
        <v>125000</v>
      </c>
      <c r="J108" s="73">
        <f>SUMPRODUCT(-('Gastos Gerais'!$B$4:$B$615=Analítico!$B108),-(Analítico!J$3&gt;='Gastos Gerais'!$D$4:$D$615),-(Analítico!J$3&lt;='Gastos Gerais'!$E$4:$E$615),-('Gastos Gerais'!$C$4:$C$615))</f>
        <v>125000</v>
      </c>
      <c r="K108" s="73">
        <f>SUMPRODUCT(-('Gastos Gerais'!$B$4:$B$615=Analítico!$B108),-(Analítico!K$3&gt;='Gastos Gerais'!$D$4:$D$615),-(Analítico!K$3&lt;='Gastos Gerais'!$E$4:$E$615),-('Gastos Gerais'!$C$4:$C$615))</f>
        <v>125000</v>
      </c>
      <c r="L108" s="73">
        <f>SUMPRODUCT(-('Gastos Gerais'!$B$4:$B$615=Analítico!$B108),-(Analítico!L$3&gt;='Gastos Gerais'!$D$4:$D$615),-(Analítico!L$3&lt;='Gastos Gerais'!$E$4:$E$615),-('Gastos Gerais'!$C$4:$C$615))</f>
        <v>125000</v>
      </c>
      <c r="M108" s="73">
        <f>SUMPRODUCT(-('Gastos Gerais'!$B$4:$B$615=Analítico!$B108),-(Analítico!M$3&gt;='Gastos Gerais'!$D$4:$D$615),-(Analítico!M$3&lt;='Gastos Gerais'!$E$4:$E$615),-('Gastos Gerais'!$C$4:$C$615))</f>
        <v>125000</v>
      </c>
      <c r="N108" s="73">
        <f>SUMPRODUCT(-('Gastos Gerais'!$B$4:$B$615=Analítico!$B108),-(Analítico!N$3&gt;='Gastos Gerais'!$D$4:$D$615),-(Analítico!N$3&lt;='Gastos Gerais'!$E$4:$E$615),-('Gastos Gerais'!$C$4:$C$615))</f>
        <v>125000</v>
      </c>
      <c r="O108" s="73">
        <f>SUMPRODUCT(-('Gastos Gerais'!$B$4:$B$615=Analítico!$B108),-(Analítico!O$3&gt;='Gastos Gerais'!$D$4:$D$615),-(Analítico!O$3&lt;='Gastos Gerais'!$E$4:$E$615),-('Gastos Gerais'!$C$4:$C$615))</f>
        <v>625000</v>
      </c>
      <c r="P108" s="73">
        <f>SUMPRODUCT(-('Gastos Gerais'!$B$4:$B$615=Analítico!$B108),-(Analítico!P$3&gt;='Gastos Gerais'!$D$4:$D$615),-(Analítico!P$3&lt;='Gastos Gerais'!$E$4:$E$615),-('Gastos Gerais'!$C$4:$C$615))</f>
        <v>125000</v>
      </c>
      <c r="Q108" s="73">
        <f>SUMPRODUCT(-('Gastos Gerais'!$B$4:$B$615=Analítico!$B108),-(Analítico!Q$3&gt;='Gastos Gerais'!$D$4:$D$615),-(Analítico!Q$3&lt;='Gastos Gerais'!$E$4:$E$615),-('Gastos Gerais'!$C$4:$C$615))</f>
        <v>125000</v>
      </c>
      <c r="R108" s="73">
        <f>SUMPRODUCT(-('Gastos Gerais'!$B$4:$B$615=Analítico!$B108),-(Analítico!R$3&gt;='Gastos Gerais'!$D$4:$D$615),-(Analítico!R$3&lt;='Gastos Gerais'!$E$4:$E$615),-('Gastos Gerais'!$C$4:$C$615))</f>
        <v>125000</v>
      </c>
      <c r="S108" s="73">
        <f>SUMPRODUCT(-('Gastos Gerais'!$B$4:$B$615=Analítico!$B108),-(Analítico!S$3&gt;='Gastos Gerais'!$D$4:$D$615),-(Analítico!S$3&lt;='Gastos Gerais'!$E$4:$E$615),-('Gastos Gerais'!$C$4:$C$615))</f>
        <v>125000</v>
      </c>
      <c r="T108" s="73">
        <f>SUMPRODUCT(-('Gastos Gerais'!$B$4:$B$615=Analítico!$B108),-(Analítico!T$3&gt;='Gastos Gerais'!$D$4:$D$615),-(Analítico!T$3&lt;='Gastos Gerais'!$E$4:$E$615),-('Gastos Gerais'!$C$4:$C$615))</f>
        <v>425000</v>
      </c>
      <c r="U108" s="73">
        <f>SUMPRODUCT(-('Gastos Gerais'!$B$4:$B$615=Analítico!$B108),-(Analítico!U$3&gt;='Gastos Gerais'!$D$4:$D$615),-(Analítico!U$3&lt;='Gastos Gerais'!$E$4:$E$615),-('Gastos Gerais'!$C$4:$C$615))</f>
        <v>125000</v>
      </c>
      <c r="V108" s="73">
        <f>SUMPRODUCT(-('Gastos Gerais'!$B$4:$B$615=Analítico!$B108),-(Analítico!V$3&gt;='Gastos Gerais'!$D$4:$D$615),-(Analítico!V$3&lt;='Gastos Gerais'!$E$4:$E$615),-('Gastos Gerais'!$C$4:$C$615))</f>
        <v>125000</v>
      </c>
      <c r="W108" s="73">
        <f>SUMPRODUCT(-('Gastos Gerais'!$B$4:$B$615=Analítico!$B108),-(Analítico!W$3&gt;='Gastos Gerais'!$D$4:$D$615),-(Analítico!W$3&lt;='Gastos Gerais'!$E$4:$E$615),-('Gastos Gerais'!$C$4:$C$615))</f>
        <v>125000</v>
      </c>
      <c r="X108" s="73">
        <f>SUMPRODUCT(-('Gastos Gerais'!$B$4:$B$615=Analítico!$B108),-(Analítico!X$3&gt;='Gastos Gerais'!$D$4:$D$615),-(Analítico!X$3&lt;='Gastos Gerais'!$E$4:$E$615),-('Gastos Gerais'!$C$4:$C$615))</f>
        <v>125000</v>
      </c>
      <c r="Y108" s="73">
        <f>SUMPRODUCT(-('Gastos Gerais'!$B$4:$B$615=Analítico!$B108),-(Analítico!Y$3&gt;='Gastos Gerais'!$D$4:$D$615),-(Analítico!Y$3&lt;='Gastos Gerais'!$E$4:$E$615),-('Gastos Gerais'!$C$4:$C$615))</f>
        <v>125000</v>
      </c>
      <c r="Z108" s="73">
        <f>SUMPRODUCT(-('Gastos Gerais'!$B$4:$B$615=Analítico!$B108),-(Analítico!Z$3&gt;='Gastos Gerais'!$D$4:$D$615),-(Analítico!Z$3&lt;='Gastos Gerais'!$E$4:$E$615),-('Gastos Gerais'!$C$4:$C$615))</f>
        <v>125000</v>
      </c>
      <c r="AA108" s="73">
        <f>SUMPRODUCT(-('Gastos Gerais'!$B$4:$B$615=Analítico!$B108),-(Analítico!AA$3&gt;='Gastos Gerais'!$D$4:$D$615),-(Analítico!AA$3&lt;='Gastos Gerais'!$E$4:$E$615),-('Gastos Gerais'!$C$4:$C$615))</f>
        <v>675000</v>
      </c>
      <c r="AB108" s="73">
        <f>SUMPRODUCT(-('Gastos Gerais'!$B$4:$B$615=Analítico!$B108),-(Analítico!AB$3&gt;='Gastos Gerais'!$D$4:$D$615),-(Analítico!AB$3&lt;='Gastos Gerais'!$E$4:$E$615),-('Gastos Gerais'!$C$4:$C$615))</f>
        <v>125000</v>
      </c>
      <c r="AC108" s="73">
        <f>SUMPRODUCT(-('Gastos Gerais'!$B$4:$B$615=Analítico!$B108),-(Analítico!AC$3&gt;='Gastos Gerais'!$D$4:$D$615),-(Analítico!AC$3&lt;='Gastos Gerais'!$E$4:$E$615),-('Gastos Gerais'!$C$4:$C$615))</f>
        <v>125000</v>
      </c>
      <c r="AD108" s="73">
        <f>SUMPRODUCT(-('Gastos Gerais'!$B$4:$B$615=Analítico!$B108),-(Analítico!AD$3&gt;='Gastos Gerais'!$D$4:$D$615),-(Analítico!AD$3&lt;='Gastos Gerais'!$E$4:$E$615),-('Gastos Gerais'!$C$4:$C$615))</f>
        <v>325000</v>
      </c>
      <c r="AE108" s="73">
        <f>SUMPRODUCT(-('Gastos Gerais'!$B$4:$B$615=Analítico!$B108),-(Analítico!AE$3&gt;='Gastos Gerais'!$D$4:$D$615),-(Analítico!AE$3&lt;='Gastos Gerais'!$E$4:$E$615),-('Gastos Gerais'!$C$4:$C$615))</f>
        <v>125000</v>
      </c>
      <c r="AF108" s="73">
        <f>SUMPRODUCT(-('Gastos Gerais'!$B$4:$B$615=Analítico!$B108),-(Analítico!AF$3&gt;='Gastos Gerais'!$D$4:$D$615),-(Analítico!AF$3&lt;='Gastos Gerais'!$E$4:$E$615),-('Gastos Gerais'!$C$4:$C$615))</f>
        <v>475000</v>
      </c>
      <c r="AG108" s="73">
        <f>SUMPRODUCT(-('Gastos Gerais'!$B$4:$B$615=Analítico!$B108),-(Analítico!AG$3&gt;='Gastos Gerais'!$D$4:$D$615),-(Analítico!AG$3&lt;='Gastos Gerais'!$E$4:$E$615),-('Gastos Gerais'!$C$4:$C$615))</f>
        <v>125000</v>
      </c>
      <c r="AH108" s="73">
        <f>SUMPRODUCT(-('Gastos Gerais'!$B$4:$B$615=Analítico!$B108),-(Analítico!AH$3&gt;='Gastos Gerais'!$D$4:$D$615),-(Analítico!AH$3&lt;='Gastos Gerais'!$E$4:$E$615),-('Gastos Gerais'!$C$4:$C$615))</f>
        <v>125000</v>
      </c>
      <c r="AI108" s="73">
        <f>SUMPRODUCT(-('Gastos Gerais'!$B$4:$B$615=Analítico!$B108),-(Analítico!AI$3&gt;='Gastos Gerais'!$D$4:$D$615),-(Analítico!AI$3&lt;='Gastos Gerais'!$E$4:$E$615),-('Gastos Gerais'!$C$4:$C$615))</f>
        <v>125000</v>
      </c>
      <c r="AJ108" s="73">
        <f>SUMPRODUCT(-('Gastos Gerais'!$B$4:$B$615=Analítico!$B108),-(Analítico!AJ$3&gt;='Gastos Gerais'!$D$4:$D$615),-(Analítico!AJ$3&lt;='Gastos Gerais'!$E$4:$E$615),-('Gastos Gerais'!$C$4:$C$615))</f>
        <v>125000</v>
      </c>
      <c r="AK108" s="73">
        <f>SUMPRODUCT(-('Gastos Gerais'!$B$4:$B$615=Analítico!$B108),-(Analítico!AK$3&gt;='Gastos Gerais'!$D$4:$D$615),-(Analítico!AK$3&lt;='Gastos Gerais'!$E$4:$E$615),-('Gastos Gerais'!$C$4:$C$615))</f>
        <v>125000</v>
      </c>
      <c r="AL108" s="73">
        <f>SUMPRODUCT(-('Gastos Gerais'!$B$4:$B$615=Analítico!$B108),-(Analítico!AL$3&gt;='Gastos Gerais'!$D$4:$D$615),-(Analítico!AL$3&lt;='Gastos Gerais'!$E$4:$E$615),-('Gastos Gerais'!$C$4:$C$615))</f>
        <v>125000</v>
      </c>
      <c r="AM108" s="73">
        <f>SUMPRODUCT(-('Gastos Gerais'!$B$4:$B$615=Analítico!$B108),-(Analítico!AM$3&gt;='Gastos Gerais'!$D$4:$D$615),-(Analítico!AM$3&lt;='Gastos Gerais'!$E$4:$E$615),-('Gastos Gerais'!$C$4:$C$615))</f>
        <v>0</v>
      </c>
      <c r="AN108" s="73">
        <f>SUMPRODUCT(-('Gastos Gerais'!$B$4:$B$615=Analítico!$B108),-(Analítico!AN$3&gt;='Gastos Gerais'!$D$4:$D$615),-(Analítico!AN$3&lt;='Gastos Gerais'!$E$4:$E$615),-('Gastos Gerais'!$C$4:$C$615))</f>
        <v>0</v>
      </c>
      <c r="AO108" s="73">
        <f>SUMPRODUCT(-('Gastos Gerais'!$B$4:$B$615=Analítico!$B108),-(Analítico!AO$3&gt;='Gastos Gerais'!$D$4:$D$615),-(Analítico!AO$3&lt;='Gastos Gerais'!$E$4:$E$615),-('Gastos Gerais'!$C$4:$C$615))</f>
        <v>0</v>
      </c>
      <c r="AP108" s="73">
        <f>SUMPRODUCT(-('Gastos Gerais'!$B$4:$B$615=Analítico!$B108),-(Analítico!AP$3&gt;='Gastos Gerais'!$D$4:$D$615),-(Analítico!AP$3&lt;='Gastos Gerais'!$E$4:$E$615),-('Gastos Gerais'!$C$4:$C$615))</f>
        <v>0</v>
      </c>
      <c r="AQ108" s="73">
        <f>SUMPRODUCT(-('Gastos Gerais'!$B$4:$B$615=Analítico!$B108),-(Analítico!AQ$3&gt;='Gastos Gerais'!$D$4:$D$615),-(Analítico!AQ$3&lt;='Gastos Gerais'!$E$4:$E$615),-('Gastos Gerais'!$C$4:$C$615))</f>
        <v>0</v>
      </c>
      <c r="AR108" s="73">
        <f>SUMPRODUCT(-('Gastos Gerais'!$B$4:$B$615=Analítico!$B108),-(Analítico!AR$3&gt;='Gastos Gerais'!$D$4:$D$615),-(Analítico!AR$3&lt;='Gastos Gerais'!$E$4:$E$615),-('Gastos Gerais'!$C$4:$C$615))</f>
        <v>0</v>
      </c>
      <c r="AS108" s="73">
        <f>SUMPRODUCT(-('Gastos Gerais'!$B$4:$B$615=Analítico!$B108),-(Analítico!AS$3&gt;='Gastos Gerais'!$D$4:$D$615),-(Analítico!AS$3&lt;='Gastos Gerais'!$E$4:$E$615),-('Gastos Gerais'!$C$4:$C$615))</f>
        <v>0</v>
      </c>
      <c r="AT108" s="73">
        <f>SUMPRODUCT(-('Gastos Gerais'!$B$4:$B$615=Analítico!$B108),-(Analítico!AT$3&gt;='Gastos Gerais'!$D$4:$D$615),-(Analítico!AT$3&lt;='Gastos Gerais'!$E$4:$E$615),-('Gastos Gerais'!$C$4:$C$615))</f>
        <v>0</v>
      </c>
      <c r="AU108" s="73">
        <f>SUMPRODUCT(-('Gastos Gerais'!$B$4:$B$615=Analítico!$B108),-(Analítico!AU$3&gt;='Gastos Gerais'!$D$4:$D$615),-(Analítico!AU$3&lt;='Gastos Gerais'!$E$4:$E$615),-('Gastos Gerais'!$C$4:$C$615))</f>
        <v>0</v>
      </c>
      <c r="AV108" s="73">
        <f>SUMPRODUCT(-('Gastos Gerais'!$B$4:$B$615=Analítico!$B108),-(Analítico!AV$3&gt;='Gastos Gerais'!$D$4:$D$615),-(Analítico!AV$3&lt;='Gastos Gerais'!$E$4:$E$615),-('Gastos Gerais'!$C$4:$C$615))</f>
        <v>0</v>
      </c>
      <c r="AW108" s="73">
        <f>SUMPRODUCT(-('Gastos Gerais'!$B$4:$B$615=Analítico!$B108),-(Analítico!AW$3&gt;='Gastos Gerais'!$D$4:$D$615),-(Analítico!AW$3&lt;='Gastos Gerais'!$E$4:$E$615),-('Gastos Gerais'!$C$4:$C$615))</f>
        <v>0</v>
      </c>
      <c r="AX108" s="73">
        <f>SUMPRODUCT(-('Gastos Gerais'!$B$4:$B$615=Analítico!$B108),-(Analítico!AX$3&gt;='Gastos Gerais'!$D$4:$D$615),-(Analítico!AX$3&lt;='Gastos Gerais'!$E$4:$E$615),-('Gastos Gerais'!$C$4:$C$615))</f>
        <v>0</v>
      </c>
      <c r="AY108" s="73">
        <f>SUMPRODUCT(-('Gastos Gerais'!$B$4:$B$615=Analítico!$B108),-(Analítico!AY$3&gt;='Gastos Gerais'!$D$4:$D$615),-(Analítico!AY$3&lt;='Gastos Gerais'!$E$4:$E$615),-('Gastos Gerais'!$C$4:$C$615))</f>
        <v>0</v>
      </c>
      <c r="AZ108" s="73">
        <f>SUMPRODUCT(-('Gastos Gerais'!$B$4:$B$615=Analítico!$B108),-(Analítico!AZ$3&gt;='Gastos Gerais'!$D$4:$D$615),-(Analítico!AZ$3&lt;='Gastos Gerais'!$E$4:$E$615),-('Gastos Gerais'!$C$4:$C$615))</f>
        <v>0</v>
      </c>
      <c r="BA108" s="73">
        <f>SUMPRODUCT(-('Gastos Gerais'!$B$4:$B$615=Analítico!$B108),-(Analítico!BA$3&gt;='Gastos Gerais'!$D$4:$D$615),-(Analítico!BA$3&lt;='Gastos Gerais'!$E$4:$E$615),-('Gastos Gerais'!$C$4:$C$615))</f>
        <v>0</v>
      </c>
      <c r="BB108" s="73">
        <f>SUMPRODUCT(-('Gastos Gerais'!$B$4:$B$615=Analítico!$B108),-(Analítico!BB$3&gt;='Gastos Gerais'!$D$4:$D$615),-(Analítico!BB$3&lt;='Gastos Gerais'!$E$4:$E$615),-('Gastos Gerais'!$C$4:$C$615))</f>
        <v>0</v>
      </c>
      <c r="BC108" s="73">
        <f>SUMPRODUCT(-('Gastos Gerais'!$B$4:$B$615=Analítico!$B108),-(Analítico!BC$3&gt;='Gastos Gerais'!$D$4:$D$615),-(Analítico!BC$3&lt;='Gastos Gerais'!$E$4:$E$615),-('Gastos Gerais'!$C$4:$C$615))</f>
        <v>0</v>
      </c>
      <c r="BD108" s="73">
        <f>SUMPRODUCT(-('Gastos Gerais'!$B$4:$B$615=Analítico!$B108),-(Analítico!BD$3&gt;='Gastos Gerais'!$D$4:$D$615),-(Analítico!BD$3&lt;='Gastos Gerais'!$E$4:$E$615),-('Gastos Gerais'!$C$4:$C$615))</f>
        <v>0</v>
      </c>
      <c r="BE108" s="73">
        <f>SUMPRODUCT(-('Gastos Gerais'!$B$4:$B$615=Analítico!$B108),-(Analítico!BE$3&gt;='Gastos Gerais'!$D$4:$D$615),-(Analítico!BE$3&lt;='Gastos Gerais'!$E$4:$E$615),-('Gastos Gerais'!$C$4:$C$615))</f>
        <v>0</v>
      </c>
      <c r="BF108" s="73">
        <f>SUMPRODUCT(-('Gastos Gerais'!$B$4:$B$615=Analítico!$B108),-(Analítico!BF$3&gt;='Gastos Gerais'!$D$4:$D$615),-(Analítico!BF$3&lt;='Gastos Gerais'!$E$4:$E$615),-('Gastos Gerais'!$C$4:$C$615))</f>
        <v>0</v>
      </c>
      <c r="BG108" s="73">
        <f>SUMPRODUCT(-('Gastos Gerais'!$B$4:$B$615=Analítico!$B108),-(Analítico!BG$3&gt;='Gastos Gerais'!$D$4:$D$615),-(Analítico!BG$3&lt;='Gastos Gerais'!$E$4:$E$615),-('Gastos Gerais'!$C$4:$C$615))</f>
        <v>0</v>
      </c>
      <c r="BH108" s="73">
        <f>SUMPRODUCT(-('Gastos Gerais'!$B$4:$B$615=Analítico!$B108),-(Analítico!BH$3&gt;='Gastos Gerais'!$D$4:$D$615),-(Analítico!BH$3&lt;='Gastos Gerais'!$E$4:$E$615),-('Gastos Gerais'!$C$4:$C$615))</f>
        <v>0</v>
      </c>
      <c r="BI108" s="73">
        <f>SUMPRODUCT(-('Gastos Gerais'!$B$4:$B$615=Analítico!$B108),-(Analítico!BI$3&gt;='Gastos Gerais'!$D$4:$D$615),-(Analítico!BI$3&lt;='Gastos Gerais'!$E$4:$E$615),-('Gastos Gerais'!$C$4:$C$615))</f>
        <v>0</v>
      </c>
      <c r="BJ108" s="73">
        <f>SUMPRODUCT(-('Gastos Gerais'!$B$4:$B$615=Analítico!$B108),-(Analítico!BJ$3&gt;='Gastos Gerais'!$D$4:$D$615),-(Analítico!BJ$3&lt;='Gastos Gerais'!$E$4:$E$615),-('Gastos Gerais'!$C$4:$C$615))</f>
        <v>0</v>
      </c>
      <c r="BK108" s="71">
        <f t="shared" si="33"/>
        <v>7300000</v>
      </c>
      <c r="BL108" s="76">
        <f t="shared" ca="1" si="34"/>
        <v>1.9911468505604685E-2</v>
      </c>
    </row>
    <row r="109" spans="1:64" s="49" customFormat="1" ht="23.25" customHeight="1" x14ac:dyDescent="0.2">
      <c r="A109" s="109" t="s">
        <v>286</v>
      </c>
      <c r="B109" s="112" t="s">
        <v>287</v>
      </c>
      <c r="C109" s="73">
        <f>SUMPRODUCT(-('Gastos Gerais'!$B$4:$B$615=Analítico!$B109),-(Analítico!C$3&gt;='Gastos Gerais'!$D$4:$D$615),-(Analítico!C$3&lt;='Gastos Gerais'!$E$4:$E$615),-('Gastos Gerais'!$C$4:$C$615))</f>
        <v>0</v>
      </c>
      <c r="D109" s="73">
        <f>SUMPRODUCT(-('Gastos Gerais'!$B$4:$B$615=Analítico!$B109),-(Analítico!D$3&gt;='Gastos Gerais'!$D$4:$D$615),-(Analítico!D$3&lt;='Gastos Gerais'!$E$4:$E$615),-('Gastos Gerais'!$C$4:$C$615))</f>
        <v>0</v>
      </c>
      <c r="E109" s="73">
        <f>SUMPRODUCT(-('Gastos Gerais'!$B$4:$B$615=Analítico!$B109),-(Analítico!E$3&gt;='Gastos Gerais'!$D$4:$D$615),-(Analítico!E$3&lt;='Gastos Gerais'!$E$4:$E$615),-('Gastos Gerais'!$C$4:$C$615))</f>
        <v>0</v>
      </c>
      <c r="F109" s="73">
        <f>SUMPRODUCT(-('Gastos Gerais'!$B$4:$B$615=Analítico!$B109),-(Analítico!F$3&gt;='Gastos Gerais'!$D$4:$D$615),-(Analítico!F$3&lt;='Gastos Gerais'!$E$4:$E$615),-('Gastos Gerais'!$C$4:$C$615))</f>
        <v>0</v>
      </c>
      <c r="G109" s="73">
        <f>SUMPRODUCT(-('Gastos Gerais'!$B$4:$B$615=Analítico!$B109),-(Analítico!G$3&gt;='Gastos Gerais'!$D$4:$D$615),-(Analítico!G$3&lt;='Gastos Gerais'!$E$4:$E$615),-('Gastos Gerais'!$C$4:$C$615))</f>
        <v>0</v>
      </c>
      <c r="H109" s="73">
        <f>SUMPRODUCT(-('Gastos Gerais'!$B$4:$B$615=Analítico!$B109),-(Analítico!H$3&gt;='Gastos Gerais'!$D$4:$D$615),-(Analítico!H$3&lt;='Gastos Gerais'!$E$4:$E$615),-('Gastos Gerais'!$C$4:$C$615))</f>
        <v>0</v>
      </c>
      <c r="I109" s="73">
        <f>SUMPRODUCT(-('Gastos Gerais'!$B$4:$B$615=Analítico!$B109),-(Analítico!I$3&gt;='Gastos Gerais'!$D$4:$D$615),-(Analítico!I$3&lt;='Gastos Gerais'!$E$4:$E$615),-('Gastos Gerais'!$C$4:$C$615))</f>
        <v>0</v>
      </c>
      <c r="J109" s="73">
        <f>SUMPRODUCT(-('Gastos Gerais'!$B$4:$B$615=Analítico!$B109),-(Analítico!J$3&gt;='Gastos Gerais'!$D$4:$D$615),-(Analítico!J$3&lt;='Gastos Gerais'!$E$4:$E$615),-('Gastos Gerais'!$C$4:$C$615))</f>
        <v>0</v>
      </c>
      <c r="K109" s="73">
        <f>SUMPRODUCT(-('Gastos Gerais'!$B$4:$B$615=Analítico!$B109),-(Analítico!K$3&gt;='Gastos Gerais'!$D$4:$D$615),-(Analítico!K$3&lt;='Gastos Gerais'!$E$4:$E$615),-('Gastos Gerais'!$C$4:$C$615))</f>
        <v>0</v>
      </c>
      <c r="L109" s="73">
        <f>SUMPRODUCT(-('Gastos Gerais'!$B$4:$B$615=Analítico!$B109),-(Analítico!L$3&gt;='Gastos Gerais'!$D$4:$D$615),-(Analítico!L$3&lt;='Gastos Gerais'!$E$4:$E$615),-('Gastos Gerais'!$C$4:$C$615))</f>
        <v>0</v>
      </c>
      <c r="M109" s="73">
        <f>SUMPRODUCT(-('Gastos Gerais'!$B$4:$B$615=Analítico!$B109),-(Analítico!M$3&gt;='Gastos Gerais'!$D$4:$D$615),-(Analítico!M$3&lt;='Gastos Gerais'!$E$4:$E$615),-('Gastos Gerais'!$C$4:$C$615))</f>
        <v>0</v>
      </c>
      <c r="N109" s="73">
        <f>SUMPRODUCT(-('Gastos Gerais'!$B$4:$B$615=Analítico!$B109),-(Analítico!N$3&gt;='Gastos Gerais'!$D$4:$D$615),-(Analítico!N$3&lt;='Gastos Gerais'!$E$4:$E$615),-('Gastos Gerais'!$C$4:$C$615))</f>
        <v>0</v>
      </c>
      <c r="O109" s="73">
        <f>SUMPRODUCT(-('Gastos Gerais'!$B$4:$B$615=Analítico!$B109),-(Analítico!O$3&gt;='Gastos Gerais'!$D$4:$D$615),-(Analítico!O$3&lt;='Gastos Gerais'!$E$4:$E$615),-('Gastos Gerais'!$C$4:$C$615))</f>
        <v>0</v>
      </c>
      <c r="P109" s="73">
        <f>SUMPRODUCT(-('Gastos Gerais'!$B$4:$B$615=Analítico!$B109),-(Analítico!P$3&gt;='Gastos Gerais'!$D$4:$D$615),-(Analítico!P$3&lt;='Gastos Gerais'!$E$4:$E$615),-('Gastos Gerais'!$C$4:$C$615))</f>
        <v>0</v>
      </c>
      <c r="Q109" s="73">
        <f>SUMPRODUCT(-('Gastos Gerais'!$B$4:$B$615=Analítico!$B109),-(Analítico!Q$3&gt;='Gastos Gerais'!$D$4:$D$615),-(Analítico!Q$3&lt;='Gastos Gerais'!$E$4:$E$615),-('Gastos Gerais'!$C$4:$C$615))</f>
        <v>0</v>
      </c>
      <c r="R109" s="73">
        <f>SUMPRODUCT(-('Gastos Gerais'!$B$4:$B$615=Analítico!$B109),-(Analítico!R$3&gt;='Gastos Gerais'!$D$4:$D$615),-(Analítico!R$3&lt;='Gastos Gerais'!$E$4:$E$615),-('Gastos Gerais'!$C$4:$C$615))</f>
        <v>0</v>
      </c>
      <c r="S109" s="73">
        <f>SUMPRODUCT(-('Gastos Gerais'!$B$4:$B$615=Analítico!$B109),-(Analítico!S$3&gt;='Gastos Gerais'!$D$4:$D$615),-(Analítico!S$3&lt;='Gastos Gerais'!$E$4:$E$615),-('Gastos Gerais'!$C$4:$C$615))</f>
        <v>0</v>
      </c>
      <c r="T109" s="73">
        <f>SUMPRODUCT(-('Gastos Gerais'!$B$4:$B$615=Analítico!$B109),-(Analítico!T$3&gt;='Gastos Gerais'!$D$4:$D$615),-(Analítico!T$3&lt;='Gastos Gerais'!$E$4:$E$615),-('Gastos Gerais'!$C$4:$C$615))</f>
        <v>0</v>
      </c>
      <c r="U109" s="73">
        <f>SUMPRODUCT(-('Gastos Gerais'!$B$4:$B$615=Analítico!$B109),-(Analítico!U$3&gt;='Gastos Gerais'!$D$4:$D$615),-(Analítico!U$3&lt;='Gastos Gerais'!$E$4:$E$615),-('Gastos Gerais'!$C$4:$C$615))</f>
        <v>0</v>
      </c>
      <c r="V109" s="73">
        <f>SUMPRODUCT(-('Gastos Gerais'!$B$4:$B$615=Analítico!$B109),-(Analítico!V$3&gt;='Gastos Gerais'!$D$4:$D$615),-(Analítico!V$3&lt;='Gastos Gerais'!$E$4:$E$615),-('Gastos Gerais'!$C$4:$C$615))</f>
        <v>0</v>
      </c>
      <c r="W109" s="73">
        <f>SUMPRODUCT(-('Gastos Gerais'!$B$4:$B$615=Analítico!$B109),-(Analítico!W$3&gt;='Gastos Gerais'!$D$4:$D$615),-(Analítico!W$3&lt;='Gastos Gerais'!$E$4:$E$615),-('Gastos Gerais'!$C$4:$C$615))</f>
        <v>0</v>
      </c>
      <c r="X109" s="73">
        <f>SUMPRODUCT(-('Gastos Gerais'!$B$4:$B$615=Analítico!$B109),-(Analítico!X$3&gt;='Gastos Gerais'!$D$4:$D$615),-(Analítico!X$3&lt;='Gastos Gerais'!$E$4:$E$615),-('Gastos Gerais'!$C$4:$C$615))</f>
        <v>0</v>
      </c>
      <c r="Y109" s="73">
        <f>SUMPRODUCT(-('Gastos Gerais'!$B$4:$B$615=Analítico!$B109),-(Analítico!Y$3&gt;='Gastos Gerais'!$D$4:$D$615),-(Analítico!Y$3&lt;='Gastos Gerais'!$E$4:$E$615),-('Gastos Gerais'!$C$4:$C$615))</f>
        <v>0</v>
      </c>
      <c r="Z109" s="73">
        <f>SUMPRODUCT(-('Gastos Gerais'!$B$4:$B$615=Analítico!$B109),-(Analítico!Z$3&gt;='Gastos Gerais'!$D$4:$D$615),-(Analítico!Z$3&lt;='Gastos Gerais'!$E$4:$E$615),-('Gastos Gerais'!$C$4:$C$615))</f>
        <v>0</v>
      </c>
      <c r="AA109" s="73">
        <f>SUMPRODUCT(-('Gastos Gerais'!$B$4:$B$615=Analítico!$B109),-(Analítico!AA$3&gt;='Gastos Gerais'!$D$4:$D$615),-(Analítico!AA$3&lt;='Gastos Gerais'!$E$4:$E$615),-('Gastos Gerais'!$C$4:$C$615))</f>
        <v>0</v>
      </c>
      <c r="AB109" s="73">
        <f>SUMPRODUCT(-('Gastos Gerais'!$B$4:$B$615=Analítico!$B109),-(Analítico!AB$3&gt;='Gastos Gerais'!$D$4:$D$615),-(Analítico!AB$3&lt;='Gastos Gerais'!$E$4:$E$615),-('Gastos Gerais'!$C$4:$C$615))</f>
        <v>0</v>
      </c>
      <c r="AC109" s="73">
        <f>SUMPRODUCT(-('Gastos Gerais'!$B$4:$B$615=Analítico!$B109),-(Analítico!AC$3&gt;='Gastos Gerais'!$D$4:$D$615),-(Analítico!AC$3&lt;='Gastos Gerais'!$E$4:$E$615),-('Gastos Gerais'!$C$4:$C$615))</f>
        <v>0</v>
      </c>
      <c r="AD109" s="73">
        <f>SUMPRODUCT(-('Gastos Gerais'!$B$4:$B$615=Analítico!$B109),-(Analítico!AD$3&gt;='Gastos Gerais'!$D$4:$D$615),-(Analítico!AD$3&lt;='Gastos Gerais'!$E$4:$E$615),-('Gastos Gerais'!$C$4:$C$615))</f>
        <v>0</v>
      </c>
      <c r="AE109" s="73">
        <f>SUMPRODUCT(-('Gastos Gerais'!$B$4:$B$615=Analítico!$B109),-(Analítico!AE$3&gt;='Gastos Gerais'!$D$4:$D$615),-(Analítico!AE$3&lt;='Gastos Gerais'!$E$4:$E$615),-('Gastos Gerais'!$C$4:$C$615))</f>
        <v>0</v>
      </c>
      <c r="AF109" s="73">
        <f>SUMPRODUCT(-('Gastos Gerais'!$B$4:$B$615=Analítico!$B109),-(Analítico!AF$3&gt;='Gastos Gerais'!$D$4:$D$615),-(Analítico!AF$3&lt;='Gastos Gerais'!$E$4:$E$615),-('Gastos Gerais'!$C$4:$C$615))</f>
        <v>0</v>
      </c>
      <c r="AG109" s="73">
        <f>SUMPRODUCT(-('Gastos Gerais'!$B$4:$B$615=Analítico!$B109),-(Analítico!AG$3&gt;='Gastos Gerais'!$D$4:$D$615),-(Analítico!AG$3&lt;='Gastos Gerais'!$E$4:$E$615),-('Gastos Gerais'!$C$4:$C$615))</f>
        <v>0</v>
      </c>
      <c r="AH109" s="73">
        <f>SUMPRODUCT(-('Gastos Gerais'!$B$4:$B$615=Analítico!$B109),-(Analítico!AH$3&gt;='Gastos Gerais'!$D$4:$D$615),-(Analítico!AH$3&lt;='Gastos Gerais'!$E$4:$E$615),-('Gastos Gerais'!$C$4:$C$615))</f>
        <v>0</v>
      </c>
      <c r="AI109" s="73">
        <f>SUMPRODUCT(-('Gastos Gerais'!$B$4:$B$615=Analítico!$B109),-(Analítico!AI$3&gt;='Gastos Gerais'!$D$4:$D$615),-(Analítico!AI$3&lt;='Gastos Gerais'!$E$4:$E$615),-('Gastos Gerais'!$C$4:$C$615))</f>
        <v>0</v>
      </c>
      <c r="AJ109" s="73">
        <f>SUMPRODUCT(-('Gastos Gerais'!$B$4:$B$615=Analítico!$B109),-(Analítico!AJ$3&gt;='Gastos Gerais'!$D$4:$D$615),-(Analítico!AJ$3&lt;='Gastos Gerais'!$E$4:$E$615),-('Gastos Gerais'!$C$4:$C$615))</f>
        <v>0</v>
      </c>
      <c r="AK109" s="73">
        <f>SUMPRODUCT(-('Gastos Gerais'!$B$4:$B$615=Analítico!$B109),-(Analítico!AK$3&gt;='Gastos Gerais'!$D$4:$D$615),-(Analítico!AK$3&lt;='Gastos Gerais'!$E$4:$E$615),-('Gastos Gerais'!$C$4:$C$615))</f>
        <v>0</v>
      </c>
      <c r="AL109" s="73">
        <f>SUMPRODUCT(-('Gastos Gerais'!$B$4:$B$615=Analítico!$B109),-(Analítico!AL$3&gt;='Gastos Gerais'!$D$4:$D$615),-(Analítico!AL$3&lt;='Gastos Gerais'!$E$4:$E$615),-('Gastos Gerais'!$C$4:$C$615))</f>
        <v>0</v>
      </c>
      <c r="AM109" s="73">
        <f>SUMPRODUCT(-('Gastos Gerais'!$B$4:$B$615=Analítico!$B109),-(Analítico!AM$3&gt;='Gastos Gerais'!$D$4:$D$615),-(Analítico!AM$3&lt;='Gastos Gerais'!$E$4:$E$615),-('Gastos Gerais'!$C$4:$C$615))</f>
        <v>0</v>
      </c>
      <c r="AN109" s="73">
        <f>SUMPRODUCT(-('Gastos Gerais'!$B$4:$B$615=Analítico!$B109),-(Analítico!AN$3&gt;='Gastos Gerais'!$D$4:$D$615),-(Analítico!AN$3&lt;='Gastos Gerais'!$E$4:$E$615),-('Gastos Gerais'!$C$4:$C$615))</f>
        <v>0</v>
      </c>
      <c r="AO109" s="73">
        <f>SUMPRODUCT(-('Gastos Gerais'!$B$4:$B$615=Analítico!$B109),-(Analítico!AO$3&gt;='Gastos Gerais'!$D$4:$D$615),-(Analítico!AO$3&lt;='Gastos Gerais'!$E$4:$E$615),-('Gastos Gerais'!$C$4:$C$615))</f>
        <v>0</v>
      </c>
      <c r="AP109" s="73">
        <f>SUMPRODUCT(-('Gastos Gerais'!$B$4:$B$615=Analítico!$B109),-(Analítico!AP$3&gt;='Gastos Gerais'!$D$4:$D$615),-(Analítico!AP$3&lt;='Gastos Gerais'!$E$4:$E$615),-('Gastos Gerais'!$C$4:$C$615))</f>
        <v>0</v>
      </c>
      <c r="AQ109" s="73">
        <f>SUMPRODUCT(-('Gastos Gerais'!$B$4:$B$615=Analítico!$B109),-(Analítico!AQ$3&gt;='Gastos Gerais'!$D$4:$D$615),-(Analítico!AQ$3&lt;='Gastos Gerais'!$E$4:$E$615),-('Gastos Gerais'!$C$4:$C$615))</f>
        <v>0</v>
      </c>
      <c r="AR109" s="73">
        <f>SUMPRODUCT(-('Gastos Gerais'!$B$4:$B$615=Analítico!$B109),-(Analítico!AR$3&gt;='Gastos Gerais'!$D$4:$D$615),-(Analítico!AR$3&lt;='Gastos Gerais'!$E$4:$E$615),-('Gastos Gerais'!$C$4:$C$615))</f>
        <v>0</v>
      </c>
      <c r="AS109" s="73">
        <f>SUMPRODUCT(-('Gastos Gerais'!$B$4:$B$615=Analítico!$B109),-(Analítico!AS$3&gt;='Gastos Gerais'!$D$4:$D$615),-(Analítico!AS$3&lt;='Gastos Gerais'!$E$4:$E$615),-('Gastos Gerais'!$C$4:$C$615))</f>
        <v>0</v>
      </c>
      <c r="AT109" s="73">
        <f>SUMPRODUCT(-('Gastos Gerais'!$B$4:$B$615=Analítico!$B109),-(Analítico!AT$3&gt;='Gastos Gerais'!$D$4:$D$615),-(Analítico!AT$3&lt;='Gastos Gerais'!$E$4:$E$615),-('Gastos Gerais'!$C$4:$C$615))</f>
        <v>0</v>
      </c>
      <c r="AU109" s="73">
        <f>SUMPRODUCT(-('Gastos Gerais'!$B$4:$B$615=Analítico!$B109),-(Analítico!AU$3&gt;='Gastos Gerais'!$D$4:$D$615),-(Analítico!AU$3&lt;='Gastos Gerais'!$E$4:$E$615),-('Gastos Gerais'!$C$4:$C$615))</f>
        <v>0</v>
      </c>
      <c r="AV109" s="73">
        <f>SUMPRODUCT(-('Gastos Gerais'!$B$4:$B$615=Analítico!$B109),-(Analítico!AV$3&gt;='Gastos Gerais'!$D$4:$D$615),-(Analítico!AV$3&lt;='Gastos Gerais'!$E$4:$E$615),-('Gastos Gerais'!$C$4:$C$615))</f>
        <v>0</v>
      </c>
      <c r="AW109" s="73">
        <f>SUMPRODUCT(-('Gastos Gerais'!$B$4:$B$615=Analítico!$B109),-(Analítico!AW$3&gt;='Gastos Gerais'!$D$4:$D$615),-(Analítico!AW$3&lt;='Gastos Gerais'!$E$4:$E$615),-('Gastos Gerais'!$C$4:$C$615))</f>
        <v>0</v>
      </c>
      <c r="AX109" s="73">
        <f>SUMPRODUCT(-('Gastos Gerais'!$B$4:$B$615=Analítico!$B109),-(Analítico!AX$3&gt;='Gastos Gerais'!$D$4:$D$615),-(Analítico!AX$3&lt;='Gastos Gerais'!$E$4:$E$615),-('Gastos Gerais'!$C$4:$C$615))</f>
        <v>0</v>
      </c>
      <c r="AY109" s="73">
        <f>SUMPRODUCT(-('Gastos Gerais'!$B$4:$B$615=Analítico!$B109),-(Analítico!AY$3&gt;='Gastos Gerais'!$D$4:$D$615),-(Analítico!AY$3&lt;='Gastos Gerais'!$E$4:$E$615),-('Gastos Gerais'!$C$4:$C$615))</f>
        <v>0</v>
      </c>
      <c r="AZ109" s="73">
        <f>SUMPRODUCT(-('Gastos Gerais'!$B$4:$B$615=Analítico!$B109),-(Analítico!AZ$3&gt;='Gastos Gerais'!$D$4:$D$615),-(Analítico!AZ$3&lt;='Gastos Gerais'!$E$4:$E$615),-('Gastos Gerais'!$C$4:$C$615))</f>
        <v>0</v>
      </c>
      <c r="BA109" s="73">
        <f>SUMPRODUCT(-('Gastos Gerais'!$B$4:$B$615=Analítico!$B109),-(Analítico!BA$3&gt;='Gastos Gerais'!$D$4:$D$615),-(Analítico!BA$3&lt;='Gastos Gerais'!$E$4:$E$615),-('Gastos Gerais'!$C$4:$C$615))</f>
        <v>0</v>
      </c>
      <c r="BB109" s="73">
        <f>SUMPRODUCT(-('Gastos Gerais'!$B$4:$B$615=Analítico!$B109),-(Analítico!BB$3&gt;='Gastos Gerais'!$D$4:$D$615),-(Analítico!BB$3&lt;='Gastos Gerais'!$E$4:$E$615),-('Gastos Gerais'!$C$4:$C$615))</f>
        <v>0</v>
      </c>
      <c r="BC109" s="73">
        <f>SUMPRODUCT(-('Gastos Gerais'!$B$4:$B$615=Analítico!$B109),-(Analítico!BC$3&gt;='Gastos Gerais'!$D$4:$D$615),-(Analítico!BC$3&lt;='Gastos Gerais'!$E$4:$E$615),-('Gastos Gerais'!$C$4:$C$615))</f>
        <v>0</v>
      </c>
      <c r="BD109" s="73">
        <f>SUMPRODUCT(-('Gastos Gerais'!$B$4:$B$615=Analítico!$B109),-(Analítico!BD$3&gt;='Gastos Gerais'!$D$4:$D$615),-(Analítico!BD$3&lt;='Gastos Gerais'!$E$4:$E$615),-('Gastos Gerais'!$C$4:$C$615))</f>
        <v>0</v>
      </c>
      <c r="BE109" s="73">
        <f>SUMPRODUCT(-('Gastos Gerais'!$B$4:$B$615=Analítico!$B109),-(Analítico!BE$3&gt;='Gastos Gerais'!$D$4:$D$615),-(Analítico!BE$3&lt;='Gastos Gerais'!$E$4:$E$615),-('Gastos Gerais'!$C$4:$C$615))</f>
        <v>0</v>
      </c>
      <c r="BF109" s="73">
        <f>SUMPRODUCT(-('Gastos Gerais'!$B$4:$B$615=Analítico!$B109),-(Analítico!BF$3&gt;='Gastos Gerais'!$D$4:$D$615),-(Analítico!BF$3&lt;='Gastos Gerais'!$E$4:$E$615),-('Gastos Gerais'!$C$4:$C$615))</f>
        <v>0</v>
      </c>
      <c r="BG109" s="73">
        <f>SUMPRODUCT(-('Gastos Gerais'!$B$4:$B$615=Analítico!$B109),-(Analítico!BG$3&gt;='Gastos Gerais'!$D$4:$D$615),-(Analítico!BG$3&lt;='Gastos Gerais'!$E$4:$E$615),-('Gastos Gerais'!$C$4:$C$615))</f>
        <v>0</v>
      </c>
      <c r="BH109" s="73">
        <f>SUMPRODUCT(-('Gastos Gerais'!$B$4:$B$615=Analítico!$B109),-(Analítico!BH$3&gt;='Gastos Gerais'!$D$4:$D$615),-(Analítico!BH$3&lt;='Gastos Gerais'!$E$4:$E$615),-('Gastos Gerais'!$C$4:$C$615))</f>
        <v>0</v>
      </c>
      <c r="BI109" s="73">
        <f>SUMPRODUCT(-('Gastos Gerais'!$B$4:$B$615=Analítico!$B109),-(Analítico!BI$3&gt;='Gastos Gerais'!$D$4:$D$615),-(Analítico!BI$3&lt;='Gastos Gerais'!$E$4:$E$615),-('Gastos Gerais'!$C$4:$C$615))</f>
        <v>0</v>
      </c>
      <c r="BJ109" s="73">
        <f>SUMPRODUCT(-('Gastos Gerais'!$B$4:$B$615=Analítico!$B109),-(Analítico!BJ$3&gt;='Gastos Gerais'!$D$4:$D$615),-(Analítico!BJ$3&lt;='Gastos Gerais'!$E$4:$E$615),-('Gastos Gerais'!$C$4:$C$615))</f>
        <v>0</v>
      </c>
      <c r="BK109" s="71">
        <f t="shared" si="33"/>
        <v>0</v>
      </c>
      <c r="BL109" s="76">
        <f t="shared" ca="1" si="34"/>
        <v>0</v>
      </c>
    </row>
    <row r="110" spans="1:64" s="49" customFormat="1" ht="23.25" customHeight="1" x14ac:dyDescent="0.2">
      <c r="A110" s="109" t="s">
        <v>288</v>
      </c>
      <c r="B110" s="112" t="s">
        <v>289</v>
      </c>
      <c r="C110" s="73">
        <f>SUMPRODUCT(-('Gastos Gerais'!$B$4:$B$615=Analítico!$B110),-(Analítico!C$3&gt;='Gastos Gerais'!$D$4:$D$615),-(Analítico!C$3&lt;='Gastos Gerais'!$E$4:$E$615),-('Gastos Gerais'!$C$4:$C$615))</f>
        <v>0</v>
      </c>
      <c r="D110" s="73">
        <f>SUMPRODUCT(-('Gastos Gerais'!$B$4:$B$615=Analítico!$B110),-(Analítico!D$3&gt;='Gastos Gerais'!$D$4:$D$615),-(Analítico!D$3&lt;='Gastos Gerais'!$E$4:$E$615),-('Gastos Gerais'!$C$4:$C$615))</f>
        <v>0</v>
      </c>
      <c r="E110" s="73">
        <f>SUMPRODUCT(-('Gastos Gerais'!$B$4:$B$615=Analítico!$B110),-(Analítico!E$3&gt;='Gastos Gerais'!$D$4:$D$615),-(Analítico!E$3&lt;='Gastos Gerais'!$E$4:$E$615),-('Gastos Gerais'!$C$4:$C$615))</f>
        <v>0</v>
      </c>
      <c r="F110" s="73">
        <f>SUMPRODUCT(-('Gastos Gerais'!$B$4:$B$615=Analítico!$B110),-(Analítico!F$3&gt;='Gastos Gerais'!$D$4:$D$615),-(Analítico!F$3&lt;='Gastos Gerais'!$E$4:$E$615),-('Gastos Gerais'!$C$4:$C$615))</f>
        <v>0</v>
      </c>
      <c r="G110" s="73">
        <f>SUMPRODUCT(-('Gastos Gerais'!$B$4:$B$615=Analítico!$B110),-(Analítico!G$3&gt;='Gastos Gerais'!$D$4:$D$615),-(Analítico!G$3&lt;='Gastos Gerais'!$E$4:$E$615),-('Gastos Gerais'!$C$4:$C$615))</f>
        <v>0</v>
      </c>
      <c r="H110" s="73">
        <f>SUMPRODUCT(-('Gastos Gerais'!$B$4:$B$615=Analítico!$B110),-(Analítico!H$3&gt;='Gastos Gerais'!$D$4:$D$615),-(Analítico!H$3&lt;='Gastos Gerais'!$E$4:$E$615),-('Gastos Gerais'!$C$4:$C$615))</f>
        <v>0</v>
      </c>
      <c r="I110" s="73">
        <f>SUMPRODUCT(-('Gastos Gerais'!$B$4:$B$615=Analítico!$B110),-(Analítico!I$3&gt;='Gastos Gerais'!$D$4:$D$615),-(Analítico!I$3&lt;='Gastos Gerais'!$E$4:$E$615),-('Gastos Gerais'!$C$4:$C$615))</f>
        <v>0</v>
      </c>
      <c r="J110" s="73">
        <f>SUMPRODUCT(-('Gastos Gerais'!$B$4:$B$615=Analítico!$B110),-(Analítico!J$3&gt;='Gastos Gerais'!$D$4:$D$615),-(Analítico!J$3&lt;='Gastos Gerais'!$E$4:$E$615),-('Gastos Gerais'!$C$4:$C$615))</f>
        <v>0</v>
      </c>
      <c r="K110" s="73">
        <f>SUMPRODUCT(-('Gastos Gerais'!$B$4:$B$615=Analítico!$B110),-(Analítico!K$3&gt;='Gastos Gerais'!$D$4:$D$615),-(Analítico!K$3&lt;='Gastos Gerais'!$E$4:$E$615),-('Gastos Gerais'!$C$4:$C$615))</f>
        <v>0</v>
      </c>
      <c r="L110" s="73">
        <f>SUMPRODUCT(-('Gastos Gerais'!$B$4:$B$615=Analítico!$B110),-(Analítico!L$3&gt;='Gastos Gerais'!$D$4:$D$615),-(Analítico!L$3&lt;='Gastos Gerais'!$E$4:$E$615),-('Gastos Gerais'!$C$4:$C$615))</f>
        <v>0</v>
      </c>
      <c r="M110" s="73">
        <f>SUMPRODUCT(-('Gastos Gerais'!$B$4:$B$615=Analítico!$B110),-(Analítico!M$3&gt;='Gastos Gerais'!$D$4:$D$615),-(Analítico!M$3&lt;='Gastos Gerais'!$E$4:$E$615),-('Gastos Gerais'!$C$4:$C$615))</f>
        <v>0</v>
      </c>
      <c r="N110" s="73">
        <f>SUMPRODUCT(-('Gastos Gerais'!$B$4:$B$615=Analítico!$B110),-(Analítico!N$3&gt;='Gastos Gerais'!$D$4:$D$615),-(Analítico!N$3&lt;='Gastos Gerais'!$E$4:$E$615),-('Gastos Gerais'!$C$4:$C$615))</f>
        <v>0</v>
      </c>
      <c r="O110" s="73">
        <f>SUMPRODUCT(-('Gastos Gerais'!$B$4:$B$615=Analítico!$B110),-(Analítico!O$3&gt;='Gastos Gerais'!$D$4:$D$615),-(Analítico!O$3&lt;='Gastos Gerais'!$E$4:$E$615),-('Gastos Gerais'!$C$4:$C$615))</f>
        <v>0</v>
      </c>
      <c r="P110" s="73">
        <f>SUMPRODUCT(-('Gastos Gerais'!$B$4:$B$615=Analítico!$B110),-(Analítico!P$3&gt;='Gastos Gerais'!$D$4:$D$615),-(Analítico!P$3&lt;='Gastos Gerais'!$E$4:$E$615),-('Gastos Gerais'!$C$4:$C$615))</f>
        <v>0</v>
      </c>
      <c r="Q110" s="73">
        <f>SUMPRODUCT(-('Gastos Gerais'!$B$4:$B$615=Analítico!$B110),-(Analítico!Q$3&gt;='Gastos Gerais'!$D$4:$D$615),-(Analítico!Q$3&lt;='Gastos Gerais'!$E$4:$E$615),-('Gastos Gerais'!$C$4:$C$615))</f>
        <v>0</v>
      </c>
      <c r="R110" s="73">
        <f>SUMPRODUCT(-('Gastos Gerais'!$B$4:$B$615=Analítico!$B110),-(Analítico!R$3&gt;='Gastos Gerais'!$D$4:$D$615),-(Analítico!R$3&lt;='Gastos Gerais'!$E$4:$E$615),-('Gastos Gerais'!$C$4:$C$615))</f>
        <v>0</v>
      </c>
      <c r="S110" s="73">
        <f>SUMPRODUCT(-('Gastos Gerais'!$B$4:$B$615=Analítico!$B110),-(Analítico!S$3&gt;='Gastos Gerais'!$D$4:$D$615),-(Analítico!S$3&lt;='Gastos Gerais'!$E$4:$E$615),-('Gastos Gerais'!$C$4:$C$615))</f>
        <v>0</v>
      </c>
      <c r="T110" s="73">
        <f>SUMPRODUCT(-('Gastos Gerais'!$B$4:$B$615=Analítico!$B110),-(Analítico!T$3&gt;='Gastos Gerais'!$D$4:$D$615),-(Analítico!T$3&lt;='Gastos Gerais'!$E$4:$E$615),-('Gastos Gerais'!$C$4:$C$615))</f>
        <v>0</v>
      </c>
      <c r="U110" s="73">
        <f>SUMPRODUCT(-('Gastos Gerais'!$B$4:$B$615=Analítico!$B110),-(Analítico!U$3&gt;='Gastos Gerais'!$D$4:$D$615),-(Analítico!U$3&lt;='Gastos Gerais'!$E$4:$E$615),-('Gastos Gerais'!$C$4:$C$615))</f>
        <v>0</v>
      </c>
      <c r="V110" s="73">
        <f>SUMPRODUCT(-('Gastos Gerais'!$B$4:$B$615=Analítico!$B110),-(Analítico!V$3&gt;='Gastos Gerais'!$D$4:$D$615),-(Analítico!V$3&lt;='Gastos Gerais'!$E$4:$E$615),-('Gastos Gerais'!$C$4:$C$615))</f>
        <v>0</v>
      </c>
      <c r="W110" s="73">
        <f>SUMPRODUCT(-('Gastos Gerais'!$B$4:$B$615=Analítico!$B110),-(Analítico!W$3&gt;='Gastos Gerais'!$D$4:$D$615),-(Analítico!W$3&lt;='Gastos Gerais'!$E$4:$E$615),-('Gastos Gerais'!$C$4:$C$615))</f>
        <v>0</v>
      </c>
      <c r="X110" s="73">
        <f>SUMPRODUCT(-('Gastos Gerais'!$B$4:$B$615=Analítico!$B110),-(Analítico!X$3&gt;='Gastos Gerais'!$D$4:$D$615),-(Analítico!X$3&lt;='Gastos Gerais'!$E$4:$E$615),-('Gastos Gerais'!$C$4:$C$615))</f>
        <v>0</v>
      </c>
      <c r="Y110" s="73">
        <f>SUMPRODUCT(-('Gastos Gerais'!$B$4:$B$615=Analítico!$B110),-(Analítico!Y$3&gt;='Gastos Gerais'!$D$4:$D$615),-(Analítico!Y$3&lt;='Gastos Gerais'!$E$4:$E$615),-('Gastos Gerais'!$C$4:$C$615))</f>
        <v>0</v>
      </c>
      <c r="Z110" s="73">
        <f>SUMPRODUCT(-('Gastos Gerais'!$B$4:$B$615=Analítico!$B110),-(Analítico!Z$3&gt;='Gastos Gerais'!$D$4:$D$615),-(Analítico!Z$3&lt;='Gastos Gerais'!$E$4:$E$615),-('Gastos Gerais'!$C$4:$C$615))</f>
        <v>0</v>
      </c>
      <c r="AA110" s="73">
        <f>SUMPRODUCT(-('Gastos Gerais'!$B$4:$B$615=Analítico!$B110),-(Analítico!AA$3&gt;='Gastos Gerais'!$D$4:$D$615),-(Analítico!AA$3&lt;='Gastos Gerais'!$E$4:$E$615),-('Gastos Gerais'!$C$4:$C$615))</f>
        <v>0</v>
      </c>
      <c r="AB110" s="73">
        <f>SUMPRODUCT(-('Gastos Gerais'!$B$4:$B$615=Analítico!$B110),-(Analítico!AB$3&gt;='Gastos Gerais'!$D$4:$D$615),-(Analítico!AB$3&lt;='Gastos Gerais'!$E$4:$E$615),-('Gastos Gerais'!$C$4:$C$615))</f>
        <v>0</v>
      </c>
      <c r="AC110" s="73">
        <f>SUMPRODUCT(-('Gastos Gerais'!$B$4:$B$615=Analítico!$B110),-(Analítico!AC$3&gt;='Gastos Gerais'!$D$4:$D$615),-(Analítico!AC$3&lt;='Gastos Gerais'!$E$4:$E$615),-('Gastos Gerais'!$C$4:$C$615))</f>
        <v>0</v>
      </c>
      <c r="AD110" s="73">
        <f>SUMPRODUCT(-('Gastos Gerais'!$B$4:$B$615=Analítico!$B110),-(Analítico!AD$3&gt;='Gastos Gerais'!$D$4:$D$615),-(Analítico!AD$3&lt;='Gastos Gerais'!$E$4:$E$615),-('Gastos Gerais'!$C$4:$C$615))</f>
        <v>0</v>
      </c>
      <c r="AE110" s="73">
        <f>SUMPRODUCT(-('Gastos Gerais'!$B$4:$B$615=Analítico!$B110),-(Analítico!AE$3&gt;='Gastos Gerais'!$D$4:$D$615),-(Analítico!AE$3&lt;='Gastos Gerais'!$E$4:$E$615),-('Gastos Gerais'!$C$4:$C$615))</f>
        <v>0</v>
      </c>
      <c r="AF110" s="73">
        <f>SUMPRODUCT(-('Gastos Gerais'!$B$4:$B$615=Analítico!$B110),-(Analítico!AF$3&gt;='Gastos Gerais'!$D$4:$D$615),-(Analítico!AF$3&lt;='Gastos Gerais'!$E$4:$E$615),-('Gastos Gerais'!$C$4:$C$615))</f>
        <v>0</v>
      </c>
      <c r="AG110" s="73">
        <f>SUMPRODUCT(-('Gastos Gerais'!$B$4:$B$615=Analítico!$B110),-(Analítico!AG$3&gt;='Gastos Gerais'!$D$4:$D$615),-(Analítico!AG$3&lt;='Gastos Gerais'!$E$4:$E$615),-('Gastos Gerais'!$C$4:$C$615))</f>
        <v>0</v>
      </c>
      <c r="AH110" s="73">
        <f>SUMPRODUCT(-('Gastos Gerais'!$B$4:$B$615=Analítico!$B110),-(Analítico!AH$3&gt;='Gastos Gerais'!$D$4:$D$615),-(Analítico!AH$3&lt;='Gastos Gerais'!$E$4:$E$615),-('Gastos Gerais'!$C$4:$C$615))</f>
        <v>0</v>
      </c>
      <c r="AI110" s="73">
        <f>SUMPRODUCT(-('Gastos Gerais'!$B$4:$B$615=Analítico!$B110),-(Analítico!AI$3&gt;='Gastos Gerais'!$D$4:$D$615),-(Analítico!AI$3&lt;='Gastos Gerais'!$E$4:$E$615),-('Gastos Gerais'!$C$4:$C$615))</f>
        <v>0</v>
      </c>
      <c r="AJ110" s="73">
        <f>SUMPRODUCT(-('Gastos Gerais'!$B$4:$B$615=Analítico!$B110),-(Analítico!AJ$3&gt;='Gastos Gerais'!$D$4:$D$615),-(Analítico!AJ$3&lt;='Gastos Gerais'!$E$4:$E$615),-('Gastos Gerais'!$C$4:$C$615))</f>
        <v>0</v>
      </c>
      <c r="AK110" s="73">
        <f>SUMPRODUCT(-('Gastos Gerais'!$B$4:$B$615=Analítico!$B110),-(Analítico!AK$3&gt;='Gastos Gerais'!$D$4:$D$615),-(Analítico!AK$3&lt;='Gastos Gerais'!$E$4:$E$615),-('Gastos Gerais'!$C$4:$C$615))</f>
        <v>0</v>
      </c>
      <c r="AL110" s="73">
        <f>SUMPRODUCT(-('Gastos Gerais'!$B$4:$B$615=Analítico!$B110),-(Analítico!AL$3&gt;='Gastos Gerais'!$D$4:$D$615),-(Analítico!AL$3&lt;='Gastos Gerais'!$E$4:$E$615),-('Gastos Gerais'!$C$4:$C$615))</f>
        <v>0</v>
      </c>
      <c r="AM110" s="73">
        <f>SUMPRODUCT(-('Gastos Gerais'!$B$4:$B$615=Analítico!$B110),-(Analítico!AM$3&gt;='Gastos Gerais'!$D$4:$D$615),-(Analítico!AM$3&lt;='Gastos Gerais'!$E$4:$E$615),-('Gastos Gerais'!$C$4:$C$615))</f>
        <v>0</v>
      </c>
      <c r="AN110" s="73">
        <f>SUMPRODUCT(-('Gastos Gerais'!$B$4:$B$615=Analítico!$B110),-(Analítico!AN$3&gt;='Gastos Gerais'!$D$4:$D$615),-(Analítico!AN$3&lt;='Gastos Gerais'!$E$4:$E$615),-('Gastos Gerais'!$C$4:$C$615))</f>
        <v>0</v>
      </c>
      <c r="AO110" s="73">
        <f>SUMPRODUCT(-('Gastos Gerais'!$B$4:$B$615=Analítico!$B110),-(Analítico!AO$3&gt;='Gastos Gerais'!$D$4:$D$615),-(Analítico!AO$3&lt;='Gastos Gerais'!$E$4:$E$615),-('Gastos Gerais'!$C$4:$C$615))</f>
        <v>0</v>
      </c>
      <c r="AP110" s="73">
        <f>SUMPRODUCT(-('Gastos Gerais'!$B$4:$B$615=Analítico!$B110),-(Analítico!AP$3&gt;='Gastos Gerais'!$D$4:$D$615),-(Analítico!AP$3&lt;='Gastos Gerais'!$E$4:$E$615),-('Gastos Gerais'!$C$4:$C$615))</f>
        <v>0</v>
      </c>
      <c r="AQ110" s="73">
        <f>SUMPRODUCT(-('Gastos Gerais'!$B$4:$B$615=Analítico!$B110),-(Analítico!AQ$3&gt;='Gastos Gerais'!$D$4:$D$615),-(Analítico!AQ$3&lt;='Gastos Gerais'!$E$4:$E$615),-('Gastos Gerais'!$C$4:$C$615))</f>
        <v>0</v>
      </c>
      <c r="AR110" s="73">
        <f>SUMPRODUCT(-('Gastos Gerais'!$B$4:$B$615=Analítico!$B110),-(Analítico!AR$3&gt;='Gastos Gerais'!$D$4:$D$615),-(Analítico!AR$3&lt;='Gastos Gerais'!$E$4:$E$615),-('Gastos Gerais'!$C$4:$C$615))</f>
        <v>0</v>
      </c>
      <c r="AS110" s="73">
        <f>SUMPRODUCT(-('Gastos Gerais'!$B$4:$B$615=Analítico!$B110),-(Analítico!AS$3&gt;='Gastos Gerais'!$D$4:$D$615),-(Analítico!AS$3&lt;='Gastos Gerais'!$E$4:$E$615),-('Gastos Gerais'!$C$4:$C$615))</f>
        <v>0</v>
      </c>
      <c r="AT110" s="73">
        <f>SUMPRODUCT(-('Gastos Gerais'!$B$4:$B$615=Analítico!$B110),-(Analítico!AT$3&gt;='Gastos Gerais'!$D$4:$D$615),-(Analítico!AT$3&lt;='Gastos Gerais'!$E$4:$E$615),-('Gastos Gerais'!$C$4:$C$615))</f>
        <v>0</v>
      </c>
      <c r="AU110" s="73">
        <f>SUMPRODUCT(-('Gastos Gerais'!$B$4:$B$615=Analítico!$B110),-(Analítico!AU$3&gt;='Gastos Gerais'!$D$4:$D$615),-(Analítico!AU$3&lt;='Gastos Gerais'!$E$4:$E$615),-('Gastos Gerais'!$C$4:$C$615))</f>
        <v>0</v>
      </c>
      <c r="AV110" s="73">
        <f>SUMPRODUCT(-('Gastos Gerais'!$B$4:$B$615=Analítico!$B110),-(Analítico!AV$3&gt;='Gastos Gerais'!$D$4:$D$615),-(Analítico!AV$3&lt;='Gastos Gerais'!$E$4:$E$615),-('Gastos Gerais'!$C$4:$C$615))</f>
        <v>0</v>
      </c>
      <c r="AW110" s="73">
        <f>SUMPRODUCT(-('Gastos Gerais'!$B$4:$B$615=Analítico!$B110),-(Analítico!AW$3&gt;='Gastos Gerais'!$D$4:$D$615),-(Analítico!AW$3&lt;='Gastos Gerais'!$E$4:$E$615),-('Gastos Gerais'!$C$4:$C$615))</f>
        <v>0</v>
      </c>
      <c r="AX110" s="73">
        <f>SUMPRODUCT(-('Gastos Gerais'!$B$4:$B$615=Analítico!$B110),-(Analítico!AX$3&gt;='Gastos Gerais'!$D$4:$D$615),-(Analítico!AX$3&lt;='Gastos Gerais'!$E$4:$E$615),-('Gastos Gerais'!$C$4:$C$615))</f>
        <v>0</v>
      </c>
      <c r="AY110" s="73">
        <f>SUMPRODUCT(-('Gastos Gerais'!$B$4:$B$615=Analítico!$B110),-(Analítico!AY$3&gt;='Gastos Gerais'!$D$4:$D$615),-(Analítico!AY$3&lt;='Gastos Gerais'!$E$4:$E$615),-('Gastos Gerais'!$C$4:$C$615))</f>
        <v>0</v>
      </c>
      <c r="AZ110" s="73">
        <f>SUMPRODUCT(-('Gastos Gerais'!$B$4:$B$615=Analítico!$B110),-(Analítico!AZ$3&gt;='Gastos Gerais'!$D$4:$D$615),-(Analítico!AZ$3&lt;='Gastos Gerais'!$E$4:$E$615),-('Gastos Gerais'!$C$4:$C$615))</f>
        <v>0</v>
      </c>
      <c r="BA110" s="73">
        <f>SUMPRODUCT(-('Gastos Gerais'!$B$4:$B$615=Analítico!$B110),-(Analítico!BA$3&gt;='Gastos Gerais'!$D$4:$D$615),-(Analítico!BA$3&lt;='Gastos Gerais'!$E$4:$E$615),-('Gastos Gerais'!$C$4:$C$615))</f>
        <v>0</v>
      </c>
      <c r="BB110" s="73">
        <f>SUMPRODUCT(-('Gastos Gerais'!$B$4:$B$615=Analítico!$B110),-(Analítico!BB$3&gt;='Gastos Gerais'!$D$4:$D$615),-(Analítico!BB$3&lt;='Gastos Gerais'!$E$4:$E$615),-('Gastos Gerais'!$C$4:$C$615))</f>
        <v>0</v>
      </c>
      <c r="BC110" s="73">
        <f>SUMPRODUCT(-('Gastos Gerais'!$B$4:$B$615=Analítico!$B110),-(Analítico!BC$3&gt;='Gastos Gerais'!$D$4:$D$615),-(Analítico!BC$3&lt;='Gastos Gerais'!$E$4:$E$615),-('Gastos Gerais'!$C$4:$C$615))</f>
        <v>0</v>
      </c>
      <c r="BD110" s="73">
        <f>SUMPRODUCT(-('Gastos Gerais'!$B$4:$B$615=Analítico!$B110),-(Analítico!BD$3&gt;='Gastos Gerais'!$D$4:$D$615),-(Analítico!BD$3&lt;='Gastos Gerais'!$E$4:$E$615),-('Gastos Gerais'!$C$4:$C$615))</f>
        <v>0</v>
      </c>
      <c r="BE110" s="73">
        <f>SUMPRODUCT(-('Gastos Gerais'!$B$4:$B$615=Analítico!$B110),-(Analítico!BE$3&gt;='Gastos Gerais'!$D$4:$D$615),-(Analítico!BE$3&lt;='Gastos Gerais'!$E$4:$E$615),-('Gastos Gerais'!$C$4:$C$615))</f>
        <v>0</v>
      </c>
      <c r="BF110" s="73">
        <f>SUMPRODUCT(-('Gastos Gerais'!$B$4:$B$615=Analítico!$B110),-(Analítico!BF$3&gt;='Gastos Gerais'!$D$4:$D$615),-(Analítico!BF$3&lt;='Gastos Gerais'!$E$4:$E$615),-('Gastos Gerais'!$C$4:$C$615))</f>
        <v>0</v>
      </c>
      <c r="BG110" s="73">
        <f>SUMPRODUCT(-('Gastos Gerais'!$B$4:$B$615=Analítico!$B110),-(Analítico!BG$3&gt;='Gastos Gerais'!$D$4:$D$615),-(Analítico!BG$3&lt;='Gastos Gerais'!$E$4:$E$615),-('Gastos Gerais'!$C$4:$C$615))</f>
        <v>0</v>
      </c>
      <c r="BH110" s="73">
        <f>SUMPRODUCT(-('Gastos Gerais'!$B$4:$B$615=Analítico!$B110),-(Analítico!BH$3&gt;='Gastos Gerais'!$D$4:$D$615),-(Analítico!BH$3&lt;='Gastos Gerais'!$E$4:$E$615),-('Gastos Gerais'!$C$4:$C$615))</f>
        <v>0</v>
      </c>
      <c r="BI110" s="73">
        <f>SUMPRODUCT(-('Gastos Gerais'!$B$4:$B$615=Analítico!$B110),-(Analítico!BI$3&gt;='Gastos Gerais'!$D$4:$D$615),-(Analítico!BI$3&lt;='Gastos Gerais'!$E$4:$E$615),-('Gastos Gerais'!$C$4:$C$615))</f>
        <v>0</v>
      </c>
      <c r="BJ110" s="73">
        <f>SUMPRODUCT(-('Gastos Gerais'!$B$4:$B$615=Analítico!$B110),-(Analítico!BJ$3&gt;='Gastos Gerais'!$D$4:$D$615),-(Analítico!BJ$3&lt;='Gastos Gerais'!$E$4:$E$615),-('Gastos Gerais'!$C$4:$C$615))</f>
        <v>0</v>
      </c>
      <c r="BK110" s="71">
        <f t="shared" si="33"/>
        <v>0</v>
      </c>
      <c r="BL110" s="76">
        <f t="shared" ca="1" si="34"/>
        <v>0</v>
      </c>
    </row>
    <row r="111" spans="1:64" s="49" customFormat="1" ht="23.25" customHeight="1" x14ac:dyDescent="0.2">
      <c r="A111" s="109" t="s">
        <v>290</v>
      </c>
      <c r="B111" s="112" t="s">
        <v>291</v>
      </c>
      <c r="C111" s="73">
        <f>SUMPRODUCT(-('Gastos Gerais'!$B$4:$B$615=Analítico!$B111),-(Analítico!C$3&gt;='Gastos Gerais'!$D$4:$D$615),-(Analítico!C$3&lt;='Gastos Gerais'!$E$4:$E$615),-('Gastos Gerais'!$C$4:$C$615))</f>
        <v>0</v>
      </c>
      <c r="D111" s="73">
        <f>SUMPRODUCT(-('Gastos Gerais'!$B$4:$B$615=Analítico!$B111),-(Analítico!D$3&gt;='Gastos Gerais'!$D$4:$D$615),-(Analítico!D$3&lt;='Gastos Gerais'!$E$4:$E$615),-('Gastos Gerais'!$C$4:$C$615))</f>
        <v>0</v>
      </c>
      <c r="E111" s="73">
        <f>SUMPRODUCT(-('Gastos Gerais'!$B$4:$B$615=Analítico!$B111),-(Analítico!E$3&gt;='Gastos Gerais'!$D$4:$D$615),-(Analítico!E$3&lt;='Gastos Gerais'!$E$4:$E$615),-('Gastos Gerais'!$C$4:$C$615))</f>
        <v>0</v>
      </c>
      <c r="F111" s="73">
        <f>SUMPRODUCT(-('Gastos Gerais'!$B$4:$B$615=Analítico!$B111),-(Analítico!F$3&gt;='Gastos Gerais'!$D$4:$D$615),-(Analítico!F$3&lt;='Gastos Gerais'!$E$4:$E$615),-('Gastos Gerais'!$C$4:$C$615))</f>
        <v>0</v>
      </c>
      <c r="G111" s="73">
        <f>SUMPRODUCT(-('Gastos Gerais'!$B$4:$B$615=Analítico!$B111),-(Analítico!G$3&gt;='Gastos Gerais'!$D$4:$D$615),-(Analítico!G$3&lt;='Gastos Gerais'!$E$4:$E$615),-('Gastos Gerais'!$C$4:$C$615))</f>
        <v>0</v>
      </c>
      <c r="H111" s="73">
        <f>SUMPRODUCT(-('Gastos Gerais'!$B$4:$B$615=Analítico!$B111),-(Analítico!H$3&gt;='Gastos Gerais'!$D$4:$D$615),-(Analítico!H$3&lt;='Gastos Gerais'!$E$4:$E$615),-('Gastos Gerais'!$C$4:$C$615))</f>
        <v>0</v>
      </c>
      <c r="I111" s="73">
        <f>SUMPRODUCT(-('Gastos Gerais'!$B$4:$B$615=Analítico!$B111),-(Analítico!I$3&gt;='Gastos Gerais'!$D$4:$D$615),-(Analítico!I$3&lt;='Gastos Gerais'!$E$4:$E$615),-('Gastos Gerais'!$C$4:$C$615))</f>
        <v>0</v>
      </c>
      <c r="J111" s="73">
        <f>SUMPRODUCT(-('Gastos Gerais'!$B$4:$B$615=Analítico!$B111),-(Analítico!J$3&gt;='Gastos Gerais'!$D$4:$D$615),-(Analítico!J$3&lt;='Gastos Gerais'!$E$4:$E$615),-('Gastos Gerais'!$C$4:$C$615))</f>
        <v>0</v>
      </c>
      <c r="K111" s="73">
        <f>SUMPRODUCT(-('Gastos Gerais'!$B$4:$B$615=Analítico!$B111),-(Analítico!K$3&gt;='Gastos Gerais'!$D$4:$D$615),-(Analítico!K$3&lt;='Gastos Gerais'!$E$4:$E$615),-('Gastos Gerais'!$C$4:$C$615))</f>
        <v>0</v>
      </c>
      <c r="L111" s="73">
        <f>SUMPRODUCT(-('Gastos Gerais'!$B$4:$B$615=Analítico!$B111),-(Analítico!L$3&gt;='Gastos Gerais'!$D$4:$D$615),-(Analítico!L$3&lt;='Gastos Gerais'!$E$4:$E$615),-('Gastos Gerais'!$C$4:$C$615))</f>
        <v>0</v>
      </c>
      <c r="M111" s="73">
        <f>SUMPRODUCT(-('Gastos Gerais'!$B$4:$B$615=Analítico!$B111),-(Analítico!M$3&gt;='Gastos Gerais'!$D$4:$D$615),-(Analítico!M$3&lt;='Gastos Gerais'!$E$4:$E$615),-('Gastos Gerais'!$C$4:$C$615))</f>
        <v>0</v>
      </c>
      <c r="N111" s="73">
        <f>SUMPRODUCT(-('Gastos Gerais'!$B$4:$B$615=Analítico!$B111),-(Analítico!N$3&gt;='Gastos Gerais'!$D$4:$D$615),-(Analítico!N$3&lt;='Gastos Gerais'!$E$4:$E$615),-('Gastos Gerais'!$C$4:$C$615))</f>
        <v>0</v>
      </c>
      <c r="O111" s="73">
        <f>SUMPRODUCT(-('Gastos Gerais'!$B$4:$B$615=Analítico!$B111),-(Analítico!O$3&gt;='Gastos Gerais'!$D$4:$D$615),-(Analítico!O$3&lt;='Gastos Gerais'!$E$4:$E$615),-('Gastos Gerais'!$C$4:$C$615))</f>
        <v>0</v>
      </c>
      <c r="P111" s="73">
        <f>SUMPRODUCT(-('Gastos Gerais'!$B$4:$B$615=Analítico!$B111),-(Analítico!P$3&gt;='Gastos Gerais'!$D$4:$D$615),-(Analítico!P$3&lt;='Gastos Gerais'!$E$4:$E$615),-('Gastos Gerais'!$C$4:$C$615))</f>
        <v>0</v>
      </c>
      <c r="Q111" s="73">
        <f>SUMPRODUCT(-('Gastos Gerais'!$B$4:$B$615=Analítico!$B111),-(Analítico!Q$3&gt;='Gastos Gerais'!$D$4:$D$615),-(Analítico!Q$3&lt;='Gastos Gerais'!$E$4:$E$615),-('Gastos Gerais'!$C$4:$C$615))</f>
        <v>0</v>
      </c>
      <c r="R111" s="73">
        <f>SUMPRODUCT(-('Gastos Gerais'!$B$4:$B$615=Analítico!$B111),-(Analítico!R$3&gt;='Gastos Gerais'!$D$4:$D$615),-(Analítico!R$3&lt;='Gastos Gerais'!$E$4:$E$615),-('Gastos Gerais'!$C$4:$C$615))</f>
        <v>0</v>
      </c>
      <c r="S111" s="73">
        <f>SUMPRODUCT(-('Gastos Gerais'!$B$4:$B$615=Analítico!$B111),-(Analítico!S$3&gt;='Gastos Gerais'!$D$4:$D$615),-(Analítico!S$3&lt;='Gastos Gerais'!$E$4:$E$615),-('Gastos Gerais'!$C$4:$C$615))</f>
        <v>0</v>
      </c>
      <c r="T111" s="73">
        <f>SUMPRODUCT(-('Gastos Gerais'!$B$4:$B$615=Analítico!$B111),-(Analítico!T$3&gt;='Gastos Gerais'!$D$4:$D$615),-(Analítico!T$3&lt;='Gastos Gerais'!$E$4:$E$615),-('Gastos Gerais'!$C$4:$C$615))</f>
        <v>0</v>
      </c>
      <c r="U111" s="73">
        <f>SUMPRODUCT(-('Gastos Gerais'!$B$4:$B$615=Analítico!$B111),-(Analítico!U$3&gt;='Gastos Gerais'!$D$4:$D$615),-(Analítico!U$3&lt;='Gastos Gerais'!$E$4:$E$615),-('Gastos Gerais'!$C$4:$C$615))</f>
        <v>0</v>
      </c>
      <c r="V111" s="73">
        <f>SUMPRODUCT(-('Gastos Gerais'!$B$4:$B$615=Analítico!$B111),-(Analítico!V$3&gt;='Gastos Gerais'!$D$4:$D$615),-(Analítico!V$3&lt;='Gastos Gerais'!$E$4:$E$615),-('Gastos Gerais'!$C$4:$C$615))</f>
        <v>0</v>
      </c>
      <c r="W111" s="73">
        <f>SUMPRODUCT(-('Gastos Gerais'!$B$4:$B$615=Analítico!$B111),-(Analítico!W$3&gt;='Gastos Gerais'!$D$4:$D$615),-(Analítico!W$3&lt;='Gastos Gerais'!$E$4:$E$615),-('Gastos Gerais'!$C$4:$C$615))</f>
        <v>0</v>
      </c>
      <c r="X111" s="73">
        <f>SUMPRODUCT(-('Gastos Gerais'!$B$4:$B$615=Analítico!$B111),-(Analítico!X$3&gt;='Gastos Gerais'!$D$4:$D$615),-(Analítico!X$3&lt;='Gastos Gerais'!$E$4:$E$615),-('Gastos Gerais'!$C$4:$C$615))</f>
        <v>0</v>
      </c>
      <c r="Y111" s="73">
        <f>SUMPRODUCT(-('Gastos Gerais'!$B$4:$B$615=Analítico!$B111),-(Analítico!Y$3&gt;='Gastos Gerais'!$D$4:$D$615),-(Analítico!Y$3&lt;='Gastos Gerais'!$E$4:$E$615),-('Gastos Gerais'!$C$4:$C$615))</f>
        <v>0</v>
      </c>
      <c r="Z111" s="73">
        <f>SUMPRODUCT(-('Gastos Gerais'!$B$4:$B$615=Analítico!$B111),-(Analítico!Z$3&gt;='Gastos Gerais'!$D$4:$D$615),-(Analítico!Z$3&lt;='Gastos Gerais'!$E$4:$E$615),-('Gastos Gerais'!$C$4:$C$615))</f>
        <v>0</v>
      </c>
      <c r="AA111" s="73">
        <f>SUMPRODUCT(-('Gastos Gerais'!$B$4:$B$615=Analítico!$B111),-(Analítico!AA$3&gt;='Gastos Gerais'!$D$4:$D$615),-(Analítico!AA$3&lt;='Gastos Gerais'!$E$4:$E$615),-('Gastos Gerais'!$C$4:$C$615))</f>
        <v>0</v>
      </c>
      <c r="AB111" s="73">
        <f>SUMPRODUCT(-('Gastos Gerais'!$B$4:$B$615=Analítico!$B111),-(Analítico!AB$3&gt;='Gastos Gerais'!$D$4:$D$615),-(Analítico!AB$3&lt;='Gastos Gerais'!$E$4:$E$615),-('Gastos Gerais'!$C$4:$C$615))</f>
        <v>0</v>
      </c>
      <c r="AC111" s="73">
        <f>SUMPRODUCT(-('Gastos Gerais'!$B$4:$B$615=Analítico!$B111),-(Analítico!AC$3&gt;='Gastos Gerais'!$D$4:$D$615),-(Analítico!AC$3&lt;='Gastos Gerais'!$E$4:$E$615),-('Gastos Gerais'!$C$4:$C$615))</f>
        <v>0</v>
      </c>
      <c r="AD111" s="73">
        <f>SUMPRODUCT(-('Gastos Gerais'!$B$4:$B$615=Analítico!$B111),-(Analítico!AD$3&gt;='Gastos Gerais'!$D$4:$D$615),-(Analítico!AD$3&lt;='Gastos Gerais'!$E$4:$E$615),-('Gastos Gerais'!$C$4:$C$615))</f>
        <v>0</v>
      </c>
      <c r="AE111" s="73">
        <f>SUMPRODUCT(-('Gastos Gerais'!$B$4:$B$615=Analítico!$B111),-(Analítico!AE$3&gt;='Gastos Gerais'!$D$4:$D$615),-(Analítico!AE$3&lt;='Gastos Gerais'!$E$4:$E$615),-('Gastos Gerais'!$C$4:$C$615))</f>
        <v>0</v>
      </c>
      <c r="AF111" s="73">
        <f>SUMPRODUCT(-('Gastos Gerais'!$B$4:$B$615=Analítico!$B111),-(Analítico!AF$3&gt;='Gastos Gerais'!$D$4:$D$615),-(Analítico!AF$3&lt;='Gastos Gerais'!$E$4:$E$615),-('Gastos Gerais'!$C$4:$C$615))</f>
        <v>0</v>
      </c>
      <c r="AG111" s="73">
        <f>SUMPRODUCT(-('Gastos Gerais'!$B$4:$B$615=Analítico!$B111),-(Analítico!AG$3&gt;='Gastos Gerais'!$D$4:$D$615),-(Analítico!AG$3&lt;='Gastos Gerais'!$E$4:$E$615),-('Gastos Gerais'!$C$4:$C$615))</f>
        <v>0</v>
      </c>
      <c r="AH111" s="73">
        <f>SUMPRODUCT(-('Gastos Gerais'!$B$4:$B$615=Analítico!$B111),-(Analítico!AH$3&gt;='Gastos Gerais'!$D$4:$D$615),-(Analítico!AH$3&lt;='Gastos Gerais'!$E$4:$E$615),-('Gastos Gerais'!$C$4:$C$615))</f>
        <v>0</v>
      </c>
      <c r="AI111" s="73">
        <f>SUMPRODUCT(-('Gastos Gerais'!$B$4:$B$615=Analítico!$B111),-(Analítico!AI$3&gt;='Gastos Gerais'!$D$4:$D$615),-(Analítico!AI$3&lt;='Gastos Gerais'!$E$4:$E$615),-('Gastos Gerais'!$C$4:$C$615))</f>
        <v>0</v>
      </c>
      <c r="AJ111" s="73">
        <f>SUMPRODUCT(-('Gastos Gerais'!$B$4:$B$615=Analítico!$B111),-(Analítico!AJ$3&gt;='Gastos Gerais'!$D$4:$D$615),-(Analítico!AJ$3&lt;='Gastos Gerais'!$E$4:$E$615),-('Gastos Gerais'!$C$4:$C$615))</f>
        <v>0</v>
      </c>
      <c r="AK111" s="73">
        <f>SUMPRODUCT(-('Gastos Gerais'!$B$4:$B$615=Analítico!$B111),-(Analítico!AK$3&gt;='Gastos Gerais'!$D$4:$D$615),-(Analítico!AK$3&lt;='Gastos Gerais'!$E$4:$E$615),-('Gastos Gerais'!$C$4:$C$615))</f>
        <v>0</v>
      </c>
      <c r="AL111" s="73">
        <f>SUMPRODUCT(-('Gastos Gerais'!$B$4:$B$615=Analítico!$B111),-(Analítico!AL$3&gt;='Gastos Gerais'!$D$4:$D$615),-(Analítico!AL$3&lt;='Gastos Gerais'!$E$4:$E$615),-('Gastos Gerais'!$C$4:$C$615))</f>
        <v>0</v>
      </c>
      <c r="AM111" s="73">
        <f>SUMPRODUCT(-('Gastos Gerais'!$B$4:$B$615=Analítico!$B111),-(Analítico!AM$3&gt;='Gastos Gerais'!$D$4:$D$615),-(Analítico!AM$3&lt;='Gastos Gerais'!$E$4:$E$615),-('Gastos Gerais'!$C$4:$C$615))</f>
        <v>0</v>
      </c>
      <c r="AN111" s="73">
        <f>SUMPRODUCT(-('Gastos Gerais'!$B$4:$B$615=Analítico!$B111),-(Analítico!AN$3&gt;='Gastos Gerais'!$D$4:$D$615),-(Analítico!AN$3&lt;='Gastos Gerais'!$E$4:$E$615),-('Gastos Gerais'!$C$4:$C$615))</f>
        <v>0</v>
      </c>
      <c r="AO111" s="73">
        <f>SUMPRODUCT(-('Gastos Gerais'!$B$4:$B$615=Analítico!$B111),-(Analítico!AO$3&gt;='Gastos Gerais'!$D$4:$D$615),-(Analítico!AO$3&lt;='Gastos Gerais'!$E$4:$E$615),-('Gastos Gerais'!$C$4:$C$615))</f>
        <v>0</v>
      </c>
      <c r="AP111" s="73">
        <f>SUMPRODUCT(-('Gastos Gerais'!$B$4:$B$615=Analítico!$B111),-(Analítico!AP$3&gt;='Gastos Gerais'!$D$4:$D$615),-(Analítico!AP$3&lt;='Gastos Gerais'!$E$4:$E$615),-('Gastos Gerais'!$C$4:$C$615))</f>
        <v>0</v>
      </c>
      <c r="AQ111" s="73">
        <f>SUMPRODUCT(-('Gastos Gerais'!$B$4:$B$615=Analítico!$B111),-(Analítico!AQ$3&gt;='Gastos Gerais'!$D$4:$D$615),-(Analítico!AQ$3&lt;='Gastos Gerais'!$E$4:$E$615),-('Gastos Gerais'!$C$4:$C$615))</f>
        <v>0</v>
      </c>
      <c r="AR111" s="73">
        <f>SUMPRODUCT(-('Gastos Gerais'!$B$4:$B$615=Analítico!$B111),-(Analítico!AR$3&gt;='Gastos Gerais'!$D$4:$D$615),-(Analítico!AR$3&lt;='Gastos Gerais'!$E$4:$E$615),-('Gastos Gerais'!$C$4:$C$615))</f>
        <v>0</v>
      </c>
      <c r="AS111" s="73">
        <f>SUMPRODUCT(-('Gastos Gerais'!$B$4:$B$615=Analítico!$B111),-(Analítico!AS$3&gt;='Gastos Gerais'!$D$4:$D$615),-(Analítico!AS$3&lt;='Gastos Gerais'!$E$4:$E$615),-('Gastos Gerais'!$C$4:$C$615))</f>
        <v>0</v>
      </c>
      <c r="AT111" s="73">
        <f>SUMPRODUCT(-('Gastos Gerais'!$B$4:$B$615=Analítico!$B111),-(Analítico!AT$3&gt;='Gastos Gerais'!$D$4:$D$615),-(Analítico!AT$3&lt;='Gastos Gerais'!$E$4:$E$615),-('Gastos Gerais'!$C$4:$C$615))</f>
        <v>0</v>
      </c>
      <c r="AU111" s="73">
        <f>SUMPRODUCT(-('Gastos Gerais'!$B$4:$B$615=Analítico!$B111),-(Analítico!AU$3&gt;='Gastos Gerais'!$D$4:$D$615),-(Analítico!AU$3&lt;='Gastos Gerais'!$E$4:$E$615),-('Gastos Gerais'!$C$4:$C$615))</f>
        <v>0</v>
      </c>
      <c r="AV111" s="73">
        <f>SUMPRODUCT(-('Gastos Gerais'!$B$4:$B$615=Analítico!$B111),-(Analítico!AV$3&gt;='Gastos Gerais'!$D$4:$D$615),-(Analítico!AV$3&lt;='Gastos Gerais'!$E$4:$E$615),-('Gastos Gerais'!$C$4:$C$615))</f>
        <v>0</v>
      </c>
      <c r="AW111" s="73">
        <f>SUMPRODUCT(-('Gastos Gerais'!$B$4:$B$615=Analítico!$B111),-(Analítico!AW$3&gt;='Gastos Gerais'!$D$4:$D$615),-(Analítico!AW$3&lt;='Gastos Gerais'!$E$4:$E$615),-('Gastos Gerais'!$C$4:$C$615))</f>
        <v>0</v>
      </c>
      <c r="AX111" s="73">
        <f>SUMPRODUCT(-('Gastos Gerais'!$B$4:$B$615=Analítico!$B111),-(Analítico!AX$3&gt;='Gastos Gerais'!$D$4:$D$615),-(Analítico!AX$3&lt;='Gastos Gerais'!$E$4:$E$615),-('Gastos Gerais'!$C$4:$C$615))</f>
        <v>0</v>
      </c>
      <c r="AY111" s="73">
        <f>SUMPRODUCT(-('Gastos Gerais'!$B$4:$B$615=Analítico!$B111),-(Analítico!AY$3&gt;='Gastos Gerais'!$D$4:$D$615),-(Analítico!AY$3&lt;='Gastos Gerais'!$E$4:$E$615),-('Gastos Gerais'!$C$4:$C$615))</f>
        <v>0</v>
      </c>
      <c r="AZ111" s="73">
        <f>SUMPRODUCT(-('Gastos Gerais'!$B$4:$B$615=Analítico!$B111),-(Analítico!AZ$3&gt;='Gastos Gerais'!$D$4:$D$615),-(Analítico!AZ$3&lt;='Gastos Gerais'!$E$4:$E$615),-('Gastos Gerais'!$C$4:$C$615))</f>
        <v>0</v>
      </c>
      <c r="BA111" s="73">
        <f>SUMPRODUCT(-('Gastos Gerais'!$B$4:$B$615=Analítico!$B111),-(Analítico!BA$3&gt;='Gastos Gerais'!$D$4:$D$615),-(Analítico!BA$3&lt;='Gastos Gerais'!$E$4:$E$615),-('Gastos Gerais'!$C$4:$C$615))</f>
        <v>0</v>
      </c>
      <c r="BB111" s="73">
        <f>SUMPRODUCT(-('Gastos Gerais'!$B$4:$B$615=Analítico!$B111),-(Analítico!BB$3&gt;='Gastos Gerais'!$D$4:$D$615),-(Analítico!BB$3&lt;='Gastos Gerais'!$E$4:$E$615),-('Gastos Gerais'!$C$4:$C$615))</f>
        <v>0</v>
      </c>
      <c r="BC111" s="73">
        <f>SUMPRODUCT(-('Gastos Gerais'!$B$4:$B$615=Analítico!$B111),-(Analítico!BC$3&gt;='Gastos Gerais'!$D$4:$D$615),-(Analítico!BC$3&lt;='Gastos Gerais'!$E$4:$E$615),-('Gastos Gerais'!$C$4:$C$615))</f>
        <v>0</v>
      </c>
      <c r="BD111" s="73">
        <f>SUMPRODUCT(-('Gastos Gerais'!$B$4:$B$615=Analítico!$B111),-(Analítico!BD$3&gt;='Gastos Gerais'!$D$4:$D$615),-(Analítico!BD$3&lt;='Gastos Gerais'!$E$4:$E$615),-('Gastos Gerais'!$C$4:$C$615))</f>
        <v>0</v>
      </c>
      <c r="BE111" s="73">
        <f>SUMPRODUCT(-('Gastos Gerais'!$B$4:$B$615=Analítico!$B111),-(Analítico!BE$3&gt;='Gastos Gerais'!$D$4:$D$615),-(Analítico!BE$3&lt;='Gastos Gerais'!$E$4:$E$615),-('Gastos Gerais'!$C$4:$C$615))</f>
        <v>0</v>
      </c>
      <c r="BF111" s="73">
        <f>SUMPRODUCT(-('Gastos Gerais'!$B$4:$B$615=Analítico!$B111),-(Analítico!BF$3&gt;='Gastos Gerais'!$D$4:$D$615),-(Analítico!BF$3&lt;='Gastos Gerais'!$E$4:$E$615),-('Gastos Gerais'!$C$4:$C$615))</f>
        <v>0</v>
      </c>
      <c r="BG111" s="73">
        <f>SUMPRODUCT(-('Gastos Gerais'!$B$4:$B$615=Analítico!$B111),-(Analítico!BG$3&gt;='Gastos Gerais'!$D$4:$D$615),-(Analítico!BG$3&lt;='Gastos Gerais'!$E$4:$E$615),-('Gastos Gerais'!$C$4:$C$615))</f>
        <v>0</v>
      </c>
      <c r="BH111" s="73">
        <f>SUMPRODUCT(-('Gastos Gerais'!$B$4:$B$615=Analítico!$B111),-(Analítico!BH$3&gt;='Gastos Gerais'!$D$4:$D$615),-(Analítico!BH$3&lt;='Gastos Gerais'!$E$4:$E$615),-('Gastos Gerais'!$C$4:$C$615))</f>
        <v>0</v>
      </c>
      <c r="BI111" s="73">
        <f>SUMPRODUCT(-('Gastos Gerais'!$B$4:$B$615=Analítico!$B111),-(Analítico!BI$3&gt;='Gastos Gerais'!$D$4:$D$615),-(Analítico!BI$3&lt;='Gastos Gerais'!$E$4:$E$615),-('Gastos Gerais'!$C$4:$C$615))</f>
        <v>0</v>
      </c>
      <c r="BJ111" s="73">
        <f>SUMPRODUCT(-('Gastos Gerais'!$B$4:$B$615=Analítico!$B111),-(Analítico!BJ$3&gt;='Gastos Gerais'!$D$4:$D$615),-(Analítico!BJ$3&lt;='Gastos Gerais'!$E$4:$E$615),-('Gastos Gerais'!$C$4:$C$615))</f>
        <v>0</v>
      </c>
      <c r="BK111" s="71">
        <f t="shared" si="33"/>
        <v>0</v>
      </c>
      <c r="BL111" s="76">
        <f t="shared" ca="1" si="34"/>
        <v>0</v>
      </c>
    </row>
    <row r="112" spans="1:64" s="49" customFormat="1" ht="23.25" customHeight="1" x14ac:dyDescent="0.2">
      <c r="A112" s="109" t="s">
        <v>292</v>
      </c>
      <c r="B112" s="112" t="s">
        <v>293</v>
      </c>
      <c r="C112" s="73">
        <f>SUMPRODUCT(-('Gastos Gerais'!$B$4:$B$615=Analítico!$B112),-(Analítico!C$3&gt;='Gastos Gerais'!$D$4:$D$615),-(Analítico!C$3&lt;='Gastos Gerais'!$E$4:$E$615),-('Gastos Gerais'!$C$4:$C$615))</f>
        <v>0</v>
      </c>
      <c r="D112" s="73">
        <f>SUMPRODUCT(-('Gastos Gerais'!$B$4:$B$615=Analítico!$B112),-(Analítico!D$3&gt;='Gastos Gerais'!$D$4:$D$615),-(Analítico!D$3&lt;='Gastos Gerais'!$E$4:$E$615),-('Gastos Gerais'!$C$4:$C$615))</f>
        <v>0</v>
      </c>
      <c r="E112" s="73">
        <f>SUMPRODUCT(-('Gastos Gerais'!$B$4:$B$615=Analítico!$B112),-(Analítico!E$3&gt;='Gastos Gerais'!$D$4:$D$615),-(Analítico!E$3&lt;='Gastos Gerais'!$E$4:$E$615),-('Gastos Gerais'!$C$4:$C$615))</f>
        <v>0</v>
      </c>
      <c r="F112" s="73">
        <f>SUMPRODUCT(-('Gastos Gerais'!$B$4:$B$615=Analítico!$B112),-(Analítico!F$3&gt;='Gastos Gerais'!$D$4:$D$615),-(Analítico!F$3&lt;='Gastos Gerais'!$E$4:$E$615),-('Gastos Gerais'!$C$4:$C$615))</f>
        <v>0</v>
      </c>
      <c r="G112" s="73">
        <f>SUMPRODUCT(-('Gastos Gerais'!$B$4:$B$615=Analítico!$B112),-(Analítico!G$3&gt;='Gastos Gerais'!$D$4:$D$615),-(Analítico!G$3&lt;='Gastos Gerais'!$E$4:$E$615),-('Gastos Gerais'!$C$4:$C$615))</f>
        <v>0</v>
      </c>
      <c r="H112" s="73">
        <f>SUMPRODUCT(-('Gastos Gerais'!$B$4:$B$615=Analítico!$B112),-(Analítico!H$3&gt;='Gastos Gerais'!$D$4:$D$615),-(Analítico!H$3&lt;='Gastos Gerais'!$E$4:$E$615),-('Gastos Gerais'!$C$4:$C$615))</f>
        <v>0</v>
      </c>
      <c r="I112" s="73">
        <f>SUMPRODUCT(-('Gastos Gerais'!$B$4:$B$615=Analítico!$B112),-(Analítico!I$3&gt;='Gastos Gerais'!$D$4:$D$615),-(Analítico!I$3&lt;='Gastos Gerais'!$E$4:$E$615),-('Gastos Gerais'!$C$4:$C$615))</f>
        <v>0</v>
      </c>
      <c r="J112" s="73">
        <f>SUMPRODUCT(-('Gastos Gerais'!$B$4:$B$615=Analítico!$B112),-(Analítico!J$3&gt;='Gastos Gerais'!$D$4:$D$615),-(Analítico!J$3&lt;='Gastos Gerais'!$E$4:$E$615),-('Gastos Gerais'!$C$4:$C$615))</f>
        <v>0</v>
      </c>
      <c r="K112" s="73">
        <f>SUMPRODUCT(-('Gastos Gerais'!$B$4:$B$615=Analítico!$B112),-(Analítico!K$3&gt;='Gastos Gerais'!$D$4:$D$615),-(Analítico!K$3&lt;='Gastos Gerais'!$E$4:$E$615),-('Gastos Gerais'!$C$4:$C$615))</f>
        <v>0</v>
      </c>
      <c r="L112" s="73">
        <f>SUMPRODUCT(-('Gastos Gerais'!$B$4:$B$615=Analítico!$B112),-(Analítico!L$3&gt;='Gastos Gerais'!$D$4:$D$615),-(Analítico!L$3&lt;='Gastos Gerais'!$E$4:$E$615),-('Gastos Gerais'!$C$4:$C$615))</f>
        <v>0</v>
      </c>
      <c r="M112" s="73">
        <f>SUMPRODUCT(-('Gastos Gerais'!$B$4:$B$615=Analítico!$B112),-(Analítico!M$3&gt;='Gastos Gerais'!$D$4:$D$615),-(Analítico!M$3&lt;='Gastos Gerais'!$E$4:$E$615),-('Gastos Gerais'!$C$4:$C$615))</f>
        <v>0</v>
      </c>
      <c r="N112" s="73">
        <f>SUMPRODUCT(-('Gastos Gerais'!$B$4:$B$615=Analítico!$B112),-(Analítico!N$3&gt;='Gastos Gerais'!$D$4:$D$615),-(Analítico!N$3&lt;='Gastos Gerais'!$E$4:$E$615),-('Gastos Gerais'!$C$4:$C$615))</f>
        <v>0</v>
      </c>
      <c r="O112" s="73">
        <f>SUMPRODUCT(-('Gastos Gerais'!$B$4:$B$615=Analítico!$B112),-(Analítico!O$3&gt;='Gastos Gerais'!$D$4:$D$615),-(Analítico!O$3&lt;='Gastos Gerais'!$E$4:$E$615),-('Gastos Gerais'!$C$4:$C$615))</f>
        <v>0</v>
      </c>
      <c r="P112" s="73">
        <f>SUMPRODUCT(-('Gastos Gerais'!$B$4:$B$615=Analítico!$B112),-(Analítico!P$3&gt;='Gastos Gerais'!$D$4:$D$615),-(Analítico!P$3&lt;='Gastos Gerais'!$E$4:$E$615),-('Gastos Gerais'!$C$4:$C$615))</f>
        <v>0</v>
      </c>
      <c r="Q112" s="73">
        <f>SUMPRODUCT(-('Gastos Gerais'!$B$4:$B$615=Analítico!$B112),-(Analítico!Q$3&gt;='Gastos Gerais'!$D$4:$D$615),-(Analítico!Q$3&lt;='Gastos Gerais'!$E$4:$E$615),-('Gastos Gerais'!$C$4:$C$615))</f>
        <v>0</v>
      </c>
      <c r="R112" s="73">
        <f>SUMPRODUCT(-('Gastos Gerais'!$B$4:$B$615=Analítico!$B112),-(Analítico!R$3&gt;='Gastos Gerais'!$D$4:$D$615),-(Analítico!R$3&lt;='Gastos Gerais'!$E$4:$E$615),-('Gastos Gerais'!$C$4:$C$615))</f>
        <v>0</v>
      </c>
      <c r="S112" s="73">
        <f>SUMPRODUCT(-('Gastos Gerais'!$B$4:$B$615=Analítico!$B112),-(Analítico!S$3&gt;='Gastos Gerais'!$D$4:$D$615),-(Analítico!S$3&lt;='Gastos Gerais'!$E$4:$E$615),-('Gastos Gerais'!$C$4:$C$615))</f>
        <v>0</v>
      </c>
      <c r="T112" s="73">
        <f>SUMPRODUCT(-('Gastos Gerais'!$B$4:$B$615=Analítico!$B112),-(Analítico!T$3&gt;='Gastos Gerais'!$D$4:$D$615),-(Analítico!T$3&lt;='Gastos Gerais'!$E$4:$E$615),-('Gastos Gerais'!$C$4:$C$615))</f>
        <v>0</v>
      </c>
      <c r="U112" s="73">
        <f>SUMPRODUCT(-('Gastos Gerais'!$B$4:$B$615=Analítico!$B112),-(Analítico!U$3&gt;='Gastos Gerais'!$D$4:$D$615),-(Analítico!U$3&lt;='Gastos Gerais'!$E$4:$E$615),-('Gastos Gerais'!$C$4:$C$615))</f>
        <v>0</v>
      </c>
      <c r="V112" s="73">
        <f>SUMPRODUCT(-('Gastos Gerais'!$B$4:$B$615=Analítico!$B112),-(Analítico!V$3&gt;='Gastos Gerais'!$D$4:$D$615),-(Analítico!V$3&lt;='Gastos Gerais'!$E$4:$E$615),-('Gastos Gerais'!$C$4:$C$615))</f>
        <v>0</v>
      </c>
      <c r="W112" s="73">
        <f>SUMPRODUCT(-('Gastos Gerais'!$B$4:$B$615=Analítico!$B112),-(Analítico!W$3&gt;='Gastos Gerais'!$D$4:$D$615),-(Analítico!W$3&lt;='Gastos Gerais'!$E$4:$E$615),-('Gastos Gerais'!$C$4:$C$615))</f>
        <v>0</v>
      </c>
      <c r="X112" s="73">
        <f>SUMPRODUCT(-('Gastos Gerais'!$B$4:$B$615=Analítico!$B112),-(Analítico!X$3&gt;='Gastos Gerais'!$D$4:$D$615),-(Analítico!X$3&lt;='Gastos Gerais'!$E$4:$E$615),-('Gastos Gerais'!$C$4:$C$615))</f>
        <v>0</v>
      </c>
      <c r="Y112" s="73">
        <f>SUMPRODUCT(-('Gastos Gerais'!$B$4:$B$615=Analítico!$B112),-(Analítico!Y$3&gt;='Gastos Gerais'!$D$4:$D$615),-(Analítico!Y$3&lt;='Gastos Gerais'!$E$4:$E$615),-('Gastos Gerais'!$C$4:$C$615))</f>
        <v>0</v>
      </c>
      <c r="Z112" s="73">
        <f>SUMPRODUCT(-('Gastos Gerais'!$B$4:$B$615=Analítico!$B112),-(Analítico!Z$3&gt;='Gastos Gerais'!$D$4:$D$615),-(Analítico!Z$3&lt;='Gastos Gerais'!$E$4:$E$615),-('Gastos Gerais'!$C$4:$C$615))</f>
        <v>0</v>
      </c>
      <c r="AA112" s="73">
        <f>SUMPRODUCT(-('Gastos Gerais'!$B$4:$B$615=Analítico!$B112),-(Analítico!AA$3&gt;='Gastos Gerais'!$D$4:$D$615),-(Analítico!AA$3&lt;='Gastos Gerais'!$E$4:$E$615),-('Gastos Gerais'!$C$4:$C$615))</f>
        <v>0</v>
      </c>
      <c r="AB112" s="73">
        <f>SUMPRODUCT(-('Gastos Gerais'!$B$4:$B$615=Analítico!$B112),-(Analítico!AB$3&gt;='Gastos Gerais'!$D$4:$D$615),-(Analítico!AB$3&lt;='Gastos Gerais'!$E$4:$E$615),-('Gastos Gerais'!$C$4:$C$615))</f>
        <v>0</v>
      </c>
      <c r="AC112" s="73">
        <f>SUMPRODUCT(-('Gastos Gerais'!$B$4:$B$615=Analítico!$B112),-(Analítico!AC$3&gt;='Gastos Gerais'!$D$4:$D$615),-(Analítico!AC$3&lt;='Gastos Gerais'!$E$4:$E$615),-('Gastos Gerais'!$C$4:$C$615))</f>
        <v>0</v>
      </c>
      <c r="AD112" s="73">
        <f>SUMPRODUCT(-('Gastos Gerais'!$B$4:$B$615=Analítico!$B112),-(Analítico!AD$3&gt;='Gastos Gerais'!$D$4:$D$615),-(Analítico!AD$3&lt;='Gastos Gerais'!$E$4:$E$615),-('Gastos Gerais'!$C$4:$C$615))</f>
        <v>0</v>
      </c>
      <c r="AE112" s="73">
        <f>SUMPRODUCT(-('Gastos Gerais'!$B$4:$B$615=Analítico!$B112),-(Analítico!AE$3&gt;='Gastos Gerais'!$D$4:$D$615),-(Analítico!AE$3&lt;='Gastos Gerais'!$E$4:$E$615),-('Gastos Gerais'!$C$4:$C$615))</f>
        <v>0</v>
      </c>
      <c r="AF112" s="73">
        <f>SUMPRODUCT(-('Gastos Gerais'!$B$4:$B$615=Analítico!$B112),-(Analítico!AF$3&gt;='Gastos Gerais'!$D$4:$D$615),-(Analítico!AF$3&lt;='Gastos Gerais'!$E$4:$E$615),-('Gastos Gerais'!$C$4:$C$615))</f>
        <v>0</v>
      </c>
      <c r="AG112" s="73">
        <f>SUMPRODUCT(-('Gastos Gerais'!$B$4:$B$615=Analítico!$B112),-(Analítico!AG$3&gt;='Gastos Gerais'!$D$4:$D$615),-(Analítico!AG$3&lt;='Gastos Gerais'!$E$4:$E$615),-('Gastos Gerais'!$C$4:$C$615))</f>
        <v>0</v>
      </c>
      <c r="AH112" s="73">
        <f>SUMPRODUCT(-('Gastos Gerais'!$B$4:$B$615=Analítico!$B112),-(Analítico!AH$3&gt;='Gastos Gerais'!$D$4:$D$615),-(Analítico!AH$3&lt;='Gastos Gerais'!$E$4:$E$615),-('Gastos Gerais'!$C$4:$C$615))</f>
        <v>0</v>
      </c>
      <c r="AI112" s="73">
        <f>SUMPRODUCT(-('Gastos Gerais'!$B$4:$B$615=Analítico!$B112),-(Analítico!AI$3&gt;='Gastos Gerais'!$D$4:$D$615),-(Analítico!AI$3&lt;='Gastos Gerais'!$E$4:$E$615),-('Gastos Gerais'!$C$4:$C$615))</f>
        <v>0</v>
      </c>
      <c r="AJ112" s="73">
        <f>SUMPRODUCT(-('Gastos Gerais'!$B$4:$B$615=Analítico!$B112),-(Analítico!AJ$3&gt;='Gastos Gerais'!$D$4:$D$615),-(Analítico!AJ$3&lt;='Gastos Gerais'!$E$4:$E$615),-('Gastos Gerais'!$C$4:$C$615))</f>
        <v>0</v>
      </c>
      <c r="AK112" s="73">
        <f>SUMPRODUCT(-('Gastos Gerais'!$B$4:$B$615=Analítico!$B112),-(Analítico!AK$3&gt;='Gastos Gerais'!$D$4:$D$615),-(Analítico!AK$3&lt;='Gastos Gerais'!$E$4:$E$615),-('Gastos Gerais'!$C$4:$C$615))</f>
        <v>0</v>
      </c>
      <c r="AL112" s="73">
        <f>SUMPRODUCT(-('Gastos Gerais'!$B$4:$B$615=Analítico!$B112),-(Analítico!AL$3&gt;='Gastos Gerais'!$D$4:$D$615),-(Analítico!AL$3&lt;='Gastos Gerais'!$E$4:$E$615),-('Gastos Gerais'!$C$4:$C$615))</f>
        <v>0</v>
      </c>
      <c r="AM112" s="73">
        <f>SUMPRODUCT(-('Gastos Gerais'!$B$4:$B$615=Analítico!$B112),-(Analítico!AM$3&gt;='Gastos Gerais'!$D$4:$D$615),-(Analítico!AM$3&lt;='Gastos Gerais'!$E$4:$E$615),-('Gastos Gerais'!$C$4:$C$615))</f>
        <v>0</v>
      </c>
      <c r="AN112" s="73">
        <f>SUMPRODUCT(-('Gastos Gerais'!$B$4:$B$615=Analítico!$B112),-(Analítico!AN$3&gt;='Gastos Gerais'!$D$4:$D$615),-(Analítico!AN$3&lt;='Gastos Gerais'!$E$4:$E$615),-('Gastos Gerais'!$C$4:$C$615))</f>
        <v>0</v>
      </c>
      <c r="AO112" s="73">
        <f>SUMPRODUCT(-('Gastos Gerais'!$B$4:$B$615=Analítico!$B112),-(Analítico!AO$3&gt;='Gastos Gerais'!$D$4:$D$615),-(Analítico!AO$3&lt;='Gastos Gerais'!$E$4:$E$615),-('Gastos Gerais'!$C$4:$C$615))</f>
        <v>0</v>
      </c>
      <c r="AP112" s="73">
        <f>SUMPRODUCT(-('Gastos Gerais'!$B$4:$B$615=Analítico!$B112),-(Analítico!AP$3&gt;='Gastos Gerais'!$D$4:$D$615),-(Analítico!AP$3&lt;='Gastos Gerais'!$E$4:$E$615),-('Gastos Gerais'!$C$4:$C$615))</f>
        <v>0</v>
      </c>
      <c r="AQ112" s="73">
        <f>SUMPRODUCT(-('Gastos Gerais'!$B$4:$B$615=Analítico!$B112),-(Analítico!AQ$3&gt;='Gastos Gerais'!$D$4:$D$615),-(Analítico!AQ$3&lt;='Gastos Gerais'!$E$4:$E$615),-('Gastos Gerais'!$C$4:$C$615))</f>
        <v>0</v>
      </c>
      <c r="AR112" s="73">
        <f>SUMPRODUCT(-('Gastos Gerais'!$B$4:$B$615=Analítico!$B112),-(Analítico!AR$3&gt;='Gastos Gerais'!$D$4:$D$615),-(Analítico!AR$3&lt;='Gastos Gerais'!$E$4:$E$615),-('Gastos Gerais'!$C$4:$C$615))</f>
        <v>0</v>
      </c>
      <c r="AS112" s="73">
        <f>SUMPRODUCT(-('Gastos Gerais'!$B$4:$B$615=Analítico!$B112),-(Analítico!AS$3&gt;='Gastos Gerais'!$D$4:$D$615),-(Analítico!AS$3&lt;='Gastos Gerais'!$E$4:$E$615),-('Gastos Gerais'!$C$4:$C$615))</f>
        <v>0</v>
      </c>
      <c r="AT112" s="73">
        <f>SUMPRODUCT(-('Gastos Gerais'!$B$4:$B$615=Analítico!$B112),-(Analítico!AT$3&gt;='Gastos Gerais'!$D$4:$D$615),-(Analítico!AT$3&lt;='Gastos Gerais'!$E$4:$E$615),-('Gastos Gerais'!$C$4:$C$615))</f>
        <v>0</v>
      </c>
      <c r="AU112" s="73">
        <f>SUMPRODUCT(-('Gastos Gerais'!$B$4:$B$615=Analítico!$B112),-(Analítico!AU$3&gt;='Gastos Gerais'!$D$4:$D$615),-(Analítico!AU$3&lt;='Gastos Gerais'!$E$4:$E$615),-('Gastos Gerais'!$C$4:$C$615))</f>
        <v>0</v>
      </c>
      <c r="AV112" s="73">
        <f>SUMPRODUCT(-('Gastos Gerais'!$B$4:$B$615=Analítico!$B112),-(Analítico!AV$3&gt;='Gastos Gerais'!$D$4:$D$615),-(Analítico!AV$3&lt;='Gastos Gerais'!$E$4:$E$615),-('Gastos Gerais'!$C$4:$C$615))</f>
        <v>0</v>
      </c>
      <c r="AW112" s="73">
        <f>SUMPRODUCT(-('Gastos Gerais'!$B$4:$B$615=Analítico!$B112),-(Analítico!AW$3&gt;='Gastos Gerais'!$D$4:$D$615),-(Analítico!AW$3&lt;='Gastos Gerais'!$E$4:$E$615),-('Gastos Gerais'!$C$4:$C$615))</f>
        <v>0</v>
      </c>
      <c r="AX112" s="73">
        <f>SUMPRODUCT(-('Gastos Gerais'!$B$4:$B$615=Analítico!$B112),-(Analítico!AX$3&gt;='Gastos Gerais'!$D$4:$D$615),-(Analítico!AX$3&lt;='Gastos Gerais'!$E$4:$E$615),-('Gastos Gerais'!$C$4:$C$615))</f>
        <v>0</v>
      </c>
      <c r="AY112" s="73">
        <f>SUMPRODUCT(-('Gastos Gerais'!$B$4:$B$615=Analítico!$B112),-(Analítico!AY$3&gt;='Gastos Gerais'!$D$4:$D$615),-(Analítico!AY$3&lt;='Gastos Gerais'!$E$4:$E$615),-('Gastos Gerais'!$C$4:$C$615))</f>
        <v>0</v>
      </c>
      <c r="AZ112" s="73">
        <f>SUMPRODUCT(-('Gastos Gerais'!$B$4:$B$615=Analítico!$B112),-(Analítico!AZ$3&gt;='Gastos Gerais'!$D$4:$D$615),-(Analítico!AZ$3&lt;='Gastos Gerais'!$E$4:$E$615),-('Gastos Gerais'!$C$4:$C$615))</f>
        <v>0</v>
      </c>
      <c r="BA112" s="73">
        <f>SUMPRODUCT(-('Gastos Gerais'!$B$4:$B$615=Analítico!$B112),-(Analítico!BA$3&gt;='Gastos Gerais'!$D$4:$D$615),-(Analítico!BA$3&lt;='Gastos Gerais'!$E$4:$E$615),-('Gastos Gerais'!$C$4:$C$615))</f>
        <v>0</v>
      </c>
      <c r="BB112" s="73">
        <f>SUMPRODUCT(-('Gastos Gerais'!$B$4:$B$615=Analítico!$B112),-(Analítico!BB$3&gt;='Gastos Gerais'!$D$4:$D$615),-(Analítico!BB$3&lt;='Gastos Gerais'!$E$4:$E$615),-('Gastos Gerais'!$C$4:$C$615))</f>
        <v>0</v>
      </c>
      <c r="BC112" s="73">
        <f>SUMPRODUCT(-('Gastos Gerais'!$B$4:$B$615=Analítico!$B112),-(Analítico!BC$3&gt;='Gastos Gerais'!$D$4:$D$615),-(Analítico!BC$3&lt;='Gastos Gerais'!$E$4:$E$615),-('Gastos Gerais'!$C$4:$C$615))</f>
        <v>0</v>
      </c>
      <c r="BD112" s="73">
        <f>SUMPRODUCT(-('Gastos Gerais'!$B$4:$B$615=Analítico!$B112),-(Analítico!BD$3&gt;='Gastos Gerais'!$D$4:$D$615),-(Analítico!BD$3&lt;='Gastos Gerais'!$E$4:$E$615),-('Gastos Gerais'!$C$4:$C$615))</f>
        <v>0</v>
      </c>
      <c r="BE112" s="73">
        <f>SUMPRODUCT(-('Gastos Gerais'!$B$4:$B$615=Analítico!$B112),-(Analítico!BE$3&gt;='Gastos Gerais'!$D$4:$D$615),-(Analítico!BE$3&lt;='Gastos Gerais'!$E$4:$E$615),-('Gastos Gerais'!$C$4:$C$615))</f>
        <v>0</v>
      </c>
      <c r="BF112" s="73">
        <f>SUMPRODUCT(-('Gastos Gerais'!$B$4:$B$615=Analítico!$B112),-(Analítico!BF$3&gt;='Gastos Gerais'!$D$4:$D$615),-(Analítico!BF$3&lt;='Gastos Gerais'!$E$4:$E$615),-('Gastos Gerais'!$C$4:$C$615))</f>
        <v>0</v>
      </c>
      <c r="BG112" s="73">
        <f>SUMPRODUCT(-('Gastos Gerais'!$B$4:$B$615=Analítico!$B112),-(Analítico!BG$3&gt;='Gastos Gerais'!$D$4:$D$615),-(Analítico!BG$3&lt;='Gastos Gerais'!$E$4:$E$615),-('Gastos Gerais'!$C$4:$C$615))</f>
        <v>0</v>
      </c>
      <c r="BH112" s="73">
        <f>SUMPRODUCT(-('Gastos Gerais'!$B$4:$B$615=Analítico!$B112),-(Analítico!BH$3&gt;='Gastos Gerais'!$D$4:$D$615),-(Analítico!BH$3&lt;='Gastos Gerais'!$E$4:$E$615),-('Gastos Gerais'!$C$4:$C$615))</f>
        <v>0</v>
      </c>
      <c r="BI112" s="73">
        <f>SUMPRODUCT(-('Gastos Gerais'!$B$4:$B$615=Analítico!$B112),-(Analítico!BI$3&gt;='Gastos Gerais'!$D$4:$D$615),-(Analítico!BI$3&lt;='Gastos Gerais'!$E$4:$E$615),-('Gastos Gerais'!$C$4:$C$615))</f>
        <v>0</v>
      </c>
      <c r="BJ112" s="73">
        <f>SUMPRODUCT(-('Gastos Gerais'!$B$4:$B$615=Analítico!$B112),-(Analítico!BJ$3&gt;='Gastos Gerais'!$D$4:$D$615),-(Analítico!BJ$3&lt;='Gastos Gerais'!$E$4:$E$615),-('Gastos Gerais'!$C$4:$C$615))</f>
        <v>0</v>
      </c>
      <c r="BK112" s="71">
        <f t="shared" si="33"/>
        <v>0</v>
      </c>
      <c r="BL112" s="76">
        <f t="shared" ca="1" si="34"/>
        <v>0</v>
      </c>
    </row>
    <row r="113" spans="1:64" s="49" customFormat="1" ht="23.25" customHeight="1" x14ac:dyDescent="0.2">
      <c r="A113" s="109" t="s">
        <v>294</v>
      </c>
      <c r="B113" s="112" t="s">
        <v>295</v>
      </c>
      <c r="C113" s="73">
        <f>SUMPRODUCT(-('Gastos Gerais'!$B$4:$B$615=Analítico!$B113),-(Analítico!C$3&gt;='Gastos Gerais'!$D$4:$D$615),-(Analítico!C$3&lt;='Gastos Gerais'!$E$4:$E$615),-('Gastos Gerais'!$C$4:$C$615))</f>
        <v>61500</v>
      </c>
      <c r="D113" s="73">
        <f>SUMPRODUCT(-('Gastos Gerais'!$B$4:$B$615=Analítico!$B113),-(Analítico!D$3&gt;='Gastos Gerais'!$D$4:$D$615),-(Analítico!D$3&lt;='Gastos Gerais'!$E$4:$E$615),-('Gastos Gerais'!$C$4:$C$615))</f>
        <v>61500</v>
      </c>
      <c r="E113" s="73">
        <f>SUMPRODUCT(-('Gastos Gerais'!$B$4:$B$615=Analítico!$B113),-(Analítico!E$3&gt;='Gastos Gerais'!$D$4:$D$615),-(Analítico!E$3&lt;='Gastos Gerais'!$E$4:$E$615),-('Gastos Gerais'!$C$4:$C$615))</f>
        <v>61500</v>
      </c>
      <c r="F113" s="73">
        <f>SUMPRODUCT(-('Gastos Gerais'!$B$4:$B$615=Analítico!$B113),-(Analítico!F$3&gt;='Gastos Gerais'!$D$4:$D$615),-(Analítico!F$3&lt;='Gastos Gerais'!$E$4:$E$615),-('Gastos Gerais'!$C$4:$C$615))</f>
        <v>61500</v>
      </c>
      <c r="G113" s="73">
        <f>SUMPRODUCT(-('Gastos Gerais'!$B$4:$B$615=Analítico!$B113),-(Analítico!G$3&gt;='Gastos Gerais'!$D$4:$D$615),-(Analítico!G$3&lt;='Gastos Gerais'!$E$4:$E$615),-('Gastos Gerais'!$C$4:$C$615))</f>
        <v>61500</v>
      </c>
      <c r="H113" s="73">
        <f>SUMPRODUCT(-('Gastos Gerais'!$B$4:$B$615=Analítico!$B113),-(Analítico!H$3&gt;='Gastos Gerais'!$D$4:$D$615),-(Analítico!H$3&lt;='Gastos Gerais'!$E$4:$E$615),-('Gastos Gerais'!$C$4:$C$615))</f>
        <v>61500</v>
      </c>
      <c r="I113" s="73">
        <f>SUMPRODUCT(-('Gastos Gerais'!$B$4:$B$615=Analítico!$B113),-(Analítico!I$3&gt;='Gastos Gerais'!$D$4:$D$615),-(Analítico!I$3&lt;='Gastos Gerais'!$E$4:$E$615),-('Gastos Gerais'!$C$4:$C$615))</f>
        <v>61500</v>
      </c>
      <c r="J113" s="73">
        <f>SUMPRODUCT(-('Gastos Gerais'!$B$4:$B$615=Analítico!$B113),-(Analítico!J$3&gt;='Gastos Gerais'!$D$4:$D$615),-(Analítico!J$3&lt;='Gastos Gerais'!$E$4:$E$615),-('Gastos Gerais'!$C$4:$C$615))</f>
        <v>61500</v>
      </c>
      <c r="K113" s="73">
        <f>SUMPRODUCT(-('Gastos Gerais'!$B$4:$B$615=Analítico!$B113),-(Analítico!K$3&gt;='Gastos Gerais'!$D$4:$D$615),-(Analítico!K$3&lt;='Gastos Gerais'!$E$4:$E$615),-('Gastos Gerais'!$C$4:$C$615))</f>
        <v>61500</v>
      </c>
      <c r="L113" s="73">
        <f>SUMPRODUCT(-('Gastos Gerais'!$B$4:$B$615=Analítico!$B113),-(Analítico!L$3&gt;='Gastos Gerais'!$D$4:$D$615),-(Analítico!L$3&lt;='Gastos Gerais'!$E$4:$E$615),-('Gastos Gerais'!$C$4:$C$615))</f>
        <v>61500</v>
      </c>
      <c r="M113" s="73">
        <f>SUMPRODUCT(-('Gastos Gerais'!$B$4:$B$615=Analítico!$B113),-(Analítico!M$3&gt;='Gastos Gerais'!$D$4:$D$615),-(Analítico!M$3&lt;='Gastos Gerais'!$E$4:$E$615),-('Gastos Gerais'!$C$4:$C$615))</f>
        <v>61500</v>
      </c>
      <c r="N113" s="73">
        <f>SUMPRODUCT(-('Gastos Gerais'!$B$4:$B$615=Analítico!$B113),-(Analítico!N$3&gt;='Gastos Gerais'!$D$4:$D$615),-(Analítico!N$3&lt;='Gastos Gerais'!$E$4:$E$615),-('Gastos Gerais'!$C$4:$C$615))</f>
        <v>61500</v>
      </c>
      <c r="O113" s="73">
        <f>SUMPRODUCT(-('Gastos Gerais'!$B$4:$B$615=Analítico!$B113),-(Analítico!O$3&gt;='Gastos Gerais'!$D$4:$D$615),-(Analítico!O$3&lt;='Gastos Gerais'!$E$4:$E$615),-('Gastos Gerais'!$C$4:$C$615))</f>
        <v>61500</v>
      </c>
      <c r="P113" s="73">
        <f>SUMPRODUCT(-('Gastos Gerais'!$B$4:$B$615=Analítico!$B113),-(Analítico!P$3&gt;='Gastos Gerais'!$D$4:$D$615),-(Analítico!P$3&lt;='Gastos Gerais'!$E$4:$E$615),-('Gastos Gerais'!$C$4:$C$615))</f>
        <v>61500</v>
      </c>
      <c r="Q113" s="73">
        <f>SUMPRODUCT(-('Gastos Gerais'!$B$4:$B$615=Analítico!$B113),-(Analítico!Q$3&gt;='Gastos Gerais'!$D$4:$D$615),-(Analítico!Q$3&lt;='Gastos Gerais'!$E$4:$E$615),-('Gastos Gerais'!$C$4:$C$615))</f>
        <v>61500</v>
      </c>
      <c r="R113" s="73">
        <f>SUMPRODUCT(-('Gastos Gerais'!$B$4:$B$615=Analítico!$B113),-(Analítico!R$3&gt;='Gastos Gerais'!$D$4:$D$615),-(Analítico!R$3&lt;='Gastos Gerais'!$E$4:$E$615),-('Gastos Gerais'!$C$4:$C$615))</f>
        <v>61500</v>
      </c>
      <c r="S113" s="73">
        <f>SUMPRODUCT(-('Gastos Gerais'!$B$4:$B$615=Analítico!$B113),-(Analítico!S$3&gt;='Gastos Gerais'!$D$4:$D$615),-(Analítico!S$3&lt;='Gastos Gerais'!$E$4:$E$615),-('Gastos Gerais'!$C$4:$C$615))</f>
        <v>61500</v>
      </c>
      <c r="T113" s="73">
        <f>SUMPRODUCT(-('Gastos Gerais'!$B$4:$B$615=Analítico!$B113),-(Analítico!T$3&gt;='Gastos Gerais'!$D$4:$D$615),-(Analítico!T$3&lt;='Gastos Gerais'!$E$4:$E$615),-('Gastos Gerais'!$C$4:$C$615))</f>
        <v>61500</v>
      </c>
      <c r="U113" s="73">
        <f>SUMPRODUCT(-('Gastos Gerais'!$B$4:$B$615=Analítico!$B113),-(Analítico!U$3&gt;='Gastos Gerais'!$D$4:$D$615),-(Analítico!U$3&lt;='Gastos Gerais'!$E$4:$E$615),-('Gastos Gerais'!$C$4:$C$615))</f>
        <v>61500</v>
      </c>
      <c r="V113" s="73">
        <f>SUMPRODUCT(-('Gastos Gerais'!$B$4:$B$615=Analítico!$B113),-(Analítico!V$3&gt;='Gastos Gerais'!$D$4:$D$615),-(Analítico!V$3&lt;='Gastos Gerais'!$E$4:$E$615),-('Gastos Gerais'!$C$4:$C$615))</f>
        <v>61500</v>
      </c>
      <c r="W113" s="73">
        <f>SUMPRODUCT(-('Gastos Gerais'!$B$4:$B$615=Analítico!$B113),-(Analítico!W$3&gt;='Gastos Gerais'!$D$4:$D$615),-(Analítico!W$3&lt;='Gastos Gerais'!$E$4:$E$615),-('Gastos Gerais'!$C$4:$C$615))</f>
        <v>61500</v>
      </c>
      <c r="X113" s="73">
        <f>SUMPRODUCT(-('Gastos Gerais'!$B$4:$B$615=Analítico!$B113),-(Analítico!X$3&gt;='Gastos Gerais'!$D$4:$D$615),-(Analítico!X$3&lt;='Gastos Gerais'!$E$4:$E$615),-('Gastos Gerais'!$C$4:$C$615))</f>
        <v>61500</v>
      </c>
      <c r="Y113" s="73">
        <f>SUMPRODUCT(-('Gastos Gerais'!$B$4:$B$615=Analítico!$B113),-(Analítico!Y$3&gt;='Gastos Gerais'!$D$4:$D$615),-(Analítico!Y$3&lt;='Gastos Gerais'!$E$4:$E$615),-('Gastos Gerais'!$C$4:$C$615))</f>
        <v>61500</v>
      </c>
      <c r="Z113" s="73">
        <f>SUMPRODUCT(-('Gastos Gerais'!$B$4:$B$615=Analítico!$B113),-(Analítico!Z$3&gt;='Gastos Gerais'!$D$4:$D$615),-(Analítico!Z$3&lt;='Gastos Gerais'!$E$4:$E$615),-('Gastos Gerais'!$C$4:$C$615))</f>
        <v>61500</v>
      </c>
      <c r="AA113" s="73">
        <f>SUMPRODUCT(-('Gastos Gerais'!$B$4:$B$615=Analítico!$B113),-(Analítico!AA$3&gt;='Gastos Gerais'!$D$4:$D$615),-(Analítico!AA$3&lt;='Gastos Gerais'!$E$4:$E$615),-('Gastos Gerais'!$C$4:$C$615))</f>
        <v>61500</v>
      </c>
      <c r="AB113" s="73">
        <f>SUMPRODUCT(-('Gastos Gerais'!$B$4:$B$615=Analítico!$B113),-(Analítico!AB$3&gt;='Gastos Gerais'!$D$4:$D$615),-(Analítico!AB$3&lt;='Gastos Gerais'!$E$4:$E$615),-('Gastos Gerais'!$C$4:$C$615))</f>
        <v>61500</v>
      </c>
      <c r="AC113" s="73">
        <f>SUMPRODUCT(-('Gastos Gerais'!$B$4:$B$615=Analítico!$B113),-(Analítico!AC$3&gt;='Gastos Gerais'!$D$4:$D$615),-(Analítico!AC$3&lt;='Gastos Gerais'!$E$4:$E$615),-('Gastos Gerais'!$C$4:$C$615))</f>
        <v>61500</v>
      </c>
      <c r="AD113" s="73">
        <f>SUMPRODUCT(-('Gastos Gerais'!$B$4:$B$615=Analítico!$B113),-(Analítico!AD$3&gt;='Gastos Gerais'!$D$4:$D$615),-(Analítico!AD$3&lt;='Gastos Gerais'!$E$4:$E$615),-('Gastos Gerais'!$C$4:$C$615))</f>
        <v>61500</v>
      </c>
      <c r="AE113" s="73">
        <f>SUMPRODUCT(-('Gastos Gerais'!$B$4:$B$615=Analítico!$B113),-(Analítico!AE$3&gt;='Gastos Gerais'!$D$4:$D$615),-(Analítico!AE$3&lt;='Gastos Gerais'!$E$4:$E$615),-('Gastos Gerais'!$C$4:$C$615))</f>
        <v>61500</v>
      </c>
      <c r="AF113" s="73">
        <f>SUMPRODUCT(-('Gastos Gerais'!$B$4:$B$615=Analítico!$B113),-(Analítico!AF$3&gt;='Gastos Gerais'!$D$4:$D$615),-(Analítico!AF$3&lt;='Gastos Gerais'!$E$4:$E$615),-('Gastos Gerais'!$C$4:$C$615))</f>
        <v>61500</v>
      </c>
      <c r="AG113" s="73">
        <f>SUMPRODUCT(-('Gastos Gerais'!$B$4:$B$615=Analítico!$B113),-(Analítico!AG$3&gt;='Gastos Gerais'!$D$4:$D$615),-(Analítico!AG$3&lt;='Gastos Gerais'!$E$4:$E$615),-('Gastos Gerais'!$C$4:$C$615))</f>
        <v>61500</v>
      </c>
      <c r="AH113" s="73">
        <f>SUMPRODUCT(-('Gastos Gerais'!$B$4:$B$615=Analítico!$B113),-(Analítico!AH$3&gt;='Gastos Gerais'!$D$4:$D$615),-(Analítico!AH$3&lt;='Gastos Gerais'!$E$4:$E$615),-('Gastos Gerais'!$C$4:$C$615))</f>
        <v>61500</v>
      </c>
      <c r="AI113" s="73">
        <f>SUMPRODUCT(-('Gastos Gerais'!$B$4:$B$615=Analítico!$B113),-(Analítico!AI$3&gt;='Gastos Gerais'!$D$4:$D$615),-(Analítico!AI$3&lt;='Gastos Gerais'!$E$4:$E$615),-('Gastos Gerais'!$C$4:$C$615))</f>
        <v>61500</v>
      </c>
      <c r="AJ113" s="73">
        <f>SUMPRODUCT(-('Gastos Gerais'!$B$4:$B$615=Analítico!$B113),-(Analítico!AJ$3&gt;='Gastos Gerais'!$D$4:$D$615),-(Analítico!AJ$3&lt;='Gastos Gerais'!$E$4:$E$615),-('Gastos Gerais'!$C$4:$C$615))</f>
        <v>61500</v>
      </c>
      <c r="AK113" s="73">
        <f>SUMPRODUCT(-('Gastos Gerais'!$B$4:$B$615=Analítico!$B113),-(Analítico!AK$3&gt;='Gastos Gerais'!$D$4:$D$615),-(Analítico!AK$3&lt;='Gastos Gerais'!$E$4:$E$615),-('Gastos Gerais'!$C$4:$C$615))</f>
        <v>61500</v>
      </c>
      <c r="AL113" s="73">
        <f>SUMPRODUCT(-('Gastos Gerais'!$B$4:$B$615=Analítico!$B113),-(Analítico!AL$3&gt;='Gastos Gerais'!$D$4:$D$615),-(Analítico!AL$3&lt;='Gastos Gerais'!$E$4:$E$615),-('Gastos Gerais'!$C$4:$C$615))</f>
        <v>61500</v>
      </c>
      <c r="AM113" s="73">
        <f>SUMPRODUCT(-('Gastos Gerais'!$B$4:$B$615=Analítico!$B113),-(Analítico!AM$3&gt;='Gastos Gerais'!$D$4:$D$615),-(Analítico!AM$3&lt;='Gastos Gerais'!$E$4:$E$615),-('Gastos Gerais'!$C$4:$C$615))</f>
        <v>0</v>
      </c>
      <c r="AN113" s="73">
        <f>SUMPRODUCT(-('Gastos Gerais'!$B$4:$B$615=Analítico!$B113),-(Analítico!AN$3&gt;='Gastos Gerais'!$D$4:$D$615),-(Analítico!AN$3&lt;='Gastos Gerais'!$E$4:$E$615),-('Gastos Gerais'!$C$4:$C$615))</f>
        <v>0</v>
      </c>
      <c r="AO113" s="73">
        <f>SUMPRODUCT(-('Gastos Gerais'!$B$4:$B$615=Analítico!$B113),-(Analítico!AO$3&gt;='Gastos Gerais'!$D$4:$D$615),-(Analítico!AO$3&lt;='Gastos Gerais'!$E$4:$E$615),-('Gastos Gerais'!$C$4:$C$615))</f>
        <v>0</v>
      </c>
      <c r="AP113" s="73">
        <f>SUMPRODUCT(-('Gastos Gerais'!$B$4:$B$615=Analítico!$B113),-(Analítico!AP$3&gt;='Gastos Gerais'!$D$4:$D$615),-(Analítico!AP$3&lt;='Gastos Gerais'!$E$4:$E$615),-('Gastos Gerais'!$C$4:$C$615))</f>
        <v>0</v>
      </c>
      <c r="AQ113" s="73">
        <f>SUMPRODUCT(-('Gastos Gerais'!$B$4:$B$615=Analítico!$B113),-(Analítico!AQ$3&gt;='Gastos Gerais'!$D$4:$D$615),-(Analítico!AQ$3&lt;='Gastos Gerais'!$E$4:$E$615),-('Gastos Gerais'!$C$4:$C$615))</f>
        <v>0</v>
      </c>
      <c r="AR113" s="73">
        <f>SUMPRODUCT(-('Gastos Gerais'!$B$4:$B$615=Analítico!$B113),-(Analítico!AR$3&gt;='Gastos Gerais'!$D$4:$D$615),-(Analítico!AR$3&lt;='Gastos Gerais'!$E$4:$E$615),-('Gastos Gerais'!$C$4:$C$615))</f>
        <v>0</v>
      </c>
      <c r="AS113" s="73">
        <f>SUMPRODUCT(-('Gastos Gerais'!$B$4:$B$615=Analítico!$B113),-(Analítico!AS$3&gt;='Gastos Gerais'!$D$4:$D$615),-(Analítico!AS$3&lt;='Gastos Gerais'!$E$4:$E$615),-('Gastos Gerais'!$C$4:$C$615))</f>
        <v>0</v>
      </c>
      <c r="AT113" s="73">
        <f>SUMPRODUCT(-('Gastos Gerais'!$B$4:$B$615=Analítico!$B113),-(Analítico!AT$3&gt;='Gastos Gerais'!$D$4:$D$615),-(Analítico!AT$3&lt;='Gastos Gerais'!$E$4:$E$615),-('Gastos Gerais'!$C$4:$C$615))</f>
        <v>0</v>
      </c>
      <c r="AU113" s="73">
        <f>SUMPRODUCT(-('Gastos Gerais'!$B$4:$B$615=Analítico!$B113),-(Analítico!AU$3&gt;='Gastos Gerais'!$D$4:$D$615),-(Analítico!AU$3&lt;='Gastos Gerais'!$E$4:$E$615),-('Gastos Gerais'!$C$4:$C$615))</f>
        <v>0</v>
      </c>
      <c r="AV113" s="73">
        <f>SUMPRODUCT(-('Gastos Gerais'!$B$4:$B$615=Analítico!$B113),-(Analítico!AV$3&gt;='Gastos Gerais'!$D$4:$D$615),-(Analítico!AV$3&lt;='Gastos Gerais'!$E$4:$E$615),-('Gastos Gerais'!$C$4:$C$615))</f>
        <v>0</v>
      </c>
      <c r="AW113" s="73">
        <f>SUMPRODUCT(-('Gastos Gerais'!$B$4:$B$615=Analítico!$B113),-(Analítico!AW$3&gt;='Gastos Gerais'!$D$4:$D$615),-(Analítico!AW$3&lt;='Gastos Gerais'!$E$4:$E$615),-('Gastos Gerais'!$C$4:$C$615))</f>
        <v>0</v>
      </c>
      <c r="AX113" s="73">
        <f>SUMPRODUCT(-('Gastos Gerais'!$B$4:$B$615=Analítico!$B113),-(Analítico!AX$3&gt;='Gastos Gerais'!$D$4:$D$615),-(Analítico!AX$3&lt;='Gastos Gerais'!$E$4:$E$615),-('Gastos Gerais'!$C$4:$C$615))</f>
        <v>0</v>
      </c>
      <c r="AY113" s="73">
        <f>SUMPRODUCT(-('Gastos Gerais'!$B$4:$B$615=Analítico!$B113),-(Analítico!AY$3&gt;='Gastos Gerais'!$D$4:$D$615),-(Analítico!AY$3&lt;='Gastos Gerais'!$E$4:$E$615),-('Gastos Gerais'!$C$4:$C$615))</f>
        <v>0</v>
      </c>
      <c r="AZ113" s="73">
        <f>SUMPRODUCT(-('Gastos Gerais'!$B$4:$B$615=Analítico!$B113),-(Analítico!AZ$3&gt;='Gastos Gerais'!$D$4:$D$615),-(Analítico!AZ$3&lt;='Gastos Gerais'!$E$4:$E$615),-('Gastos Gerais'!$C$4:$C$615))</f>
        <v>0</v>
      </c>
      <c r="BA113" s="73">
        <f>SUMPRODUCT(-('Gastos Gerais'!$B$4:$B$615=Analítico!$B113),-(Analítico!BA$3&gt;='Gastos Gerais'!$D$4:$D$615),-(Analítico!BA$3&lt;='Gastos Gerais'!$E$4:$E$615),-('Gastos Gerais'!$C$4:$C$615))</f>
        <v>0</v>
      </c>
      <c r="BB113" s="73">
        <f>SUMPRODUCT(-('Gastos Gerais'!$B$4:$B$615=Analítico!$B113),-(Analítico!BB$3&gt;='Gastos Gerais'!$D$4:$D$615),-(Analítico!BB$3&lt;='Gastos Gerais'!$E$4:$E$615),-('Gastos Gerais'!$C$4:$C$615))</f>
        <v>0</v>
      </c>
      <c r="BC113" s="73">
        <f>SUMPRODUCT(-('Gastos Gerais'!$B$4:$B$615=Analítico!$B113),-(Analítico!BC$3&gt;='Gastos Gerais'!$D$4:$D$615),-(Analítico!BC$3&lt;='Gastos Gerais'!$E$4:$E$615),-('Gastos Gerais'!$C$4:$C$615))</f>
        <v>0</v>
      </c>
      <c r="BD113" s="73">
        <f>SUMPRODUCT(-('Gastos Gerais'!$B$4:$B$615=Analítico!$B113),-(Analítico!BD$3&gt;='Gastos Gerais'!$D$4:$D$615),-(Analítico!BD$3&lt;='Gastos Gerais'!$E$4:$E$615),-('Gastos Gerais'!$C$4:$C$615))</f>
        <v>0</v>
      </c>
      <c r="BE113" s="73">
        <f>SUMPRODUCT(-('Gastos Gerais'!$B$4:$B$615=Analítico!$B113),-(Analítico!BE$3&gt;='Gastos Gerais'!$D$4:$D$615),-(Analítico!BE$3&lt;='Gastos Gerais'!$E$4:$E$615),-('Gastos Gerais'!$C$4:$C$615))</f>
        <v>0</v>
      </c>
      <c r="BF113" s="73">
        <f>SUMPRODUCT(-('Gastos Gerais'!$B$4:$B$615=Analítico!$B113),-(Analítico!BF$3&gt;='Gastos Gerais'!$D$4:$D$615),-(Analítico!BF$3&lt;='Gastos Gerais'!$E$4:$E$615),-('Gastos Gerais'!$C$4:$C$615))</f>
        <v>0</v>
      </c>
      <c r="BG113" s="73">
        <f>SUMPRODUCT(-('Gastos Gerais'!$B$4:$B$615=Analítico!$B113),-(Analítico!BG$3&gt;='Gastos Gerais'!$D$4:$D$615),-(Analítico!BG$3&lt;='Gastos Gerais'!$E$4:$E$615),-('Gastos Gerais'!$C$4:$C$615))</f>
        <v>0</v>
      </c>
      <c r="BH113" s="73">
        <f>SUMPRODUCT(-('Gastos Gerais'!$B$4:$B$615=Analítico!$B113),-(Analítico!BH$3&gt;='Gastos Gerais'!$D$4:$D$615),-(Analítico!BH$3&lt;='Gastos Gerais'!$E$4:$E$615),-('Gastos Gerais'!$C$4:$C$615))</f>
        <v>0</v>
      </c>
      <c r="BI113" s="73">
        <f>SUMPRODUCT(-('Gastos Gerais'!$B$4:$B$615=Analítico!$B113),-(Analítico!BI$3&gt;='Gastos Gerais'!$D$4:$D$615),-(Analítico!BI$3&lt;='Gastos Gerais'!$E$4:$E$615),-('Gastos Gerais'!$C$4:$C$615))</f>
        <v>0</v>
      </c>
      <c r="BJ113" s="73">
        <f>SUMPRODUCT(-('Gastos Gerais'!$B$4:$B$615=Analítico!$B113),-(Analítico!BJ$3&gt;='Gastos Gerais'!$D$4:$D$615),-(Analítico!BJ$3&lt;='Gastos Gerais'!$E$4:$E$615),-('Gastos Gerais'!$C$4:$C$615))</f>
        <v>0</v>
      </c>
      <c r="BK113" s="71">
        <f t="shared" si="33"/>
        <v>2214000</v>
      </c>
      <c r="BL113" s="76">
        <f t="shared" ca="1" si="34"/>
        <v>6.0389029138916131E-3</v>
      </c>
    </row>
    <row r="114" spans="1:64" s="49" customFormat="1" ht="23.25" customHeight="1" x14ac:dyDescent="0.2">
      <c r="A114" s="109" t="s">
        <v>296</v>
      </c>
      <c r="B114" s="112" t="s">
        <v>297</v>
      </c>
      <c r="C114" s="73">
        <f>SUMPRODUCT(-('Gastos Gerais'!$B$4:$B$615=Analítico!$B114),-(Analítico!C$3&gt;='Gastos Gerais'!$D$4:$D$615),-(Analítico!C$3&lt;='Gastos Gerais'!$E$4:$E$615),-('Gastos Gerais'!$C$4:$C$615))</f>
        <v>0</v>
      </c>
      <c r="D114" s="73">
        <f>SUMPRODUCT(-('Gastos Gerais'!$B$4:$B$615=Analítico!$B114),-(Analítico!D$3&gt;='Gastos Gerais'!$D$4:$D$615),-(Analítico!D$3&lt;='Gastos Gerais'!$E$4:$E$615),-('Gastos Gerais'!$C$4:$C$615))</f>
        <v>0</v>
      </c>
      <c r="E114" s="73">
        <f>SUMPRODUCT(-('Gastos Gerais'!$B$4:$B$615=Analítico!$B114),-(Analítico!E$3&gt;='Gastos Gerais'!$D$4:$D$615),-(Analítico!E$3&lt;='Gastos Gerais'!$E$4:$E$615),-('Gastos Gerais'!$C$4:$C$615))</f>
        <v>0</v>
      </c>
      <c r="F114" s="73">
        <f>SUMPRODUCT(-('Gastos Gerais'!$B$4:$B$615=Analítico!$B114),-(Analítico!F$3&gt;='Gastos Gerais'!$D$4:$D$615),-(Analítico!F$3&lt;='Gastos Gerais'!$E$4:$E$615),-('Gastos Gerais'!$C$4:$C$615))</f>
        <v>0</v>
      </c>
      <c r="G114" s="73">
        <f>SUMPRODUCT(-('Gastos Gerais'!$B$4:$B$615=Analítico!$B114),-(Analítico!G$3&gt;='Gastos Gerais'!$D$4:$D$615),-(Analítico!G$3&lt;='Gastos Gerais'!$E$4:$E$615),-('Gastos Gerais'!$C$4:$C$615))</f>
        <v>0</v>
      </c>
      <c r="H114" s="73">
        <f>SUMPRODUCT(-('Gastos Gerais'!$B$4:$B$615=Analítico!$B114),-(Analítico!H$3&gt;='Gastos Gerais'!$D$4:$D$615),-(Analítico!H$3&lt;='Gastos Gerais'!$E$4:$E$615),-('Gastos Gerais'!$C$4:$C$615))</f>
        <v>0</v>
      </c>
      <c r="I114" s="73">
        <f>SUMPRODUCT(-('Gastos Gerais'!$B$4:$B$615=Analítico!$B114),-(Analítico!I$3&gt;='Gastos Gerais'!$D$4:$D$615),-(Analítico!I$3&lt;='Gastos Gerais'!$E$4:$E$615),-('Gastos Gerais'!$C$4:$C$615))</f>
        <v>0</v>
      </c>
      <c r="J114" s="73">
        <f>SUMPRODUCT(-('Gastos Gerais'!$B$4:$B$615=Analítico!$B114),-(Analítico!J$3&gt;='Gastos Gerais'!$D$4:$D$615),-(Analítico!J$3&lt;='Gastos Gerais'!$E$4:$E$615),-('Gastos Gerais'!$C$4:$C$615))</f>
        <v>0</v>
      </c>
      <c r="K114" s="73">
        <f>SUMPRODUCT(-('Gastos Gerais'!$B$4:$B$615=Analítico!$B114),-(Analítico!K$3&gt;='Gastos Gerais'!$D$4:$D$615),-(Analítico!K$3&lt;='Gastos Gerais'!$E$4:$E$615),-('Gastos Gerais'!$C$4:$C$615))</f>
        <v>0</v>
      </c>
      <c r="L114" s="73">
        <f>SUMPRODUCT(-('Gastos Gerais'!$B$4:$B$615=Analítico!$B114),-(Analítico!L$3&gt;='Gastos Gerais'!$D$4:$D$615),-(Analítico!L$3&lt;='Gastos Gerais'!$E$4:$E$615),-('Gastos Gerais'!$C$4:$C$615))</f>
        <v>0</v>
      </c>
      <c r="M114" s="73">
        <f>SUMPRODUCT(-('Gastos Gerais'!$B$4:$B$615=Analítico!$B114),-(Analítico!M$3&gt;='Gastos Gerais'!$D$4:$D$615),-(Analítico!M$3&lt;='Gastos Gerais'!$E$4:$E$615),-('Gastos Gerais'!$C$4:$C$615))</f>
        <v>0</v>
      </c>
      <c r="N114" s="73">
        <f>SUMPRODUCT(-('Gastos Gerais'!$B$4:$B$615=Analítico!$B114),-(Analítico!N$3&gt;='Gastos Gerais'!$D$4:$D$615),-(Analítico!N$3&lt;='Gastos Gerais'!$E$4:$E$615),-('Gastos Gerais'!$C$4:$C$615))</f>
        <v>0</v>
      </c>
      <c r="O114" s="73">
        <f>SUMPRODUCT(-('Gastos Gerais'!$B$4:$B$615=Analítico!$B114),-(Analítico!O$3&gt;='Gastos Gerais'!$D$4:$D$615),-(Analítico!O$3&lt;='Gastos Gerais'!$E$4:$E$615),-('Gastos Gerais'!$C$4:$C$615))</f>
        <v>0</v>
      </c>
      <c r="P114" s="73">
        <f>SUMPRODUCT(-('Gastos Gerais'!$B$4:$B$615=Analítico!$B114),-(Analítico!P$3&gt;='Gastos Gerais'!$D$4:$D$615),-(Analítico!P$3&lt;='Gastos Gerais'!$E$4:$E$615),-('Gastos Gerais'!$C$4:$C$615))</f>
        <v>0</v>
      </c>
      <c r="Q114" s="73">
        <f>SUMPRODUCT(-('Gastos Gerais'!$B$4:$B$615=Analítico!$B114),-(Analítico!Q$3&gt;='Gastos Gerais'!$D$4:$D$615),-(Analítico!Q$3&lt;='Gastos Gerais'!$E$4:$E$615),-('Gastos Gerais'!$C$4:$C$615))</f>
        <v>0</v>
      </c>
      <c r="R114" s="73">
        <f>SUMPRODUCT(-('Gastos Gerais'!$B$4:$B$615=Analítico!$B114),-(Analítico!R$3&gt;='Gastos Gerais'!$D$4:$D$615),-(Analítico!R$3&lt;='Gastos Gerais'!$E$4:$E$615),-('Gastos Gerais'!$C$4:$C$615))</f>
        <v>0</v>
      </c>
      <c r="S114" s="73">
        <f>SUMPRODUCT(-('Gastos Gerais'!$B$4:$B$615=Analítico!$B114),-(Analítico!S$3&gt;='Gastos Gerais'!$D$4:$D$615),-(Analítico!S$3&lt;='Gastos Gerais'!$E$4:$E$615),-('Gastos Gerais'!$C$4:$C$615))</f>
        <v>0</v>
      </c>
      <c r="T114" s="73">
        <f>SUMPRODUCT(-('Gastos Gerais'!$B$4:$B$615=Analítico!$B114),-(Analítico!T$3&gt;='Gastos Gerais'!$D$4:$D$615),-(Analítico!T$3&lt;='Gastos Gerais'!$E$4:$E$615),-('Gastos Gerais'!$C$4:$C$615))</f>
        <v>0</v>
      </c>
      <c r="U114" s="73">
        <f>SUMPRODUCT(-('Gastos Gerais'!$B$4:$B$615=Analítico!$B114),-(Analítico!U$3&gt;='Gastos Gerais'!$D$4:$D$615),-(Analítico!U$3&lt;='Gastos Gerais'!$E$4:$E$615),-('Gastos Gerais'!$C$4:$C$615))</f>
        <v>0</v>
      </c>
      <c r="V114" s="73">
        <f>SUMPRODUCT(-('Gastos Gerais'!$B$4:$B$615=Analítico!$B114),-(Analítico!V$3&gt;='Gastos Gerais'!$D$4:$D$615),-(Analítico!V$3&lt;='Gastos Gerais'!$E$4:$E$615),-('Gastos Gerais'!$C$4:$C$615))</f>
        <v>0</v>
      </c>
      <c r="W114" s="73">
        <f>SUMPRODUCT(-('Gastos Gerais'!$B$4:$B$615=Analítico!$B114),-(Analítico!W$3&gt;='Gastos Gerais'!$D$4:$D$615),-(Analítico!W$3&lt;='Gastos Gerais'!$E$4:$E$615),-('Gastos Gerais'!$C$4:$C$615))</f>
        <v>0</v>
      </c>
      <c r="X114" s="73">
        <f>SUMPRODUCT(-('Gastos Gerais'!$B$4:$B$615=Analítico!$B114),-(Analítico!X$3&gt;='Gastos Gerais'!$D$4:$D$615),-(Analítico!X$3&lt;='Gastos Gerais'!$E$4:$E$615),-('Gastos Gerais'!$C$4:$C$615))</f>
        <v>0</v>
      </c>
      <c r="Y114" s="73">
        <f>SUMPRODUCT(-('Gastos Gerais'!$B$4:$B$615=Analítico!$B114),-(Analítico!Y$3&gt;='Gastos Gerais'!$D$4:$D$615),-(Analítico!Y$3&lt;='Gastos Gerais'!$E$4:$E$615),-('Gastos Gerais'!$C$4:$C$615))</f>
        <v>0</v>
      </c>
      <c r="Z114" s="73">
        <f>SUMPRODUCT(-('Gastos Gerais'!$B$4:$B$615=Analítico!$B114),-(Analítico!Z$3&gt;='Gastos Gerais'!$D$4:$D$615),-(Analítico!Z$3&lt;='Gastos Gerais'!$E$4:$E$615),-('Gastos Gerais'!$C$4:$C$615))</f>
        <v>0</v>
      </c>
      <c r="AA114" s="73">
        <f>SUMPRODUCT(-('Gastos Gerais'!$B$4:$B$615=Analítico!$B114),-(Analítico!AA$3&gt;='Gastos Gerais'!$D$4:$D$615),-(Analítico!AA$3&lt;='Gastos Gerais'!$E$4:$E$615),-('Gastos Gerais'!$C$4:$C$615))</f>
        <v>0</v>
      </c>
      <c r="AB114" s="73">
        <f>SUMPRODUCT(-('Gastos Gerais'!$B$4:$B$615=Analítico!$B114),-(Analítico!AB$3&gt;='Gastos Gerais'!$D$4:$D$615),-(Analítico!AB$3&lt;='Gastos Gerais'!$E$4:$E$615),-('Gastos Gerais'!$C$4:$C$615))</f>
        <v>0</v>
      </c>
      <c r="AC114" s="73">
        <f>SUMPRODUCT(-('Gastos Gerais'!$B$4:$B$615=Analítico!$B114),-(Analítico!AC$3&gt;='Gastos Gerais'!$D$4:$D$615),-(Analítico!AC$3&lt;='Gastos Gerais'!$E$4:$E$615),-('Gastos Gerais'!$C$4:$C$615))</f>
        <v>0</v>
      </c>
      <c r="AD114" s="73">
        <f>SUMPRODUCT(-('Gastos Gerais'!$B$4:$B$615=Analítico!$B114),-(Analítico!AD$3&gt;='Gastos Gerais'!$D$4:$D$615),-(Analítico!AD$3&lt;='Gastos Gerais'!$E$4:$E$615),-('Gastos Gerais'!$C$4:$C$615))</f>
        <v>0</v>
      </c>
      <c r="AE114" s="73">
        <f>SUMPRODUCT(-('Gastos Gerais'!$B$4:$B$615=Analítico!$B114),-(Analítico!AE$3&gt;='Gastos Gerais'!$D$4:$D$615),-(Analítico!AE$3&lt;='Gastos Gerais'!$E$4:$E$615),-('Gastos Gerais'!$C$4:$C$615))</f>
        <v>0</v>
      </c>
      <c r="AF114" s="73">
        <f>SUMPRODUCT(-('Gastos Gerais'!$B$4:$B$615=Analítico!$B114),-(Analítico!AF$3&gt;='Gastos Gerais'!$D$4:$D$615),-(Analítico!AF$3&lt;='Gastos Gerais'!$E$4:$E$615),-('Gastos Gerais'!$C$4:$C$615))</f>
        <v>0</v>
      </c>
      <c r="AG114" s="73">
        <f>SUMPRODUCT(-('Gastos Gerais'!$B$4:$B$615=Analítico!$B114),-(Analítico!AG$3&gt;='Gastos Gerais'!$D$4:$D$615),-(Analítico!AG$3&lt;='Gastos Gerais'!$E$4:$E$615),-('Gastos Gerais'!$C$4:$C$615))</f>
        <v>0</v>
      </c>
      <c r="AH114" s="73">
        <f>SUMPRODUCT(-('Gastos Gerais'!$B$4:$B$615=Analítico!$B114),-(Analítico!AH$3&gt;='Gastos Gerais'!$D$4:$D$615),-(Analítico!AH$3&lt;='Gastos Gerais'!$E$4:$E$615),-('Gastos Gerais'!$C$4:$C$615))</f>
        <v>0</v>
      </c>
      <c r="AI114" s="73">
        <f>SUMPRODUCT(-('Gastos Gerais'!$B$4:$B$615=Analítico!$B114),-(Analítico!AI$3&gt;='Gastos Gerais'!$D$4:$D$615),-(Analítico!AI$3&lt;='Gastos Gerais'!$E$4:$E$615),-('Gastos Gerais'!$C$4:$C$615))</f>
        <v>0</v>
      </c>
      <c r="AJ114" s="73">
        <f>SUMPRODUCT(-('Gastos Gerais'!$B$4:$B$615=Analítico!$B114),-(Analítico!AJ$3&gt;='Gastos Gerais'!$D$4:$D$615),-(Analítico!AJ$3&lt;='Gastos Gerais'!$E$4:$E$615),-('Gastos Gerais'!$C$4:$C$615))</f>
        <v>0</v>
      </c>
      <c r="AK114" s="73">
        <f>SUMPRODUCT(-('Gastos Gerais'!$B$4:$B$615=Analítico!$B114),-(Analítico!AK$3&gt;='Gastos Gerais'!$D$4:$D$615),-(Analítico!AK$3&lt;='Gastos Gerais'!$E$4:$E$615),-('Gastos Gerais'!$C$4:$C$615))</f>
        <v>0</v>
      </c>
      <c r="AL114" s="73">
        <f>SUMPRODUCT(-('Gastos Gerais'!$B$4:$B$615=Analítico!$B114),-(Analítico!AL$3&gt;='Gastos Gerais'!$D$4:$D$615),-(Analítico!AL$3&lt;='Gastos Gerais'!$E$4:$E$615),-('Gastos Gerais'!$C$4:$C$615))</f>
        <v>0</v>
      </c>
      <c r="AM114" s="73">
        <f>SUMPRODUCT(-('Gastos Gerais'!$B$4:$B$615=Analítico!$B114),-(Analítico!AM$3&gt;='Gastos Gerais'!$D$4:$D$615),-(Analítico!AM$3&lt;='Gastos Gerais'!$E$4:$E$615),-('Gastos Gerais'!$C$4:$C$615))</f>
        <v>0</v>
      </c>
      <c r="AN114" s="73">
        <f>SUMPRODUCT(-('Gastos Gerais'!$B$4:$B$615=Analítico!$B114),-(Analítico!AN$3&gt;='Gastos Gerais'!$D$4:$D$615),-(Analítico!AN$3&lt;='Gastos Gerais'!$E$4:$E$615),-('Gastos Gerais'!$C$4:$C$615))</f>
        <v>0</v>
      </c>
      <c r="AO114" s="73">
        <f>SUMPRODUCT(-('Gastos Gerais'!$B$4:$B$615=Analítico!$B114),-(Analítico!AO$3&gt;='Gastos Gerais'!$D$4:$D$615),-(Analítico!AO$3&lt;='Gastos Gerais'!$E$4:$E$615),-('Gastos Gerais'!$C$4:$C$615))</f>
        <v>0</v>
      </c>
      <c r="AP114" s="73">
        <f>SUMPRODUCT(-('Gastos Gerais'!$B$4:$B$615=Analítico!$B114),-(Analítico!AP$3&gt;='Gastos Gerais'!$D$4:$D$615),-(Analítico!AP$3&lt;='Gastos Gerais'!$E$4:$E$615),-('Gastos Gerais'!$C$4:$C$615))</f>
        <v>0</v>
      </c>
      <c r="AQ114" s="73">
        <f>SUMPRODUCT(-('Gastos Gerais'!$B$4:$B$615=Analítico!$B114),-(Analítico!AQ$3&gt;='Gastos Gerais'!$D$4:$D$615),-(Analítico!AQ$3&lt;='Gastos Gerais'!$E$4:$E$615),-('Gastos Gerais'!$C$4:$C$615))</f>
        <v>0</v>
      </c>
      <c r="AR114" s="73">
        <f>SUMPRODUCT(-('Gastos Gerais'!$B$4:$B$615=Analítico!$B114),-(Analítico!AR$3&gt;='Gastos Gerais'!$D$4:$D$615),-(Analítico!AR$3&lt;='Gastos Gerais'!$E$4:$E$615),-('Gastos Gerais'!$C$4:$C$615))</f>
        <v>0</v>
      </c>
      <c r="AS114" s="73">
        <f>SUMPRODUCT(-('Gastos Gerais'!$B$4:$B$615=Analítico!$B114),-(Analítico!AS$3&gt;='Gastos Gerais'!$D$4:$D$615),-(Analítico!AS$3&lt;='Gastos Gerais'!$E$4:$E$615),-('Gastos Gerais'!$C$4:$C$615))</f>
        <v>0</v>
      </c>
      <c r="AT114" s="73">
        <f>SUMPRODUCT(-('Gastos Gerais'!$B$4:$B$615=Analítico!$B114),-(Analítico!AT$3&gt;='Gastos Gerais'!$D$4:$D$615),-(Analítico!AT$3&lt;='Gastos Gerais'!$E$4:$E$615),-('Gastos Gerais'!$C$4:$C$615))</f>
        <v>0</v>
      </c>
      <c r="AU114" s="73">
        <f>SUMPRODUCT(-('Gastos Gerais'!$B$4:$B$615=Analítico!$B114),-(Analítico!AU$3&gt;='Gastos Gerais'!$D$4:$D$615),-(Analítico!AU$3&lt;='Gastos Gerais'!$E$4:$E$615),-('Gastos Gerais'!$C$4:$C$615))</f>
        <v>0</v>
      </c>
      <c r="AV114" s="73">
        <f>SUMPRODUCT(-('Gastos Gerais'!$B$4:$B$615=Analítico!$B114),-(Analítico!AV$3&gt;='Gastos Gerais'!$D$4:$D$615),-(Analítico!AV$3&lt;='Gastos Gerais'!$E$4:$E$615),-('Gastos Gerais'!$C$4:$C$615))</f>
        <v>0</v>
      </c>
      <c r="AW114" s="73">
        <f>SUMPRODUCT(-('Gastos Gerais'!$B$4:$B$615=Analítico!$B114),-(Analítico!AW$3&gt;='Gastos Gerais'!$D$4:$D$615),-(Analítico!AW$3&lt;='Gastos Gerais'!$E$4:$E$615),-('Gastos Gerais'!$C$4:$C$615))</f>
        <v>0</v>
      </c>
      <c r="AX114" s="73">
        <f>SUMPRODUCT(-('Gastos Gerais'!$B$4:$B$615=Analítico!$B114),-(Analítico!AX$3&gt;='Gastos Gerais'!$D$4:$D$615),-(Analítico!AX$3&lt;='Gastos Gerais'!$E$4:$E$615),-('Gastos Gerais'!$C$4:$C$615))</f>
        <v>0</v>
      </c>
      <c r="AY114" s="73">
        <f>SUMPRODUCT(-('Gastos Gerais'!$B$4:$B$615=Analítico!$B114),-(Analítico!AY$3&gt;='Gastos Gerais'!$D$4:$D$615),-(Analítico!AY$3&lt;='Gastos Gerais'!$E$4:$E$615),-('Gastos Gerais'!$C$4:$C$615))</f>
        <v>0</v>
      </c>
      <c r="AZ114" s="73">
        <f>SUMPRODUCT(-('Gastos Gerais'!$B$4:$B$615=Analítico!$B114),-(Analítico!AZ$3&gt;='Gastos Gerais'!$D$4:$D$615),-(Analítico!AZ$3&lt;='Gastos Gerais'!$E$4:$E$615),-('Gastos Gerais'!$C$4:$C$615))</f>
        <v>0</v>
      </c>
      <c r="BA114" s="73">
        <f>SUMPRODUCT(-('Gastos Gerais'!$B$4:$B$615=Analítico!$B114),-(Analítico!BA$3&gt;='Gastos Gerais'!$D$4:$D$615),-(Analítico!BA$3&lt;='Gastos Gerais'!$E$4:$E$615),-('Gastos Gerais'!$C$4:$C$615))</f>
        <v>0</v>
      </c>
      <c r="BB114" s="73">
        <f>SUMPRODUCT(-('Gastos Gerais'!$B$4:$B$615=Analítico!$B114),-(Analítico!BB$3&gt;='Gastos Gerais'!$D$4:$D$615),-(Analítico!BB$3&lt;='Gastos Gerais'!$E$4:$E$615),-('Gastos Gerais'!$C$4:$C$615))</f>
        <v>0</v>
      </c>
      <c r="BC114" s="73">
        <f>SUMPRODUCT(-('Gastos Gerais'!$B$4:$B$615=Analítico!$B114),-(Analítico!BC$3&gt;='Gastos Gerais'!$D$4:$D$615),-(Analítico!BC$3&lt;='Gastos Gerais'!$E$4:$E$615),-('Gastos Gerais'!$C$4:$C$615))</f>
        <v>0</v>
      </c>
      <c r="BD114" s="73">
        <f>SUMPRODUCT(-('Gastos Gerais'!$B$4:$B$615=Analítico!$B114),-(Analítico!BD$3&gt;='Gastos Gerais'!$D$4:$D$615),-(Analítico!BD$3&lt;='Gastos Gerais'!$E$4:$E$615),-('Gastos Gerais'!$C$4:$C$615))</f>
        <v>0</v>
      </c>
      <c r="BE114" s="73">
        <f>SUMPRODUCT(-('Gastos Gerais'!$B$4:$B$615=Analítico!$B114),-(Analítico!BE$3&gt;='Gastos Gerais'!$D$4:$D$615),-(Analítico!BE$3&lt;='Gastos Gerais'!$E$4:$E$615),-('Gastos Gerais'!$C$4:$C$615))</f>
        <v>0</v>
      </c>
      <c r="BF114" s="73">
        <f>SUMPRODUCT(-('Gastos Gerais'!$B$4:$B$615=Analítico!$B114),-(Analítico!BF$3&gt;='Gastos Gerais'!$D$4:$D$615),-(Analítico!BF$3&lt;='Gastos Gerais'!$E$4:$E$615),-('Gastos Gerais'!$C$4:$C$615))</f>
        <v>0</v>
      </c>
      <c r="BG114" s="73">
        <f>SUMPRODUCT(-('Gastos Gerais'!$B$4:$B$615=Analítico!$B114),-(Analítico!BG$3&gt;='Gastos Gerais'!$D$4:$D$615),-(Analítico!BG$3&lt;='Gastos Gerais'!$E$4:$E$615),-('Gastos Gerais'!$C$4:$C$615))</f>
        <v>0</v>
      </c>
      <c r="BH114" s="73">
        <f>SUMPRODUCT(-('Gastos Gerais'!$B$4:$B$615=Analítico!$B114),-(Analítico!BH$3&gt;='Gastos Gerais'!$D$4:$D$615),-(Analítico!BH$3&lt;='Gastos Gerais'!$E$4:$E$615),-('Gastos Gerais'!$C$4:$C$615))</f>
        <v>0</v>
      </c>
      <c r="BI114" s="73">
        <f>SUMPRODUCT(-('Gastos Gerais'!$B$4:$B$615=Analítico!$B114),-(Analítico!BI$3&gt;='Gastos Gerais'!$D$4:$D$615),-(Analítico!BI$3&lt;='Gastos Gerais'!$E$4:$E$615),-('Gastos Gerais'!$C$4:$C$615))</f>
        <v>0</v>
      </c>
      <c r="BJ114" s="73">
        <f>SUMPRODUCT(-('Gastos Gerais'!$B$4:$B$615=Analítico!$B114),-(Analítico!BJ$3&gt;='Gastos Gerais'!$D$4:$D$615),-(Analítico!BJ$3&lt;='Gastos Gerais'!$E$4:$E$615),-('Gastos Gerais'!$C$4:$C$615))</f>
        <v>0</v>
      </c>
      <c r="BK114" s="71">
        <f t="shared" si="33"/>
        <v>0</v>
      </c>
      <c r="BL114" s="76">
        <f t="shared" ca="1" si="34"/>
        <v>0</v>
      </c>
    </row>
    <row r="115" spans="1:64" s="49" customFormat="1" ht="23.25" customHeight="1" x14ac:dyDescent="0.2">
      <c r="A115" s="109" t="s">
        <v>298</v>
      </c>
      <c r="B115" s="112" t="s">
        <v>299</v>
      </c>
      <c r="C115" s="73">
        <f>SUMPRODUCT(-('Gastos Gerais'!$B$4:$B$615=Analítico!$B115),-(Analítico!C$3&gt;='Gastos Gerais'!$D$4:$D$615),-(Analítico!C$3&lt;='Gastos Gerais'!$E$4:$E$615),-('Gastos Gerais'!$C$4:$C$615))</f>
        <v>173000</v>
      </c>
      <c r="D115" s="73">
        <f>SUMPRODUCT(-('Gastos Gerais'!$B$4:$B$615=Analítico!$B115),-(Analítico!D$3&gt;='Gastos Gerais'!$D$4:$D$615),-(Analítico!D$3&lt;='Gastos Gerais'!$E$4:$E$615),-('Gastos Gerais'!$C$4:$C$615))</f>
        <v>0</v>
      </c>
      <c r="E115" s="73">
        <f>SUMPRODUCT(-('Gastos Gerais'!$B$4:$B$615=Analítico!$B115),-(Analítico!E$3&gt;='Gastos Gerais'!$D$4:$D$615),-(Analítico!E$3&lt;='Gastos Gerais'!$E$4:$E$615),-('Gastos Gerais'!$C$4:$C$615))</f>
        <v>0</v>
      </c>
      <c r="F115" s="73">
        <f>SUMPRODUCT(-('Gastos Gerais'!$B$4:$B$615=Analítico!$B115),-(Analítico!F$3&gt;='Gastos Gerais'!$D$4:$D$615),-(Analítico!F$3&lt;='Gastos Gerais'!$E$4:$E$615),-('Gastos Gerais'!$C$4:$C$615))</f>
        <v>0</v>
      </c>
      <c r="G115" s="73">
        <f>SUMPRODUCT(-('Gastos Gerais'!$B$4:$B$615=Analítico!$B115),-(Analítico!G$3&gt;='Gastos Gerais'!$D$4:$D$615),-(Analítico!G$3&lt;='Gastos Gerais'!$E$4:$E$615),-('Gastos Gerais'!$C$4:$C$615))</f>
        <v>0</v>
      </c>
      <c r="H115" s="73">
        <f>SUMPRODUCT(-('Gastos Gerais'!$B$4:$B$615=Analítico!$B115),-(Analítico!H$3&gt;='Gastos Gerais'!$D$4:$D$615),-(Analítico!H$3&lt;='Gastos Gerais'!$E$4:$E$615),-('Gastos Gerais'!$C$4:$C$615))</f>
        <v>0</v>
      </c>
      <c r="I115" s="73">
        <f>SUMPRODUCT(-('Gastos Gerais'!$B$4:$B$615=Analítico!$B115),-(Analítico!I$3&gt;='Gastos Gerais'!$D$4:$D$615),-(Analítico!I$3&lt;='Gastos Gerais'!$E$4:$E$615),-('Gastos Gerais'!$C$4:$C$615))</f>
        <v>0</v>
      </c>
      <c r="J115" s="73">
        <f>SUMPRODUCT(-('Gastos Gerais'!$B$4:$B$615=Analítico!$B115),-(Analítico!J$3&gt;='Gastos Gerais'!$D$4:$D$615),-(Analítico!J$3&lt;='Gastos Gerais'!$E$4:$E$615),-('Gastos Gerais'!$C$4:$C$615))</f>
        <v>0</v>
      </c>
      <c r="K115" s="73">
        <f>SUMPRODUCT(-('Gastos Gerais'!$B$4:$B$615=Analítico!$B115),-(Analítico!K$3&gt;='Gastos Gerais'!$D$4:$D$615),-(Analítico!K$3&lt;='Gastos Gerais'!$E$4:$E$615),-('Gastos Gerais'!$C$4:$C$615))</f>
        <v>0</v>
      </c>
      <c r="L115" s="73">
        <f>SUMPRODUCT(-('Gastos Gerais'!$B$4:$B$615=Analítico!$B115),-(Analítico!L$3&gt;='Gastos Gerais'!$D$4:$D$615),-(Analítico!L$3&lt;='Gastos Gerais'!$E$4:$E$615),-('Gastos Gerais'!$C$4:$C$615))</f>
        <v>0</v>
      </c>
      <c r="M115" s="73">
        <f>SUMPRODUCT(-('Gastos Gerais'!$B$4:$B$615=Analítico!$B115),-(Analítico!M$3&gt;='Gastos Gerais'!$D$4:$D$615),-(Analítico!M$3&lt;='Gastos Gerais'!$E$4:$E$615),-('Gastos Gerais'!$C$4:$C$615))</f>
        <v>0</v>
      </c>
      <c r="N115" s="73">
        <f>SUMPRODUCT(-('Gastos Gerais'!$B$4:$B$615=Analítico!$B115),-(Analítico!N$3&gt;='Gastos Gerais'!$D$4:$D$615),-(Analítico!N$3&lt;='Gastos Gerais'!$E$4:$E$615),-('Gastos Gerais'!$C$4:$C$615))</f>
        <v>0</v>
      </c>
      <c r="O115" s="73">
        <f>SUMPRODUCT(-('Gastos Gerais'!$B$4:$B$615=Analítico!$B115),-(Analítico!O$3&gt;='Gastos Gerais'!$D$4:$D$615),-(Analítico!O$3&lt;='Gastos Gerais'!$E$4:$E$615),-('Gastos Gerais'!$C$4:$C$615))</f>
        <v>140000</v>
      </c>
      <c r="P115" s="73">
        <f>SUMPRODUCT(-('Gastos Gerais'!$B$4:$B$615=Analítico!$B115),-(Analítico!P$3&gt;='Gastos Gerais'!$D$4:$D$615),-(Analítico!P$3&lt;='Gastos Gerais'!$E$4:$E$615),-('Gastos Gerais'!$C$4:$C$615))</f>
        <v>0</v>
      </c>
      <c r="Q115" s="73">
        <f>SUMPRODUCT(-('Gastos Gerais'!$B$4:$B$615=Analítico!$B115),-(Analítico!Q$3&gt;='Gastos Gerais'!$D$4:$D$615),-(Analítico!Q$3&lt;='Gastos Gerais'!$E$4:$E$615),-('Gastos Gerais'!$C$4:$C$615))</f>
        <v>0</v>
      </c>
      <c r="R115" s="73">
        <f>SUMPRODUCT(-('Gastos Gerais'!$B$4:$B$615=Analítico!$B115),-(Analítico!R$3&gt;='Gastos Gerais'!$D$4:$D$615),-(Analítico!R$3&lt;='Gastos Gerais'!$E$4:$E$615),-('Gastos Gerais'!$C$4:$C$615))</f>
        <v>0</v>
      </c>
      <c r="S115" s="73">
        <f>SUMPRODUCT(-('Gastos Gerais'!$B$4:$B$615=Analítico!$B115),-(Analítico!S$3&gt;='Gastos Gerais'!$D$4:$D$615),-(Analítico!S$3&lt;='Gastos Gerais'!$E$4:$E$615),-('Gastos Gerais'!$C$4:$C$615))</f>
        <v>0</v>
      </c>
      <c r="T115" s="73">
        <f>SUMPRODUCT(-('Gastos Gerais'!$B$4:$B$615=Analítico!$B115),-(Analítico!T$3&gt;='Gastos Gerais'!$D$4:$D$615),-(Analítico!T$3&lt;='Gastos Gerais'!$E$4:$E$615),-('Gastos Gerais'!$C$4:$C$615))</f>
        <v>0</v>
      </c>
      <c r="U115" s="73">
        <f>SUMPRODUCT(-('Gastos Gerais'!$B$4:$B$615=Analítico!$B115),-(Analítico!U$3&gt;='Gastos Gerais'!$D$4:$D$615),-(Analítico!U$3&lt;='Gastos Gerais'!$E$4:$E$615),-('Gastos Gerais'!$C$4:$C$615))</f>
        <v>0</v>
      </c>
      <c r="V115" s="73">
        <f>SUMPRODUCT(-('Gastos Gerais'!$B$4:$B$615=Analítico!$B115),-(Analítico!V$3&gt;='Gastos Gerais'!$D$4:$D$615),-(Analítico!V$3&lt;='Gastos Gerais'!$E$4:$E$615),-('Gastos Gerais'!$C$4:$C$615))</f>
        <v>0</v>
      </c>
      <c r="W115" s="73">
        <f>SUMPRODUCT(-('Gastos Gerais'!$B$4:$B$615=Analítico!$B115),-(Analítico!W$3&gt;='Gastos Gerais'!$D$4:$D$615),-(Analítico!W$3&lt;='Gastos Gerais'!$E$4:$E$615),-('Gastos Gerais'!$C$4:$C$615))</f>
        <v>0</v>
      </c>
      <c r="X115" s="73">
        <f>SUMPRODUCT(-('Gastos Gerais'!$B$4:$B$615=Analítico!$B115),-(Analítico!X$3&gt;='Gastos Gerais'!$D$4:$D$615),-(Analítico!X$3&lt;='Gastos Gerais'!$E$4:$E$615),-('Gastos Gerais'!$C$4:$C$615))</f>
        <v>0</v>
      </c>
      <c r="Y115" s="73">
        <f>SUMPRODUCT(-('Gastos Gerais'!$B$4:$B$615=Analítico!$B115),-(Analítico!Y$3&gt;='Gastos Gerais'!$D$4:$D$615),-(Analítico!Y$3&lt;='Gastos Gerais'!$E$4:$E$615),-('Gastos Gerais'!$C$4:$C$615))</f>
        <v>0</v>
      </c>
      <c r="Z115" s="73">
        <f>SUMPRODUCT(-('Gastos Gerais'!$B$4:$B$615=Analítico!$B115),-(Analítico!Z$3&gt;='Gastos Gerais'!$D$4:$D$615),-(Analítico!Z$3&lt;='Gastos Gerais'!$E$4:$E$615),-('Gastos Gerais'!$C$4:$C$615))</f>
        <v>0</v>
      </c>
      <c r="AA115" s="73">
        <f>SUMPRODUCT(-('Gastos Gerais'!$B$4:$B$615=Analítico!$B115),-(Analítico!AA$3&gt;='Gastos Gerais'!$D$4:$D$615),-(Analítico!AA$3&lt;='Gastos Gerais'!$E$4:$E$615),-('Gastos Gerais'!$C$4:$C$615))</f>
        <v>160000</v>
      </c>
      <c r="AB115" s="73">
        <f>SUMPRODUCT(-('Gastos Gerais'!$B$4:$B$615=Analítico!$B115),-(Analítico!AB$3&gt;='Gastos Gerais'!$D$4:$D$615),-(Analítico!AB$3&lt;='Gastos Gerais'!$E$4:$E$615),-('Gastos Gerais'!$C$4:$C$615))</f>
        <v>0</v>
      </c>
      <c r="AC115" s="73">
        <f>SUMPRODUCT(-('Gastos Gerais'!$B$4:$B$615=Analítico!$B115),-(Analítico!AC$3&gt;='Gastos Gerais'!$D$4:$D$615),-(Analítico!AC$3&lt;='Gastos Gerais'!$E$4:$E$615),-('Gastos Gerais'!$C$4:$C$615))</f>
        <v>0</v>
      </c>
      <c r="AD115" s="73">
        <f>SUMPRODUCT(-('Gastos Gerais'!$B$4:$B$615=Analítico!$B115),-(Analítico!AD$3&gt;='Gastos Gerais'!$D$4:$D$615),-(Analítico!AD$3&lt;='Gastos Gerais'!$E$4:$E$615),-('Gastos Gerais'!$C$4:$C$615))</f>
        <v>0</v>
      </c>
      <c r="AE115" s="73">
        <f>SUMPRODUCT(-('Gastos Gerais'!$B$4:$B$615=Analítico!$B115),-(Analítico!AE$3&gt;='Gastos Gerais'!$D$4:$D$615),-(Analítico!AE$3&lt;='Gastos Gerais'!$E$4:$E$615),-('Gastos Gerais'!$C$4:$C$615))</f>
        <v>0</v>
      </c>
      <c r="AF115" s="73">
        <f>SUMPRODUCT(-('Gastos Gerais'!$B$4:$B$615=Analítico!$B115),-(Analítico!AF$3&gt;='Gastos Gerais'!$D$4:$D$615),-(Analítico!AF$3&lt;='Gastos Gerais'!$E$4:$E$615),-('Gastos Gerais'!$C$4:$C$615))</f>
        <v>0</v>
      </c>
      <c r="AG115" s="73">
        <f>SUMPRODUCT(-('Gastos Gerais'!$B$4:$B$615=Analítico!$B115),-(Analítico!AG$3&gt;='Gastos Gerais'!$D$4:$D$615),-(Analítico!AG$3&lt;='Gastos Gerais'!$E$4:$E$615),-('Gastos Gerais'!$C$4:$C$615))</f>
        <v>0</v>
      </c>
      <c r="AH115" s="73">
        <f>SUMPRODUCT(-('Gastos Gerais'!$B$4:$B$615=Analítico!$B115),-(Analítico!AH$3&gt;='Gastos Gerais'!$D$4:$D$615),-(Analítico!AH$3&lt;='Gastos Gerais'!$E$4:$E$615),-('Gastos Gerais'!$C$4:$C$615))</f>
        <v>0</v>
      </c>
      <c r="AI115" s="73">
        <f>SUMPRODUCT(-('Gastos Gerais'!$B$4:$B$615=Analítico!$B115),-(Analítico!AI$3&gt;='Gastos Gerais'!$D$4:$D$615),-(Analítico!AI$3&lt;='Gastos Gerais'!$E$4:$E$615),-('Gastos Gerais'!$C$4:$C$615))</f>
        <v>0</v>
      </c>
      <c r="AJ115" s="73">
        <f>SUMPRODUCT(-('Gastos Gerais'!$B$4:$B$615=Analítico!$B115),-(Analítico!AJ$3&gt;='Gastos Gerais'!$D$4:$D$615),-(Analítico!AJ$3&lt;='Gastos Gerais'!$E$4:$E$615),-('Gastos Gerais'!$C$4:$C$615))</f>
        <v>0</v>
      </c>
      <c r="AK115" s="73">
        <f>SUMPRODUCT(-('Gastos Gerais'!$B$4:$B$615=Analítico!$B115),-(Analítico!AK$3&gt;='Gastos Gerais'!$D$4:$D$615),-(Analítico!AK$3&lt;='Gastos Gerais'!$E$4:$E$615),-('Gastos Gerais'!$C$4:$C$615))</f>
        <v>0</v>
      </c>
      <c r="AL115" s="73">
        <f>SUMPRODUCT(-('Gastos Gerais'!$B$4:$B$615=Analítico!$B115),-(Analítico!AL$3&gt;='Gastos Gerais'!$D$4:$D$615),-(Analítico!AL$3&lt;='Gastos Gerais'!$E$4:$E$615),-('Gastos Gerais'!$C$4:$C$615))</f>
        <v>0</v>
      </c>
      <c r="AM115" s="73">
        <f>SUMPRODUCT(-('Gastos Gerais'!$B$4:$B$615=Analítico!$B115),-(Analítico!AM$3&gt;='Gastos Gerais'!$D$4:$D$615),-(Analítico!AM$3&lt;='Gastos Gerais'!$E$4:$E$615),-('Gastos Gerais'!$C$4:$C$615))</f>
        <v>0</v>
      </c>
      <c r="AN115" s="73">
        <f>SUMPRODUCT(-('Gastos Gerais'!$B$4:$B$615=Analítico!$B115),-(Analítico!AN$3&gt;='Gastos Gerais'!$D$4:$D$615),-(Analítico!AN$3&lt;='Gastos Gerais'!$E$4:$E$615),-('Gastos Gerais'!$C$4:$C$615))</f>
        <v>0</v>
      </c>
      <c r="AO115" s="73">
        <f>SUMPRODUCT(-('Gastos Gerais'!$B$4:$B$615=Analítico!$B115),-(Analítico!AO$3&gt;='Gastos Gerais'!$D$4:$D$615),-(Analítico!AO$3&lt;='Gastos Gerais'!$E$4:$E$615),-('Gastos Gerais'!$C$4:$C$615))</f>
        <v>0</v>
      </c>
      <c r="AP115" s="73">
        <f>SUMPRODUCT(-('Gastos Gerais'!$B$4:$B$615=Analítico!$B115),-(Analítico!AP$3&gt;='Gastos Gerais'!$D$4:$D$615),-(Analítico!AP$3&lt;='Gastos Gerais'!$E$4:$E$615),-('Gastos Gerais'!$C$4:$C$615))</f>
        <v>0</v>
      </c>
      <c r="AQ115" s="73">
        <f>SUMPRODUCT(-('Gastos Gerais'!$B$4:$B$615=Analítico!$B115),-(Analítico!AQ$3&gt;='Gastos Gerais'!$D$4:$D$615),-(Analítico!AQ$3&lt;='Gastos Gerais'!$E$4:$E$615),-('Gastos Gerais'!$C$4:$C$615))</f>
        <v>0</v>
      </c>
      <c r="AR115" s="73">
        <f>SUMPRODUCT(-('Gastos Gerais'!$B$4:$B$615=Analítico!$B115),-(Analítico!AR$3&gt;='Gastos Gerais'!$D$4:$D$615),-(Analítico!AR$3&lt;='Gastos Gerais'!$E$4:$E$615),-('Gastos Gerais'!$C$4:$C$615))</f>
        <v>0</v>
      </c>
      <c r="AS115" s="73">
        <f>SUMPRODUCT(-('Gastos Gerais'!$B$4:$B$615=Analítico!$B115),-(Analítico!AS$3&gt;='Gastos Gerais'!$D$4:$D$615),-(Analítico!AS$3&lt;='Gastos Gerais'!$E$4:$E$615),-('Gastos Gerais'!$C$4:$C$615))</f>
        <v>0</v>
      </c>
      <c r="AT115" s="73">
        <f>SUMPRODUCT(-('Gastos Gerais'!$B$4:$B$615=Analítico!$B115),-(Analítico!AT$3&gt;='Gastos Gerais'!$D$4:$D$615),-(Analítico!AT$3&lt;='Gastos Gerais'!$E$4:$E$615),-('Gastos Gerais'!$C$4:$C$615))</f>
        <v>0</v>
      </c>
      <c r="AU115" s="73">
        <f>SUMPRODUCT(-('Gastos Gerais'!$B$4:$B$615=Analítico!$B115),-(Analítico!AU$3&gt;='Gastos Gerais'!$D$4:$D$615),-(Analítico!AU$3&lt;='Gastos Gerais'!$E$4:$E$615),-('Gastos Gerais'!$C$4:$C$615))</f>
        <v>0</v>
      </c>
      <c r="AV115" s="73">
        <f>SUMPRODUCT(-('Gastos Gerais'!$B$4:$B$615=Analítico!$B115),-(Analítico!AV$3&gt;='Gastos Gerais'!$D$4:$D$615),-(Analítico!AV$3&lt;='Gastos Gerais'!$E$4:$E$615),-('Gastos Gerais'!$C$4:$C$615))</f>
        <v>0</v>
      </c>
      <c r="AW115" s="73">
        <f>SUMPRODUCT(-('Gastos Gerais'!$B$4:$B$615=Analítico!$B115),-(Analítico!AW$3&gt;='Gastos Gerais'!$D$4:$D$615),-(Analítico!AW$3&lt;='Gastos Gerais'!$E$4:$E$615),-('Gastos Gerais'!$C$4:$C$615))</f>
        <v>0</v>
      </c>
      <c r="AX115" s="73">
        <f>SUMPRODUCT(-('Gastos Gerais'!$B$4:$B$615=Analítico!$B115),-(Analítico!AX$3&gt;='Gastos Gerais'!$D$4:$D$615),-(Analítico!AX$3&lt;='Gastos Gerais'!$E$4:$E$615),-('Gastos Gerais'!$C$4:$C$615))</f>
        <v>0</v>
      </c>
      <c r="AY115" s="73">
        <f>SUMPRODUCT(-('Gastos Gerais'!$B$4:$B$615=Analítico!$B115),-(Analítico!AY$3&gt;='Gastos Gerais'!$D$4:$D$615),-(Analítico!AY$3&lt;='Gastos Gerais'!$E$4:$E$615),-('Gastos Gerais'!$C$4:$C$615))</f>
        <v>0</v>
      </c>
      <c r="AZ115" s="73">
        <f>SUMPRODUCT(-('Gastos Gerais'!$B$4:$B$615=Analítico!$B115),-(Analítico!AZ$3&gt;='Gastos Gerais'!$D$4:$D$615),-(Analítico!AZ$3&lt;='Gastos Gerais'!$E$4:$E$615),-('Gastos Gerais'!$C$4:$C$615))</f>
        <v>0</v>
      </c>
      <c r="BA115" s="73">
        <f>SUMPRODUCT(-('Gastos Gerais'!$B$4:$B$615=Analítico!$B115),-(Analítico!BA$3&gt;='Gastos Gerais'!$D$4:$D$615),-(Analítico!BA$3&lt;='Gastos Gerais'!$E$4:$E$615),-('Gastos Gerais'!$C$4:$C$615))</f>
        <v>0</v>
      </c>
      <c r="BB115" s="73">
        <f>SUMPRODUCT(-('Gastos Gerais'!$B$4:$B$615=Analítico!$B115),-(Analítico!BB$3&gt;='Gastos Gerais'!$D$4:$D$615),-(Analítico!BB$3&lt;='Gastos Gerais'!$E$4:$E$615),-('Gastos Gerais'!$C$4:$C$615))</f>
        <v>0</v>
      </c>
      <c r="BC115" s="73">
        <f>SUMPRODUCT(-('Gastos Gerais'!$B$4:$B$615=Analítico!$B115),-(Analítico!BC$3&gt;='Gastos Gerais'!$D$4:$D$615),-(Analítico!BC$3&lt;='Gastos Gerais'!$E$4:$E$615),-('Gastos Gerais'!$C$4:$C$615))</f>
        <v>0</v>
      </c>
      <c r="BD115" s="73">
        <f>SUMPRODUCT(-('Gastos Gerais'!$B$4:$B$615=Analítico!$B115),-(Analítico!BD$3&gt;='Gastos Gerais'!$D$4:$D$615),-(Analítico!BD$3&lt;='Gastos Gerais'!$E$4:$E$615),-('Gastos Gerais'!$C$4:$C$615))</f>
        <v>0</v>
      </c>
      <c r="BE115" s="73">
        <f>SUMPRODUCT(-('Gastos Gerais'!$B$4:$B$615=Analítico!$B115),-(Analítico!BE$3&gt;='Gastos Gerais'!$D$4:$D$615),-(Analítico!BE$3&lt;='Gastos Gerais'!$E$4:$E$615),-('Gastos Gerais'!$C$4:$C$615))</f>
        <v>0</v>
      </c>
      <c r="BF115" s="73">
        <f>SUMPRODUCT(-('Gastos Gerais'!$B$4:$B$615=Analítico!$B115),-(Analítico!BF$3&gt;='Gastos Gerais'!$D$4:$D$615),-(Analítico!BF$3&lt;='Gastos Gerais'!$E$4:$E$615),-('Gastos Gerais'!$C$4:$C$615))</f>
        <v>0</v>
      </c>
      <c r="BG115" s="73">
        <f>SUMPRODUCT(-('Gastos Gerais'!$B$4:$B$615=Analítico!$B115),-(Analítico!BG$3&gt;='Gastos Gerais'!$D$4:$D$615),-(Analítico!BG$3&lt;='Gastos Gerais'!$E$4:$E$615),-('Gastos Gerais'!$C$4:$C$615))</f>
        <v>0</v>
      </c>
      <c r="BH115" s="73">
        <f>SUMPRODUCT(-('Gastos Gerais'!$B$4:$B$615=Analítico!$B115),-(Analítico!BH$3&gt;='Gastos Gerais'!$D$4:$D$615),-(Analítico!BH$3&lt;='Gastos Gerais'!$E$4:$E$615),-('Gastos Gerais'!$C$4:$C$615))</f>
        <v>0</v>
      </c>
      <c r="BI115" s="73">
        <f>SUMPRODUCT(-('Gastos Gerais'!$B$4:$B$615=Analítico!$B115),-(Analítico!BI$3&gt;='Gastos Gerais'!$D$4:$D$615),-(Analítico!BI$3&lt;='Gastos Gerais'!$E$4:$E$615),-('Gastos Gerais'!$C$4:$C$615))</f>
        <v>0</v>
      </c>
      <c r="BJ115" s="73">
        <f>SUMPRODUCT(-('Gastos Gerais'!$B$4:$B$615=Analítico!$B115),-(Analítico!BJ$3&gt;='Gastos Gerais'!$D$4:$D$615),-(Analítico!BJ$3&lt;='Gastos Gerais'!$E$4:$E$615),-('Gastos Gerais'!$C$4:$C$615))</f>
        <v>0</v>
      </c>
      <c r="BK115" s="71">
        <f t="shared" si="33"/>
        <v>473000</v>
      </c>
      <c r="BL115" s="76">
        <f t="shared" ca="1" si="34"/>
        <v>1.2901540552261667E-3</v>
      </c>
    </row>
    <row r="116" spans="1:64" s="49" customFormat="1" ht="23.25" customHeight="1" x14ac:dyDescent="0.2">
      <c r="A116" s="109" t="s">
        <v>300</v>
      </c>
      <c r="B116" s="112" t="s">
        <v>301</v>
      </c>
      <c r="C116" s="73">
        <f>SUMPRODUCT(-('Gastos Gerais'!$B$4:$B$615=Analítico!$B116),-(Analítico!C$3&gt;='Gastos Gerais'!$D$4:$D$615),-(Analítico!C$3&lt;='Gastos Gerais'!$E$4:$E$615),-('Gastos Gerais'!$C$4:$C$615))</f>
        <v>0</v>
      </c>
      <c r="D116" s="73">
        <f>SUMPRODUCT(-('Gastos Gerais'!$B$4:$B$615=Analítico!$B116),-(Analítico!D$3&gt;='Gastos Gerais'!$D$4:$D$615),-(Analítico!D$3&lt;='Gastos Gerais'!$E$4:$E$615),-('Gastos Gerais'!$C$4:$C$615))</f>
        <v>0</v>
      </c>
      <c r="E116" s="73">
        <f>SUMPRODUCT(-('Gastos Gerais'!$B$4:$B$615=Analítico!$B116),-(Analítico!E$3&gt;='Gastos Gerais'!$D$4:$D$615),-(Analítico!E$3&lt;='Gastos Gerais'!$E$4:$E$615),-('Gastos Gerais'!$C$4:$C$615))</f>
        <v>0</v>
      </c>
      <c r="F116" s="73">
        <f>SUMPRODUCT(-('Gastos Gerais'!$B$4:$B$615=Analítico!$B116),-(Analítico!F$3&gt;='Gastos Gerais'!$D$4:$D$615),-(Analítico!F$3&lt;='Gastos Gerais'!$E$4:$E$615),-('Gastos Gerais'!$C$4:$C$615))</f>
        <v>210000</v>
      </c>
      <c r="G116" s="73">
        <f>SUMPRODUCT(-('Gastos Gerais'!$B$4:$B$615=Analítico!$B116),-(Analítico!G$3&gt;='Gastos Gerais'!$D$4:$D$615),-(Analítico!G$3&lt;='Gastos Gerais'!$E$4:$E$615),-('Gastos Gerais'!$C$4:$C$615))</f>
        <v>0</v>
      </c>
      <c r="H116" s="73">
        <f>SUMPRODUCT(-('Gastos Gerais'!$B$4:$B$615=Analítico!$B116),-(Analítico!H$3&gt;='Gastos Gerais'!$D$4:$D$615),-(Analítico!H$3&lt;='Gastos Gerais'!$E$4:$E$615),-('Gastos Gerais'!$C$4:$C$615))</f>
        <v>0</v>
      </c>
      <c r="I116" s="73">
        <f>SUMPRODUCT(-('Gastos Gerais'!$B$4:$B$615=Analítico!$B116),-(Analítico!I$3&gt;='Gastos Gerais'!$D$4:$D$615),-(Analítico!I$3&lt;='Gastos Gerais'!$E$4:$E$615),-('Gastos Gerais'!$C$4:$C$615))</f>
        <v>0</v>
      </c>
      <c r="J116" s="73">
        <f>SUMPRODUCT(-('Gastos Gerais'!$B$4:$B$615=Analítico!$B116),-(Analítico!J$3&gt;='Gastos Gerais'!$D$4:$D$615),-(Analítico!J$3&lt;='Gastos Gerais'!$E$4:$E$615),-('Gastos Gerais'!$C$4:$C$615))</f>
        <v>0</v>
      </c>
      <c r="K116" s="73">
        <f>SUMPRODUCT(-('Gastos Gerais'!$B$4:$B$615=Analítico!$B116),-(Analítico!K$3&gt;='Gastos Gerais'!$D$4:$D$615),-(Analítico!K$3&lt;='Gastos Gerais'!$E$4:$E$615),-('Gastos Gerais'!$C$4:$C$615))</f>
        <v>0</v>
      </c>
      <c r="L116" s="73">
        <f>SUMPRODUCT(-('Gastos Gerais'!$B$4:$B$615=Analítico!$B116),-(Analítico!L$3&gt;='Gastos Gerais'!$D$4:$D$615),-(Analítico!L$3&lt;='Gastos Gerais'!$E$4:$E$615),-('Gastos Gerais'!$C$4:$C$615))</f>
        <v>0</v>
      </c>
      <c r="M116" s="73">
        <f>SUMPRODUCT(-('Gastos Gerais'!$B$4:$B$615=Analítico!$B116),-(Analítico!M$3&gt;='Gastos Gerais'!$D$4:$D$615),-(Analítico!M$3&lt;='Gastos Gerais'!$E$4:$E$615),-('Gastos Gerais'!$C$4:$C$615))</f>
        <v>0</v>
      </c>
      <c r="N116" s="73">
        <f>SUMPRODUCT(-('Gastos Gerais'!$B$4:$B$615=Analítico!$B116),-(Analítico!N$3&gt;='Gastos Gerais'!$D$4:$D$615),-(Analítico!N$3&lt;='Gastos Gerais'!$E$4:$E$615),-('Gastos Gerais'!$C$4:$C$615))</f>
        <v>0</v>
      </c>
      <c r="O116" s="73">
        <f>SUMPRODUCT(-('Gastos Gerais'!$B$4:$B$615=Analítico!$B116),-(Analítico!O$3&gt;='Gastos Gerais'!$D$4:$D$615),-(Analítico!O$3&lt;='Gastos Gerais'!$E$4:$E$615),-('Gastos Gerais'!$C$4:$C$615))</f>
        <v>0</v>
      </c>
      <c r="P116" s="73">
        <f>SUMPRODUCT(-('Gastos Gerais'!$B$4:$B$615=Analítico!$B116),-(Analítico!P$3&gt;='Gastos Gerais'!$D$4:$D$615),-(Analítico!P$3&lt;='Gastos Gerais'!$E$4:$E$615),-('Gastos Gerais'!$C$4:$C$615))</f>
        <v>0</v>
      </c>
      <c r="Q116" s="73">
        <f>SUMPRODUCT(-('Gastos Gerais'!$B$4:$B$615=Analítico!$B116),-(Analítico!Q$3&gt;='Gastos Gerais'!$D$4:$D$615),-(Analítico!Q$3&lt;='Gastos Gerais'!$E$4:$E$615),-('Gastos Gerais'!$C$4:$C$615))</f>
        <v>0</v>
      </c>
      <c r="R116" s="73">
        <f>SUMPRODUCT(-('Gastos Gerais'!$B$4:$B$615=Analítico!$B116),-(Analítico!R$3&gt;='Gastos Gerais'!$D$4:$D$615),-(Analítico!R$3&lt;='Gastos Gerais'!$E$4:$E$615),-('Gastos Gerais'!$C$4:$C$615))</f>
        <v>200000</v>
      </c>
      <c r="S116" s="73">
        <f>SUMPRODUCT(-('Gastos Gerais'!$B$4:$B$615=Analítico!$B116),-(Analítico!S$3&gt;='Gastos Gerais'!$D$4:$D$615),-(Analítico!S$3&lt;='Gastos Gerais'!$E$4:$E$615),-('Gastos Gerais'!$C$4:$C$615))</f>
        <v>0</v>
      </c>
      <c r="T116" s="73">
        <f>SUMPRODUCT(-('Gastos Gerais'!$B$4:$B$615=Analítico!$B116),-(Analítico!T$3&gt;='Gastos Gerais'!$D$4:$D$615),-(Analítico!T$3&lt;='Gastos Gerais'!$E$4:$E$615),-('Gastos Gerais'!$C$4:$C$615))</f>
        <v>0</v>
      </c>
      <c r="U116" s="73">
        <f>SUMPRODUCT(-('Gastos Gerais'!$B$4:$B$615=Analítico!$B116),-(Analítico!U$3&gt;='Gastos Gerais'!$D$4:$D$615),-(Analítico!U$3&lt;='Gastos Gerais'!$E$4:$E$615),-('Gastos Gerais'!$C$4:$C$615))</f>
        <v>0</v>
      </c>
      <c r="V116" s="73">
        <f>SUMPRODUCT(-('Gastos Gerais'!$B$4:$B$615=Analítico!$B116),-(Analítico!V$3&gt;='Gastos Gerais'!$D$4:$D$615),-(Analítico!V$3&lt;='Gastos Gerais'!$E$4:$E$615),-('Gastos Gerais'!$C$4:$C$615))</f>
        <v>0</v>
      </c>
      <c r="W116" s="73">
        <f>SUMPRODUCT(-('Gastos Gerais'!$B$4:$B$615=Analítico!$B116),-(Analítico!W$3&gt;='Gastos Gerais'!$D$4:$D$615),-(Analítico!W$3&lt;='Gastos Gerais'!$E$4:$E$615),-('Gastos Gerais'!$C$4:$C$615))</f>
        <v>0</v>
      </c>
      <c r="X116" s="73">
        <f>SUMPRODUCT(-('Gastos Gerais'!$B$4:$B$615=Analítico!$B116),-(Analítico!X$3&gt;='Gastos Gerais'!$D$4:$D$615),-(Analítico!X$3&lt;='Gastos Gerais'!$E$4:$E$615),-('Gastos Gerais'!$C$4:$C$615))</f>
        <v>0</v>
      </c>
      <c r="Y116" s="73">
        <f>SUMPRODUCT(-('Gastos Gerais'!$B$4:$B$615=Analítico!$B116),-(Analítico!Y$3&gt;='Gastos Gerais'!$D$4:$D$615),-(Analítico!Y$3&lt;='Gastos Gerais'!$E$4:$E$615),-('Gastos Gerais'!$C$4:$C$615))</f>
        <v>0</v>
      </c>
      <c r="Z116" s="73">
        <f>SUMPRODUCT(-('Gastos Gerais'!$B$4:$B$615=Analítico!$B116),-(Analítico!Z$3&gt;='Gastos Gerais'!$D$4:$D$615),-(Analítico!Z$3&lt;='Gastos Gerais'!$E$4:$E$615),-('Gastos Gerais'!$C$4:$C$615))</f>
        <v>0</v>
      </c>
      <c r="AA116" s="73">
        <f>SUMPRODUCT(-('Gastos Gerais'!$B$4:$B$615=Analítico!$B116),-(Analítico!AA$3&gt;='Gastos Gerais'!$D$4:$D$615),-(Analítico!AA$3&lt;='Gastos Gerais'!$E$4:$E$615),-('Gastos Gerais'!$C$4:$C$615))</f>
        <v>0</v>
      </c>
      <c r="AB116" s="73">
        <f>SUMPRODUCT(-('Gastos Gerais'!$B$4:$B$615=Analítico!$B116),-(Analítico!AB$3&gt;='Gastos Gerais'!$D$4:$D$615),-(Analítico!AB$3&lt;='Gastos Gerais'!$E$4:$E$615),-('Gastos Gerais'!$C$4:$C$615))</f>
        <v>0</v>
      </c>
      <c r="AC116" s="73">
        <f>SUMPRODUCT(-('Gastos Gerais'!$B$4:$B$615=Analítico!$B116),-(Analítico!AC$3&gt;='Gastos Gerais'!$D$4:$D$615),-(Analítico!AC$3&lt;='Gastos Gerais'!$E$4:$E$615),-('Gastos Gerais'!$C$4:$C$615))</f>
        <v>0</v>
      </c>
      <c r="AD116" s="73">
        <f>SUMPRODUCT(-('Gastos Gerais'!$B$4:$B$615=Analítico!$B116),-(Analítico!AD$3&gt;='Gastos Gerais'!$D$4:$D$615),-(Analítico!AD$3&lt;='Gastos Gerais'!$E$4:$E$615),-('Gastos Gerais'!$C$4:$C$615))</f>
        <v>200000</v>
      </c>
      <c r="AE116" s="73">
        <f>SUMPRODUCT(-('Gastos Gerais'!$B$4:$B$615=Analítico!$B116),-(Analítico!AE$3&gt;='Gastos Gerais'!$D$4:$D$615),-(Analítico!AE$3&lt;='Gastos Gerais'!$E$4:$E$615),-('Gastos Gerais'!$C$4:$C$615))</f>
        <v>0</v>
      </c>
      <c r="AF116" s="73">
        <f>SUMPRODUCT(-('Gastos Gerais'!$B$4:$B$615=Analítico!$B116),-(Analítico!AF$3&gt;='Gastos Gerais'!$D$4:$D$615),-(Analítico!AF$3&lt;='Gastos Gerais'!$E$4:$E$615),-('Gastos Gerais'!$C$4:$C$615))</f>
        <v>0</v>
      </c>
      <c r="AG116" s="73">
        <f>SUMPRODUCT(-('Gastos Gerais'!$B$4:$B$615=Analítico!$B116),-(Analítico!AG$3&gt;='Gastos Gerais'!$D$4:$D$615),-(Analítico!AG$3&lt;='Gastos Gerais'!$E$4:$E$615),-('Gastos Gerais'!$C$4:$C$615))</f>
        <v>0</v>
      </c>
      <c r="AH116" s="73">
        <f>SUMPRODUCT(-('Gastos Gerais'!$B$4:$B$615=Analítico!$B116),-(Analítico!AH$3&gt;='Gastos Gerais'!$D$4:$D$615),-(Analítico!AH$3&lt;='Gastos Gerais'!$E$4:$E$615),-('Gastos Gerais'!$C$4:$C$615))</f>
        <v>0</v>
      </c>
      <c r="AI116" s="73">
        <f>SUMPRODUCT(-('Gastos Gerais'!$B$4:$B$615=Analítico!$B116),-(Analítico!AI$3&gt;='Gastos Gerais'!$D$4:$D$615),-(Analítico!AI$3&lt;='Gastos Gerais'!$E$4:$E$615),-('Gastos Gerais'!$C$4:$C$615))</f>
        <v>0</v>
      </c>
      <c r="AJ116" s="73">
        <f>SUMPRODUCT(-('Gastos Gerais'!$B$4:$B$615=Analítico!$B116),-(Analítico!AJ$3&gt;='Gastos Gerais'!$D$4:$D$615),-(Analítico!AJ$3&lt;='Gastos Gerais'!$E$4:$E$615),-('Gastos Gerais'!$C$4:$C$615))</f>
        <v>0</v>
      </c>
      <c r="AK116" s="73">
        <f>SUMPRODUCT(-('Gastos Gerais'!$B$4:$B$615=Analítico!$B116),-(Analítico!AK$3&gt;='Gastos Gerais'!$D$4:$D$615),-(Analítico!AK$3&lt;='Gastos Gerais'!$E$4:$E$615),-('Gastos Gerais'!$C$4:$C$615))</f>
        <v>0</v>
      </c>
      <c r="AL116" s="73">
        <f>SUMPRODUCT(-('Gastos Gerais'!$B$4:$B$615=Analítico!$B116),-(Analítico!AL$3&gt;='Gastos Gerais'!$D$4:$D$615),-(Analítico!AL$3&lt;='Gastos Gerais'!$E$4:$E$615),-('Gastos Gerais'!$C$4:$C$615))</f>
        <v>0</v>
      </c>
      <c r="AM116" s="73">
        <f>SUMPRODUCT(-('Gastos Gerais'!$B$4:$B$615=Analítico!$B116),-(Analítico!AM$3&gt;='Gastos Gerais'!$D$4:$D$615),-(Analítico!AM$3&lt;='Gastos Gerais'!$E$4:$E$615),-('Gastos Gerais'!$C$4:$C$615))</f>
        <v>0</v>
      </c>
      <c r="AN116" s="73">
        <f>SUMPRODUCT(-('Gastos Gerais'!$B$4:$B$615=Analítico!$B116),-(Analítico!AN$3&gt;='Gastos Gerais'!$D$4:$D$615),-(Analítico!AN$3&lt;='Gastos Gerais'!$E$4:$E$615),-('Gastos Gerais'!$C$4:$C$615))</f>
        <v>0</v>
      </c>
      <c r="AO116" s="73">
        <f>SUMPRODUCT(-('Gastos Gerais'!$B$4:$B$615=Analítico!$B116),-(Analítico!AO$3&gt;='Gastos Gerais'!$D$4:$D$615),-(Analítico!AO$3&lt;='Gastos Gerais'!$E$4:$E$615),-('Gastos Gerais'!$C$4:$C$615))</f>
        <v>0</v>
      </c>
      <c r="AP116" s="73">
        <f>SUMPRODUCT(-('Gastos Gerais'!$B$4:$B$615=Analítico!$B116),-(Analítico!AP$3&gt;='Gastos Gerais'!$D$4:$D$615),-(Analítico!AP$3&lt;='Gastos Gerais'!$E$4:$E$615),-('Gastos Gerais'!$C$4:$C$615))</f>
        <v>0</v>
      </c>
      <c r="AQ116" s="73">
        <f>SUMPRODUCT(-('Gastos Gerais'!$B$4:$B$615=Analítico!$B116),-(Analítico!AQ$3&gt;='Gastos Gerais'!$D$4:$D$615),-(Analítico!AQ$3&lt;='Gastos Gerais'!$E$4:$E$615),-('Gastos Gerais'!$C$4:$C$615))</f>
        <v>0</v>
      </c>
      <c r="AR116" s="73">
        <f>SUMPRODUCT(-('Gastos Gerais'!$B$4:$B$615=Analítico!$B116),-(Analítico!AR$3&gt;='Gastos Gerais'!$D$4:$D$615),-(Analítico!AR$3&lt;='Gastos Gerais'!$E$4:$E$615),-('Gastos Gerais'!$C$4:$C$615))</f>
        <v>0</v>
      </c>
      <c r="AS116" s="73">
        <f>SUMPRODUCT(-('Gastos Gerais'!$B$4:$B$615=Analítico!$B116),-(Analítico!AS$3&gt;='Gastos Gerais'!$D$4:$D$615),-(Analítico!AS$3&lt;='Gastos Gerais'!$E$4:$E$615),-('Gastos Gerais'!$C$4:$C$615))</f>
        <v>0</v>
      </c>
      <c r="AT116" s="73">
        <f>SUMPRODUCT(-('Gastos Gerais'!$B$4:$B$615=Analítico!$B116),-(Analítico!AT$3&gt;='Gastos Gerais'!$D$4:$D$615),-(Analítico!AT$3&lt;='Gastos Gerais'!$E$4:$E$615),-('Gastos Gerais'!$C$4:$C$615))</f>
        <v>0</v>
      </c>
      <c r="AU116" s="73">
        <f>SUMPRODUCT(-('Gastos Gerais'!$B$4:$B$615=Analítico!$B116),-(Analítico!AU$3&gt;='Gastos Gerais'!$D$4:$D$615),-(Analítico!AU$3&lt;='Gastos Gerais'!$E$4:$E$615),-('Gastos Gerais'!$C$4:$C$615))</f>
        <v>0</v>
      </c>
      <c r="AV116" s="73">
        <f>SUMPRODUCT(-('Gastos Gerais'!$B$4:$B$615=Analítico!$B116),-(Analítico!AV$3&gt;='Gastos Gerais'!$D$4:$D$615),-(Analítico!AV$3&lt;='Gastos Gerais'!$E$4:$E$615),-('Gastos Gerais'!$C$4:$C$615))</f>
        <v>0</v>
      </c>
      <c r="AW116" s="73">
        <f>SUMPRODUCT(-('Gastos Gerais'!$B$4:$B$615=Analítico!$B116),-(Analítico!AW$3&gt;='Gastos Gerais'!$D$4:$D$615),-(Analítico!AW$3&lt;='Gastos Gerais'!$E$4:$E$615),-('Gastos Gerais'!$C$4:$C$615))</f>
        <v>0</v>
      </c>
      <c r="AX116" s="73">
        <f>SUMPRODUCT(-('Gastos Gerais'!$B$4:$B$615=Analítico!$B116),-(Analítico!AX$3&gt;='Gastos Gerais'!$D$4:$D$615),-(Analítico!AX$3&lt;='Gastos Gerais'!$E$4:$E$615),-('Gastos Gerais'!$C$4:$C$615))</f>
        <v>0</v>
      </c>
      <c r="AY116" s="73">
        <f>SUMPRODUCT(-('Gastos Gerais'!$B$4:$B$615=Analítico!$B116),-(Analítico!AY$3&gt;='Gastos Gerais'!$D$4:$D$615),-(Analítico!AY$3&lt;='Gastos Gerais'!$E$4:$E$615),-('Gastos Gerais'!$C$4:$C$615))</f>
        <v>0</v>
      </c>
      <c r="AZ116" s="73">
        <f>SUMPRODUCT(-('Gastos Gerais'!$B$4:$B$615=Analítico!$B116),-(Analítico!AZ$3&gt;='Gastos Gerais'!$D$4:$D$615),-(Analítico!AZ$3&lt;='Gastos Gerais'!$E$4:$E$615),-('Gastos Gerais'!$C$4:$C$615))</f>
        <v>0</v>
      </c>
      <c r="BA116" s="73">
        <f>SUMPRODUCT(-('Gastos Gerais'!$B$4:$B$615=Analítico!$B116),-(Analítico!BA$3&gt;='Gastos Gerais'!$D$4:$D$615),-(Analítico!BA$3&lt;='Gastos Gerais'!$E$4:$E$615),-('Gastos Gerais'!$C$4:$C$615))</f>
        <v>0</v>
      </c>
      <c r="BB116" s="73">
        <f>SUMPRODUCT(-('Gastos Gerais'!$B$4:$B$615=Analítico!$B116),-(Analítico!BB$3&gt;='Gastos Gerais'!$D$4:$D$615),-(Analítico!BB$3&lt;='Gastos Gerais'!$E$4:$E$615),-('Gastos Gerais'!$C$4:$C$615))</f>
        <v>0</v>
      </c>
      <c r="BC116" s="73">
        <f>SUMPRODUCT(-('Gastos Gerais'!$B$4:$B$615=Analítico!$B116),-(Analítico!BC$3&gt;='Gastos Gerais'!$D$4:$D$615),-(Analítico!BC$3&lt;='Gastos Gerais'!$E$4:$E$615),-('Gastos Gerais'!$C$4:$C$615))</f>
        <v>0</v>
      </c>
      <c r="BD116" s="73">
        <f>SUMPRODUCT(-('Gastos Gerais'!$B$4:$B$615=Analítico!$B116),-(Analítico!BD$3&gt;='Gastos Gerais'!$D$4:$D$615),-(Analítico!BD$3&lt;='Gastos Gerais'!$E$4:$E$615),-('Gastos Gerais'!$C$4:$C$615))</f>
        <v>0</v>
      </c>
      <c r="BE116" s="73">
        <f>SUMPRODUCT(-('Gastos Gerais'!$B$4:$B$615=Analítico!$B116),-(Analítico!BE$3&gt;='Gastos Gerais'!$D$4:$D$615),-(Analítico!BE$3&lt;='Gastos Gerais'!$E$4:$E$615),-('Gastos Gerais'!$C$4:$C$615))</f>
        <v>0</v>
      </c>
      <c r="BF116" s="73">
        <f>SUMPRODUCT(-('Gastos Gerais'!$B$4:$B$615=Analítico!$B116),-(Analítico!BF$3&gt;='Gastos Gerais'!$D$4:$D$615),-(Analítico!BF$3&lt;='Gastos Gerais'!$E$4:$E$615),-('Gastos Gerais'!$C$4:$C$615))</f>
        <v>0</v>
      </c>
      <c r="BG116" s="73">
        <f>SUMPRODUCT(-('Gastos Gerais'!$B$4:$B$615=Analítico!$B116),-(Analítico!BG$3&gt;='Gastos Gerais'!$D$4:$D$615),-(Analítico!BG$3&lt;='Gastos Gerais'!$E$4:$E$615),-('Gastos Gerais'!$C$4:$C$615))</f>
        <v>0</v>
      </c>
      <c r="BH116" s="73">
        <f>SUMPRODUCT(-('Gastos Gerais'!$B$4:$B$615=Analítico!$B116),-(Analítico!BH$3&gt;='Gastos Gerais'!$D$4:$D$615),-(Analítico!BH$3&lt;='Gastos Gerais'!$E$4:$E$615),-('Gastos Gerais'!$C$4:$C$615))</f>
        <v>0</v>
      </c>
      <c r="BI116" s="73">
        <f>SUMPRODUCT(-('Gastos Gerais'!$B$4:$B$615=Analítico!$B116),-(Analítico!BI$3&gt;='Gastos Gerais'!$D$4:$D$615),-(Analítico!BI$3&lt;='Gastos Gerais'!$E$4:$E$615),-('Gastos Gerais'!$C$4:$C$615))</f>
        <v>0</v>
      </c>
      <c r="BJ116" s="73">
        <f>SUMPRODUCT(-('Gastos Gerais'!$B$4:$B$615=Analítico!$B116),-(Analítico!BJ$3&gt;='Gastos Gerais'!$D$4:$D$615),-(Analítico!BJ$3&lt;='Gastos Gerais'!$E$4:$E$615),-('Gastos Gerais'!$C$4:$C$615))</f>
        <v>0</v>
      </c>
      <c r="BK116" s="71">
        <f t="shared" si="33"/>
        <v>610000</v>
      </c>
      <c r="BL116" s="76">
        <f t="shared" ca="1" si="34"/>
        <v>1.6638350395094326E-3</v>
      </c>
    </row>
    <row r="117" spans="1:64" s="49" customFormat="1" ht="23.25" customHeight="1" x14ac:dyDescent="0.2">
      <c r="A117" s="109" t="s">
        <v>302</v>
      </c>
      <c r="B117" s="112" t="s">
        <v>303</v>
      </c>
      <c r="C117" s="73">
        <f>SUMPRODUCT(-('Gastos Gerais'!$B$4:$B$615=Analítico!$B117),-(Analítico!C$3&gt;='Gastos Gerais'!$D$4:$D$615),-(Analítico!C$3&lt;='Gastos Gerais'!$E$4:$E$615),-('Gastos Gerais'!$C$4:$C$615))</f>
        <v>56500</v>
      </c>
      <c r="D117" s="73">
        <f>SUMPRODUCT(-('Gastos Gerais'!$B$4:$B$615=Analítico!$B117),-(Analítico!D$3&gt;='Gastos Gerais'!$D$4:$D$615),-(Analítico!D$3&lt;='Gastos Gerais'!$E$4:$E$615),-('Gastos Gerais'!$C$4:$C$615))</f>
        <v>56500</v>
      </c>
      <c r="E117" s="73">
        <f>SUMPRODUCT(-('Gastos Gerais'!$B$4:$B$615=Analítico!$B117),-(Analítico!E$3&gt;='Gastos Gerais'!$D$4:$D$615),-(Analítico!E$3&lt;='Gastos Gerais'!$E$4:$E$615),-('Gastos Gerais'!$C$4:$C$615))</f>
        <v>56500</v>
      </c>
      <c r="F117" s="73">
        <f>SUMPRODUCT(-('Gastos Gerais'!$B$4:$B$615=Analítico!$B117),-(Analítico!F$3&gt;='Gastos Gerais'!$D$4:$D$615),-(Analítico!F$3&lt;='Gastos Gerais'!$E$4:$E$615),-('Gastos Gerais'!$C$4:$C$615))</f>
        <v>56500</v>
      </c>
      <c r="G117" s="73">
        <f>SUMPRODUCT(-('Gastos Gerais'!$B$4:$B$615=Analítico!$B117),-(Analítico!G$3&gt;='Gastos Gerais'!$D$4:$D$615),-(Analítico!G$3&lt;='Gastos Gerais'!$E$4:$E$615),-('Gastos Gerais'!$C$4:$C$615))</f>
        <v>56500</v>
      </c>
      <c r="H117" s="73">
        <f>SUMPRODUCT(-('Gastos Gerais'!$B$4:$B$615=Analítico!$B117),-(Analítico!H$3&gt;='Gastos Gerais'!$D$4:$D$615),-(Analítico!H$3&lt;='Gastos Gerais'!$E$4:$E$615),-('Gastos Gerais'!$C$4:$C$615))</f>
        <v>56500</v>
      </c>
      <c r="I117" s="73">
        <f>SUMPRODUCT(-('Gastos Gerais'!$B$4:$B$615=Analítico!$B117),-(Analítico!I$3&gt;='Gastos Gerais'!$D$4:$D$615),-(Analítico!I$3&lt;='Gastos Gerais'!$E$4:$E$615),-('Gastos Gerais'!$C$4:$C$615))</f>
        <v>56500</v>
      </c>
      <c r="J117" s="73">
        <f>SUMPRODUCT(-('Gastos Gerais'!$B$4:$B$615=Analítico!$B117),-(Analítico!J$3&gt;='Gastos Gerais'!$D$4:$D$615),-(Analítico!J$3&lt;='Gastos Gerais'!$E$4:$E$615),-('Gastos Gerais'!$C$4:$C$615))</f>
        <v>56500</v>
      </c>
      <c r="K117" s="73">
        <f>SUMPRODUCT(-('Gastos Gerais'!$B$4:$B$615=Analítico!$B117),-(Analítico!K$3&gt;='Gastos Gerais'!$D$4:$D$615),-(Analítico!K$3&lt;='Gastos Gerais'!$E$4:$E$615),-('Gastos Gerais'!$C$4:$C$615))</f>
        <v>56500</v>
      </c>
      <c r="L117" s="73">
        <f>SUMPRODUCT(-('Gastos Gerais'!$B$4:$B$615=Analítico!$B117),-(Analítico!L$3&gt;='Gastos Gerais'!$D$4:$D$615),-(Analítico!L$3&lt;='Gastos Gerais'!$E$4:$E$615),-('Gastos Gerais'!$C$4:$C$615))</f>
        <v>56500</v>
      </c>
      <c r="M117" s="73">
        <f>SUMPRODUCT(-('Gastos Gerais'!$B$4:$B$615=Analítico!$B117),-(Analítico!M$3&gt;='Gastos Gerais'!$D$4:$D$615),-(Analítico!M$3&lt;='Gastos Gerais'!$E$4:$E$615),-('Gastos Gerais'!$C$4:$C$615))</f>
        <v>56500</v>
      </c>
      <c r="N117" s="73">
        <f>SUMPRODUCT(-('Gastos Gerais'!$B$4:$B$615=Analítico!$B117),-(Analítico!N$3&gt;='Gastos Gerais'!$D$4:$D$615),-(Analítico!N$3&lt;='Gastos Gerais'!$E$4:$E$615),-('Gastos Gerais'!$C$4:$C$615))</f>
        <v>56500</v>
      </c>
      <c r="O117" s="73">
        <f>SUMPRODUCT(-('Gastos Gerais'!$B$4:$B$615=Analítico!$B117),-(Analítico!O$3&gt;='Gastos Gerais'!$D$4:$D$615),-(Analítico!O$3&lt;='Gastos Gerais'!$E$4:$E$615),-('Gastos Gerais'!$C$4:$C$615))</f>
        <v>56500</v>
      </c>
      <c r="P117" s="73">
        <f>SUMPRODUCT(-('Gastos Gerais'!$B$4:$B$615=Analítico!$B117),-(Analítico!P$3&gt;='Gastos Gerais'!$D$4:$D$615),-(Analítico!P$3&lt;='Gastos Gerais'!$E$4:$E$615),-('Gastos Gerais'!$C$4:$C$615))</f>
        <v>56500</v>
      </c>
      <c r="Q117" s="73">
        <f>SUMPRODUCT(-('Gastos Gerais'!$B$4:$B$615=Analítico!$B117),-(Analítico!Q$3&gt;='Gastos Gerais'!$D$4:$D$615),-(Analítico!Q$3&lt;='Gastos Gerais'!$E$4:$E$615),-('Gastos Gerais'!$C$4:$C$615))</f>
        <v>56500</v>
      </c>
      <c r="R117" s="73">
        <f>SUMPRODUCT(-('Gastos Gerais'!$B$4:$B$615=Analítico!$B117),-(Analítico!R$3&gt;='Gastos Gerais'!$D$4:$D$615),-(Analítico!R$3&lt;='Gastos Gerais'!$E$4:$E$615),-('Gastos Gerais'!$C$4:$C$615))</f>
        <v>56500</v>
      </c>
      <c r="S117" s="73">
        <f>SUMPRODUCT(-('Gastos Gerais'!$B$4:$B$615=Analítico!$B117),-(Analítico!S$3&gt;='Gastos Gerais'!$D$4:$D$615),-(Analítico!S$3&lt;='Gastos Gerais'!$E$4:$E$615),-('Gastos Gerais'!$C$4:$C$615))</f>
        <v>56500</v>
      </c>
      <c r="T117" s="73">
        <f>SUMPRODUCT(-('Gastos Gerais'!$B$4:$B$615=Analítico!$B117),-(Analítico!T$3&gt;='Gastos Gerais'!$D$4:$D$615),-(Analítico!T$3&lt;='Gastos Gerais'!$E$4:$E$615),-('Gastos Gerais'!$C$4:$C$615))</f>
        <v>56500</v>
      </c>
      <c r="U117" s="73">
        <f>SUMPRODUCT(-('Gastos Gerais'!$B$4:$B$615=Analítico!$B117),-(Analítico!U$3&gt;='Gastos Gerais'!$D$4:$D$615),-(Analítico!U$3&lt;='Gastos Gerais'!$E$4:$E$615),-('Gastos Gerais'!$C$4:$C$615))</f>
        <v>56500</v>
      </c>
      <c r="V117" s="73">
        <f>SUMPRODUCT(-('Gastos Gerais'!$B$4:$B$615=Analítico!$B117),-(Analítico!V$3&gt;='Gastos Gerais'!$D$4:$D$615),-(Analítico!V$3&lt;='Gastos Gerais'!$E$4:$E$615),-('Gastos Gerais'!$C$4:$C$615))</f>
        <v>56500</v>
      </c>
      <c r="W117" s="73">
        <f>SUMPRODUCT(-('Gastos Gerais'!$B$4:$B$615=Analítico!$B117),-(Analítico!W$3&gt;='Gastos Gerais'!$D$4:$D$615),-(Analítico!W$3&lt;='Gastos Gerais'!$E$4:$E$615),-('Gastos Gerais'!$C$4:$C$615))</f>
        <v>56500</v>
      </c>
      <c r="X117" s="73">
        <f>SUMPRODUCT(-('Gastos Gerais'!$B$4:$B$615=Analítico!$B117),-(Analítico!X$3&gt;='Gastos Gerais'!$D$4:$D$615),-(Analítico!X$3&lt;='Gastos Gerais'!$E$4:$E$615),-('Gastos Gerais'!$C$4:$C$615))</f>
        <v>56500</v>
      </c>
      <c r="Y117" s="73">
        <f>SUMPRODUCT(-('Gastos Gerais'!$B$4:$B$615=Analítico!$B117),-(Analítico!Y$3&gt;='Gastos Gerais'!$D$4:$D$615),-(Analítico!Y$3&lt;='Gastos Gerais'!$E$4:$E$615),-('Gastos Gerais'!$C$4:$C$615))</f>
        <v>56500</v>
      </c>
      <c r="Z117" s="73">
        <f>SUMPRODUCT(-('Gastos Gerais'!$B$4:$B$615=Analítico!$B117),-(Analítico!Z$3&gt;='Gastos Gerais'!$D$4:$D$615),-(Analítico!Z$3&lt;='Gastos Gerais'!$E$4:$E$615),-('Gastos Gerais'!$C$4:$C$615))</f>
        <v>56500</v>
      </c>
      <c r="AA117" s="73">
        <f>SUMPRODUCT(-('Gastos Gerais'!$B$4:$B$615=Analítico!$B117),-(Analítico!AA$3&gt;='Gastos Gerais'!$D$4:$D$615),-(Analítico!AA$3&lt;='Gastos Gerais'!$E$4:$E$615),-('Gastos Gerais'!$C$4:$C$615))</f>
        <v>56500</v>
      </c>
      <c r="AB117" s="73">
        <f>SUMPRODUCT(-('Gastos Gerais'!$B$4:$B$615=Analítico!$B117),-(Analítico!AB$3&gt;='Gastos Gerais'!$D$4:$D$615),-(Analítico!AB$3&lt;='Gastos Gerais'!$E$4:$E$615),-('Gastos Gerais'!$C$4:$C$615))</f>
        <v>56500</v>
      </c>
      <c r="AC117" s="73">
        <f>SUMPRODUCT(-('Gastos Gerais'!$B$4:$B$615=Analítico!$B117),-(Analítico!AC$3&gt;='Gastos Gerais'!$D$4:$D$615),-(Analítico!AC$3&lt;='Gastos Gerais'!$E$4:$E$615),-('Gastos Gerais'!$C$4:$C$615))</f>
        <v>56500</v>
      </c>
      <c r="AD117" s="73">
        <f>SUMPRODUCT(-('Gastos Gerais'!$B$4:$B$615=Analítico!$B117),-(Analítico!AD$3&gt;='Gastos Gerais'!$D$4:$D$615),-(Analítico!AD$3&lt;='Gastos Gerais'!$E$4:$E$615),-('Gastos Gerais'!$C$4:$C$615))</f>
        <v>56500</v>
      </c>
      <c r="AE117" s="73">
        <f>SUMPRODUCT(-('Gastos Gerais'!$B$4:$B$615=Analítico!$B117),-(Analítico!AE$3&gt;='Gastos Gerais'!$D$4:$D$615),-(Analítico!AE$3&lt;='Gastos Gerais'!$E$4:$E$615),-('Gastos Gerais'!$C$4:$C$615))</f>
        <v>56500</v>
      </c>
      <c r="AF117" s="73">
        <f>SUMPRODUCT(-('Gastos Gerais'!$B$4:$B$615=Analítico!$B117),-(Analítico!AF$3&gt;='Gastos Gerais'!$D$4:$D$615),-(Analítico!AF$3&lt;='Gastos Gerais'!$E$4:$E$615),-('Gastos Gerais'!$C$4:$C$615))</f>
        <v>56500</v>
      </c>
      <c r="AG117" s="73">
        <f>SUMPRODUCT(-('Gastos Gerais'!$B$4:$B$615=Analítico!$B117),-(Analítico!AG$3&gt;='Gastos Gerais'!$D$4:$D$615),-(Analítico!AG$3&lt;='Gastos Gerais'!$E$4:$E$615),-('Gastos Gerais'!$C$4:$C$615))</f>
        <v>56500</v>
      </c>
      <c r="AH117" s="73">
        <f>SUMPRODUCT(-('Gastos Gerais'!$B$4:$B$615=Analítico!$B117),-(Analítico!AH$3&gt;='Gastos Gerais'!$D$4:$D$615),-(Analítico!AH$3&lt;='Gastos Gerais'!$E$4:$E$615),-('Gastos Gerais'!$C$4:$C$615))</f>
        <v>56500</v>
      </c>
      <c r="AI117" s="73">
        <f>SUMPRODUCT(-('Gastos Gerais'!$B$4:$B$615=Analítico!$B117),-(Analítico!AI$3&gt;='Gastos Gerais'!$D$4:$D$615),-(Analítico!AI$3&lt;='Gastos Gerais'!$E$4:$E$615),-('Gastos Gerais'!$C$4:$C$615))</f>
        <v>56500</v>
      </c>
      <c r="AJ117" s="73">
        <f>SUMPRODUCT(-('Gastos Gerais'!$B$4:$B$615=Analítico!$B117),-(Analítico!AJ$3&gt;='Gastos Gerais'!$D$4:$D$615),-(Analítico!AJ$3&lt;='Gastos Gerais'!$E$4:$E$615),-('Gastos Gerais'!$C$4:$C$615))</f>
        <v>56500</v>
      </c>
      <c r="AK117" s="73">
        <f>SUMPRODUCT(-('Gastos Gerais'!$B$4:$B$615=Analítico!$B117),-(Analítico!AK$3&gt;='Gastos Gerais'!$D$4:$D$615),-(Analítico!AK$3&lt;='Gastos Gerais'!$E$4:$E$615),-('Gastos Gerais'!$C$4:$C$615))</f>
        <v>56500</v>
      </c>
      <c r="AL117" s="73">
        <f>SUMPRODUCT(-('Gastos Gerais'!$B$4:$B$615=Analítico!$B117),-(Analítico!AL$3&gt;='Gastos Gerais'!$D$4:$D$615),-(Analítico!AL$3&lt;='Gastos Gerais'!$E$4:$E$615),-('Gastos Gerais'!$C$4:$C$615))</f>
        <v>56500</v>
      </c>
      <c r="AM117" s="73">
        <f>SUMPRODUCT(-('Gastos Gerais'!$B$4:$B$615=Analítico!$B117),-(Analítico!AM$3&gt;='Gastos Gerais'!$D$4:$D$615),-(Analítico!AM$3&lt;='Gastos Gerais'!$E$4:$E$615),-('Gastos Gerais'!$C$4:$C$615))</f>
        <v>0</v>
      </c>
      <c r="AN117" s="73">
        <f>SUMPRODUCT(-('Gastos Gerais'!$B$4:$B$615=Analítico!$B117),-(Analítico!AN$3&gt;='Gastos Gerais'!$D$4:$D$615),-(Analítico!AN$3&lt;='Gastos Gerais'!$E$4:$E$615),-('Gastos Gerais'!$C$4:$C$615))</f>
        <v>0</v>
      </c>
      <c r="AO117" s="73">
        <f>SUMPRODUCT(-('Gastos Gerais'!$B$4:$B$615=Analítico!$B117),-(Analítico!AO$3&gt;='Gastos Gerais'!$D$4:$D$615),-(Analítico!AO$3&lt;='Gastos Gerais'!$E$4:$E$615),-('Gastos Gerais'!$C$4:$C$615))</f>
        <v>0</v>
      </c>
      <c r="AP117" s="73">
        <f>SUMPRODUCT(-('Gastos Gerais'!$B$4:$B$615=Analítico!$B117),-(Analítico!AP$3&gt;='Gastos Gerais'!$D$4:$D$615),-(Analítico!AP$3&lt;='Gastos Gerais'!$E$4:$E$615),-('Gastos Gerais'!$C$4:$C$615))</f>
        <v>0</v>
      </c>
      <c r="AQ117" s="73">
        <f>SUMPRODUCT(-('Gastos Gerais'!$B$4:$B$615=Analítico!$B117),-(Analítico!AQ$3&gt;='Gastos Gerais'!$D$4:$D$615),-(Analítico!AQ$3&lt;='Gastos Gerais'!$E$4:$E$615),-('Gastos Gerais'!$C$4:$C$615))</f>
        <v>0</v>
      </c>
      <c r="AR117" s="73">
        <f>SUMPRODUCT(-('Gastos Gerais'!$B$4:$B$615=Analítico!$B117),-(Analítico!AR$3&gt;='Gastos Gerais'!$D$4:$D$615),-(Analítico!AR$3&lt;='Gastos Gerais'!$E$4:$E$615),-('Gastos Gerais'!$C$4:$C$615))</f>
        <v>0</v>
      </c>
      <c r="AS117" s="73">
        <f>SUMPRODUCT(-('Gastos Gerais'!$B$4:$B$615=Analítico!$B117),-(Analítico!AS$3&gt;='Gastos Gerais'!$D$4:$D$615),-(Analítico!AS$3&lt;='Gastos Gerais'!$E$4:$E$615),-('Gastos Gerais'!$C$4:$C$615))</f>
        <v>0</v>
      </c>
      <c r="AT117" s="73">
        <f>SUMPRODUCT(-('Gastos Gerais'!$B$4:$B$615=Analítico!$B117),-(Analítico!AT$3&gt;='Gastos Gerais'!$D$4:$D$615),-(Analítico!AT$3&lt;='Gastos Gerais'!$E$4:$E$615),-('Gastos Gerais'!$C$4:$C$615))</f>
        <v>0</v>
      </c>
      <c r="AU117" s="73">
        <f>SUMPRODUCT(-('Gastos Gerais'!$B$4:$B$615=Analítico!$B117),-(Analítico!AU$3&gt;='Gastos Gerais'!$D$4:$D$615),-(Analítico!AU$3&lt;='Gastos Gerais'!$E$4:$E$615),-('Gastos Gerais'!$C$4:$C$615))</f>
        <v>0</v>
      </c>
      <c r="AV117" s="73">
        <f>SUMPRODUCT(-('Gastos Gerais'!$B$4:$B$615=Analítico!$B117),-(Analítico!AV$3&gt;='Gastos Gerais'!$D$4:$D$615),-(Analítico!AV$3&lt;='Gastos Gerais'!$E$4:$E$615),-('Gastos Gerais'!$C$4:$C$615))</f>
        <v>0</v>
      </c>
      <c r="AW117" s="73">
        <f>SUMPRODUCT(-('Gastos Gerais'!$B$4:$B$615=Analítico!$B117),-(Analítico!AW$3&gt;='Gastos Gerais'!$D$4:$D$615),-(Analítico!AW$3&lt;='Gastos Gerais'!$E$4:$E$615),-('Gastos Gerais'!$C$4:$C$615))</f>
        <v>0</v>
      </c>
      <c r="AX117" s="73">
        <f>SUMPRODUCT(-('Gastos Gerais'!$B$4:$B$615=Analítico!$B117),-(Analítico!AX$3&gt;='Gastos Gerais'!$D$4:$D$615),-(Analítico!AX$3&lt;='Gastos Gerais'!$E$4:$E$615),-('Gastos Gerais'!$C$4:$C$615))</f>
        <v>0</v>
      </c>
      <c r="AY117" s="73">
        <f>SUMPRODUCT(-('Gastos Gerais'!$B$4:$B$615=Analítico!$B117),-(Analítico!AY$3&gt;='Gastos Gerais'!$D$4:$D$615),-(Analítico!AY$3&lt;='Gastos Gerais'!$E$4:$E$615),-('Gastos Gerais'!$C$4:$C$615))</f>
        <v>0</v>
      </c>
      <c r="AZ117" s="73">
        <f>SUMPRODUCT(-('Gastos Gerais'!$B$4:$B$615=Analítico!$B117),-(Analítico!AZ$3&gt;='Gastos Gerais'!$D$4:$D$615),-(Analítico!AZ$3&lt;='Gastos Gerais'!$E$4:$E$615),-('Gastos Gerais'!$C$4:$C$615))</f>
        <v>0</v>
      </c>
      <c r="BA117" s="73">
        <f>SUMPRODUCT(-('Gastos Gerais'!$B$4:$B$615=Analítico!$B117),-(Analítico!BA$3&gt;='Gastos Gerais'!$D$4:$D$615),-(Analítico!BA$3&lt;='Gastos Gerais'!$E$4:$E$615),-('Gastos Gerais'!$C$4:$C$615))</f>
        <v>0</v>
      </c>
      <c r="BB117" s="73">
        <f>SUMPRODUCT(-('Gastos Gerais'!$B$4:$B$615=Analítico!$B117),-(Analítico!BB$3&gt;='Gastos Gerais'!$D$4:$D$615),-(Analítico!BB$3&lt;='Gastos Gerais'!$E$4:$E$615),-('Gastos Gerais'!$C$4:$C$615))</f>
        <v>0</v>
      </c>
      <c r="BC117" s="73">
        <f>SUMPRODUCT(-('Gastos Gerais'!$B$4:$B$615=Analítico!$B117),-(Analítico!BC$3&gt;='Gastos Gerais'!$D$4:$D$615),-(Analítico!BC$3&lt;='Gastos Gerais'!$E$4:$E$615),-('Gastos Gerais'!$C$4:$C$615))</f>
        <v>0</v>
      </c>
      <c r="BD117" s="73">
        <f>SUMPRODUCT(-('Gastos Gerais'!$B$4:$B$615=Analítico!$B117),-(Analítico!BD$3&gt;='Gastos Gerais'!$D$4:$D$615),-(Analítico!BD$3&lt;='Gastos Gerais'!$E$4:$E$615),-('Gastos Gerais'!$C$4:$C$615))</f>
        <v>0</v>
      </c>
      <c r="BE117" s="73">
        <f>SUMPRODUCT(-('Gastos Gerais'!$B$4:$B$615=Analítico!$B117),-(Analítico!BE$3&gt;='Gastos Gerais'!$D$4:$D$615),-(Analítico!BE$3&lt;='Gastos Gerais'!$E$4:$E$615),-('Gastos Gerais'!$C$4:$C$615))</f>
        <v>0</v>
      </c>
      <c r="BF117" s="73">
        <f>SUMPRODUCT(-('Gastos Gerais'!$B$4:$B$615=Analítico!$B117),-(Analítico!BF$3&gt;='Gastos Gerais'!$D$4:$D$615),-(Analítico!BF$3&lt;='Gastos Gerais'!$E$4:$E$615),-('Gastos Gerais'!$C$4:$C$615))</f>
        <v>0</v>
      </c>
      <c r="BG117" s="73">
        <f>SUMPRODUCT(-('Gastos Gerais'!$B$4:$B$615=Analítico!$B117),-(Analítico!BG$3&gt;='Gastos Gerais'!$D$4:$D$615),-(Analítico!BG$3&lt;='Gastos Gerais'!$E$4:$E$615),-('Gastos Gerais'!$C$4:$C$615))</f>
        <v>0</v>
      </c>
      <c r="BH117" s="73">
        <f>SUMPRODUCT(-('Gastos Gerais'!$B$4:$B$615=Analítico!$B117),-(Analítico!BH$3&gt;='Gastos Gerais'!$D$4:$D$615),-(Analítico!BH$3&lt;='Gastos Gerais'!$E$4:$E$615),-('Gastos Gerais'!$C$4:$C$615))</f>
        <v>0</v>
      </c>
      <c r="BI117" s="73">
        <f>SUMPRODUCT(-('Gastos Gerais'!$B$4:$B$615=Analítico!$B117),-(Analítico!BI$3&gt;='Gastos Gerais'!$D$4:$D$615),-(Analítico!BI$3&lt;='Gastos Gerais'!$E$4:$E$615),-('Gastos Gerais'!$C$4:$C$615))</f>
        <v>0</v>
      </c>
      <c r="BJ117" s="73">
        <f>SUMPRODUCT(-('Gastos Gerais'!$B$4:$B$615=Analítico!$B117),-(Analítico!BJ$3&gt;='Gastos Gerais'!$D$4:$D$615),-(Analítico!BJ$3&lt;='Gastos Gerais'!$E$4:$E$615),-('Gastos Gerais'!$C$4:$C$615))</f>
        <v>0</v>
      </c>
      <c r="BK117" s="71">
        <f t="shared" si="33"/>
        <v>2034000</v>
      </c>
      <c r="BL117" s="76">
        <f t="shared" ca="1" si="34"/>
        <v>5.5479351973150588E-3</v>
      </c>
    </row>
    <row r="118" spans="1:64" s="49" customFormat="1" ht="23.25" customHeight="1" x14ac:dyDescent="0.2">
      <c r="A118" s="109" t="s">
        <v>304</v>
      </c>
      <c r="B118" s="112" t="s">
        <v>305</v>
      </c>
      <c r="C118" s="73">
        <f>SUMPRODUCT(-('Gastos Gerais'!$B$4:$B$615=Analítico!$B118),-(Analítico!C$3&gt;='Gastos Gerais'!$D$4:$D$615),-(Analítico!C$3&lt;='Gastos Gerais'!$E$4:$E$615),-('Gastos Gerais'!$C$4:$C$615))</f>
        <v>0</v>
      </c>
      <c r="D118" s="73">
        <f>SUMPRODUCT(-('Gastos Gerais'!$B$4:$B$615=Analítico!$B118),-(Analítico!D$3&gt;='Gastos Gerais'!$D$4:$D$615),-(Analítico!D$3&lt;='Gastos Gerais'!$E$4:$E$615),-('Gastos Gerais'!$C$4:$C$615))</f>
        <v>0</v>
      </c>
      <c r="E118" s="73">
        <f>SUMPRODUCT(-('Gastos Gerais'!$B$4:$B$615=Analítico!$B118),-(Analítico!E$3&gt;='Gastos Gerais'!$D$4:$D$615),-(Analítico!E$3&lt;='Gastos Gerais'!$E$4:$E$615),-('Gastos Gerais'!$C$4:$C$615))</f>
        <v>0</v>
      </c>
      <c r="F118" s="73">
        <f>SUMPRODUCT(-('Gastos Gerais'!$B$4:$B$615=Analítico!$B118),-(Analítico!F$3&gt;='Gastos Gerais'!$D$4:$D$615),-(Analítico!F$3&lt;='Gastos Gerais'!$E$4:$E$615),-('Gastos Gerais'!$C$4:$C$615))</f>
        <v>0</v>
      </c>
      <c r="G118" s="73">
        <f>SUMPRODUCT(-('Gastos Gerais'!$B$4:$B$615=Analítico!$B118),-(Analítico!G$3&gt;='Gastos Gerais'!$D$4:$D$615),-(Analítico!G$3&lt;='Gastos Gerais'!$E$4:$E$615),-('Gastos Gerais'!$C$4:$C$615))</f>
        <v>0</v>
      </c>
      <c r="H118" s="73">
        <f>SUMPRODUCT(-('Gastos Gerais'!$B$4:$B$615=Analítico!$B118),-(Analítico!H$3&gt;='Gastos Gerais'!$D$4:$D$615),-(Analítico!H$3&lt;='Gastos Gerais'!$E$4:$E$615),-('Gastos Gerais'!$C$4:$C$615))</f>
        <v>0</v>
      </c>
      <c r="I118" s="73">
        <f>SUMPRODUCT(-('Gastos Gerais'!$B$4:$B$615=Analítico!$B118),-(Analítico!I$3&gt;='Gastos Gerais'!$D$4:$D$615),-(Analítico!I$3&lt;='Gastos Gerais'!$E$4:$E$615),-('Gastos Gerais'!$C$4:$C$615))</f>
        <v>0</v>
      </c>
      <c r="J118" s="73">
        <f>SUMPRODUCT(-('Gastos Gerais'!$B$4:$B$615=Analítico!$B118),-(Analítico!J$3&gt;='Gastos Gerais'!$D$4:$D$615),-(Analítico!J$3&lt;='Gastos Gerais'!$E$4:$E$615),-('Gastos Gerais'!$C$4:$C$615))</f>
        <v>0</v>
      </c>
      <c r="K118" s="73">
        <f>SUMPRODUCT(-('Gastos Gerais'!$B$4:$B$615=Analítico!$B118),-(Analítico!K$3&gt;='Gastos Gerais'!$D$4:$D$615),-(Analítico!K$3&lt;='Gastos Gerais'!$E$4:$E$615),-('Gastos Gerais'!$C$4:$C$615))</f>
        <v>0</v>
      </c>
      <c r="L118" s="73">
        <f>SUMPRODUCT(-('Gastos Gerais'!$B$4:$B$615=Analítico!$B118),-(Analítico!L$3&gt;='Gastos Gerais'!$D$4:$D$615),-(Analítico!L$3&lt;='Gastos Gerais'!$E$4:$E$615),-('Gastos Gerais'!$C$4:$C$615))</f>
        <v>0</v>
      </c>
      <c r="M118" s="73">
        <f>SUMPRODUCT(-('Gastos Gerais'!$B$4:$B$615=Analítico!$B118),-(Analítico!M$3&gt;='Gastos Gerais'!$D$4:$D$615),-(Analítico!M$3&lt;='Gastos Gerais'!$E$4:$E$615),-('Gastos Gerais'!$C$4:$C$615))</f>
        <v>0</v>
      </c>
      <c r="N118" s="73">
        <f>SUMPRODUCT(-('Gastos Gerais'!$B$4:$B$615=Analítico!$B118),-(Analítico!N$3&gt;='Gastos Gerais'!$D$4:$D$615),-(Analítico!N$3&lt;='Gastos Gerais'!$E$4:$E$615),-('Gastos Gerais'!$C$4:$C$615))</f>
        <v>0</v>
      </c>
      <c r="O118" s="73">
        <f>SUMPRODUCT(-('Gastos Gerais'!$B$4:$B$615=Analítico!$B118),-(Analítico!O$3&gt;='Gastos Gerais'!$D$4:$D$615),-(Analítico!O$3&lt;='Gastos Gerais'!$E$4:$E$615),-('Gastos Gerais'!$C$4:$C$615))</f>
        <v>0</v>
      </c>
      <c r="P118" s="73">
        <f>SUMPRODUCT(-('Gastos Gerais'!$B$4:$B$615=Analítico!$B118),-(Analítico!P$3&gt;='Gastos Gerais'!$D$4:$D$615),-(Analítico!P$3&lt;='Gastos Gerais'!$E$4:$E$615),-('Gastos Gerais'!$C$4:$C$615))</f>
        <v>0</v>
      </c>
      <c r="Q118" s="73">
        <f>SUMPRODUCT(-('Gastos Gerais'!$B$4:$B$615=Analítico!$B118),-(Analítico!Q$3&gt;='Gastos Gerais'!$D$4:$D$615),-(Analítico!Q$3&lt;='Gastos Gerais'!$E$4:$E$615),-('Gastos Gerais'!$C$4:$C$615))</f>
        <v>0</v>
      </c>
      <c r="R118" s="73">
        <f>SUMPRODUCT(-('Gastos Gerais'!$B$4:$B$615=Analítico!$B118),-(Analítico!R$3&gt;='Gastos Gerais'!$D$4:$D$615),-(Analítico!R$3&lt;='Gastos Gerais'!$E$4:$E$615),-('Gastos Gerais'!$C$4:$C$615))</f>
        <v>0</v>
      </c>
      <c r="S118" s="73">
        <f>SUMPRODUCT(-('Gastos Gerais'!$B$4:$B$615=Analítico!$B118),-(Analítico!S$3&gt;='Gastos Gerais'!$D$4:$D$615),-(Analítico!S$3&lt;='Gastos Gerais'!$E$4:$E$615),-('Gastos Gerais'!$C$4:$C$615))</f>
        <v>0</v>
      </c>
      <c r="T118" s="73">
        <f>SUMPRODUCT(-('Gastos Gerais'!$B$4:$B$615=Analítico!$B118),-(Analítico!T$3&gt;='Gastos Gerais'!$D$4:$D$615),-(Analítico!T$3&lt;='Gastos Gerais'!$E$4:$E$615),-('Gastos Gerais'!$C$4:$C$615))</f>
        <v>0</v>
      </c>
      <c r="U118" s="73">
        <f>SUMPRODUCT(-('Gastos Gerais'!$B$4:$B$615=Analítico!$B118),-(Analítico!U$3&gt;='Gastos Gerais'!$D$4:$D$615),-(Analítico!U$3&lt;='Gastos Gerais'!$E$4:$E$615),-('Gastos Gerais'!$C$4:$C$615))</f>
        <v>0</v>
      </c>
      <c r="V118" s="73">
        <f>SUMPRODUCT(-('Gastos Gerais'!$B$4:$B$615=Analítico!$B118),-(Analítico!V$3&gt;='Gastos Gerais'!$D$4:$D$615),-(Analítico!V$3&lt;='Gastos Gerais'!$E$4:$E$615),-('Gastos Gerais'!$C$4:$C$615))</f>
        <v>0</v>
      </c>
      <c r="W118" s="73">
        <f>SUMPRODUCT(-('Gastos Gerais'!$B$4:$B$615=Analítico!$B118),-(Analítico!W$3&gt;='Gastos Gerais'!$D$4:$D$615),-(Analítico!W$3&lt;='Gastos Gerais'!$E$4:$E$615),-('Gastos Gerais'!$C$4:$C$615))</f>
        <v>0</v>
      </c>
      <c r="X118" s="73">
        <f>SUMPRODUCT(-('Gastos Gerais'!$B$4:$B$615=Analítico!$B118),-(Analítico!X$3&gt;='Gastos Gerais'!$D$4:$D$615),-(Analítico!X$3&lt;='Gastos Gerais'!$E$4:$E$615),-('Gastos Gerais'!$C$4:$C$615))</f>
        <v>0</v>
      </c>
      <c r="Y118" s="73">
        <f>SUMPRODUCT(-('Gastos Gerais'!$B$4:$B$615=Analítico!$B118),-(Analítico!Y$3&gt;='Gastos Gerais'!$D$4:$D$615),-(Analítico!Y$3&lt;='Gastos Gerais'!$E$4:$E$615),-('Gastos Gerais'!$C$4:$C$615))</f>
        <v>0</v>
      </c>
      <c r="Z118" s="73">
        <f>SUMPRODUCT(-('Gastos Gerais'!$B$4:$B$615=Analítico!$B118),-(Analítico!Z$3&gt;='Gastos Gerais'!$D$4:$D$615),-(Analítico!Z$3&lt;='Gastos Gerais'!$E$4:$E$615),-('Gastos Gerais'!$C$4:$C$615))</f>
        <v>0</v>
      </c>
      <c r="AA118" s="73">
        <f>SUMPRODUCT(-('Gastos Gerais'!$B$4:$B$615=Analítico!$B118),-(Analítico!AA$3&gt;='Gastos Gerais'!$D$4:$D$615),-(Analítico!AA$3&lt;='Gastos Gerais'!$E$4:$E$615),-('Gastos Gerais'!$C$4:$C$615))</f>
        <v>0</v>
      </c>
      <c r="AB118" s="73">
        <f>SUMPRODUCT(-('Gastos Gerais'!$B$4:$B$615=Analítico!$B118),-(Analítico!AB$3&gt;='Gastos Gerais'!$D$4:$D$615),-(Analítico!AB$3&lt;='Gastos Gerais'!$E$4:$E$615),-('Gastos Gerais'!$C$4:$C$615))</f>
        <v>0</v>
      </c>
      <c r="AC118" s="73">
        <f>SUMPRODUCT(-('Gastos Gerais'!$B$4:$B$615=Analítico!$B118),-(Analítico!AC$3&gt;='Gastos Gerais'!$D$4:$D$615),-(Analítico!AC$3&lt;='Gastos Gerais'!$E$4:$E$615),-('Gastos Gerais'!$C$4:$C$615))</f>
        <v>0</v>
      </c>
      <c r="AD118" s="73">
        <f>SUMPRODUCT(-('Gastos Gerais'!$B$4:$B$615=Analítico!$B118),-(Analítico!AD$3&gt;='Gastos Gerais'!$D$4:$D$615),-(Analítico!AD$3&lt;='Gastos Gerais'!$E$4:$E$615),-('Gastos Gerais'!$C$4:$C$615))</f>
        <v>0</v>
      </c>
      <c r="AE118" s="73">
        <f>SUMPRODUCT(-('Gastos Gerais'!$B$4:$B$615=Analítico!$B118),-(Analítico!AE$3&gt;='Gastos Gerais'!$D$4:$D$615),-(Analítico!AE$3&lt;='Gastos Gerais'!$E$4:$E$615),-('Gastos Gerais'!$C$4:$C$615))</f>
        <v>0</v>
      </c>
      <c r="AF118" s="73">
        <f>SUMPRODUCT(-('Gastos Gerais'!$B$4:$B$615=Analítico!$B118),-(Analítico!AF$3&gt;='Gastos Gerais'!$D$4:$D$615),-(Analítico!AF$3&lt;='Gastos Gerais'!$E$4:$E$615),-('Gastos Gerais'!$C$4:$C$615))</f>
        <v>0</v>
      </c>
      <c r="AG118" s="73">
        <f>SUMPRODUCT(-('Gastos Gerais'!$B$4:$B$615=Analítico!$B118),-(Analítico!AG$3&gt;='Gastos Gerais'!$D$4:$D$615),-(Analítico!AG$3&lt;='Gastos Gerais'!$E$4:$E$615),-('Gastos Gerais'!$C$4:$C$615))</f>
        <v>0</v>
      </c>
      <c r="AH118" s="73">
        <f>SUMPRODUCT(-('Gastos Gerais'!$B$4:$B$615=Analítico!$B118),-(Analítico!AH$3&gt;='Gastos Gerais'!$D$4:$D$615),-(Analítico!AH$3&lt;='Gastos Gerais'!$E$4:$E$615),-('Gastos Gerais'!$C$4:$C$615))</f>
        <v>0</v>
      </c>
      <c r="AI118" s="73">
        <f>SUMPRODUCT(-('Gastos Gerais'!$B$4:$B$615=Analítico!$B118),-(Analítico!AI$3&gt;='Gastos Gerais'!$D$4:$D$615),-(Analítico!AI$3&lt;='Gastos Gerais'!$E$4:$E$615),-('Gastos Gerais'!$C$4:$C$615))</f>
        <v>0</v>
      </c>
      <c r="AJ118" s="73">
        <f>SUMPRODUCT(-('Gastos Gerais'!$B$4:$B$615=Analítico!$B118),-(Analítico!AJ$3&gt;='Gastos Gerais'!$D$4:$D$615),-(Analítico!AJ$3&lt;='Gastos Gerais'!$E$4:$E$615),-('Gastos Gerais'!$C$4:$C$615))</f>
        <v>0</v>
      </c>
      <c r="AK118" s="73">
        <f>SUMPRODUCT(-('Gastos Gerais'!$B$4:$B$615=Analítico!$B118),-(Analítico!AK$3&gt;='Gastos Gerais'!$D$4:$D$615),-(Analítico!AK$3&lt;='Gastos Gerais'!$E$4:$E$615),-('Gastos Gerais'!$C$4:$C$615))</f>
        <v>0</v>
      </c>
      <c r="AL118" s="73">
        <f>SUMPRODUCT(-('Gastos Gerais'!$B$4:$B$615=Analítico!$B118),-(Analítico!AL$3&gt;='Gastos Gerais'!$D$4:$D$615),-(Analítico!AL$3&lt;='Gastos Gerais'!$E$4:$E$615),-('Gastos Gerais'!$C$4:$C$615))</f>
        <v>0</v>
      </c>
      <c r="AM118" s="73">
        <f>SUMPRODUCT(-('Gastos Gerais'!$B$4:$B$615=Analítico!$B118),-(Analítico!AM$3&gt;='Gastos Gerais'!$D$4:$D$615),-(Analítico!AM$3&lt;='Gastos Gerais'!$E$4:$E$615),-('Gastos Gerais'!$C$4:$C$615))</f>
        <v>0</v>
      </c>
      <c r="AN118" s="73">
        <f>SUMPRODUCT(-('Gastos Gerais'!$B$4:$B$615=Analítico!$B118),-(Analítico!AN$3&gt;='Gastos Gerais'!$D$4:$D$615),-(Analítico!AN$3&lt;='Gastos Gerais'!$E$4:$E$615),-('Gastos Gerais'!$C$4:$C$615))</f>
        <v>0</v>
      </c>
      <c r="AO118" s="73">
        <f>SUMPRODUCT(-('Gastos Gerais'!$B$4:$B$615=Analítico!$B118),-(Analítico!AO$3&gt;='Gastos Gerais'!$D$4:$D$615),-(Analítico!AO$3&lt;='Gastos Gerais'!$E$4:$E$615),-('Gastos Gerais'!$C$4:$C$615))</f>
        <v>0</v>
      </c>
      <c r="AP118" s="73">
        <f>SUMPRODUCT(-('Gastos Gerais'!$B$4:$B$615=Analítico!$B118),-(Analítico!AP$3&gt;='Gastos Gerais'!$D$4:$D$615),-(Analítico!AP$3&lt;='Gastos Gerais'!$E$4:$E$615),-('Gastos Gerais'!$C$4:$C$615))</f>
        <v>0</v>
      </c>
      <c r="AQ118" s="73">
        <f>SUMPRODUCT(-('Gastos Gerais'!$B$4:$B$615=Analítico!$B118),-(Analítico!AQ$3&gt;='Gastos Gerais'!$D$4:$D$615),-(Analítico!AQ$3&lt;='Gastos Gerais'!$E$4:$E$615),-('Gastos Gerais'!$C$4:$C$615))</f>
        <v>0</v>
      </c>
      <c r="AR118" s="73">
        <f>SUMPRODUCT(-('Gastos Gerais'!$B$4:$B$615=Analítico!$B118),-(Analítico!AR$3&gt;='Gastos Gerais'!$D$4:$D$615),-(Analítico!AR$3&lt;='Gastos Gerais'!$E$4:$E$615),-('Gastos Gerais'!$C$4:$C$615))</f>
        <v>0</v>
      </c>
      <c r="AS118" s="73">
        <f>SUMPRODUCT(-('Gastos Gerais'!$B$4:$B$615=Analítico!$B118),-(Analítico!AS$3&gt;='Gastos Gerais'!$D$4:$D$615),-(Analítico!AS$3&lt;='Gastos Gerais'!$E$4:$E$615),-('Gastos Gerais'!$C$4:$C$615))</f>
        <v>0</v>
      </c>
      <c r="AT118" s="73">
        <f>SUMPRODUCT(-('Gastos Gerais'!$B$4:$B$615=Analítico!$B118),-(Analítico!AT$3&gt;='Gastos Gerais'!$D$4:$D$615),-(Analítico!AT$3&lt;='Gastos Gerais'!$E$4:$E$615),-('Gastos Gerais'!$C$4:$C$615))</f>
        <v>0</v>
      </c>
      <c r="AU118" s="73">
        <f>SUMPRODUCT(-('Gastos Gerais'!$B$4:$B$615=Analítico!$B118),-(Analítico!AU$3&gt;='Gastos Gerais'!$D$4:$D$615),-(Analítico!AU$3&lt;='Gastos Gerais'!$E$4:$E$615),-('Gastos Gerais'!$C$4:$C$615))</f>
        <v>0</v>
      </c>
      <c r="AV118" s="73">
        <f>SUMPRODUCT(-('Gastos Gerais'!$B$4:$B$615=Analítico!$B118),-(Analítico!AV$3&gt;='Gastos Gerais'!$D$4:$D$615),-(Analítico!AV$3&lt;='Gastos Gerais'!$E$4:$E$615),-('Gastos Gerais'!$C$4:$C$615))</f>
        <v>0</v>
      </c>
      <c r="AW118" s="73">
        <f>SUMPRODUCT(-('Gastos Gerais'!$B$4:$B$615=Analítico!$B118),-(Analítico!AW$3&gt;='Gastos Gerais'!$D$4:$D$615),-(Analítico!AW$3&lt;='Gastos Gerais'!$E$4:$E$615),-('Gastos Gerais'!$C$4:$C$615))</f>
        <v>0</v>
      </c>
      <c r="AX118" s="73">
        <f>SUMPRODUCT(-('Gastos Gerais'!$B$4:$B$615=Analítico!$B118),-(Analítico!AX$3&gt;='Gastos Gerais'!$D$4:$D$615),-(Analítico!AX$3&lt;='Gastos Gerais'!$E$4:$E$615),-('Gastos Gerais'!$C$4:$C$615))</f>
        <v>0</v>
      </c>
      <c r="AY118" s="73">
        <f>SUMPRODUCT(-('Gastos Gerais'!$B$4:$B$615=Analítico!$B118),-(Analítico!AY$3&gt;='Gastos Gerais'!$D$4:$D$615),-(Analítico!AY$3&lt;='Gastos Gerais'!$E$4:$E$615),-('Gastos Gerais'!$C$4:$C$615))</f>
        <v>0</v>
      </c>
      <c r="AZ118" s="73">
        <f>SUMPRODUCT(-('Gastos Gerais'!$B$4:$B$615=Analítico!$B118),-(Analítico!AZ$3&gt;='Gastos Gerais'!$D$4:$D$615),-(Analítico!AZ$3&lt;='Gastos Gerais'!$E$4:$E$615),-('Gastos Gerais'!$C$4:$C$615))</f>
        <v>0</v>
      </c>
      <c r="BA118" s="73">
        <f>SUMPRODUCT(-('Gastos Gerais'!$B$4:$B$615=Analítico!$B118),-(Analítico!BA$3&gt;='Gastos Gerais'!$D$4:$D$615),-(Analítico!BA$3&lt;='Gastos Gerais'!$E$4:$E$615),-('Gastos Gerais'!$C$4:$C$615))</f>
        <v>0</v>
      </c>
      <c r="BB118" s="73">
        <f>SUMPRODUCT(-('Gastos Gerais'!$B$4:$B$615=Analítico!$B118),-(Analítico!BB$3&gt;='Gastos Gerais'!$D$4:$D$615),-(Analítico!BB$3&lt;='Gastos Gerais'!$E$4:$E$615),-('Gastos Gerais'!$C$4:$C$615))</f>
        <v>0</v>
      </c>
      <c r="BC118" s="73">
        <f>SUMPRODUCT(-('Gastos Gerais'!$B$4:$B$615=Analítico!$B118),-(Analítico!BC$3&gt;='Gastos Gerais'!$D$4:$D$615),-(Analítico!BC$3&lt;='Gastos Gerais'!$E$4:$E$615),-('Gastos Gerais'!$C$4:$C$615))</f>
        <v>0</v>
      </c>
      <c r="BD118" s="73">
        <f>SUMPRODUCT(-('Gastos Gerais'!$B$4:$B$615=Analítico!$B118),-(Analítico!BD$3&gt;='Gastos Gerais'!$D$4:$D$615),-(Analítico!BD$3&lt;='Gastos Gerais'!$E$4:$E$615),-('Gastos Gerais'!$C$4:$C$615))</f>
        <v>0</v>
      </c>
      <c r="BE118" s="73">
        <f>SUMPRODUCT(-('Gastos Gerais'!$B$4:$B$615=Analítico!$B118),-(Analítico!BE$3&gt;='Gastos Gerais'!$D$4:$D$615),-(Analítico!BE$3&lt;='Gastos Gerais'!$E$4:$E$615),-('Gastos Gerais'!$C$4:$C$615))</f>
        <v>0</v>
      </c>
      <c r="BF118" s="73">
        <f>SUMPRODUCT(-('Gastos Gerais'!$B$4:$B$615=Analítico!$B118),-(Analítico!BF$3&gt;='Gastos Gerais'!$D$4:$D$615),-(Analítico!BF$3&lt;='Gastos Gerais'!$E$4:$E$615),-('Gastos Gerais'!$C$4:$C$615))</f>
        <v>0</v>
      </c>
      <c r="BG118" s="73">
        <f>SUMPRODUCT(-('Gastos Gerais'!$B$4:$B$615=Analítico!$B118),-(Analítico!BG$3&gt;='Gastos Gerais'!$D$4:$D$615),-(Analítico!BG$3&lt;='Gastos Gerais'!$E$4:$E$615),-('Gastos Gerais'!$C$4:$C$615))</f>
        <v>0</v>
      </c>
      <c r="BH118" s="73">
        <f>SUMPRODUCT(-('Gastos Gerais'!$B$4:$B$615=Analítico!$B118),-(Analítico!BH$3&gt;='Gastos Gerais'!$D$4:$D$615),-(Analítico!BH$3&lt;='Gastos Gerais'!$E$4:$E$615),-('Gastos Gerais'!$C$4:$C$615))</f>
        <v>0</v>
      </c>
      <c r="BI118" s="73">
        <f>SUMPRODUCT(-('Gastos Gerais'!$B$4:$B$615=Analítico!$B118),-(Analítico!BI$3&gt;='Gastos Gerais'!$D$4:$D$615),-(Analítico!BI$3&lt;='Gastos Gerais'!$E$4:$E$615),-('Gastos Gerais'!$C$4:$C$615))</f>
        <v>0</v>
      </c>
      <c r="BJ118" s="73">
        <f>SUMPRODUCT(-('Gastos Gerais'!$B$4:$B$615=Analítico!$B118),-(Analítico!BJ$3&gt;='Gastos Gerais'!$D$4:$D$615),-(Analítico!BJ$3&lt;='Gastos Gerais'!$E$4:$E$615),-('Gastos Gerais'!$C$4:$C$615))</f>
        <v>0</v>
      </c>
      <c r="BK118" s="71">
        <f t="shared" si="33"/>
        <v>0</v>
      </c>
      <c r="BL118" s="76">
        <f t="shared" ca="1" si="34"/>
        <v>0</v>
      </c>
    </row>
    <row r="119" spans="1:64" s="49" customFormat="1" ht="23.25" customHeight="1" x14ac:dyDescent="0.2">
      <c r="A119" s="109" t="s">
        <v>306</v>
      </c>
      <c r="B119" s="112" t="s">
        <v>307</v>
      </c>
      <c r="C119" s="73">
        <f>SUMPRODUCT(-('Gastos Gerais'!$B$4:$B$615=Analítico!$B119),-(Analítico!C$3&gt;='Gastos Gerais'!$D$4:$D$615),-(Analítico!C$3&lt;='Gastos Gerais'!$E$4:$E$615),-('Gastos Gerais'!$C$4:$C$615))</f>
        <v>0</v>
      </c>
      <c r="D119" s="73">
        <f>SUMPRODUCT(-('Gastos Gerais'!$B$4:$B$615=Analítico!$B119),-(Analítico!D$3&gt;='Gastos Gerais'!$D$4:$D$615),-(Analítico!D$3&lt;='Gastos Gerais'!$E$4:$E$615),-('Gastos Gerais'!$C$4:$C$615))</f>
        <v>0</v>
      </c>
      <c r="E119" s="73">
        <f>SUMPRODUCT(-('Gastos Gerais'!$B$4:$B$615=Analítico!$B119),-(Analítico!E$3&gt;='Gastos Gerais'!$D$4:$D$615),-(Analítico!E$3&lt;='Gastos Gerais'!$E$4:$E$615),-('Gastos Gerais'!$C$4:$C$615))</f>
        <v>0</v>
      </c>
      <c r="F119" s="73">
        <f>SUMPRODUCT(-('Gastos Gerais'!$B$4:$B$615=Analítico!$B119),-(Analítico!F$3&gt;='Gastos Gerais'!$D$4:$D$615),-(Analítico!F$3&lt;='Gastos Gerais'!$E$4:$E$615),-('Gastos Gerais'!$C$4:$C$615))</f>
        <v>0</v>
      </c>
      <c r="G119" s="73">
        <f>SUMPRODUCT(-('Gastos Gerais'!$B$4:$B$615=Analítico!$B119),-(Analítico!G$3&gt;='Gastos Gerais'!$D$4:$D$615),-(Analítico!G$3&lt;='Gastos Gerais'!$E$4:$E$615),-('Gastos Gerais'!$C$4:$C$615))</f>
        <v>0</v>
      </c>
      <c r="H119" s="73">
        <f>SUMPRODUCT(-('Gastos Gerais'!$B$4:$B$615=Analítico!$B119),-(Analítico!H$3&gt;='Gastos Gerais'!$D$4:$D$615),-(Analítico!H$3&lt;='Gastos Gerais'!$E$4:$E$615),-('Gastos Gerais'!$C$4:$C$615))</f>
        <v>0</v>
      </c>
      <c r="I119" s="73">
        <f>SUMPRODUCT(-('Gastos Gerais'!$B$4:$B$615=Analítico!$B119),-(Analítico!I$3&gt;='Gastos Gerais'!$D$4:$D$615),-(Analítico!I$3&lt;='Gastos Gerais'!$E$4:$E$615),-('Gastos Gerais'!$C$4:$C$615))</f>
        <v>0</v>
      </c>
      <c r="J119" s="73">
        <f>SUMPRODUCT(-('Gastos Gerais'!$B$4:$B$615=Analítico!$B119),-(Analítico!J$3&gt;='Gastos Gerais'!$D$4:$D$615),-(Analítico!J$3&lt;='Gastos Gerais'!$E$4:$E$615),-('Gastos Gerais'!$C$4:$C$615))</f>
        <v>0</v>
      </c>
      <c r="K119" s="73">
        <f>SUMPRODUCT(-('Gastos Gerais'!$B$4:$B$615=Analítico!$B119),-(Analítico!K$3&gt;='Gastos Gerais'!$D$4:$D$615),-(Analítico!K$3&lt;='Gastos Gerais'!$E$4:$E$615),-('Gastos Gerais'!$C$4:$C$615))</f>
        <v>0</v>
      </c>
      <c r="L119" s="73">
        <f>SUMPRODUCT(-('Gastos Gerais'!$B$4:$B$615=Analítico!$B119),-(Analítico!L$3&gt;='Gastos Gerais'!$D$4:$D$615),-(Analítico!L$3&lt;='Gastos Gerais'!$E$4:$E$615),-('Gastos Gerais'!$C$4:$C$615))</f>
        <v>0</v>
      </c>
      <c r="M119" s="73">
        <f>SUMPRODUCT(-('Gastos Gerais'!$B$4:$B$615=Analítico!$B119),-(Analítico!M$3&gt;='Gastos Gerais'!$D$4:$D$615),-(Analítico!M$3&lt;='Gastos Gerais'!$E$4:$E$615),-('Gastos Gerais'!$C$4:$C$615))</f>
        <v>0</v>
      </c>
      <c r="N119" s="73">
        <f>SUMPRODUCT(-('Gastos Gerais'!$B$4:$B$615=Analítico!$B119),-(Analítico!N$3&gt;='Gastos Gerais'!$D$4:$D$615),-(Analítico!N$3&lt;='Gastos Gerais'!$E$4:$E$615),-('Gastos Gerais'!$C$4:$C$615))</f>
        <v>0</v>
      </c>
      <c r="O119" s="73">
        <f>SUMPRODUCT(-('Gastos Gerais'!$B$4:$B$615=Analítico!$B119),-(Analítico!O$3&gt;='Gastos Gerais'!$D$4:$D$615),-(Analítico!O$3&lt;='Gastos Gerais'!$E$4:$E$615),-('Gastos Gerais'!$C$4:$C$615))</f>
        <v>0</v>
      </c>
      <c r="P119" s="73">
        <f>SUMPRODUCT(-('Gastos Gerais'!$B$4:$B$615=Analítico!$B119),-(Analítico!P$3&gt;='Gastos Gerais'!$D$4:$D$615),-(Analítico!P$3&lt;='Gastos Gerais'!$E$4:$E$615),-('Gastos Gerais'!$C$4:$C$615))</f>
        <v>0</v>
      </c>
      <c r="Q119" s="73">
        <f>SUMPRODUCT(-('Gastos Gerais'!$B$4:$B$615=Analítico!$B119),-(Analítico!Q$3&gt;='Gastos Gerais'!$D$4:$D$615),-(Analítico!Q$3&lt;='Gastos Gerais'!$E$4:$E$615),-('Gastos Gerais'!$C$4:$C$615))</f>
        <v>0</v>
      </c>
      <c r="R119" s="73">
        <f>SUMPRODUCT(-('Gastos Gerais'!$B$4:$B$615=Analítico!$B119),-(Analítico!R$3&gt;='Gastos Gerais'!$D$4:$D$615),-(Analítico!R$3&lt;='Gastos Gerais'!$E$4:$E$615),-('Gastos Gerais'!$C$4:$C$615))</f>
        <v>0</v>
      </c>
      <c r="S119" s="73">
        <f>SUMPRODUCT(-('Gastos Gerais'!$B$4:$B$615=Analítico!$B119),-(Analítico!S$3&gt;='Gastos Gerais'!$D$4:$D$615),-(Analítico!S$3&lt;='Gastos Gerais'!$E$4:$E$615),-('Gastos Gerais'!$C$4:$C$615))</f>
        <v>0</v>
      </c>
      <c r="T119" s="73">
        <f>SUMPRODUCT(-('Gastos Gerais'!$B$4:$B$615=Analítico!$B119),-(Analítico!T$3&gt;='Gastos Gerais'!$D$4:$D$615),-(Analítico!T$3&lt;='Gastos Gerais'!$E$4:$E$615),-('Gastos Gerais'!$C$4:$C$615))</f>
        <v>0</v>
      </c>
      <c r="U119" s="73">
        <f>SUMPRODUCT(-('Gastos Gerais'!$B$4:$B$615=Analítico!$B119),-(Analítico!U$3&gt;='Gastos Gerais'!$D$4:$D$615),-(Analítico!U$3&lt;='Gastos Gerais'!$E$4:$E$615),-('Gastos Gerais'!$C$4:$C$615))</f>
        <v>0</v>
      </c>
      <c r="V119" s="73">
        <f>SUMPRODUCT(-('Gastos Gerais'!$B$4:$B$615=Analítico!$B119),-(Analítico!V$3&gt;='Gastos Gerais'!$D$4:$D$615),-(Analítico!V$3&lt;='Gastos Gerais'!$E$4:$E$615),-('Gastos Gerais'!$C$4:$C$615))</f>
        <v>0</v>
      </c>
      <c r="W119" s="73">
        <f>SUMPRODUCT(-('Gastos Gerais'!$B$4:$B$615=Analítico!$B119),-(Analítico!W$3&gt;='Gastos Gerais'!$D$4:$D$615),-(Analítico!W$3&lt;='Gastos Gerais'!$E$4:$E$615),-('Gastos Gerais'!$C$4:$C$615))</f>
        <v>0</v>
      </c>
      <c r="X119" s="73">
        <f>SUMPRODUCT(-('Gastos Gerais'!$B$4:$B$615=Analítico!$B119),-(Analítico!X$3&gt;='Gastos Gerais'!$D$4:$D$615),-(Analítico!X$3&lt;='Gastos Gerais'!$E$4:$E$615),-('Gastos Gerais'!$C$4:$C$615))</f>
        <v>0</v>
      </c>
      <c r="Y119" s="73">
        <f>SUMPRODUCT(-('Gastos Gerais'!$B$4:$B$615=Analítico!$B119),-(Analítico!Y$3&gt;='Gastos Gerais'!$D$4:$D$615),-(Analítico!Y$3&lt;='Gastos Gerais'!$E$4:$E$615),-('Gastos Gerais'!$C$4:$C$615))</f>
        <v>0</v>
      </c>
      <c r="Z119" s="73">
        <f>SUMPRODUCT(-('Gastos Gerais'!$B$4:$B$615=Analítico!$B119),-(Analítico!Z$3&gt;='Gastos Gerais'!$D$4:$D$615),-(Analítico!Z$3&lt;='Gastos Gerais'!$E$4:$E$615),-('Gastos Gerais'!$C$4:$C$615))</f>
        <v>0</v>
      </c>
      <c r="AA119" s="73">
        <f>SUMPRODUCT(-('Gastos Gerais'!$B$4:$B$615=Analítico!$B119),-(Analítico!AA$3&gt;='Gastos Gerais'!$D$4:$D$615),-(Analítico!AA$3&lt;='Gastos Gerais'!$E$4:$E$615),-('Gastos Gerais'!$C$4:$C$615))</f>
        <v>0</v>
      </c>
      <c r="AB119" s="73">
        <f>SUMPRODUCT(-('Gastos Gerais'!$B$4:$B$615=Analítico!$B119),-(Analítico!AB$3&gt;='Gastos Gerais'!$D$4:$D$615),-(Analítico!AB$3&lt;='Gastos Gerais'!$E$4:$E$615),-('Gastos Gerais'!$C$4:$C$615))</f>
        <v>0</v>
      </c>
      <c r="AC119" s="73">
        <f>SUMPRODUCT(-('Gastos Gerais'!$B$4:$B$615=Analítico!$B119),-(Analítico!AC$3&gt;='Gastos Gerais'!$D$4:$D$615),-(Analítico!AC$3&lt;='Gastos Gerais'!$E$4:$E$615),-('Gastos Gerais'!$C$4:$C$615))</f>
        <v>0</v>
      </c>
      <c r="AD119" s="73">
        <f>SUMPRODUCT(-('Gastos Gerais'!$B$4:$B$615=Analítico!$B119),-(Analítico!AD$3&gt;='Gastos Gerais'!$D$4:$D$615),-(Analítico!AD$3&lt;='Gastos Gerais'!$E$4:$E$615),-('Gastos Gerais'!$C$4:$C$615))</f>
        <v>0</v>
      </c>
      <c r="AE119" s="73">
        <f>SUMPRODUCT(-('Gastos Gerais'!$B$4:$B$615=Analítico!$B119),-(Analítico!AE$3&gt;='Gastos Gerais'!$D$4:$D$615),-(Analítico!AE$3&lt;='Gastos Gerais'!$E$4:$E$615),-('Gastos Gerais'!$C$4:$C$615))</f>
        <v>0</v>
      </c>
      <c r="AF119" s="73">
        <f>SUMPRODUCT(-('Gastos Gerais'!$B$4:$B$615=Analítico!$B119),-(Analítico!AF$3&gt;='Gastos Gerais'!$D$4:$D$615),-(Analítico!AF$3&lt;='Gastos Gerais'!$E$4:$E$615),-('Gastos Gerais'!$C$4:$C$615))</f>
        <v>0</v>
      </c>
      <c r="AG119" s="73">
        <f>SUMPRODUCT(-('Gastos Gerais'!$B$4:$B$615=Analítico!$B119),-(Analítico!AG$3&gt;='Gastos Gerais'!$D$4:$D$615),-(Analítico!AG$3&lt;='Gastos Gerais'!$E$4:$E$615),-('Gastos Gerais'!$C$4:$C$615))</f>
        <v>0</v>
      </c>
      <c r="AH119" s="73">
        <f>SUMPRODUCT(-('Gastos Gerais'!$B$4:$B$615=Analítico!$B119),-(Analítico!AH$3&gt;='Gastos Gerais'!$D$4:$D$615),-(Analítico!AH$3&lt;='Gastos Gerais'!$E$4:$E$615),-('Gastos Gerais'!$C$4:$C$615))</f>
        <v>0</v>
      </c>
      <c r="AI119" s="73">
        <f>SUMPRODUCT(-('Gastos Gerais'!$B$4:$B$615=Analítico!$B119),-(Analítico!AI$3&gt;='Gastos Gerais'!$D$4:$D$615),-(Analítico!AI$3&lt;='Gastos Gerais'!$E$4:$E$615),-('Gastos Gerais'!$C$4:$C$615))</f>
        <v>0</v>
      </c>
      <c r="AJ119" s="73">
        <f>SUMPRODUCT(-('Gastos Gerais'!$B$4:$B$615=Analítico!$B119),-(Analítico!AJ$3&gt;='Gastos Gerais'!$D$4:$D$615),-(Analítico!AJ$3&lt;='Gastos Gerais'!$E$4:$E$615),-('Gastos Gerais'!$C$4:$C$615))</f>
        <v>0</v>
      </c>
      <c r="AK119" s="73">
        <f>SUMPRODUCT(-('Gastos Gerais'!$B$4:$B$615=Analítico!$B119),-(Analítico!AK$3&gt;='Gastos Gerais'!$D$4:$D$615),-(Analítico!AK$3&lt;='Gastos Gerais'!$E$4:$E$615),-('Gastos Gerais'!$C$4:$C$615))</f>
        <v>0</v>
      </c>
      <c r="AL119" s="73">
        <f>SUMPRODUCT(-('Gastos Gerais'!$B$4:$B$615=Analítico!$B119),-(Analítico!AL$3&gt;='Gastos Gerais'!$D$4:$D$615),-(Analítico!AL$3&lt;='Gastos Gerais'!$E$4:$E$615),-('Gastos Gerais'!$C$4:$C$615))</f>
        <v>0</v>
      </c>
      <c r="AM119" s="73">
        <f>SUMPRODUCT(-('Gastos Gerais'!$B$4:$B$615=Analítico!$B119),-(Analítico!AM$3&gt;='Gastos Gerais'!$D$4:$D$615),-(Analítico!AM$3&lt;='Gastos Gerais'!$E$4:$E$615),-('Gastos Gerais'!$C$4:$C$615))</f>
        <v>0</v>
      </c>
      <c r="AN119" s="73">
        <f>SUMPRODUCT(-('Gastos Gerais'!$B$4:$B$615=Analítico!$B119),-(Analítico!AN$3&gt;='Gastos Gerais'!$D$4:$D$615),-(Analítico!AN$3&lt;='Gastos Gerais'!$E$4:$E$615),-('Gastos Gerais'!$C$4:$C$615))</f>
        <v>0</v>
      </c>
      <c r="AO119" s="73">
        <f>SUMPRODUCT(-('Gastos Gerais'!$B$4:$B$615=Analítico!$B119),-(Analítico!AO$3&gt;='Gastos Gerais'!$D$4:$D$615),-(Analítico!AO$3&lt;='Gastos Gerais'!$E$4:$E$615),-('Gastos Gerais'!$C$4:$C$615))</f>
        <v>0</v>
      </c>
      <c r="AP119" s="73">
        <f>SUMPRODUCT(-('Gastos Gerais'!$B$4:$B$615=Analítico!$B119),-(Analítico!AP$3&gt;='Gastos Gerais'!$D$4:$D$615),-(Analítico!AP$3&lt;='Gastos Gerais'!$E$4:$E$615),-('Gastos Gerais'!$C$4:$C$615))</f>
        <v>0</v>
      </c>
      <c r="AQ119" s="73">
        <f>SUMPRODUCT(-('Gastos Gerais'!$B$4:$B$615=Analítico!$B119),-(Analítico!AQ$3&gt;='Gastos Gerais'!$D$4:$D$615),-(Analítico!AQ$3&lt;='Gastos Gerais'!$E$4:$E$615),-('Gastos Gerais'!$C$4:$C$615))</f>
        <v>0</v>
      </c>
      <c r="AR119" s="73">
        <f>SUMPRODUCT(-('Gastos Gerais'!$B$4:$B$615=Analítico!$B119),-(Analítico!AR$3&gt;='Gastos Gerais'!$D$4:$D$615),-(Analítico!AR$3&lt;='Gastos Gerais'!$E$4:$E$615),-('Gastos Gerais'!$C$4:$C$615))</f>
        <v>0</v>
      </c>
      <c r="AS119" s="73">
        <f>SUMPRODUCT(-('Gastos Gerais'!$B$4:$B$615=Analítico!$B119),-(Analítico!AS$3&gt;='Gastos Gerais'!$D$4:$D$615),-(Analítico!AS$3&lt;='Gastos Gerais'!$E$4:$E$615),-('Gastos Gerais'!$C$4:$C$615))</f>
        <v>0</v>
      </c>
      <c r="AT119" s="73">
        <f>SUMPRODUCT(-('Gastos Gerais'!$B$4:$B$615=Analítico!$B119),-(Analítico!AT$3&gt;='Gastos Gerais'!$D$4:$D$615),-(Analítico!AT$3&lt;='Gastos Gerais'!$E$4:$E$615),-('Gastos Gerais'!$C$4:$C$615))</f>
        <v>0</v>
      </c>
      <c r="AU119" s="73">
        <f>SUMPRODUCT(-('Gastos Gerais'!$B$4:$B$615=Analítico!$B119),-(Analítico!AU$3&gt;='Gastos Gerais'!$D$4:$D$615),-(Analítico!AU$3&lt;='Gastos Gerais'!$E$4:$E$615),-('Gastos Gerais'!$C$4:$C$615))</f>
        <v>0</v>
      </c>
      <c r="AV119" s="73">
        <f>SUMPRODUCT(-('Gastos Gerais'!$B$4:$B$615=Analítico!$B119),-(Analítico!AV$3&gt;='Gastos Gerais'!$D$4:$D$615),-(Analítico!AV$3&lt;='Gastos Gerais'!$E$4:$E$615),-('Gastos Gerais'!$C$4:$C$615))</f>
        <v>0</v>
      </c>
      <c r="AW119" s="73">
        <f>SUMPRODUCT(-('Gastos Gerais'!$B$4:$B$615=Analítico!$B119),-(Analítico!AW$3&gt;='Gastos Gerais'!$D$4:$D$615),-(Analítico!AW$3&lt;='Gastos Gerais'!$E$4:$E$615),-('Gastos Gerais'!$C$4:$C$615))</f>
        <v>0</v>
      </c>
      <c r="AX119" s="73">
        <f>SUMPRODUCT(-('Gastos Gerais'!$B$4:$B$615=Analítico!$B119),-(Analítico!AX$3&gt;='Gastos Gerais'!$D$4:$D$615),-(Analítico!AX$3&lt;='Gastos Gerais'!$E$4:$E$615),-('Gastos Gerais'!$C$4:$C$615))</f>
        <v>0</v>
      </c>
      <c r="AY119" s="73">
        <f>SUMPRODUCT(-('Gastos Gerais'!$B$4:$B$615=Analítico!$B119),-(Analítico!AY$3&gt;='Gastos Gerais'!$D$4:$D$615),-(Analítico!AY$3&lt;='Gastos Gerais'!$E$4:$E$615),-('Gastos Gerais'!$C$4:$C$615))</f>
        <v>0</v>
      </c>
      <c r="AZ119" s="73">
        <f>SUMPRODUCT(-('Gastos Gerais'!$B$4:$B$615=Analítico!$B119),-(Analítico!AZ$3&gt;='Gastos Gerais'!$D$4:$D$615),-(Analítico!AZ$3&lt;='Gastos Gerais'!$E$4:$E$615),-('Gastos Gerais'!$C$4:$C$615))</f>
        <v>0</v>
      </c>
      <c r="BA119" s="73">
        <f>SUMPRODUCT(-('Gastos Gerais'!$B$4:$B$615=Analítico!$B119),-(Analítico!BA$3&gt;='Gastos Gerais'!$D$4:$D$615),-(Analítico!BA$3&lt;='Gastos Gerais'!$E$4:$E$615),-('Gastos Gerais'!$C$4:$C$615))</f>
        <v>0</v>
      </c>
      <c r="BB119" s="73">
        <f>SUMPRODUCT(-('Gastos Gerais'!$B$4:$B$615=Analítico!$B119),-(Analítico!BB$3&gt;='Gastos Gerais'!$D$4:$D$615),-(Analítico!BB$3&lt;='Gastos Gerais'!$E$4:$E$615),-('Gastos Gerais'!$C$4:$C$615))</f>
        <v>0</v>
      </c>
      <c r="BC119" s="73">
        <f>SUMPRODUCT(-('Gastos Gerais'!$B$4:$B$615=Analítico!$B119),-(Analítico!BC$3&gt;='Gastos Gerais'!$D$4:$D$615),-(Analítico!BC$3&lt;='Gastos Gerais'!$E$4:$E$615),-('Gastos Gerais'!$C$4:$C$615))</f>
        <v>0</v>
      </c>
      <c r="BD119" s="73">
        <f>SUMPRODUCT(-('Gastos Gerais'!$B$4:$B$615=Analítico!$B119),-(Analítico!BD$3&gt;='Gastos Gerais'!$D$4:$D$615),-(Analítico!BD$3&lt;='Gastos Gerais'!$E$4:$E$615),-('Gastos Gerais'!$C$4:$C$615))</f>
        <v>0</v>
      </c>
      <c r="BE119" s="73">
        <f>SUMPRODUCT(-('Gastos Gerais'!$B$4:$B$615=Analítico!$B119),-(Analítico!BE$3&gt;='Gastos Gerais'!$D$4:$D$615),-(Analítico!BE$3&lt;='Gastos Gerais'!$E$4:$E$615),-('Gastos Gerais'!$C$4:$C$615))</f>
        <v>0</v>
      </c>
      <c r="BF119" s="73">
        <f>SUMPRODUCT(-('Gastos Gerais'!$B$4:$B$615=Analítico!$B119),-(Analítico!BF$3&gt;='Gastos Gerais'!$D$4:$D$615),-(Analítico!BF$3&lt;='Gastos Gerais'!$E$4:$E$615),-('Gastos Gerais'!$C$4:$C$615))</f>
        <v>0</v>
      </c>
      <c r="BG119" s="73">
        <f>SUMPRODUCT(-('Gastos Gerais'!$B$4:$B$615=Analítico!$B119),-(Analítico!BG$3&gt;='Gastos Gerais'!$D$4:$D$615),-(Analítico!BG$3&lt;='Gastos Gerais'!$E$4:$E$615),-('Gastos Gerais'!$C$4:$C$615))</f>
        <v>0</v>
      </c>
      <c r="BH119" s="73">
        <f>SUMPRODUCT(-('Gastos Gerais'!$B$4:$B$615=Analítico!$B119),-(Analítico!BH$3&gt;='Gastos Gerais'!$D$4:$D$615),-(Analítico!BH$3&lt;='Gastos Gerais'!$E$4:$E$615),-('Gastos Gerais'!$C$4:$C$615))</f>
        <v>0</v>
      </c>
      <c r="BI119" s="73">
        <f>SUMPRODUCT(-('Gastos Gerais'!$B$4:$B$615=Analítico!$B119),-(Analítico!BI$3&gt;='Gastos Gerais'!$D$4:$D$615),-(Analítico!BI$3&lt;='Gastos Gerais'!$E$4:$E$615),-('Gastos Gerais'!$C$4:$C$615))</f>
        <v>0</v>
      </c>
      <c r="BJ119" s="73">
        <f>SUMPRODUCT(-('Gastos Gerais'!$B$4:$B$615=Analítico!$B119),-(Analítico!BJ$3&gt;='Gastos Gerais'!$D$4:$D$615),-(Analítico!BJ$3&lt;='Gastos Gerais'!$E$4:$E$615),-('Gastos Gerais'!$C$4:$C$615))</f>
        <v>0</v>
      </c>
      <c r="BK119" s="71">
        <f t="shared" si="33"/>
        <v>0</v>
      </c>
      <c r="BL119" s="76">
        <f t="shared" ca="1" si="34"/>
        <v>0</v>
      </c>
    </row>
    <row r="120" spans="1:64" s="49" customFormat="1" ht="23.25" customHeight="1" x14ac:dyDescent="0.2">
      <c r="A120" s="109" t="s">
        <v>308</v>
      </c>
      <c r="B120" s="112" t="s">
        <v>309</v>
      </c>
      <c r="C120" s="73">
        <f>SUMPRODUCT(-('Gastos Gerais'!$B$4:$B$615=Analítico!$B120),-(Analítico!C$3&gt;='Gastos Gerais'!$D$4:$D$615),-(Analítico!C$3&lt;='Gastos Gerais'!$E$4:$E$615),-('Gastos Gerais'!$C$4:$C$615))</f>
        <v>75500</v>
      </c>
      <c r="D120" s="73">
        <f>SUMPRODUCT(-('Gastos Gerais'!$B$4:$B$615=Analítico!$B120),-(Analítico!D$3&gt;='Gastos Gerais'!$D$4:$D$615),-(Analítico!D$3&lt;='Gastos Gerais'!$E$4:$E$615),-('Gastos Gerais'!$C$4:$C$615))</f>
        <v>75500</v>
      </c>
      <c r="E120" s="73">
        <f>SUMPRODUCT(-('Gastos Gerais'!$B$4:$B$615=Analítico!$B120),-(Analítico!E$3&gt;='Gastos Gerais'!$D$4:$D$615),-(Analítico!E$3&lt;='Gastos Gerais'!$E$4:$E$615),-('Gastos Gerais'!$C$4:$C$615))</f>
        <v>75500</v>
      </c>
      <c r="F120" s="73">
        <f>SUMPRODUCT(-('Gastos Gerais'!$B$4:$B$615=Analítico!$B120),-(Analítico!F$3&gt;='Gastos Gerais'!$D$4:$D$615),-(Analítico!F$3&lt;='Gastos Gerais'!$E$4:$E$615),-('Gastos Gerais'!$C$4:$C$615))</f>
        <v>75500</v>
      </c>
      <c r="G120" s="73">
        <f>SUMPRODUCT(-('Gastos Gerais'!$B$4:$B$615=Analítico!$B120),-(Analítico!G$3&gt;='Gastos Gerais'!$D$4:$D$615),-(Analítico!G$3&lt;='Gastos Gerais'!$E$4:$E$615),-('Gastos Gerais'!$C$4:$C$615))</f>
        <v>75500</v>
      </c>
      <c r="H120" s="73">
        <f>SUMPRODUCT(-('Gastos Gerais'!$B$4:$B$615=Analítico!$B120),-(Analítico!H$3&gt;='Gastos Gerais'!$D$4:$D$615),-(Analítico!H$3&lt;='Gastos Gerais'!$E$4:$E$615),-('Gastos Gerais'!$C$4:$C$615))</f>
        <v>75500</v>
      </c>
      <c r="I120" s="73">
        <f>SUMPRODUCT(-('Gastos Gerais'!$B$4:$B$615=Analítico!$B120),-(Analítico!I$3&gt;='Gastos Gerais'!$D$4:$D$615),-(Analítico!I$3&lt;='Gastos Gerais'!$E$4:$E$615),-('Gastos Gerais'!$C$4:$C$615))</f>
        <v>75500</v>
      </c>
      <c r="J120" s="73">
        <f>SUMPRODUCT(-('Gastos Gerais'!$B$4:$B$615=Analítico!$B120),-(Analítico!J$3&gt;='Gastos Gerais'!$D$4:$D$615),-(Analítico!J$3&lt;='Gastos Gerais'!$E$4:$E$615),-('Gastos Gerais'!$C$4:$C$615))</f>
        <v>75500</v>
      </c>
      <c r="K120" s="73">
        <f>SUMPRODUCT(-('Gastos Gerais'!$B$4:$B$615=Analítico!$B120),-(Analítico!K$3&gt;='Gastos Gerais'!$D$4:$D$615),-(Analítico!K$3&lt;='Gastos Gerais'!$E$4:$E$615),-('Gastos Gerais'!$C$4:$C$615))</f>
        <v>75500</v>
      </c>
      <c r="L120" s="73">
        <f>SUMPRODUCT(-('Gastos Gerais'!$B$4:$B$615=Analítico!$B120),-(Analítico!L$3&gt;='Gastos Gerais'!$D$4:$D$615),-(Analítico!L$3&lt;='Gastos Gerais'!$E$4:$E$615),-('Gastos Gerais'!$C$4:$C$615))</f>
        <v>75500</v>
      </c>
      <c r="M120" s="73">
        <f>SUMPRODUCT(-('Gastos Gerais'!$B$4:$B$615=Analítico!$B120),-(Analítico!M$3&gt;='Gastos Gerais'!$D$4:$D$615),-(Analítico!M$3&lt;='Gastos Gerais'!$E$4:$E$615),-('Gastos Gerais'!$C$4:$C$615))</f>
        <v>75500</v>
      </c>
      <c r="N120" s="73">
        <f>SUMPRODUCT(-('Gastos Gerais'!$B$4:$B$615=Analítico!$B120),-(Analítico!N$3&gt;='Gastos Gerais'!$D$4:$D$615),-(Analítico!N$3&lt;='Gastos Gerais'!$E$4:$E$615),-('Gastos Gerais'!$C$4:$C$615))</f>
        <v>75500</v>
      </c>
      <c r="O120" s="73">
        <f>SUMPRODUCT(-('Gastos Gerais'!$B$4:$B$615=Analítico!$B120),-(Analítico!O$3&gt;='Gastos Gerais'!$D$4:$D$615),-(Analítico!O$3&lt;='Gastos Gerais'!$E$4:$E$615),-('Gastos Gerais'!$C$4:$C$615))</f>
        <v>75500</v>
      </c>
      <c r="P120" s="73">
        <f>SUMPRODUCT(-('Gastos Gerais'!$B$4:$B$615=Analítico!$B120),-(Analítico!P$3&gt;='Gastos Gerais'!$D$4:$D$615),-(Analítico!P$3&lt;='Gastos Gerais'!$E$4:$E$615),-('Gastos Gerais'!$C$4:$C$615))</f>
        <v>75500</v>
      </c>
      <c r="Q120" s="73">
        <f>SUMPRODUCT(-('Gastos Gerais'!$B$4:$B$615=Analítico!$B120),-(Analítico!Q$3&gt;='Gastos Gerais'!$D$4:$D$615),-(Analítico!Q$3&lt;='Gastos Gerais'!$E$4:$E$615),-('Gastos Gerais'!$C$4:$C$615))</f>
        <v>75500</v>
      </c>
      <c r="R120" s="73">
        <f>SUMPRODUCT(-('Gastos Gerais'!$B$4:$B$615=Analítico!$B120),-(Analítico!R$3&gt;='Gastos Gerais'!$D$4:$D$615),-(Analítico!R$3&lt;='Gastos Gerais'!$E$4:$E$615),-('Gastos Gerais'!$C$4:$C$615))</f>
        <v>75500</v>
      </c>
      <c r="S120" s="73">
        <f>SUMPRODUCT(-('Gastos Gerais'!$B$4:$B$615=Analítico!$B120),-(Analítico!S$3&gt;='Gastos Gerais'!$D$4:$D$615),-(Analítico!S$3&lt;='Gastos Gerais'!$E$4:$E$615),-('Gastos Gerais'!$C$4:$C$615))</f>
        <v>75500</v>
      </c>
      <c r="T120" s="73">
        <f>SUMPRODUCT(-('Gastos Gerais'!$B$4:$B$615=Analítico!$B120),-(Analítico!T$3&gt;='Gastos Gerais'!$D$4:$D$615),-(Analítico!T$3&lt;='Gastos Gerais'!$E$4:$E$615),-('Gastos Gerais'!$C$4:$C$615))</f>
        <v>75500</v>
      </c>
      <c r="U120" s="73">
        <f>SUMPRODUCT(-('Gastos Gerais'!$B$4:$B$615=Analítico!$B120),-(Analítico!U$3&gt;='Gastos Gerais'!$D$4:$D$615),-(Analítico!U$3&lt;='Gastos Gerais'!$E$4:$E$615),-('Gastos Gerais'!$C$4:$C$615))</f>
        <v>75500</v>
      </c>
      <c r="V120" s="73">
        <f>SUMPRODUCT(-('Gastos Gerais'!$B$4:$B$615=Analítico!$B120),-(Analítico!V$3&gt;='Gastos Gerais'!$D$4:$D$615),-(Analítico!V$3&lt;='Gastos Gerais'!$E$4:$E$615),-('Gastos Gerais'!$C$4:$C$615))</f>
        <v>75500</v>
      </c>
      <c r="W120" s="73">
        <f>SUMPRODUCT(-('Gastos Gerais'!$B$4:$B$615=Analítico!$B120),-(Analítico!W$3&gt;='Gastos Gerais'!$D$4:$D$615),-(Analítico!W$3&lt;='Gastos Gerais'!$E$4:$E$615),-('Gastos Gerais'!$C$4:$C$615))</f>
        <v>75500</v>
      </c>
      <c r="X120" s="73">
        <f>SUMPRODUCT(-('Gastos Gerais'!$B$4:$B$615=Analítico!$B120),-(Analítico!X$3&gt;='Gastos Gerais'!$D$4:$D$615),-(Analítico!X$3&lt;='Gastos Gerais'!$E$4:$E$615),-('Gastos Gerais'!$C$4:$C$615))</f>
        <v>75500</v>
      </c>
      <c r="Y120" s="73">
        <f>SUMPRODUCT(-('Gastos Gerais'!$B$4:$B$615=Analítico!$B120),-(Analítico!Y$3&gt;='Gastos Gerais'!$D$4:$D$615),-(Analítico!Y$3&lt;='Gastos Gerais'!$E$4:$E$615),-('Gastos Gerais'!$C$4:$C$615))</f>
        <v>75500</v>
      </c>
      <c r="Z120" s="73">
        <f>SUMPRODUCT(-('Gastos Gerais'!$B$4:$B$615=Analítico!$B120),-(Analítico!Z$3&gt;='Gastos Gerais'!$D$4:$D$615),-(Analítico!Z$3&lt;='Gastos Gerais'!$E$4:$E$615),-('Gastos Gerais'!$C$4:$C$615))</f>
        <v>75500</v>
      </c>
      <c r="AA120" s="73">
        <f>SUMPRODUCT(-('Gastos Gerais'!$B$4:$B$615=Analítico!$B120),-(Analítico!AA$3&gt;='Gastos Gerais'!$D$4:$D$615),-(Analítico!AA$3&lt;='Gastos Gerais'!$E$4:$E$615),-('Gastos Gerais'!$C$4:$C$615))</f>
        <v>75500</v>
      </c>
      <c r="AB120" s="73">
        <f>SUMPRODUCT(-('Gastos Gerais'!$B$4:$B$615=Analítico!$B120),-(Analítico!AB$3&gt;='Gastos Gerais'!$D$4:$D$615),-(Analítico!AB$3&lt;='Gastos Gerais'!$E$4:$E$615),-('Gastos Gerais'!$C$4:$C$615))</f>
        <v>75500</v>
      </c>
      <c r="AC120" s="73">
        <f>SUMPRODUCT(-('Gastos Gerais'!$B$4:$B$615=Analítico!$B120),-(Analítico!AC$3&gt;='Gastos Gerais'!$D$4:$D$615),-(Analítico!AC$3&lt;='Gastos Gerais'!$E$4:$E$615),-('Gastos Gerais'!$C$4:$C$615))</f>
        <v>75500</v>
      </c>
      <c r="AD120" s="73">
        <f>SUMPRODUCT(-('Gastos Gerais'!$B$4:$B$615=Analítico!$B120),-(Analítico!AD$3&gt;='Gastos Gerais'!$D$4:$D$615),-(Analítico!AD$3&lt;='Gastos Gerais'!$E$4:$E$615),-('Gastos Gerais'!$C$4:$C$615))</f>
        <v>75500</v>
      </c>
      <c r="AE120" s="73">
        <f>SUMPRODUCT(-('Gastos Gerais'!$B$4:$B$615=Analítico!$B120),-(Analítico!AE$3&gt;='Gastos Gerais'!$D$4:$D$615),-(Analítico!AE$3&lt;='Gastos Gerais'!$E$4:$E$615),-('Gastos Gerais'!$C$4:$C$615))</f>
        <v>75500</v>
      </c>
      <c r="AF120" s="73">
        <f>SUMPRODUCT(-('Gastos Gerais'!$B$4:$B$615=Analítico!$B120),-(Analítico!AF$3&gt;='Gastos Gerais'!$D$4:$D$615),-(Analítico!AF$3&lt;='Gastos Gerais'!$E$4:$E$615),-('Gastos Gerais'!$C$4:$C$615))</f>
        <v>75500</v>
      </c>
      <c r="AG120" s="73">
        <f>SUMPRODUCT(-('Gastos Gerais'!$B$4:$B$615=Analítico!$B120),-(Analítico!AG$3&gt;='Gastos Gerais'!$D$4:$D$615),-(Analítico!AG$3&lt;='Gastos Gerais'!$E$4:$E$615),-('Gastos Gerais'!$C$4:$C$615))</f>
        <v>75500</v>
      </c>
      <c r="AH120" s="73">
        <f>SUMPRODUCT(-('Gastos Gerais'!$B$4:$B$615=Analítico!$B120),-(Analítico!AH$3&gt;='Gastos Gerais'!$D$4:$D$615),-(Analítico!AH$3&lt;='Gastos Gerais'!$E$4:$E$615),-('Gastos Gerais'!$C$4:$C$615))</f>
        <v>75500</v>
      </c>
      <c r="AI120" s="73">
        <f>SUMPRODUCT(-('Gastos Gerais'!$B$4:$B$615=Analítico!$B120),-(Analítico!AI$3&gt;='Gastos Gerais'!$D$4:$D$615),-(Analítico!AI$3&lt;='Gastos Gerais'!$E$4:$E$615),-('Gastos Gerais'!$C$4:$C$615))</f>
        <v>75500</v>
      </c>
      <c r="AJ120" s="73">
        <f>SUMPRODUCT(-('Gastos Gerais'!$B$4:$B$615=Analítico!$B120),-(Analítico!AJ$3&gt;='Gastos Gerais'!$D$4:$D$615),-(Analítico!AJ$3&lt;='Gastos Gerais'!$E$4:$E$615),-('Gastos Gerais'!$C$4:$C$615))</f>
        <v>75500</v>
      </c>
      <c r="AK120" s="73">
        <f>SUMPRODUCT(-('Gastos Gerais'!$B$4:$B$615=Analítico!$B120),-(Analítico!AK$3&gt;='Gastos Gerais'!$D$4:$D$615),-(Analítico!AK$3&lt;='Gastos Gerais'!$E$4:$E$615),-('Gastos Gerais'!$C$4:$C$615))</f>
        <v>75500</v>
      </c>
      <c r="AL120" s="73">
        <f>SUMPRODUCT(-('Gastos Gerais'!$B$4:$B$615=Analítico!$B120),-(Analítico!AL$3&gt;='Gastos Gerais'!$D$4:$D$615),-(Analítico!AL$3&lt;='Gastos Gerais'!$E$4:$E$615),-('Gastos Gerais'!$C$4:$C$615))</f>
        <v>75500</v>
      </c>
      <c r="AM120" s="73">
        <f>SUMPRODUCT(-('Gastos Gerais'!$B$4:$B$615=Analítico!$B120),-(Analítico!AM$3&gt;='Gastos Gerais'!$D$4:$D$615),-(Analítico!AM$3&lt;='Gastos Gerais'!$E$4:$E$615),-('Gastos Gerais'!$C$4:$C$615))</f>
        <v>0</v>
      </c>
      <c r="AN120" s="73">
        <f>SUMPRODUCT(-('Gastos Gerais'!$B$4:$B$615=Analítico!$B120),-(Analítico!AN$3&gt;='Gastos Gerais'!$D$4:$D$615),-(Analítico!AN$3&lt;='Gastos Gerais'!$E$4:$E$615),-('Gastos Gerais'!$C$4:$C$615))</f>
        <v>0</v>
      </c>
      <c r="AO120" s="73">
        <f>SUMPRODUCT(-('Gastos Gerais'!$B$4:$B$615=Analítico!$B120),-(Analítico!AO$3&gt;='Gastos Gerais'!$D$4:$D$615),-(Analítico!AO$3&lt;='Gastos Gerais'!$E$4:$E$615),-('Gastos Gerais'!$C$4:$C$615))</f>
        <v>0</v>
      </c>
      <c r="AP120" s="73">
        <f>SUMPRODUCT(-('Gastos Gerais'!$B$4:$B$615=Analítico!$B120),-(Analítico!AP$3&gt;='Gastos Gerais'!$D$4:$D$615),-(Analítico!AP$3&lt;='Gastos Gerais'!$E$4:$E$615),-('Gastos Gerais'!$C$4:$C$615))</f>
        <v>0</v>
      </c>
      <c r="AQ120" s="73">
        <f>SUMPRODUCT(-('Gastos Gerais'!$B$4:$B$615=Analítico!$B120),-(Analítico!AQ$3&gt;='Gastos Gerais'!$D$4:$D$615),-(Analítico!AQ$3&lt;='Gastos Gerais'!$E$4:$E$615),-('Gastos Gerais'!$C$4:$C$615))</f>
        <v>0</v>
      </c>
      <c r="AR120" s="73">
        <f>SUMPRODUCT(-('Gastos Gerais'!$B$4:$B$615=Analítico!$B120),-(Analítico!AR$3&gt;='Gastos Gerais'!$D$4:$D$615),-(Analítico!AR$3&lt;='Gastos Gerais'!$E$4:$E$615),-('Gastos Gerais'!$C$4:$C$615))</f>
        <v>0</v>
      </c>
      <c r="AS120" s="73">
        <f>SUMPRODUCT(-('Gastos Gerais'!$B$4:$B$615=Analítico!$B120),-(Analítico!AS$3&gt;='Gastos Gerais'!$D$4:$D$615),-(Analítico!AS$3&lt;='Gastos Gerais'!$E$4:$E$615),-('Gastos Gerais'!$C$4:$C$615))</f>
        <v>0</v>
      </c>
      <c r="AT120" s="73">
        <f>SUMPRODUCT(-('Gastos Gerais'!$B$4:$B$615=Analítico!$B120),-(Analítico!AT$3&gt;='Gastos Gerais'!$D$4:$D$615),-(Analítico!AT$3&lt;='Gastos Gerais'!$E$4:$E$615),-('Gastos Gerais'!$C$4:$C$615))</f>
        <v>0</v>
      </c>
      <c r="AU120" s="73">
        <f>SUMPRODUCT(-('Gastos Gerais'!$B$4:$B$615=Analítico!$B120),-(Analítico!AU$3&gt;='Gastos Gerais'!$D$4:$D$615),-(Analítico!AU$3&lt;='Gastos Gerais'!$E$4:$E$615),-('Gastos Gerais'!$C$4:$C$615))</f>
        <v>0</v>
      </c>
      <c r="AV120" s="73">
        <f>SUMPRODUCT(-('Gastos Gerais'!$B$4:$B$615=Analítico!$B120),-(Analítico!AV$3&gt;='Gastos Gerais'!$D$4:$D$615),-(Analítico!AV$3&lt;='Gastos Gerais'!$E$4:$E$615),-('Gastos Gerais'!$C$4:$C$615))</f>
        <v>0</v>
      </c>
      <c r="AW120" s="73">
        <f>SUMPRODUCT(-('Gastos Gerais'!$B$4:$B$615=Analítico!$B120),-(Analítico!AW$3&gt;='Gastos Gerais'!$D$4:$D$615),-(Analítico!AW$3&lt;='Gastos Gerais'!$E$4:$E$615),-('Gastos Gerais'!$C$4:$C$615))</f>
        <v>0</v>
      </c>
      <c r="AX120" s="73">
        <f>SUMPRODUCT(-('Gastos Gerais'!$B$4:$B$615=Analítico!$B120),-(Analítico!AX$3&gt;='Gastos Gerais'!$D$4:$D$615),-(Analítico!AX$3&lt;='Gastos Gerais'!$E$4:$E$615),-('Gastos Gerais'!$C$4:$C$615))</f>
        <v>0</v>
      </c>
      <c r="AY120" s="73">
        <f>SUMPRODUCT(-('Gastos Gerais'!$B$4:$B$615=Analítico!$B120),-(Analítico!AY$3&gt;='Gastos Gerais'!$D$4:$D$615),-(Analítico!AY$3&lt;='Gastos Gerais'!$E$4:$E$615),-('Gastos Gerais'!$C$4:$C$615))</f>
        <v>0</v>
      </c>
      <c r="AZ120" s="73">
        <f>SUMPRODUCT(-('Gastos Gerais'!$B$4:$B$615=Analítico!$B120),-(Analítico!AZ$3&gt;='Gastos Gerais'!$D$4:$D$615),-(Analítico!AZ$3&lt;='Gastos Gerais'!$E$4:$E$615),-('Gastos Gerais'!$C$4:$C$615))</f>
        <v>0</v>
      </c>
      <c r="BA120" s="73">
        <f>SUMPRODUCT(-('Gastos Gerais'!$B$4:$B$615=Analítico!$B120),-(Analítico!BA$3&gt;='Gastos Gerais'!$D$4:$D$615),-(Analítico!BA$3&lt;='Gastos Gerais'!$E$4:$E$615),-('Gastos Gerais'!$C$4:$C$615))</f>
        <v>0</v>
      </c>
      <c r="BB120" s="73">
        <f>SUMPRODUCT(-('Gastos Gerais'!$B$4:$B$615=Analítico!$B120),-(Analítico!BB$3&gt;='Gastos Gerais'!$D$4:$D$615),-(Analítico!BB$3&lt;='Gastos Gerais'!$E$4:$E$615),-('Gastos Gerais'!$C$4:$C$615))</f>
        <v>0</v>
      </c>
      <c r="BC120" s="73">
        <f>SUMPRODUCT(-('Gastos Gerais'!$B$4:$B$615=Analítico!$B120),-(Analítico!BC$3&gt;='Gastos Gerais'!$D$4:$D$615),-(Analítico!BC$3&lt;='Gastos Gerais'!$E$4:$E$615),-('Gastos Gerais'!$C$4:$C$615))</f>
        <v>0</v>
      </c>
      <c r="BD120" s="73">
        <f>SUMPRODUCT(-('Gastos Gerais'!$B$4:$B$615=Analítico!$B120),-(Analítico!BD$3&gt;='Gastos Gerais'!$D$4:$D$615),-(Analítico!BD$3&lt;='Gastos Gerais'!$E$4:$E$615),-('Gastos Gerais'!$C$4:$C$615))</f>
        <v>0</v>
      </c>
      <c r="BE120" s="73">
        <f>SUMPRODUCT(-('Gastos Gerais'!$B$4:$B$615=Analítico!$B120),-(Analítico!BE$3&gt;='Gastos Gerais'!$D$4:$D$615),-(Analítico!BE$3&lt;='Gastos Gerais'!$E$4:$E$615),-('Gastos Gerais'!$C$4:$C$615))</f>
        <v>0</v>
      </c>
      <c r="BF120" s="73">
        <f>SUMPRODUCT(-('Gastos Gerais'!$B$4:$B$615=Analítico!$B120),-(Analítico!BF$3&gt;='Gastos Gerais'!$D$4:$D$615),-(Analítico!BF$3&lt;='Gastos Gerais'!$E$4:$E$615),-('Gastos Gerais'!$C$4:$C$615))</f>
        <v>0</v>
      </c>
      <c r="BG120" s="73">
        <f>SUMPRODUCT(-('Gastos Gerais'!$B$4:$B$615=Analítico!$B120),-(Analítico!BG$3&gt;='Gastos Gerais'!$D$4:$D$615),-(Analítico!BG$3&lt;='Gastos Gerais'!$E$4:$E$615),-('Gastos Gerais'!$C$4:$C$615))</f>
        <v>0</v>
      </c>
      <c r="BH120" s="73">
        <f>SUMPRODUCT(-('Gastos Gerais'!$B$4:$B$615=Analítico!$B120),-(Analítico!BH$3&gt;='Gastos Gerais'!$D$4:$D$615),-(Analítico!BH$3&lt;='Gastos Gerais'!$E$4:$E$615),-('Gastos Gerais'!$C$4:$C$615))</f>
        <v>0</v>
      </c>
      <c r="BI120" s="73">
        <f>SUMPRODUCT(-('Gastos Gerais'!$B$4:$B$615=Analítico!$B120),-(Analítico!BI$3&gt;='Gastos Gerais'!$D$4:$D$615),-(Analítico!BI$3&lt;='Gastos Gerais'!$E$4:$E$615),-('Gastos Gerais'!$C$4:$C$615))</f>
        <v>0</v>
      </c>
      <c r="BJ120" s="73">
        <f>SUMPRODUCT(-('Gastos Gerais'!$B$4:$B$615=Analítico!$B120),-(Analítico!BJ$3&gt;='Gastos Gerais'!$D$4:$D$615),-(Analítico!BJ$3&lt;='Gastos Gerais'!$E$4:$E$615),-('Gastos Gerais'!$C$4:$C$615))</f>
        <v>0</v>
      </c>
      <c r="BK120" s="71">
        <f t="shared" ref="BK120:BK134" si="35">SUM(C120:BJ120)</f>
        <v>2718000</v>
      </c>
      <c r="BL120" s="76">
        <f t="shared" ref="BL120:BL134" ca="1" si="36">IF($BK$155=0,0,BK120/$BK$155)</f>
        <v>7.4136125203059632E-3</v>
      </c>
    </row>
    <row r="121" spans="1:64" s="49" customFormat="1" x14ac:dyDescent="0.2">
      <c r="A121" s="109" t="s">
        <v>310</v>
      </c>
      <c r="B121" s="112" t="s">
        <v>311</v>
      </c>
      <c r="C121" s="73">
        <f>SUMPRODUCT(-('Gastos Gerais'!$B$4:$B$615=Analítico!$B121),-(Analítico!C$3&gt;='Gastos Gerais'!$D$4:$D$615),-(Analítico!C$3&lt;='Gastos Gerais'!$E$4:$E$615),-('Gastos Gerais'!$C$4:$C$615))</f>
        <v>68000</v>
      </c>
      <c r="D121" s="73">
        <f>SUMPRODUCT(-('Gastos Gerais'!$B$4:$B$615=Analítico!$B121),-(Analítico!D$3&gt;='Gastos Gerais'!$D$4:$D$615),-(Analítico!D$3&lt;='Gastos Gerais'!$E$4:$E$615),-('Gastos Gerais'!$C$4:$C$615))</f>
        <v>68000</v>
      </c>
      <c r="E121" s="73">
        <f>SUMPRODUCT(-('Gastos Gerais'!$B$4:$B$615=Analítico!$B121),-(Analítico!E$3&gt;='Gastos Gerais'!$D$4:$D$615),-(Analítico!E$3&lt;='Gastos Gerais'!$E$4:$E$615),-('Gastos Gerais'!$C$4:$C$615))</f>
        <v>68000</v>
      </c>
      <c r="F121" s="73">
        <f>SUMPRODUCT(-('Gastos Gerais'!$B$4:$B$615=Analítico!$B121),-(Analítico!F$3&gt;='Gastos Gerais'!$D$4:$D$615),-(Analítico!F$3&lt;='Gastos Gerais'!$E$4:$E$615),-('Gastos Gerais'!$C$4:$C$615))</f>
        <v>68000</v>
      </c>
      <c r="G121" s="73">
        <f>SUMPRODUCT(-('Gastos Gerais'!$B$4:$B$615=Analítico!$B121),-(Analítico!G$3&gt;='Gastos Gerais'!$D$4:$D$615),-(Analítico!G$3&lt;='Gastos Gerais'!$E$4:$E$615),-('Gastos Gerais'!$C$4:$C$615))</f>
        <v>68000</v>
      </c>
      <c r="H121" s="73">
        <f>SUMPRODUCT(-('Gastos Gerais'!$B$4:$B$615=Analítico!$B121),-(Analítico!H$3&gt;='Gastos Gerais'!$D$4:$D$615),-(Analítico!H$3&lt;='Gastos Gerais'!$E$4:$E$615),-('Gastos Gerais'!$C$4:$C$615))</f>
        <v>68000</v>
      </c>
      <c r="I121" s="73">
        <f>SUMPRODUCT(-('Gastos Gerais'!$B$4:$B$615=Analítico!$B121),-(Analítico!I$3&gt;='Gastos Gerais'!$D$4:$D$615),-(Analítico!I$3&lt;='Gastos Gerais'!$E$4:$E$615),-('Gastos Gerais'!$C$4:$C$615))</f>
        <v>68000</v>
      </c>
      <c r="J121" s="73">
        <f>SUMPRODUCT(-('Gastos Gerais'!$B$4:$B$615=Analítico!$B121),-(Analítico!J$3&gt;='Gastos Gerais'!$D$4:$D$615),-(Analítico!J$3&lt;='Gastos Gerais'!$E$4:$E$615),-('Gastos Gerais'!$C$4:$C$615))</f>
        <v>68000</v>
      </c>
      <c r="K121" s="73">
        <f>SUMPRODUCT(-('Gastos Gerais'!$B$4:$B$615=Analítico!$B121),-(Analítico!K$3&gt;='Gastos Gerais'!$D$4:$D$615),-(Analítico!K$3&lt;='Gastos Gerais'!$E$4:$E$615),-('Gastos Gerais'!$C$4:$C$615))</f>
        <v>68000</v>
      </c>
      <c r="L121" s="73">
        <f>SUMPRODUCT(-('Gastos Gerais'!$B$4:$B$615=Analítico!$B121),-(Analítico!L$3&gt;='Gastos Gerais'!$D$4:$D$615),-(Analítico!L$3&lt;='Gastos Gerais'!$E$4:$E$615),-('Gastos Gerais'!$C$4:$C$615))</f>
        <v>68000</v>
      </c>
      <c r="M121" s="73">
        <f>SUMPRODUCT(-('Gastos Gerais'!$B$4:$B$615=Analítico!$B121),-(Analítico!M$3&gt;='Gastos Gerais'!$D$4:$D$615),-(Analítico!M$3&lt;='Gastos Gerais'!$E$4:$E$615),-('Gastos Gerais'!$C$4:$C$615))</f>
        <v>68000</v>
      </c>
      <c r="N121" s="73">
        <f>SUMPRODUCT(-('Gastos Gerais'!$B$4:$B$615=Analítico!$B121),-(Analítico!N$3&gt;='Gastos Gerais'!$D$4:$D$615),-(Analítico!N$3&lt;='Gastos Gerais'!$E$4:$E$615),-('Gastos Gerais'!$C$4:$C$615))</f>
        <v>68000</v>
      </c>
      <c r="O121" s="73">
        <f>SUMPRODUCT(-('Gastos Gerais'!$B$4:$B$615=Analítico!$B121),-(Analítico!O$3&gt;='Gastos Gerais'!$D$4:$D$615),-(Analítico!O$3&lt;='Gastos Gerais'!$E$4:$E$615),-('Gastos Gerais'!$C$4:$C$615))</f>
        <v>68000</v>
      </c>
      <c r="P121" s="73">
        <f>SUMPRODUCT(-('Gastos Gerais'!$B$4:$B$615=Analítico!$B121),-(Analítico!P$3&gt;='Gastos Gerais'!$D$4:$D$615),-(Analítico!P$3&lt;='Gastos Gerais'!$E$4:$E$615),-('Gastos Gerais'!$C$4:$C$615))</f>
        <v>68000</v>
      </c>
      <c r="Q121" s="73">
        <f>SUMPRODUCT(-('Gastos Gerais'!$B$4:$B$615=Analítico!$B121),-(Analítico!Q$3&gt;='Gastos Gerais'!$D$4:$D$615),-(Analítico!Q$3&lt;='Gastos Gerais'!$E$4:$E$615),-('Gastos Gerais'!$C$4:$C$615))</f>
        <v>68000</v>
      </c>
      <c r="R121" s="73">
        <f>SUMPRODUCT(-('Gastos Gerais'!$B$4:$B$615=Analítico!$B121),-(Analítico!R$3&gt;='Gastos Gerais'!$D$4:$D$615),-(Analítico!R$3&lt;='Gastos Gerais'!$E$4:$E$615),-('Gastos Gerais'!$C$4:$C$615))</f>
        <v>68000</v>
      </c>
      <c r="S121" s="73">
        <f>SUMPRODUCT(-('Gastos Gerais'!$B$4:$B$615=Analítico!$B121),-(Analítico!S$3&gt;='Gastos Gerais'!$D$4:$D$615),-(Analítico!S$3&lt;='Gastos Gerais'!$E$4:$E$615),-('Gastos Gerais'!$C$4:$C$615))</f>
        <v>68000</v>
      </c>
      <c r="T121" s="73">
        <f>SUMPRODUCT(-('Gastos Gerais'!$B$4:$B$615=Analítico!$B121),-(Analítico!T$3&gt;='Gastos Gerais'!$D$4:$D$615),-(Analítico!T$3&lt;='Gastos Gerais'!$E$4:$E$615),-('Gastos Gerais'!$C$4:$C$615))</f>
        <v>68000</v>
      </c>
      <c r="U121" s="73">
        <f>SUMPRODUCT(-('Gastos Gerais'!$B$4:$B$615=Analítico!$B121),-(Analítico!U$3&gt;='Gastos Gerais'!$D$4:$D$615),-(Analítico!U$3&lt;='Gastos Gerais'!$E$4:$E$615),-('Gastos Gerais'!$C$4:$C$615))</f>
        <v>68000</v>
      </c>
      <c r="V121" s="73">
        <f>SUMPRODUCT(-('Gastos Gerais'!$B$4:$B$615=Analítico!$B121),-(Analítico!V$3&gt;='Gastos Gerais'!$D$4:$D$615),-(Analítico!V$3&lt;='Gastos Gerais'!$E$4:$E$615),-('Gastos Gerais'!$C$4:$C$615))</f>
        <v>68000</v>
      </c>
      <c r="W121" s="73">
        <f>SUMPRODUCT(-('Gastos Gerais'!$B$4:$B$615=Analítico!$B121),-(Analítico!W$3&gt;='Gastos Gerais'!$D$4:$D$615),-(Analítico!W$3&lt;='Gastos Gerais'!$E$4:$E$615),-('Gastos Gerais'!$C$4:$C$615))</f>
        <v>68000</v>
      </c>
      <c r="X121" s="73">
        <f>SUMPRODUCT(-('Gastos Gerais'!$B$4:$B$615=Analítico!$B121),-(Analítico!X$3&gt;='Gastos Gerais'!$D$4:$D$615),-(Analítico!X$3&lt;='Gastos Gerais'!$E$4:$E$615),-('Gastos Gerais'!$C$4:$C$615))</f>
        <v>68000</v>
      </c>
      <c r="Y121" s="73">
        <f>SUMPRODUCT(-('Gastos Gerais'!$B$4:$B$615=Analítico!$B121),-(Analítico!Y$3&gt;='Gastos Gerais'!$D$4:$D$615),-(Analítico!Y$3&lt;='Gastos Gerais'!$E$4:$E$615),-('Gastos Gerais'!$C$4:$C$615))</f>
        <v>68000</v>
      </c>
      <c r="Z121" s="73">
        <f>SUMPRODUCT(-('Gastos Gerais'!$B$4:$B$615=Analítico!$B121),-(Analítico!Z$3&gt;='Gastos Gerais'!$D$4:$D$615),-(Analítico!Z$3&lt;='Gastos Gerais'!$E$4:$E$615),-('Gastos Gerais'!$C$4:$C$615))</f>
        <v>68000</v>
      </c>
      <c r="AA121" s="73">
        <f>SUMPRODUCT(-('Gastos Gerais'!$B$4:$B$615=Analítico!$B121),-(Analítico!AA$3&gt;='Gastos Gerais'!$D$4:$D$615),-(Analítico!AA$3&lt;='Gastos Gerais'!$E$4:$E$615),-('Gastos Gerais'!$C$4:$C$615))</f>
        <v>68000</v>
      </c>
      <c r="AB121" s="73">
        <f>SUMPRODUCT(-('Gastos Gerais'!$B$4:$B$615=Analítico!$B121),-(Analítico!AB$3&gt;='Gastos Gerais'!$D$4:$D$615),-(Analítico!AB$3&lt;='Gastos Gerais'!$E$4:$E$615),-('Gastos Gerais'!$C$4:$C$615))</f>
        <v>68000</v>
      </c>
      <c r="AC121" s="73">
        <f>SUMPRODUCT(-('Gastos Gerais'!$B$4:$B$615=Analítico!$B121),-(Analítico!AC$3&gt;='Gastos Gerais'!$D$4:$D$615),-(Analítico!AC$3&lt;='Gastos Gerais'!$E$4:$E$615),-('Gastos Gerais'!$C$4:$C$615))</f>
        <v>68000</v>
      </c>
      <c r="AD121" s="73">
        <f>SUMPRODUCT(-('Gastos Gerais'!$B$4:$B$615=Analítico!$B121),-(Analítico!AD$3&gt;='Gastos Gerais'!$D$4:$D$615),-(Analítico!AD$3&lt;='Gastos Gerais'!$E$4:$E$615),-('Gastos Gerais'!$C$4:$C$615))</f>
        <v>68000</v>
      </c>
      <c r="AE121" s="73">
        <f>SUMPRODUCT(-('Gastos Gerais'!$B$4:$B$615=Analítico!$B121),-(Analítico!AE$3&gt;='Gastos Gerais'!$D$4:$D$615),-(Analítico!AE$3&lt;='Gastos Gerais'!$E$4:$E$615),-('Gastos Gerais'!$C$4:$C$615))</f>
        <v>68000</v>
      </c>
      <c r="AF121" s="73">
        <f>SUMPRODUCT(-('Gastos Gerais'!$B$4:$B$615=Analítico!$B121),-(Analítico!AF$3&gt;='Gastos Gerais'!$D$4:$D$615),-(Analítico!AF$3&lt;='Gastos Gerais'!$E$4:$E$615),-('Gastos Gerais'!$C$4:$C$615))</f>
        <v>68000</v>
      </c>
      <c r="AG121" s="73">
        <f>SUMPRODUCT(-('Gastos Gerais'!$B$4:$B$615=Analítico!$B121),-(Analítico!AG$3&gt;='Gastos Gerais'!$D$4:$D$615),-(Analítico!AG$3&lt;='Gastos Gerais'!$E$4:$E$615),-('Gastos Gerais'!$C$4:$C$615))</f>
        <v>68000</v>
      </c>
      <c r="AH121" s="73">
        <f>SUMPRODUCT(-('Gastos Gerais'!$B$4:$B$615=Analítico!$B121),-(Analítico!AH$3&gt;='Gastos Gerais'!$D$4:$D$615),-(Analítico!AH$3&lt;='Gastos Gerais'!$E$4:$E$615),-('Gastos Gerais'!$C$4:$C$615))</f>
        <v>68000</v>
      </c>
      <c r="AI121" s="73">
        <f>SUMPRODUCT(-('Gastos Gerais'!$B$4:$B$615=Analítico!$B121),-(Analítico!AI$3&gt;='Gastos Gerais'!$D$4:$D$615),-(Analítico!AI$3&lt;='Gastos Gerais'!$E$4:$E$615),-('Gastos Gerais'!$C$4:$C$615))</f>
        <v>68000</v>
      </c>
      <c r="AJ121" s="73">
        <f>SUMPRODUCT(-('Gastos Gerais'!$B$4:$B$615=Analítico!$B121),-(Analítico!AJ$3&gt;='Gastos Gerais'!$D$4:$D$615),-(Analítico!AJ$3&lt;='Gastos Gerais'!$E$4:$E$615),-('Gastos Gerais'!$C$4:$C$615))</f>
        <v>68000</v>
      </c>
      <c r="AK121" s="73">
        <f>SUMPRODUCT(-('Gastos Gerais'!$B$4:$B$615=Analítico!$B121),-(Analítico!AK$3&gt;='Gastos Gerais'!$D$4:$D$615),-(Analítico!AK$3&lt;='Gastos Gerais'!$E$4:$E$615),-('Gastos Gerais'!$C$4:$C$615))</f>
        <v>68000</v>
      </c>
      <c r="AL121" s="73">
        <f>SUMPRODUCT(-('Gastos Gerais'!$B$4:$B$615=Analítico!$B121),-(Analítico!AL$3&gt;='Gastos Gerais'!$D$4:$D$615),-(Analítico!AL$3&lt;='Gastos Gerais'!$E$4:$E$615),-('Gastos Gerais'!$C$4:$C$615))</f>
        <v>68000</v>
      </c>
      <c r="AM121" s="73">
        <f>SUMPRODUCT(-('Gastos Gerais'!$B$4:$B$615=Analítico!$B121),-(Analítico!AM$3&gt;='Gastos Gerais'!$D$4:$D$615),-(Analítico!AM$3&lt;='Gastos Gerais'!$E$4:$E$615),-('Gastos Gerais'!$C$4:$C$615))</f>
        <v>0</v>
      </c>
      <c r="AN121" s="73">
        <f>SUMPRODUCT(-('Gastos Gerais'!$B$4:$B$615=Analítico!$B121),-(Analítico!AN$3&gt;='Gastos Gerais'!$D$4:$D$615),-(Analítico!AN$3&lt;='Gastos Gerais'!$E$4:$E$615),-('Gastos Gerais'!$C$4:$C$615))</f>
        <v>0</v>
      </c>
      <c r="AO121" s="73">
        <f>SUMPRODUCT(-('Gastos Gerais'!$B$4:$B$615=Analítico!$B121),-(Analítico!AO$3&gt;='Gastos Gerais'!$D$4:$D$615),-(Analítico!AO$3&lt;='Gastos Gerais'!$E$4:$E$615),-('Gastos Gerais'!$C$4:$C$615))</f>
        <v>0</v>
      </c>
      <c r="AP121" s="73">
        <f>SUMPRODUCT(-('Gastos Gerais'!$B$4:$B$615=Analítico!$B121),-(Analítico!AP$3&gt;='Gastos Gerais'!$D$4:$D$615),-(Analítico!AP$3&lt;='Gastos Gerais'!$E$4:$E$615),-('Gastos Gerais'!$C$4:$C$615))</f>
        <v>0</v>
      </c>
      <c r="AQ121" s="73">
        <f>SUMPRODUCT(-('Gastos Gerais'!$B$4:$B$615=Analítico!$B121),-(Analítico!AQ$3&gt;='Gastos Gerais'!$D$4:$D$615),-(Analítico!AQ$3&lt;='Gastos Gerais'!$E$4:$E$615),-('Gastos Gerais'!$C$4:$C$615))</f>
        <v>0</v>
      </c>
      <c r="AR121" s="73">
        <f>SUMPRODUCT(-('Gastos Gerais'!$B$4:$B$615=Analítico!$B121),-(Analítico!AR$3&gt;='Gastos Gerais'!$D$4:$D$615),-(Analítico!AR$3&lt;='Gastos Gerais'!$E$4:$E$615),-('Gastos Gerais'!$C$4:$C$615))</f>
        <v>0</v>
      </c>
      <c r="AS121" s="73">
        <f>SUMPRODUCT(-('Gastos Gerais'!$B$4:$B$615=Analítico!$B121),-(Analítico!AS$3&gt;='Gastos Gerais'!$D$4:$D$615),-(Analítico!AS$3&lt;='Gastos Gerais'!$E$4:$E$615),-('Gastos Gerais'!$C$4:$C$615))</f>
        <v>0</v>
      </c>
      <c r="AT121" s="73">
        <f>SUMPRODUCT(-('Gastos Gerais'!$B$4:$B$615=Analítico!$B121),-(Analítico!AT$3&gt;='Gastos Gerais'!$D$4:$D$615),-(Analítico!AT$3&lt;='Gastos Gerais'!$E$4:$E$615),-('Gastos Gerais'!$C$4:$C$615))</f>
        <v>0</v>
      </c>
      <c r="AU121" s="73">
        <f>SUMPRODUCT(-('Gastos Gerais'!$B$4:$B$615=Analítico!$B121),-(Analítico!AU$3&gt;='Gastos Gerais'!$D$4:$D$615),-(Analítico!AU$3&lt;='Gastos Gerais'!$E$4:$E$615),-('Gastos Gerais'!$C$4:$C$615))</f>
        <v>0</v>
      </c>
      <c r="AV121" s="73">
        <f>SUMPRODUCT(-('Gastos Gerais'!$B$4:$B$615=Analítico!$B121),-(Analítico!AV$3&gt;='Gastos Gerais'!$D$4:$D$615),-(Analítico!AV$3&lt;='Gastos Gerais'!$E$4:$E$615),-('Gastos Gerais'!$C$4:$C$615))</f>
        <v>0</v>
      </c>
      <c r="AW121" s="73">
        <f>SUMPRODUCT(-('Gastos Gerais'!$B$4:$B$615=Analítico!$B121),-(Analítico!AW$3&gt;='Gastos Gerais'!$D$4:$D$615),-(Analítico!AW$3&lt;='Gastos Gerais'!$E$4:$E$615),-('Gastos Gerais'!$C$4:$C$615))</f>
        <v>0</v>
      </c>
      <c r="AX121" s="73">
        <f>SUMPRODUCT(-('Gastos Gerais'!$B$4:$B$615=Analítico!$B121),-(Analítico!AX$3&gt;='Gastos Gerais'!$D$4:$D$615),-(Analítico!AX$3&lt;='Gastos Gerais'!$E$4:$E$615),-('Gastos Gerais'!$C$4:$C$615))</f>
        <v>0</v>
      </c>
      <c r="AY121" s="73">
        <f>SUMPRODUCT(-('Gastos Gerais'!$B$4:$B$615=Analítico!$B121),-(Analítico!AY$3&gt;='Gastos Gerais'!$D$4:$D$615),-(Analítico!AY$3&lt;='Gastos Gerais'!$E$4:$E$615),-('Gastos Gerais'!$C$4:$C$615))</f>
        <v>0</v>
      </c>
      <c r="AZ121" s="73">
        <f>SUMPRODUCT(-('Gastos Gerais'!$B$4:$B$615=Analítico!$B121),-(Analítico!AZ$3&gt;='Gastos Gerais'!$D$4:$D$615),-(Analítico!AZ$3&lt;='Gastos Gerais'!$E$4:$E$615),-('Gastos Gerais'!$C$4:$C$615))</f>
        <v>0</v>
      </c>
      <c r="BA121" s="73">
        <f>SUMPRODUCT(-('Gastos Gerais'!$B$4:$B$615=Analítico!$B121),-(Analítico!BA$3&gt;='Gastos Gerais'!$D$4:$D$615),-(Analítico!BA$3&lt;='Gastos Gerais'!$E$4:$E$615),-('Gastos Gerais'!$C$4:$C$615))</f>
        <v>0</v>
      </c>
      <c r="BB121" s="73">
        <f>SUMPRODUCT(-('Gastos Gerais'!$B$4:$B$615=Analítico!$B121),-(Analítico!BB$3&gt;='Gastos Gerais'!$D$4:$D$615),-(Analítico!BB$3&lt;='Gastos Gerais'!$E$4:$E$615),-('Gastos Gerais'!$C$4:$C$615))</f>
        <v>0</v>
      </c>
      <c r="BC121" s="73">
        <f>SUMPRODUCT(-('Gastos Gerais'!$B$4:$B$615=Analítico!$B121),-(Analítico!BC$3&gt;='Gastos Gerais'!$D$4:$D$615),-(Analítico!BC$3&lt;='Gastos Gerais'!$E$4:$E$615),-('Gastos Gerais'!$C$4:$C$615))</f>
        <v>0</v>
      </c>
      <c r="BD121" s="73">
        <f>SUMPRODUCT(-('Gastos Gerais'!$B$4:$B$615=Analítico!$B121),-(Analítico!BD$3&gt;='Gastos Gerais'!$D$4:$D$615),-(Analítico!BD$3&lt;='Gastos Gerais'!$E$4:$E$615),-('Gastos Gerais'!$C$4:$C$615))</f>
        <v>0</v>
      </c>
      <c r="BE121" s="73">
        <f>SUMPRODUCT(-('Gastos Gerais'!$B$4:$B$615=Analítico!$B121),-(Analítico!BE$3&gt;='Gastos Gerais'!$D$4:$D$615),-(Analítico!BE$3&lt;='Gastos Gerais'!$E$4:$E$615),-('Gastos Gerais'!$C$4:$C$615))</f>
        <v>0</v>
      </c>
      <c r="BF121" s="73">
        <f>SUMPRODUCT(-('Gastos Gerais'!$B$4:$B$615=Analítico!$B121),-(Analítico!BF$3&gt;='Gastos Gerais'!$D$4:$D$615),-(Analítico!BF$3&lt;='Gastos Gerais'!$E$4:$E$615),-('Gastos Gerais'!$C$4:$C$615))</f>
        <v>0</v>
      </c>
      <c r="BG121" s="73">
        <f>SUMPRODUCT(-('Gastos Gerais'!$B$4:$B$615=Analítico!$B121),-(Analítico!BG$3&gt;='Gastos Gerais'!$D$4:$D$615),-(Analítico!BG$3&lt;='Gastos Gerais'!$E$4:$E$615),-('Gastos Gerais'!$C$4:$C$615))</f>
        <v>0</v>
      </c>
      <c r="BH121" s="73">
        <f>SUMPRODUCT(-('Gastos Gerais'!$B$4:$B$615=Analítico!$B121),-(Analítico!BH$3&gt;='Gastos Gerais'!$D$4:$D$615),-(Analítico!BH$3&lt;='Gastos Gerais'!$E$4:$E$615),-('Gastos Gerais'!$C$4:$C$615))</f>
        <v>0</v>
      </c>
      <c r="BI121" s="73">
        <f>SUMPRODUCT(-('Gastos Gerais'!$B$4:$B$615=Analítico!$B121),-(Analítico!BI$3&gt;='Gastos Gerais'!$D$4:$D$615),-(Analítico!BI$3&lt;='Gastos Gerais'!$E$4:$E$615),-('Gastos Gerais'!$C$4:$C$615))</f>
        <v>0</v>
      </c>
      <c r="BJ121" s="73">
        <f>SUMPRODUCT(-('Gastos Gerais'!$B$4:$B$615=Analítico!$B121),-(Analítico!BJ$3&gt;='Gastos Gerais'!$D$4:$D$615),-(Analítico!BJ$3&lt;='Gastos Gerais'!$E$4:$E$615),-('Gastos Gerais'!$C$4:$C$615))</f>
        <v>0</v>
      </c>
      <c r="BK121" s="71">
        <f t="shared" si="35"/>
        <v>2448000</v>
      </c>
      <c r="BL121" s="76">
        <f t="shared" ca="1" si="36"/>
        <v>6.6771609454411331E-3</v>
      </c>
    </row>
    <row r="122" spans="1:64" s="49" customFormat="1" ht="33.75" x14ac:dyDescent="0.2">
      <c r="A122" s="109" t="s">
        <v>312</v>
      </c>
      <c r="B122" s="112" t="s">
        <v>313</v>
      </c>
      <c r="C122" s="73">
        <f>SUMPRODUCT(-('Gastos Gerais'!$B$4:$B$615=Analítico!$B122),-(Analítico!C$3&gt;='Gastos Gerais'!$D$4:$D$615),-(Analítico!C$3&lt;='Gastos Gerais'!$E$4:$E$615),-('Gastos Gerais'!$C$4:$C$615))</f>
        <v>374000</v>
      </c>
      <c r="D122" s="73">
        <f>SUMPRODUCT(-('Gastos Gerais'!$B$4:$B$615=Analítico!$B122),-(Analítico!D$3&gt;='Gastos Gerais'!$D$4:$D$615),-(Analítico!D$3&lt;='Gastos Gerais'!$E$4:$E$615),-('Gastos Gerais'!$C$4:$C$615))</f>
        <v>0</v>
      </c>
      <c r="E122" s="73">
        <f>SUMPRODUCT(-('Gastos Gerais'!$B$4:$B$615=Analítico!$B122),-(Analítico!E$3&gt;='Gastos Gerais'!$D$4:$D$615),-(Analítico!E$3&lt;='Gastos Gerais'!$E$4:$E$615),-('Gastos Gerais'!$C$4:$C$615))</f>
        <v>0</v>
      </c>
      <c r="F122" s="73">
        <f>SUMPRODUCT(-('Gastos Gerais'!$B$4:$B$615=Analítico!$B122),-(Analítico!F$3&gt;='Gastos Gerais'!$D$4:$D$615),-(Analítico!F$3&lt;='Gastos Gerais'!$E$4:$E$615),-('Gastos Gerais'!$C$4:$C$615))</f>
        <v>0</v>
      </c>
      <c r="G122" s="73">
        <f>SUMPRODUCT(-('Gastos Gerais'!$B$4:$B$615=Analítico!$B122),-(Analítico!G$3&gt;='Gastos Gerais'!$D$4:$D$615),-(Analítico!G$3&lt;='Gastos Gerais'!$E$4:$E$615),-('Gastos Gerais'!$C$4:$C$615))</f>
        <v>0</v>
      </c>
      <c r="H122" s="73">
        <f>SUMPRODUCT(-('Gastos Gerais'!$B$4:$B$615=Analítico!$B122),-(Analítico!H$3&gt;='Gastos Gerais'!$D$4:$D$615),-(Analítico!H$3&lt;='Gastos Gerais'!$E$4:$E$615),-('Gastos Gerais'!$C$4:$C$615))</f>
        <v>0</v>
      </c>
      <c r="I122" s="73">
        <f>SUMPRODUCT(-('Gastos Gerais'!$B$4:$B$615=Analítico!$B122),-(Analítico!I$3&gt;='Gastos Gerais'!$D$4:$D$615),-(Analítico!I$3&lt;='Gastos Gerais'!$E$4:$E$615),-('Gastos Gerais'!$C$4:$C$615))</f>
        <v>0</v>
      </c>
      <c r="J122" s="73">
        <f>SUMPRODUCT(-('Gastos Gerais'!$B$4:$B$615=Analítico!$B122),-(Analítico!J$3&gt;='Gastos Gerais'!$D$4:$D$615),-(Analítico!J$3&lt;='Gastos Gerais'!$E$4:$E$615),-('Gastos Gerais'!$C$4:$C$615))</f>
        <v>0</v>
      </c>
      <c r="K122" s="73">
        <f>SUMPRODUCT(-('Gastos Gerais'!$B$4:$B$615=Analítico!$B122),-(Analítico!K$3&gt;='Gastos Gerais'!$D$4:$D$615),-(Analítico!K$3&lt;='Gastos Gerais'!$E$4:$E$615),-('Gastos Gerais'!$C$4:$C$615))</f>
        <v>0</v>
      </c>
      <c r="L122" s="73">
        <f>SUMPRODUCT(-('Gastos Gerais'!$B$4:$B$615=Analítico!$B122),-(Analítico!L$3&gt;='Gastos Gerais'!$D$4:$D$615),-(Analítico!L$3&lt;='Gastos Gerais'!$E$4:$E$615),-('Gastos Gerais'!$C$4:$C$615))</f>
        <v>0</v>
      </c>
      <c r="M122" s="73">
        <f>SUMPRODUCT(-('Gastos Gerais'!$B$4:$B$615=Analítico!$B122),-(Analítico!M$3&gt;='Gastos Gerais'!$D$4:$D$615),-(Analítico!M$3&lt;='Gastos Gerais'!$E$4:$E$615),-('Gastos Gerais'!$C$4:$C$615))</f>
        <v>0</v>
      </c>
      <c r="N122" s="73">
        <f>SUMPRODUCT(-('Gastos Gerais'!$B$4:$B$615=Analítico!$B122),-(Analítico!N$3&gt;='Gastos Gerais'!$D$4:$D$615),-(Analítico!N$3&lt;='Gastos Gerais'!$E$4:$E$615),-('Gastos Gerais'!$C$4:$C$615))</f>
        <v>0</v>
      </c>
      <c r="O122" s="73">
        <f>SUMPRODUCT(-('Gastos Gerais'!$B$4:$B$615=Analítico!$B122),-(Analítico!O$3&gt;='Gastos Gerais'!$D$4:$D$615),-(Analítico!O$3&lt;='Gastos Gerais'!$E$4:$E$615),-('Gastos Gerais'!$C$4:$C$615))</f>
        <v>190000</v>
      </c>
      <c r="P122" s="73">
        <f>SUMPRODUCT(-('Gastos Gerais'!$B$4:$B$615=Analítico!$B122),-(Analítico!P$3&gt;='Gastos Gerais'!$D$4:$D$615),-(Analítico!P$3&lt;='Gastos Gerais'!$E$4:$E$615),-('Gastos Gerais'!$C$4:$C$615))</f>
        <v>0</v>
      </c>
      <c r="Q122" s="73">
        <f>SUMPRODUCT(-('Gastos Gerais'!$B$4:$B$615=Analítico!$B122),-(Analítico!Q$3&gt;='Gastos Gerais'!$D$4:$D$615),-(Analítico!Q$3&lt;='Gastos Gerais'!$E$4:$E$615),-('Gastos Gerais'!$C$4:$C$615))</f>
        <v>0</v>
      </c>
      <c r="R122" s="73">
        <f>SUMPRODUCT(-('Gastos Gerais'!$B$4:$B$615=Analítico!$B122),-(Analítico!R$3&gt;='Gastos Gerais'!$D$4:$D$615),-(Analítico!R$3&lt;='Gastos Gerais'!$E$4:$E$615),-('Gastos Gerais'!$C$4:$C$615))</f>
        <v>0</v>
      </c>
      <c r="S122" s="73">
        <f>SUMPRODUCT(-('Gastos Gerais'!$B$4:$B$615=Analítico!$B122),-(Analítico!S$3&gt;='Gastos Gerais'!$D$4:$D$615),-(Analítico!S$3&lt;='Gastos Gerais'!$E$4:$E$615),-('Gastos Gerais'!$C$4:$C$615))</f>
        <v>0</v>
      </c>
      <c r="T122" s="73">
        <f>SUMPRODUCT(-('Gastos Gerais'!$B$4:$B$615=Analítico!$B122),-(Analítico!T$3&gt;='Gastos Gerais'!$D$4:$D$615),-(Analítico!T$3&lt;='Gastos Gerais'!$E$4:$E$615),-('Gastos Gerais'!$C$4:$C$615))</f>
        <v>0</v>
      </c>
      <c r="U122" s="73">
        <f>SUMPRODUCT(-('Gastos Gerais'!$B$4:$B$615=Analítico!$B122),-(Analítico!U$3&gt;='Gastos Gerais'!$D$4:$D$615),-(Analítico!U$3&lt;='Gastos Gerais'!$E$4:$E$615),-('Gastos Gerais'!$C$4:$C$615))</f>
        <v>0</v>
      </c>
      <c r="V122" s="73">
        <f>SUMPRODUCT(-('Gastos Gerais'!$B$4:$B$615=Analítico!$B122),-(Analítico!V$3&gt;='Gastos Gerais'!$D$4:$D$615),-(Analítico!V$3&lt;='Gastos Gerais'!$E$4:$E$615),-('Gastos Gerais'!$C$4:$C$615))</f>
        <v>0</v>
      </c>
      <c r="W122" s="73">
        <f>SUMPRODUCT(-('Gastos Gerais'!$B$4:$B$615=Analítico!$B122),-(Analítico!W$3&gt;='Gastos Gerais'!$D$4:$D$615),-(Analítico!W$3&lt;='Gastos Gerais'!$E$4:$E$615),-('Gastos Gerais'!$C$4:$C$615))</f>
        <v>0</v>
      </c>
      <c r="X122" s="73">
        <f>SUMPRODUCT(-('Gastos Gerais'!$B$4:$B$615=Analítico!$B122),-(Analítico!X$3&gt;='Gastos Gerais'!$D$4:$D$615),-(Analítico!X$3&lt;='Gastos Gerais'!$E$4:$E$615),-('Gastos Gerais'!$C$4:$C$615))</f>
        <v>0</v>
      </c>
      <c r="Y122" s="73">
        <f>SUMPRODUCT(-('Gastos Gerais'!$B$4:$B$615=Analítico!$B122),-(Analítico!Y$3&gt;='Gastos Gerais'!$D$4:$D$615),-(Analítico!Y$3&lt;='Gastos Gerais'!$E$4:$E$615),-('Gastos Gerais'!$C$4:$C$615))</f>
        <v>0</v>
      </c>
      <c r="Z122" s="73">
        <f>SUMPRODUCT(-('Gastos Gerais'!$B$4:$B$615=Analítico!$B122),-(Analítico!Z$3&gt;='Gastos Gerais'!$D$4:$D$615),-(Analítico!Z$3&lt;='Gastos Gerais'!$E$4:$E$615),-('Gastos Gerais'!$C$4:$C$615))</f>
        <v>0</v>
      </c>
      <c r="AA122" s="73">
        <f>SUMPRODUCT(-('Gastos Gerais'!$B$4:$B$615=Analítico!$B122),-(Analítico!AA$3&gt;='Gastos Gerais'!$D$4:$D$615),-(Analítico!AA$3&lt;='Gastos Gerais'!$E$4:$E$615),-('Gastos Gerais'!$C$4:$C$615))</f>
        <v>190000</v>
      </c>
      <c r="AB122" s="73">
        <f>SUMPRODUCT(-('Gastos Gerais'!$B$4:$B$615=Analítico!$B122),-(Analítico!AB$3&gt;='Gastos Gerais'!$D$4:$D$615),-(Analítico!AB$3&lt;='Gastos Gerais'!$E$4:$E$615),-('Gastos Gerais'!$C$4:$C$615))</f>
        <v>0</v>
      </c>
      <c r="AC122" s="73">
        <f>SUMPRODUCT(-('Gastos Gerais'!$B$4:$B$615=Analítico!$B122),-(Analítico!AC$3&gt;='Gastos Gerais'!$D$4:$D$615),-(Analítico!AC$3&lt;='Gastos Gerais'!$E$4:$E$615),-('Gastos Gerais'!$C$4:$C$615))</f>
        <v>0</v>
      </c>
      <c r="AD122" s="73">
        <f>SUMPRODUCT(-('Gastos Gerais'!$B$4:$B$615=Analítico!$B122),-(Analítico!AD$3&gt;='Gastos Gerais'!$D$4:$D$615),-(Analítico!AD$3&lt;='Gastos Gerais'!$E$4:$E$615),-('Gastos Gerais'!$C$4:$C$615))</f>
        <v>0</v>
      </c>
      <c r="AE122" s="73">
        <f>SUMPRODUCT(-('Gastos Gerais'!$B$4:$B$615=Analítico!$B122),-(Analítico!AE$3&gt;='Gastos Gerais'!$D$4:$D$615),-(Analítico!AE$3&lt;='Gastos Gerais'!$E$4:$E$615),-('Gastos Gerais'!$C$4:$C$615))</f>
        <v>0</v>
      </c>
      <c r="AF122" s="73">
        <f>SUMPRODUCT(-('Gastos Gerais'!$B$4:$B$615=Analítico!$B122),-(Analítico!AF$3&gt;='Gastos Gerais'!$D$4:$D$615),-(Analítico!AF$3&lt;='Gastos Gerais'!$E$4:$E$615),-('Gastos Gerais'!$C$4:$C$615))</f>
        <v>0</v>
      </c>
      <c r="AG122" s="73">
        <f>SUMPRODUCT(-('Gastos Gerais'!$B$4:$B$615=Analítico!$B122),-(Analítico!AG$3&gt;='Gastos Gerais'!$D$4:$D$615),-(Analítico!AG$3&lt;='Gastos Gerais'!$E$4:$E$615),-('Gastos Gerais'!$C$4:$C$615))</f>
        <v>0</v>
      </c>
      <c r="AH122" s="73">
        <f>SUMPRODUCT(-('Gastos Gerais'!$B$4:$B$615=Analítico!$B122),-(Analítico!AH$3&gt;='Gastos Gerais'!$D$4:$D$615),-(Analítico!AH$3&lt;='Gastos Gerais'!$E$4:$E$615),-('Gastos Gerais'!$C$4:$C$615))</f>
        <v>0</v>
      </c>
      <c r="AI122" s="73">
        <f>SUMPRODUCT(-('Gastos Gerais'!$B$4:$B$615=Analítico!$B122),-(Analítico!AI$3&gt;='Gastos Gerais'!$D$4:$D$615),-(Analítico!AI$3&lt;='Gastos Gerais'!$E$4:$E$615),-('Gastos Gerais'!$C$4:$C$615))</f>
        <v>0</v>
      </c>
      <c r="AJ122" s="73">
        <f>SUMPRODUCT(-('Gastos Gerais'!$B$4:$B$615=Analítico!$B122),-(Analítico!AJ$3&gt;='Gastos Gerais'!$D$4:$D$615),-(Analítico!AJ$3&lt;='Gastos Gerais'!$E$4:$E$615),-('Gastos Gerais'!$C$4:$C$615))</f>
        <v>0</v>
      </c>
      <c r="AK122" s="73">
        <f>SUMPRODUCT(-('Gastos Gerais'!$B$4:$B$615=Analítico!$B122),-(Analítico!AK$3&gt;='Gastos Gerais'!$D$4:$D$615),-(Analítico!AK$3&lt;='Gastos Gerais'!$E$4:$E$615),-('Gastos Gerais'!$C$4:$C$615))</f>
        <v>0</v>
      </c>
      <c r="AL122" s="73">
        <f>SUMPRODUCT(-('Gastos Gerais'!$B$4:$B$615=Analítico!$B122),-(Analítico!AL$3&gt;='Gastos Gerais'!$D$4:$D$615),-(Analítico!AL$3&lt;='Gastos Gerais'!$E$4:$E$615),-('Gastos Gerais'!$C$4:$C$615))</f>
        <v>0</v>
      </c>
      <c r="AM122" s="73">
        <f>SUMPRODUCT(-('Gastos Gerais'!$B$4:$B$615=Analítico!$B122),-(Analítico!AM$3&gt;='Gastos Gerais'!$D$4:$D$615),-(Analítico!AM$3&lt;='Gastos Gerais'!$E$4:$E$615),-('Gastos Gerais'!$C$4:$C$615))</f>
        <v>0</v>
      </c>
      <c r="AN122" s="73">
        <f>SUMPRODUCT(-('Gastos Gerais'!$B$4:$B$615=Analítico!$B122),-(Analítico!AN$3&gt;='Gastos Gerais'!$D$4:$D$615),-(Analítico!AN$3&lt;='Gastos Gerais'!$E$4:$E$615),-('Gastos Gerais'!$C$4:$C$615))</f>
        <v>0</v>
      </c>
      <c r="AO122" s="73">
        <f>SUMPRODUCT(-('Gastos Gerais'!$B$4:$B$615=Analítico!$B122),-(Analítico!AO$3&gt;='Gastos Gerais'!$D$4:$D$615),-(Analítico!AO$3&lt;='Gastos Gerais'!$E$4:$E$615),-('Gastos Gerais'!$C$4:$C$615))</f>
        <v>0</v>
      </c>
      <c r="AP122" s="73">
        <f>SUMPRODUCT(-('Gastos Gerais'!$B$4:$B$615=Analítico!$B122),-(Analítico!AP$3&gt;='Gastos Gerais'!$D$4:$D$615),-(Analítico!AP$3&lt;='Gastos Gerais'!$E$4:$E$615),-('Gastos Gerais'!$C$4:$C$615))</f>
        <v>0</v>
      </c>
      <c r="AQ122" s="73">
        <f>SUMPRODUCT(-('Gastos Gerais'!$B$4:$B$615=Analítico!$B122),-(Analítico!AQ$3&gt;='Gastos Gerais'!$D$4:$D$615),-(Analítico!AQ$3&lt;='Gastos Gerais'!$E$4:$E$615),-('Gastos Gerais'!$C$4:$C$615))</f>
        <v>0</v>
      </c>
      <c r="AR122" s="73">
        <f>SUMPRODUCT(-('Gastos Gerais'!$B$4:$B$615=Analítico!$B122),-(Analítico!AR$3&gt;='Gastos Gerais'!$D$4:$D$615),-(Analítico!AR$3&lt;='Gastos Gerais'!$E$4:$E$615),-('Gastos Gerais'!$C$4:$C$615))</f>
        <v>0</v>
      </c>
      <c r="AS122" s="73">
        <f>SUMPRODUCT(-('Gastos Gerais'!$B$4:$B$615=Analítico!$B122),-(Analítico!AS$3&gt;='Gastos Gerais'!$D$4:$D$615),-(Analítico!AS$3&lt;='Gastos Gerais'!$E$4:$E$615),-('Gastos Gerais'!$C$4:$C$615))</f>
        <v>0</v>
      </c>
      <c r="AT122" s="73">
        <f>SUMPRODUCT(-('Gastos Gerais'!$B$4:$B$615=Analítico!$B122),-(Analítico!AT$3&gt;='Gastos Gerais'!$D$4:$D$615),-(Analítico!AT$3&lt;='Gastos Gerais'!$E$4:$E$615),-('Gastos Gerais'!$C$4:$C$615))</f>
        <v>0</v>
      </c>
      <c r="AU122" s="73">
        <f>SUMPRODUCT(-('Gastos Gerais'!$B$4:$B$615=Analítico!$B122),-(Analítico!AU$3&gt;='Gastos Gerais'!$D$4:$D$615),-(Analítico!AU$3&lt;='Gastos Gerais'!$E$4:$E$615),-('Gastos Gerais'!$C$4:$C$615))</f>
        <v>0</v>
      </c>
      <c r="AV122" s="73">
        <f>SUMPRODUCT(-('Gastos Gerais'!$B$4:$B$615=Analítico!$B122),-(Analítico!AV$3&gt;='Gastos Gerais'!$D$4:$D$615),-(Analítico!AV$3&lt;='Gastos Gerais'!$E$4:$E$615),-('Gastos Gerais'!$C$4:$C$615))</f>
        <v>0</v>
      </c>
      <c r="AW122" s="73">
        <f>SUMPRODUCT(-('Gastos Gerais'!$B$4:$B$615=Analítico!$B122),-(Analítico!AW$3&gt;='Gastos Gerais'!$D$4:$D$615),-(Analítico!AW$3&lt;='Gastos Gerais'!$E$4:$E$615),-('Gastos Gerais'!$C$4:$C$615))</f>
        <v>0</v>
      </c>
      <c r="AX122" s="73">
        <f>SUMPRODUCT(-('Gastos Gerais'!$B$4:$B$615=Analítico!$B122),-(Analítico!AX$3&gt;='Gastos Gerais'!$D$4:$D$615),-(Analítico!AX$3&lt;='Gastos Gerais'!$E$4:$E$615),-('Gastos Gerais'!$C$4:$C$615))</f>
        <v>0</v>
      </c>
      <c r="AY122" s="73">
        <f>SUMPRODUCT(-('Gastos Gerais'!$B$4:$B$615=Analítico!$B122),-(Analítico!AY$3&gt;='Gastos Gerais'!$D$4:$D$615),-(Analítico!AY$3&lt;='Gastos Gerais'!$E$4:$E$615),-('Gastos Gerais'!$C$4:$C$615))</f>
        <v>0</v>
      </c>
      <c r="AZ122" s="73">
        <f>SUMPRODUCT(-('Gastos Gerais'!$B$4:$B$615=Analítico!$B122),-(Analítico!AZ$3&gt;='Gastos Gerais'!$D$4:$D$615),-(Analítico!AZ$3&lt;='Gastos Gerais'!$E$4:$E$615),-('Gastos Gerais'!$C$4:$C$615))</f>
        <v>0</v>
      </c>
      <c r="BA122" s="73">
        <f>SUMPRODUCT(-('Gastos Gerais'!$B$4:$B$615=Analítico!$B122),-(Analítico!BA$3&gt;='Gastos Gerais'!$D$4:$D$615),-(Analítico!BA$3&lt;='Gastos Gerais'!$E$4:$E$615),-('Gastos Gerais'!$C$4:$C$615))</f>
        <v>0</v>
      </c>
      <c r="BB122" s="73">
        <f>SUMPRODUCT(-('Gastos Gerais'!$B$4:$B$615=Analítico!$B122),-(Analítico!BB$3&gt;='Gastos Gerais'!$D$4:$D$615),-(Analítico!BB$3&lt;='Gastos Gerais'!$E$4:$E$615),-('Gastos Gerais'!$C$4:$C$615))</f>
        <v>0</v>
      </c>
      <c r="BC122" s="73">
        <f>SUMPRODUCT(-('Gastos Gerais'!$B$4:$B$615=Analítico!$B122),-(Analítico!BC$3&gt;='Gastos Gerais'!$D$4:$D$615),-(Analítico!BC$3&lt;='Gastos Gerais'!$E$4:$E$615),-('Gastos Gerais'!$C$4:$C$615))</f>
        <v>0</v>
      </c>
      <c r="BD122" s="73">
        <f>SUMPRODUCT(-('Gastos Gerais'!$B$4:$B$615=Analítico!$B122),-(Analítico!BD$3&gt;='Gastos Gerais'!$D$4:$D$615),-(Analítico!BD$3&lt;='Gastos Gerais'!$E$4:$E$615),-('Gastos Gerais'!$C$4:$C$615))</f>
        <v>0</v>
      </c>
      <c r="BE122" s="73">
        <f>SUMPRODUCT(-('Gastos Gerais'!$B$4:$B$615=Analítico!$B122),-(Analítico!BE$3&gt;='Gastos Gerais'!$D$4:$D$615),-(Analítico!BE$3&lt;='Gastos Gerais'!$E$4:$E$615),-('Gastos Gerais'!$C$4:$C$615))</f>
        <v>0</v>
      </c>
      <c r="BF122" s="73">
        <f>SUMPRODUCT(-('Gastos Gerais'!$B$4:$B$615=Analítico!$B122),-(Analítico!BF$3&gt;='Gastos Gerais'!$D$4:$D$615),-(Analítico!BF$3&lt;='Gastos Gerais'!$E$4:$E$615),-('Gastos Gerais'!$C$4:$C$615))</f>
        <v>0</v>
      </c>
      <c r="BG122" s="73">
        <f>SUMPRODUCT(-('Gastos Gerais'!$B$4:$B$615=Analítico!$B122),-(Analítico!BG$3&gt;='Gastos Gerais'!$D$4:$D$615),-(Analítico!BG$3&lt;='Gastos Gerais'!$E$4:$E$615),-('Gastos Gerais'!$C$4:$C$615))</f>
        <v>0</v>
      </c>
      <c r="BH122" s="73">
        <f>SUMPRODUCT(-('Gastos Gerais'!$B$4:$B$615=Analítico!$B122),-(Analítico!BH$3&gt;='Gastos Gerais'!$D$4:$D$615),-(Analítico!BH$3&lt;='Gastos Gerais'!$E$4:$E$615),-('Gastos Gerais'!$C$4:$C$615))</f>
        <v>0</v>
      </c>
      <c r="BI122" s="73">
        <f>SUMPRODUCT(-('Gastos Gerais'!$B$4:$B$615=Analítico!$B122),-(Analítico!BI$3&gt;='Gastos Gerais'!$D$4:$D$615),-(Analítico!BI$3&lt;='Gastos Gerais'!$E$4:$E$615),-('Gastos Gerais'!$C$4:$C$615))</f>
        <v>0</v>
      </c>
      <c r="BJ122" s="73">
        <f>SUMPRODUCT(-('Gastos Gerais'!$B$4:$B$615=Analítico!$B122),-(Analítico!BJ$3&gt;='Gastos Gerais'!$D$4:$D$615),-(Analítico!BJ$3&lt;='Gastos Gerais'!$E$4:$E$615),-('Gastos Gerais'!$C$4:$C$615))</f>
        <v>0</v>
      </c>
      <c r="BK122" s="71">
        <f t="shared" si="35"/>
        <v>754000</v>
      </c>
      <c r="BL122" s="76">
        <f t="shared" ca="1" si="36"/>
        <v>2.0566092127706757E-3</v>
      </c>
    </row>
    <row r="123" spans="1:64" s="49" customFormat="1" ht="23.25" customHeight="1" x14ac:dyDescent="0.2">
      <c r="A123" s="109" t="s">
        <v>314</v>
      </c>
      <c r="B123" s="112" t="s">
        <v>315</v>
      </c>
      <c r="C123" s="73">
        <f>SUMPRODUCT(-('Gastos Gerais'!$B$4:$B$615=Analítico!$B123),-(Analítico!C$3&gt;='Gastos Gerais'!$D$4:$D$615),-(Analítico!C$3&lt;='Gastos Gerais'!$E$4:$E$615),-('Gastos Gerais'!$C$4:$C$615))</f>
        <v>76000</v>
      </c>
      <c r="D123" s="73">
        <f>SUMPRODUCT(-('Gastos Gerais'!$B$4:$B$615=Analítico!$B123),-(Analítico!D$3&gt;='Gastos Gerais'!$D$4:$D$615),-(Analítico!D$3&lt;='Gastos Gerais'!$E$4:$E$615),-('Gastos Gerais'!$C$4:$C$615))</f>
        <v>76000</v>
      </c>
      <c r="E123" s="73">
        <f>SUMPRODUCT(-('Gastos Gerais'!$B$4:$B$615=Analítico!$B123),-(Analítico!E$3&gt;='Gastos Gerais'!$D$4:$D$615),-(Analítico!E$3&lt;='Gastos Gerais'!$E$4:$E$615),-('Gastos Gerais'!$C$4:$C$615))</f>
        <v>76000</v>
      </c>
      <c r="F123" s="73">
        <f>SUMPRODUCT(-('Gastos Gerais'!$B$4:$B$615=Analítico!$B123),-(Analítico!F$3&gt;='Gastos Gerais'!$D$4:$D$615),-(Analítico!F$3&lt;='Gastos Gerais'!$E$4:$E$615),-('Gastos Gerais'!$C$4:$C$615))</f>
        <v>76000</v>
      </c>
      <c r="G123" s="73">
        <f>SUMPRODUCT(-('Gastos Gerais'!$B$4:$B$615=Analítico!$B123),-(Analítico!G$3&gt;='Gastos Gerais'!$D$4:$D$615),-(Analítico!G$3&lt;='Gastos Gerais'!$E$4:$E$615),-('Gastos Gerais'!$C$4:$C$615))</f>
        <v>1026000</v>
      </c>
      <c r="H123" s="73">
        <f>SUMPRODUCT(-('Gastos Gerais'!$B$4:$B$615=Analítico!$B123),-(Analítico!H$3&gt;='Gastos Gerais'!$D$4:$D$615),-(Analítico!H$3&lt;='Gastos Gerais'!$E$4:$E$615),-('Gastos Gerais'!$C$4:$C$615))</f>
        <v>76000</v>
      </c>
      <c r="I123" s="73">
        <f>SUMPRODUCT(-('Gastos Gerais'!$B$4:$B$615=Analítico!$B123),-(Analítico!I$3&gt;='Gastos Gerais'!$D$4:$D$615),-(Analítico!I$3&lt;='Gastos Gerais'!$E$4:$E$615),-('Gastos Gerais'!$C$4:$C$615))</f>
        <v>76000</v>
      </c>
      <c r="J123" s="73">
        <f>SUMPRODUCT(-('Gastos Gerais'!$B$4:$B$615=Analítico!$B123),-(Analítico!J$3&gt;='Gastos Gerais'!$D$4:$D$615),-(Analítico!J$3&lt;='Gastos Gerais'!$E$4:$E$615),-('Gastos Gerais'!$C$4:$C$615))</f>
        <v>76000</v>
      </c>
      <c r="K123" s="73">
        <f>SUMPRODUCT(-('Gastos Gerais'!$B$4:$B$615=Analítico!$B123),-(Analítico!K$3&gt;='Gastos Gerais'!$D$4:$D$615),-(Analítico!K$3&lt;='Gastos Gerais'!$E$4:$E$615),-('Gastos Gerais'!$C$4:$C$615))</f>
        <v>76000</v>
      </c>
      <c r="L123" s="73">
        <f>SUMPRODUCT(-('Gastos Gerais'!$B$4:$B$615=Analítico!$B123),-(Analítico!L$3&gt;='Gastos Gerais'!$D$4:$D$615),-(Analítico!L$3&lt;='Gastos Gerais'!$E$4:$E$615),-('Gastos Gerais'!$C$4:$C$615))</f>
        <v>76000</v>
      </c>
      <c r="M123" s="73">
        <f>SUMPRODUCT(-('Gastos Gerais'!$B$4:$B$615=Analítico!$B123),-(Analítico!M$3&gt;='Gastos Gerais'!$D$4:$D$615),-(Analítico!M$3&lt;='Gastos Gerais'!$E$4:$E$615),-('Gastos Gerais'!$C$4:$C$615))</f>
        <v>76000</v>
      </c>
      <c r="N123" s="73">
        <f>SUMPRODUCT(-('Gastos Gerais'!$B$4:$B$615=Analítico!$B123),-(Analítico!N$3&gt;='Gastos Gerais'!$D$4:$D$615),-(Analítico!N$3&lt;='Gastos Gerais'!$E$4:$E$615),-('Gastos Gerais'!$C$4:$C$615))</f>
        <v>76000</v>
      </c>
      <c r="O123" s="73">
        <f>SUMPRODUCT(-('Gastos Gerais'!$B$4:$B$615=Analítico!$B123),-(Analítico!O$3&gt;='Gastos Gerais'!$D$4:$D$615),-(Analítico!O$3&lt;='Gastos Gerais'!$E$4:$E$615),-('Gastos Gerais'!$C$4:$C$615))</f>
        <v>76000</v>
      </c>
      <c r="P123" s="73">
        <f>SUMPRODUCT(-('Gastos Gerais'!$B$4:$B$615=Analítico!$B123),-(Analítico!P$3&gt;='Gastos Gerais'!$D$4:$D$615),-(Analítico!P$3&lt;='Gastos Gerais'!$E$4:$E$615),-('Gastos Gerais'!$C$4:$C$615))</f>
        <v>776000</v>
      </c>
      <c r="Q123" s="73">
        <f>SUMPRODUCT(-('Gastos Gerais'!$B$4:$B$615=Analítico!$B123),-(Analítico!Q$3&gt;='Gastos Gerais'!$D$4:$D$615),-(Analítico!Q$3&lt;='Gastos Gerais'!$E$4:$E$615),-('Gastos Gerais'!$C$4:$C$615))</f>
        <v>3276000</v>
      </c>
      <c r="R123" s="73">
        <f>SUMPRODUCT(-('Gastos Gerais'!$B$4:$B$615=Analítico!$B123),-(Analítico!R$3&gt;='Gastos Gerais'!$D$4:$D$615),-(Analítico!R$3&lt;='Gastos Gerais'!$E$4:$E$615),-('Gastos Gerais'!$C$4:$C$615))</f>
        <v>626000</v>
      </c>
      <c r="S123" s="73">
        <f>SUMPRODUCT(-('Gastos Gerais'!$B$4:$B$615=Analítico!$B123),-(Analítico!S$3&gt;='Gastos Gerais'!$D$4:$D$615),-(Analítico!S$3&lt;='Gastos Gerais'!$E$4:$E$615),-('Gastos Gerais'!$C$4:$C$615))</f>
        <v>76000</v>
      </c>
      <c r="T123" s="73">
        <f>SUMPRODUCT(-('Gastos Gerais'!$B$4:$B$615=Analítico!$B123),-(Analítico!T$3&gt;='Gastos Gerais'!$D$4:$D$615),-(Analítico!T$3&lt;='Gastos Gerais'!$E$4:$E$615),-('Gastos Gerais'!$C$4:$C$615))</f>
        <v>76000</v>
      </c>
      <c r="U123" s="73">
        <f>SUMPRODUCT(-('Gastos Gerais'!$B$4:$B$615=Analítico!$B123),-(Analítico!U$3&gt;='Gastos Gerais'!$D$4:$D$615),-(Analítico!U$3&lt;='Gastos Gerais'!$E$4:$E$615),-('Gastos Gerais'!$C$4:$C$615))</f>
        <v>76000</v>
      </c>
      <c r="V123" s="73">
        <f>SUMPRODUCT(-('Gastos Gerais'!$B$4:$B$615=Analítico!$B123),-(Analítico!V$3&gt;='Gastos Gerais'!$D$4:$D$615),-(Analítico!V$3&lt;='Gastos Gerais'!$E$4:$E$615),-('Gastos Gerais'!$C$4:$C$615))</f>
        <v>76000</v>
      </c>
      <c r="W123" s="73">
        <f>SUMPRODUCT(-('Gastos Gerais'!$B$4:$B$615=Analítico!$B123),-(Analítico!W$3&gt;='Gastos Gerais'!$D$4:$D$615),-(Analítico!W$3&lt;='Gastos Gerais'!$E$4:$E$615),-('Gastos Gerais'!$C$4:$C$615))</f>
        <v>76000</v>
      </c>
      <c r="X123" s="73">
        <f>SUMPRODUCT(-('Gastos Gerais'!$B$4:$B$615=Analítico!$B123),-(Analítico!X$3&gt;='Gastos Gerais'!$D$4:$D$615),-(Analítico!X$3&lt;='Gastos Gerais'!$E$4:$E$615),-('Gastos Gerais'!$C$4:$C$615))</f>
        <v>76000</v>
      </c>
      <c r="Y123" s="73">
        <f>SUMPRODUCT(-('Gastos Gerais'!$B$4:$B$615=Analítico!$B123),-(Analítico!Y$3&gt;='Gastos Gerais'!$D$4:$D$615),-(Analítico!Y$3&lt;='Gastos Gerais'!$E$4:$E$615),-('Gastos Gerais'!$C$4:$C$615))</f>
        <v>76000</v>
      </c>
      <c r="Z123" s="73">
        <f>SUMPRODUCT(-('Gastos Gerais'!$B$4:$B$615=Analítico!$B123),-(Analítico!Z$3&gt;='Gastos Gerais'!$D$4:$D$615),-(Analítico!Z$3&lt;='Gastos Gerais'!$E$4:$E$615),-('Gastos Gerais'!$C$4:$C$615))</f>
        <v>76000</v>
      </c>
      <c r="AA123" s="73">
        <f>SUMPRODUCT(-('Gastos Gerais'!$B$4:$B$615=Analítico!$B123),-(Analítico!AA$3&gt;='Gastos Gerais'!$D$4:$D$615),-(Analítico!AA$3&lt;='Gastos Gerais'!$E$4:$E$615),-('Gastos Gerais'!$C$4:$C$615))</f>
        <v>276000</v>
      </c>
      <c r="AB123" s="73">
        <f>SUMPRODUCT(-('Gastos Gerais'!$B$4:$B$615=Analítico!$B123),-(Analítico!AB$3&gt;='Gastos Gerais'!$D$4:$D$615),-(Analítico!AB$3&lt;='Gastos Gerais'!$E$4:$E$615),-('Gastos Gerais'!$C$4:$C$615))</f>
        <v>76000</v>
      </c>
      <c r="AC123" s="73">
        <f>SUMPRODUCT(-('Gastos Gerais'!$B$4:$B$615=Analítico!$B123),-(Analítico!AC$3&gt;='Gastos Gerais'!$D$4:$D$615),-(Analítico!AC$3&lt;='Gastos Gerais'!$E$4:$E$615),-('Gastos Gerais'!$C$4:$C$615))</f>
        <v>76000</v>
      </c>
      <c r="AD123" s="73">
        <f>SUMPRODUCT(-('Gastos Gerais'!$B$4:$B$615=Analítico!$B123),-(Analítico!AD$3&gt;='Gastos Gerais'!$D$4:$D$615),-(Analítico!AD$3&lt;='Gastos Gerais'!$E$4:$E$615),-('Gastos Gerais'!$C$4:$C$615))</f>
        <v>76000</v>
      </c>
      <c r="AE123" s="73">
        <f>SUMPRODUCT(-('Gastos Gerais'!$B$4:$B$615=Analítico!$B123),-(Analítico!AE$3&gt;='Gastos Gerais'!$D$4:$D$615),-(Analítico!AE$3&lt;='Gastos Gerais'!$E$4:$E$615),-('Gastos Gerais'!$C$4:$C$615))</f>
        <v>76000</v>
      </c>
      <c r="AF123" s="73">
        <f>SUMPRODUCT(-('Gastos Gerais'!$B$4:$B$615=Analítico!$B123),-(Analítico!AF$3&gt;='Gastos Gerais'!$D$4:$D$615),-(Analítico!AF$3&lt;='Gastos Gerais'!$E$4:$E$615),-('Gastos Gerais'!$C$4:$C$615))</f>
        <v>76000</v>
      </c>
      <c r="AG123" s="73">
        <f>SUMPRODUCT(-('Gastos Gerais'!$B$4:$B$615=Analítico!$B123),-(Analítico!AG$3&gt;='Gastos Gerais'!$D$4:$D$615),-(Analítico!AG$3&lt;='Gastos Gerais'!$E$4:$E$615),-('Gastos Gerais'!$C$4:$C$615))</f>
        <v>76000</v>
      </c>
      <c r="AH123" s="73">
        <f>SUMPRODUCT(-('Gastos Gerais'!$B$4:$B$615=Analítico!$B123),-(Analítico!AH$3&gt;='Gastos Gerais'!$D$4:$D$615),-(Analítico!AH$3&lt;='Gastos Gerais'!$E$4:$E$615),-('Gastos Gerais'!$C$4:$C$615))</f>
        <v>76000</v>
      </c>
      <c r="AI123" s="73">
        <f>SUMPRODUCT(-('Gastos Gerais'!$B$4:$B$615=Analítico!$B123),-(Analítico!AI$3&gt;='Gastos Gerais'!$D$4:$D$615),-(Analítico!AI$3&lt;='Gastos Gerais'!$E$4:$E$615),-('Gastos Gerais'!$C$4:$C$615))</f>
        <v>76000</v>
      </c>
      <c r="AJ123" s="73">
        <f>SUMPRODUCT(-('Gastos Gerais'!$B$4:$B$615=Analítico!$B123),-(Analítico!AJ$3&gt;='Gastos Gerais'!$D$4:$D$615),-(Analítico!AJ$3&lt;='Gastos Gerais'!$E$4:$E$615),-('Gastos Gerais'!$C$4:$C$615))</f>
        <v>76000</v>
      </c>
      <c r="AK123" s="73">
        <f>SUMPRODUCT(-('Gastos Gerais'!$B$4:$B$615=Analítico!$B123),-(Analítico!AK$3&gt;='Gastos Gerais'!$D$4:$D$615),-(Analítico!AK$3&lt;='Gastos Gerais'!$E$4:$E$615),-('Gastos Gerais'!$C$4:$C$615))</f>
        <v>76000</v>
      </c>
      <c r="AL123" s="73">
        <f>SUMPRODUCT(-('Gastos Gerais'!$B$4:$B$615=Analítico!$B123),-(Analítico!AL$3&gt;='Gastos Gerais'!$D$4:$D$615),-(Analítico!AL$3&lt;='Gastos Gerais'!$E$4:$E$615),-('Gastos Gerais'!$C$4:$C$615))</f>
        <v>76000</v>
      </c>
      <c r="AM123" s="73">
        <f>SUMPRODUCT(-('Gastos Gerais'!$B$4:$B$615=Analítico!$B123),-(Analítico!AM$3&gt;='Gastos Gerais'!$D$4:$D$615),-(Analítico!AM$3&lt;='Gastos Gerais'!$E$4:$E$615),-('Gastos Gerais'!$C$4:$C$615))</f>
        <v>0</v>
      </c>
      <c r="AN123" s="73">
        <f>SUMPRODUCT(-('Gastos Gerais'!$B$4:$B$615=Analítico!$B123),-(Analítico!AN$3&gt;='Gastos Gerais'!$D$4:$D$615),-(Analítico!AN$3&lt;='Gastos Gerais'!$E$4:$E$615),-('Gastos Gerais'!$C$4:$C$615))</f>
        <v>0</v>
      </c>
      <c r="AO123" s="73">
        <f>SUMPRODUCT(-('Gastos Gerais'!$B$4:$B$615=Analítico!$B123),-(Analítico!AO$3&gt;='Gastos Gerais'!$D$4:$D$615),-(Analítico!AO$3&lt;='Gastos Gerais'!$E$4:$E$615),-('Gastos Gerais'!$C$4:$C$615))</f>
        <v>0</v>
      </c>
      <c r="AP123" s="73">
        <f>SUMPRODUCT(-('Gastos Gerais'!$B$4:$B$615=Analítico!$B123),-(Analítico!AP$3&gt;='Gastos Gerais'!$D$4:$D$615),-(Analítico!AP$3&lt;='Gastos Gerais'!$E$4:$E$615),-('Gastos Gerais'!$C$4:$C$615))</f>
        <v>0</v>
      </c>
      <c r="AQ123" s="73">
        <f>SUMPRODUCT(-('Gastos Gerais'!$B$4:$B$615=Analítico!$B123),-(Analítico!AQ$3&gt;='Gastos Gerais'!$D$4:$D$615),-(Analítico!AQ$3&lt;='Gastos Gerais'!$E$4:$E$615),-('Gastos Gerais'!$C$4:$C$615))</f>
        <v>0</v>
      </c>
      <c r="AR123" s="73">
        <f>SUMPRODUCT(-('Gastos Gerais'!$B$4:$B$615=Analítico!$B123),-(Analítico!AR$3&gt;='Gastos Gerais'!$D$4:$D$615),-(Analítico!AR$3&lt;='Gastos Gerais'!$E$4:$E$615),-('Gastos Gerais'!$C$4:$C$615))</f>
        <v>0</v>
      </c>
      <c r="AS123" s="73">
        <f>SUMPRODUCT(-('Gastos Gerais'!$B$4:$B$615=Analítico!$B123),-(Analítico!AS$3&gt;='Gastos Gerais'!$D$4:$D$615),-(Analítico!AS$3&lt;='Gastos Gerais'!$E$4:$E$615),-('Gastos Gerais'!$C$4:$C$615))</f>
        <v>0</v>
      </c>
      <c r="AT123" s="73">
        <f>SUMPRODUCT(-('Gastos Gerais'!$B$4:$B$615=Analítico!$B123),-(Analítico!AT$3&gt;='Gastos Gerais'!$D$4:$D$615),-(Analítico!AT$3&lt;='Gastos Gerais'!$E$4:$E$615),-('Gastos Gerais'!$C$4:$C$615))</f>
        <v>0</v>
      </c>
      <c r="AU123" s="73">
        <f>SUMPRODUCT(-('Gastos Gerais'!$B$4:$B$615=Analítico!$B123),-(Analítico!AU$3&gt;='Gastos Gerais'!$D$4:$D$615),-(Analítico!AU$3&lt;='Gastos Gerais'!$E$4:$E$615),-('Gastos Gerais'!$C$4:$C$615))</f>
        <v>0</v>
      </c>
      <c r="AV123" s="73">
        <f>SUMPRODUCT(-('Gastos Gerais'!$B$4:$B$615=Analítico!$B123),-(Analítico!AV$3&gt;='Gastos Gerais'!$D$4:$D$615),-(Analítico!AV$3&lt;='Gastos Gerais'!$E$4:$E$615),-('Gastos Gerais'!$C$4:$C$615))</f>
        <v>0</v>
      </c>
      <c r="AW123" s="73">
        <f>SUMPRODUCT(-('Gastos Gerais'!$B$4:$B$615=Analítico!$B123),-(Analítico!AW$3&gt;='Gastos Gerais'!$D$4:$D$615),-(Analítico!AW$3&lt;='Gastos Gerais'!$E$4:$E$615),-('Gastos Gerais'!$C$4:$C$615))</f>
        <v>0</v>
      </c>
      <c r="AX123" s="73">
        <f>SUMPRODUCT(-('Gastos Gerais'!$B$4:$B$615=Analítico!$B123),-(Analítico!AX$3&gt;='Gastos Gerais'!$D$4:$D$615),-(Analítico!AX$3&lt;='Gastos Gerais'!$E$4:$E$615),-('Gastos Gerais'!$C$4:$C$615))</f>
        <v>0</v>
      </c>
      <c r="AY123" s="73">
        <f>SUMPRODUCT(-('Gastos Gerais'!$B$4:$B$615=Analítico!$B123),-(Analítico!AY$3&gt;='Gastos Gerais'!$D$4:$D$615),-(Analítico!AY$3&lt;='Gastos Gerais'!$E$4:$E$615),-('Gastos Gerais'!$C$4:$C$615))</f>
        <v>0</v>
      </c>
      <c r="AZ123" s="73">
        <f>SUMPRODUCT(-('Gastos Gerais'!$B$4:$B$615=Analítico!$B123),-(Analítico!AZ$3&gt;='Gastos Gerais'!$D$4:$D$615),-(Analítico!AZ$3&lt;='Gastos Gerais'!$E$4:$E$615),-('Gastos Gerais'!$C$4:$C$615))</f>
        <v>0</v>
      </c>
      <c r="BA123" s="73">
        <f>SUMPRODUCT(-('Gastos Gerais'!$B$4:$B$615=Analítico!$B123),-(Analítico!BA$3&gt;='Gastos Gerais'!$D$4:$D$615),-(Analítico!BA$3&lt;='Gastos Gerais'!$E$4:$E$615),-('Gastos Gerais'!$C$4:$C$615))</f>
        <v>0</v>
      </c>
      <c r="BB123" s="73">
        <f>SUMPRODUCT(-('Gastos Gerais'!$B$4:$B$615=Analítico!$B123),-(Analítico!BB$3&gt;='Gastos Gerais'!$D$4:$D$615),-(Analítico!BB$3&lt;='Gastos Gerais'!$E$4:$E$615),-('Gastos Gerais'!$C$4:$C$615))</f>
        <v>0</v>
      </c>
      <c r="BC123" s="73">
        <f>SUMPRODUCT(-('Gastos Gerais'!$B$4:$B$615=Analítico!$B123),-(Analítico!BC$3&gt;='Gastos Gerais'!$D$4:$D$615),-(Analítico!BC$3&lt;='Gastos Gerais'!$E$4:$E$615),-('Gastos Gerais'!$C$4:$C$615))</f>
        <v>0</v>
      </c>
      <c r="BD123" s="73">
        <f>SUMPRODUCT(-('Gastos Gerais'!$B$4:$B$615=Analítico!$B123),-(Analítico!BD$3&gt;='Gastos Gerais'!$D$4:$D$615),-(Analítico!BD$3&lt;='Gastos Gerais'!$E$4:$E$615),-('Gastos Gerais'!$C$4:$C$615))</f>
        <v>0</v>
      </c>
      <c r="BE123" s="73">
        <f>SUMPRODUCT(-('Gastos Gerais'!$B$4:$B$615=Analítico!$B123),-(Analítico!BE$3&gt;='Gastos Gerais'!$D$4:$D$615),-(Analítico!BE$3&lt;='Gastos Gerais'!$E$4:$E$615),-('Gastos Gerais'!$C$4:$C$615))</f>
        <v>0</v>
      </c>
      <c r="BF123" s="73">
        <f>SUMPRODUCT(-('Gastos Gerais'!$B$4:$B$615=Analítico!$B123),-(Analítico!BF$3&gt;='Gastos Gerais'!$D$4:$D$615),-(Analítico!BF$3&lt;='Gastos Gerais'!$E$4:$E$615),-('Gastos Gerais'!$C$4:$C$615))</f>
        <v>0</v>
      </c>
      <c r="BG123" s="73">
        <f>SUMPRODUCT(-('Gastos Gerais'!$B$4:$B$615=Analítico!$B123),-(Analítico!BG$3&gt;='Gastos Gerais'!$D$4:$D$615),-(Analítico!BG$3&lt;='Gastos Gerais'!$E$4:$E$615),-('Gastos Gerais'!$C$4:$C$615))</f>
        <v>0</v>
      </c>
      <c r="BH123" s="73">
        <f>SUMPRODUCT(-('Gastos Gerais'!$B$4:$B$615=Analítico!$B123),-(Analítico!BH$3&gt;='Gastos Gerais'!$D$4:$D$615),-(Analítico!BH$3&lt;='Gastos Gerais'!$E$4:$E$615),-('Gastos Gerais'!$C$4:$C$615))</f>
        <v>0</v>
      </c>
      <c r="BI123" s="73">
        <f>SUMPRODUCT(-('Gastos Gerais'!$B$4:$B$615=Analítico!$B123),-(Analítico!BI$3&gt;='Gastos Gerais'!$D$4:$D$615),-(Analítico!BI$3&lt;='Gastos Gerais'!$E$4:$E$615),-('Gastos Gerais'!$C$4:$C$615))</f>
        <v>0</v>
      </c>
      <c r="BJ123" s="73">
        <f>SUMPRODUCT(-('Gastos Gerais'!$B$4:$B$615=Analítico!$B123),-(Analítico!BJ$3&gt;='Gastos Gerais'!$D$4:$D$615),-(Analítico!BJ$3&lt;='Gastos Gerais'!$E$4:$E$615),-('Gastos Gerais'!$C$4:$C$615))</f>
        <v>0</v>
      </c>
      <c r="BK123" s="71">
        <f t="shared" si="35"/>
        <v>8336000</v>
      </c>
      <c r="BL123" s="76">
        <f t="shared" ca="1" si="36"/>
        <v>2.2737260474345294E-2</v>
      </c>
    </row>
    <row r="124" spans="1:64" s="49" customFormat="1" ht="23.25" customHeight="1" x14ac:dyDescent="0.2">
      <c r="A124" s="109" t="s">
        <v>316</v>
      </c>
      <c r="B124" s="112" t="s">
        <v>317</v>
      </c>
      <c r="C124" s="73">
        <f>SUMPRODUCT(-('Gastos Gerais'!$B$4:$B$615=Analítico!$B124),-(Analítico!C$3&gt;='Gastos Gerais'!$D$4:$D$615),-(Analítico!C$3&lt;='Gastos Gerais'!$E$4:$E$615),-('Gastos Gerais'!$C$4:$C$615))</f>
        <v>47500</v>
      </c>
      <c r="D124" s="73">
        <f>SUMPRODUCT(-('Gastos Gerais'!$B$4:$B$615=Analítico!$B124),-(Analítico!D$3&gt;='Gastos Gerais'!$D$4:$D$615),-(Analítico!D$3&lt;='Gastos Gerais'!$E$4:$E$615),-('Gastos Gerais'!$C$4:$C$615))</f>
        <v>0</v>
      </c>
      <c r="E124" s="73">
        <f>SUMPRODUCT(-('Gastos Gerais'!$B$4:$B$615=Analítico!$B124),-(Analítico!E$3&gt;='Gastos Gerais'!$D$4:$D$615),-(Analítico!E$3&lt;='Gastos Gerais'!$E$4:$E$615),-('Gastos Gerais'!$C$4:$C$615))</f>
        <v>0</v>
      </c>
      <c r="F124" s="73">
        <f>SUMPRODUCT(-('Gastos Gerais'!$B$4:$B$615=Analítico!$B124),-(Analítico!F$3&gt;='Gastos Gerais'!$D$4:$D$615),-(Analítico!F$3&lt;='Gastos Gerais'!$E$4:$E$615),-('Gastos Gerais'!$C$4:$C$615))</f>
        <v>0</v>
      </c>
      <c r="G124" s="73">
        <f>SUMPRODUCT(-('Gastos Gerais'!$B$4:$B$615=Analítico!$B124),-(Analítico!G$3&gt;='Gastos Gerais'!$D$4:$D$615),-(Analítico!G$3&lt;='Gastos Gerais'!$E$4:$E$615),-('Gastos Gerais'!$C$4:$C$615))</f>
        <v>0</v>
      </c>
      <c r="H124" s="73">
        <f>SUMPRODUCT(-('Gastos Gerais'!$B$4:$B$615=Analítico!$B124),-(Analítico!H$3&gt;='Gastos Gerais'!$D$4:$D$615),-(Analítico!H$3&lt;='Gastos Gerais'!$E$4:$E$615),-('Gastos Gerais'!$C$4:$C$615))</f>
        <v>0</v>
      </c>
      <c r="I124" s="73">
        <f>SUMPRODUCT(-('Gastos Gerais'!$B$4:$B$615=Analítico!$B124),-(Analítico!I$3&gt;='Gastos Gerais'!$D$4:$D$615),-(Analítico!I$3&lt;='Gastos Gerais'!$E$4:$E$615),-('Gastos Gerais'!$C$4:$C$615))</f>
        <v>0</v>
      </c>
      <c r="J124" s="73">
        <f>SUMPRODUCT(-('Gastos Gerais'!$B$4:$B$615=Analítico!$B124),-(Analítico!J$3&gt;='Gastos Gerais'!$D$4:$D$615),-(Analítico!J$3&lt;='Gastos Gerais'!$E$4:$E$615),-('Gastos Gerais'!$C$4:$C$615))</f>
        <v>0</v>
      </c>
      <c r="K124" s="73">
        <f>SUMPRODUCT(-('Gastos Gerais'!$B$4:$B$615=Analítico!$B124),-(Analítico!K$3&gt;='Gastos Gerais'!$D$4:$D$615),-(Analítico!K$3&lt;='Gastos Gerais'!$E$4:$E$615),-('Gastos Gerais'!$C$4:$C$615))</f>
        <v>0</v>
      </c>
      <c r="L124" s="73">
        <f>SUMPRODUCT(-('Gastos Gerais'!$B$4:$B$615=Analítico!$B124),-(Analítico!L$3&gt;='Gastos Gerais'!$D$4:$D$615),-(Analítico!L$3&lt;='Gastos Gerais'!$E$4:$E$615),-('Gastos Gerais'!$C$4:$C$615))</f>
        <v>0</v>
      </c>
      <c r="M124" s="73">
        <f>SUMPRODUCT(-('Gastos Gerais'!$B$4:$B$615=Analítico!$B124),-(Analítico!M$3&gt;='Gastos Gerais'!$D$4:$D$615),-(Analítico!M$3&lt;='Gastos Gerais'!$E$4:$E$615),-('Gastos Gerais'!$C$4:$C$615))</f>
        <v>0</v>
      </c>
      <c r="N124" s="73">
        <f>SUMPRODUCT(-('Gastos Gerais'!$B$4:$B$615=Analítico!$B124),-(Analítico!N$3&gt;='Gastos Gerais'!$D$4:$D$615),-(Analítico!N$3&lt;='Gastos Gerais'!$E$4:$E$615),-('Gastos Gerais'!$C$4:$C$615))</f>
        <v>0</v>
      </c>
      <c r="O124" s="73">
        <f>SUMPRODUCT(-('Gastos Gerais'!$B$4:$B$615=Analítico!$B124),-(Analítico!O$3&gt;='Gastos Gerais'!$D$4:$D$615),-(Analítico!O$3&lt;='Gastos Gerais'!$E$4:$E$615),-('Gastos Gerais'!$C$4:$C$615))</f>
        <v>46000</v>
      </c>
      <c r="P124" s="73">
        <f>SUMPRODUCT(-('Gastos Gerais'!$B$4:$B$615=Analítico!$B124),-(Analítico!P$3&gt;='Gastos Gerais'!$D$4:$D$615),-(Analítico!P$3&lt;='Gastos Gerais'!$E$4:$E$615),-('Gastos Gerais'!$C$4:$C$615))</f>
        <v>0</v>
      </c>
      <c r="Q124" s="73">
        <f>SUMPRODUCT(-('Gastos Gerais'!$B$4:$B$615=Analítico!$B124),-(Analítico!Q$3&gt;='Gastos Gerais'!$D$4:$D$615),-(Analítico!Q$3&lt;='Gastos Gerais'!$E$4:$E$615),-('Gastos Gerais'!$C$4:$C$615))</f>
        <v>0</v>
      </c>
      <c r="R124" s="73">
        <f>SUMPRODUCT(-('Gastos Gerais'!$B$4:$B$615=Analítico!$B124),-(Analítico!R$3&gt;='Gastos Gerais'!$D$4:$D$615),-(Analítico!R$3&lt;='Gastos Gerais'!$E$4:$E$615),-('Gastos Gerais'!$C$4:$C$615))</f>
        <v>0</v>
      </c>
      <c r="S124" s="73">
        <f>SUMPRODUCT(-('Gastos Gerais'!$B$4:$B$615=Analítico!$B124),-(Analítico!S$3&gt;='Gastos Gerais'!$D$4:$D$615),-(Analítico!S$3&lt;='Gastos Gerais'!$E$4:$E$615),-('Gastos Gerais'!$C$4:$C$615))</f>
        <v>0</v>
      </c>
      <c r="T124" s="73">
        <f>SUMPRODUCT(-('Gastos Gerais'!$B$4:$B$615=Analítico!$B124),-(Analítico!T$3&gt;='Gastos Gerais'!$D$4:$D$615),-(Analítico!T$3&lt;='Gastos Gerais'!$E$4:$E$615),-('Gastos Gerais'!$C$4:$C$615))</f>
        <v>0</v>
      </c>
      <c r="U124" s="73">
        <f>SUMPRODUCT(-('Gastos Gerais'!$B$4:$B$615=Analítico!$B124),-(Analítico!U$3&gt;='Gastos Gerais'!$D$4:$D$615),-(Analítico!U$3&lt;='Gastos Gerais'!$E$4:$E$615),-('Gastos Gerais'!$C$4:$C$615))</f>
        <v>0</v>
      </c>
      <c r="V124" s="73">
        <f>SUMPRODUCT(-('Gastos Gerais'!$B$4:$B$615=Analítico!$B124),-(Analítico!V$3&gt;='Gastos Gerais'!$D$4:$D$615),-(Analítico!V$3&lt;='Gastos Gerais'!$E$4:$E$615),-('Gastos Gerais'!$C$4:$C$615))</f>
        <v>0</v>
      </c>
      <c r="W124" s="73">
        <f>SUMPRODUCT(-('Gastos Gerais'!$B$4:$B$615=Analítico!$B124),-(Analítico!W$3&gt;='Gastos Gerais'!$D$4:$D$615),-(Analítico!W$3&lt;='Gastos Gerais'!$E$4:$E$615),-('Gastos Gerais'!$C$4:$C$615))</f>
        <v>0</v>
      </c>
      <c r="X124" s="73">
        <f>SUMPRODUCT(-('Gastos Gerais'!$B$4:$B$615=Analítico!$B124),-(Analítico!X$3&gt;='Gastos Gerais'!$D$4:$D$615),-(Analítico!X$3&lt;='Gastos Gerais'!$E$4:$E$615),-('Gastos Gerais'!$C$4:$C$615))</f>
        <v>0</v>
      </c>
      <c r="Y124" s="73">
        <f>SUMPRODUCT(-('Gastos Gerais'!$B$4:$B$615=Analítico!$B124),-(Analítico!Y$3&gt;='Gastos Gerais'!$D$4:$D$615),-(Analítico!Y$3&lt;='Gastos Gerais'!$E$4:$E$615),-('Gastos Gerais'!$C$4:$C$615))</f>
        <v>0</v>
      </c>
      <c r="Z124" s="73">
        <f>SUMPRODUCT(-('Gastos Gerais'!$B$4:$B$615=Analítico!$B124),-(Analítico!Z$3&gt;='Gastos Gerais'!$D$4:$D$615),-(Analítico!Z$3&lt;='Gastos Gerais'!$E$4:$E$615),-('Gastos Gerais'!$C$4:$C$615))</f>
        <v>0</v>
      </c>
      <c r="AA124" s="73">
        <f>SUMPRODUCT(-('Gastos Gerais'!$B$4:$B$615=Analítico!$B124),-(Analítico!AA$3&gt;='Gastos Gerais'!$D$4:$D$615),-(Analítico!AA$3&lt;='Gastos Gerais'!$E$4:$E$615),-('Gastos Gerais'!$C$4:$C$615))</f>
        <v>46000</v>
      </c>
      <c r="AB124" s="73">
        <f>SUMPRODUCT(-('Gastos Gerais'!$B$4:$B$615=Analítico!$B124),-(Analítico!AB$3&gt;='Gastos Gerais'!$D$4:$D$615),-(Analítico!AB$3&lt;='Gastos Gerais'!$E$4:$E$615),-('Gastos Gerais'!$C$4:$C$615))</f>
        <v>0</v>
      </c>
      <c r="AC124" s="73">
        <f>SUMPRODUCT(-('Gastos Gerais'!$B$4:$B$615=Analítico!$B124),-(Analítico!AC$3&gt;='Gastos Gerais'!$D$4:$D$615),-(Analítico!AC$3&lt;='Gastos Gerais'!$E$4:$E$615),-('Gastos Gerais'!$C$4:$C$615))</f>
        <v>0</v>
      </c>
      <c r="AD124" s="73">
        <f>SUMPRODUCT(-('Gastos Gerais'!$B$4:$B$615=Analítico!$B124),-(Analítico!AD$3&gt;='Gastos Gerais'!$D$4:$D$615),-(Analítico!AD$3&lt;='Gastos Gerais'!$E$4:$E$615),-('Gastos Gerais'!$C$4:$C$615))</f>
        <v>0</v>
      </c>
      <c r="AE124" s="73">
        <f>SUMPRODUCT(-('Gastos Gerais'!$B$4:$B$615=Analítico!$B124),-(Analítico!AE$3&gt;='Gastos Gerais'!$D$4:$D$615),-(Analítico!AE$3&lt;='Gastos Gerais'!$E$4:$E$615),-('Gastos Gerais'!$C$4:$C$615))</f>
        <v>0</v>
      </c>
      <c r="AF124" s="73">
        <f>SUMPRODUCT(-('Gastos Gerais'!$B$4:$B$615=Analítico!$B124),-(Analítico!AF$3&gt;='Gastos Gerais'!$D$4:$D$615),-(Analítico!AF$3&lt;='Gastos Gerais'!$E$4:$E$615),-('Gastos Gerais'!$C$4:$C$615))</f>
        <v>0</v>
      </c>
      <c r="AG124" s="73">
        <f>SUMPRODUCT(-('Gastos Gerais'!$B$4:$B$615=Analítico!$B124),-(Analítico!AG$3&gt;='Gastos Gerais'!$D$4:$D$615),-(Analítico!AG$3&lt;='Gastos Gerais'!$E$4:$E$615),-('Gastos Gerais'!$C$4:$C$615))</f>
        <v>0</v>
      </c>
      <c r="AH124" s="73">
        <f>SUMPRODUCT(-('Gastos Gerais'!$B$4:$B$615=Analítico!$B124),-(Analítico!AH$3&gt;='Gastos Gerais'!$D$4:$D$615),-(Analítico!AH$3&lt;='Gastos Gerais'!$E$4:$E$615),-('Gastos Gerais'!$C$4:$C$615))</f>
        <v>0</v>
      </c>
      <c r="AI124" s="73">
        <f>SUMPRODUCT(-('Gastos Gerais'!$B$4:$B$615=Analítico!$B124),-(Analítico!AI$3&gt;='Gastos Gerais'!$D$4:$D$615),-(Analítico!AI$3&lt;='Gastos Gerais'!$E$4:$E$615),-('Gastos Gerais'!$C$4:$C$615))</f>
        <v>0</v>
      </c>
      <c r="AJ124" s="73">
        <f>SUMPRODUCT(-('Gastos Gerais'!$B$4:$B$615=Analítico!$B124),-(Analítico!AJ$3&gt;='Gastos Gerais'!$D$4:$D$615),-(Analítico!AJ$3&lt;='Gastos Gerais'!$E$4:$E$615),-('Gastos Gerais'!$C$4:$C$615))</f>
        <v>0</v>
      </c>
      <c r="AK124" s="73">
        <f>SUMPRODUCT(-('Gastos Gerais'!$B$4:$B$615=Analítico!$B124),-(Analítico!AK$3&gt;='Gastos Gerais'!$D$4:$D$615),-(Analítico!AK$3&lt;='Gastos Gerais'!$E$4:$E$615),-('Gastos Gerais'!$C$4:$C$615))</f>
        <v>0</v>
      </c>
      <c r="AL124" s="73">
        <f>SUMPRODUCT(-('Gastos Gerais'!$B$4:$B$615=Analítico!$B124),-(Analítico!AL$3&gt;='Gastos Gerais'!$D$4:$D$615),-(Analítico!AL$3&lt;='Gastos Gerais'!$E$4:$E$615),-('Gastos Gerais'!$C$4:$C$615))</f>
        <v>0</v>
      </c>
      <c r="AM124" s="73">
        <f>SUMPRODUCT(-('Gastos Gerais'!$B$4:$B$615=Analítico!$B124),-(Analítico!AM$3&gt;='Gastos Gerais'!$D$4:$D$615),-(Analítico!AM$3&lt;='Gastos Gerais'!$E$4:$E$615),-('Gastos Gerais'!$C$4:$C$615))</f>
        <v>0</v>
      </c>
      <c r="AN124" s="73">
        <f>SUMPRODUCT(-('Gastos Gerais'!$B$4:$B$615=Analítico!$B124),-(Analítico!AN$3&gt;='Gastos Gerais'!$D$4:$D$615),-(Analítico!AN$3&lt;='Gastos Gerais'!$E$4:$E$615),-('Gastos Gerais'!$C$4:$C$615))</f>
        <v>0</v>
      </c>
      <c r="AO124" s="73">
        <f>SUMPRODUCT(-('Gastos Gerais'!$B$4:$B$615=Analítico!$B124),-(Analítico!AO$3&gt;='Gastos Gerais'!$D$4:$D$615),-(Analítico!AO$3&lt;='Gastos Gerais'!$E$4:$E$615),-('Gastos Gerais'!$C$4:$C$615))</f>
        <v>0</v>
      </c>
      <c r="AP124" s="73">
        <f>SUMPRODUCT(-('Gastos Gerais'!$B$4:$B$615=Analítico!$B124),-(Analítico!AP$3&gt;='Gastos Gerais'!$D$4:$D$615),-(Analítico!AP$3&lt;='Gastos Gerais'!$E$4:$E$615),-('Gastos Gerais'!$C$4:$C$615))</f>
        <v>0</v>
      </c>
      <c r="AQ124" s="73">
        <f>SUMPRODUCT(-('Gastos Gerais'!$B$4:$B$615=Analítico!$B124),-(Analítico!AQ$3&gt;='Gastos Gerais'!$D$4:$D$615),-(Analítico!AQ$3&lt;='Gastos Gerais'!$E$4:$E$615),-('Gastos Gerais'!$C$4:$C$615))</f>
        <v>0</v>
      </c>
      <c r="AR124" s="73">
        <f>SUMPRODUCT(-('Gastos Gerais'!$B$4:$B$615=Analítico!$B124),-(Analítico!AR$3&gt;='Gastos Gerais'!$D$4:$D$615),-(Analítico!AR$3&lt;='Gastos Gerais'!$E$4:$E$615),-('Gastos Gerais'!$C$4:$C$615))</f>
        <v>0</v>
      </c>
      <c r="AS124" s="73">
        <f>SUMPRODUCT(-('Gastos Gerais'!$B$4:$B$615=Analítico!$B124),-(Analítico!AS$3&gt;='Gastos Gerais'!$D$4:$D$615),-(Analítico!AS$3&lt;='Gastos Gerais'!$E$4:$E$615),-('Gastos Gerais'!$C$4:$C$615))</f>
        <v>0</v>
      </c>
      <c r="AT124" s="73">
        <f>SUMPRODUCT(-('Gastos Gerais'!$B$4:$B$615=Analítico!$B124),-(Analítico!AT$3&gt;='Gastos Gerais'!$D$4:$D$615),-(Analítico!AT$3&lt;='Gastos Gerais'!$E$4:$E$615),-('Gastos Gerais'!$C$4:$C$615))</f>
        <v>0</v>
      </c>
      <c r="AU124" s="73">
        <f>SUMPRODUCT(-('Gastos Gerais'!$B$4:$B$615=Analítico!$B124),-(Analítico!AU$3&gt;='Gastos Gerais'!$D$4:$D$615),-(Analítico!AU$3&lt;='Gastos Gerais'!$E$4:$E$615),-('Gastos Gerais'!$C$4:$C$615))</f>
        <v>0</v>
      </c>
      <c r="AV124" s="73">
        <f>SUMPRODUCT(-('Gastos Gerais'!$B$4:$B$615=Analítico!$B124),-(Analítico!AV$3&gt;='Gastos Gerais'!$D$4:$D$615),-(Analítico!AV$3&lt;='Gastos Gerais'!$E$4:$E$615),-('Gastos Gerais'!$C$4:$C$615))</f>
        <v>0</v>
      </c>
      <c r="AW124" s="73">
        <f>SUMPRODUCT(-('Gastos Gerais'!$B$4:$B$615=Analítico!$B124),-(Analítico!AW$3&gt;='Gastos Gerais'!$D$4:$D$615),-(Analítico!AW$3&lt;='Gastos Gerais'!$E$4:$E$615),-('Gastos Gerais'!$C$4:$C$615))</f>
        <v>0</v>
      </c>
      <c r="AX124" s="73">
        <f>SUMPRODUCT(-('Gastos Gerais'!$B$4:$B$615=Analítico!$B124),-(Analítico!AX$3&gt;='Gastos Gerais'!$D$4:$D$615),-(Analítico!AX$3&lt;='Gastos Gerais'!$E$4:$E$615),-('Gastos Gerais'!$C$4:$C$615))</f>
        <v>0</v>
      </c>
      <c r="AY124" s="73">
        <f>SUMPRODUCT(-('Gastos Gerais'!$B$4:$B$615=Analítico!$B124),-(Analítico!AY$3&gt;='Gastos Gerais'!$D$4:$D$615),-(Analítico!AY$3&lt;='Gastos Gerais'!$E$4:$E$615),-('Gastos Gerais'!$C$4:$C$615))</f>
        <v>0</v>
      </c>
      <c r="AZ124" s="73">
        <f>SUMPRODUCT(-('Gastos Gerais'!$B$4:$B$615=Analítico!$B124),-(Analítico!AZ$3&gt;='Gastos Gerais'!$D$4:$D$615),-(Analítico!AZ$3&lt;='Gastos Gerais'!$E$4:$E$615),-('Gastos Gerais'!$C$4:$C$615))</f>
        <v>0</v>
      </c>
      <c r="BA124" s="73">
        <f>SUMPRODUCT(-('Gastos Gerais'!$B$4:$B$615=Analítico!$B124),-(Analítico!BA$3&gt;='Gastos Gerais'!$D$4:$D$615),-(Analítico!BA$3&lt;='Gastos Gerais'!$E$4:$E$615),-('Gastos Gerais'!$C$4:$C$615))</f>
        <v>0</v>
      </c>
      <c r="BB124" s="73">
        <f>SUMPRODUCT(-('Gastos Gerais'!$B$4:$B$615=Analítico!$B124),-(Analítico!BB$3&gt;='Gastos Gerais'!$D$4:$D$615),-(Analítico!BB$3&lt;='Gastos Gerais'!$E$4:$E$615),-('Gastos Gerais'!$C$4:$C$615))</f>
        <v>0</v>
      </c>
      <c r="BC124" s="73">
        <f>SUMPRODUCT(-('Gastos Gerais'!$B$4:$B$615=Analítico!$B124),-(Analítico!BC$3&gt;='Gastos Gerais'!$D$4:$D$615),-(Analítico!BC$3&lt;='Gastos Gerais'!$E$4:$E$615),-('Gastos Gerais'!$C$4:$C$615))</f>
        <v>0</v>
      </c>
      <c r="BD124" s="73">
        <f>SUMPRODUCT(-('Gastos Gerais'!$B$4:$B$615=Analítico!$B124),-(Analítico!BD$3&gt;='Gastos Gerais'!$D$4:$D$615),-(Analítico!BD$3&lt;='Gastos Gerais'!$E$4:$E$615),-('Gastos Gerais'!$C$4:$C$615))</f>
        <v>0</v>
      </c>
      <c r="BE124" s="73">
        <f>SUMPRODUCT(-('Gastos Gerais'!$B$4:$B$615=Analítico!$B124),-(Analítico!BE$3&gt;='Gastos Gerais'!$D$4:$D$615),-(Analítico!BE$3&lt;='Gastos Gerais'!$E$4:$E$615),-('Gastos Gerais'!$C$4:$C$615))</f>
        <v>0</v>
      </c>
      <c r="BF124" s="73">
        <f>SUMPRODUCT(-('Gastos Gerais'!$B$4:$B$615=Analítico!$B124),-(Analítico!BF$3&gt;='Gastos Gerais'!$D$4:$D$615),-(Analítico!BF$3&lt;='Gastos Gerais'!$E$4:$E$615),-('Gastos Gerais'!$C$4:$C$615))</f>
        <v>0</v>
      </c>
      <c r="BG124" s="73">
        <f>SUMPRODUCT(-('Gastos Gerais'!$B$4:$B$615=Analítico!$B124),-(Analítico!BG$3&gt;='Gastos Gerais'!$D$4:$D$615),-(Analítico!BG$3&lt;='Gastos Gerais'!$E$4:$E$615),-('Gastos Gerais'!$C$4:$C$615))</f>
        <v>0</v>
      </c>
      <c r="BH124" s="73">
        <f>SUMPRODUCT(-('Gastos Gerais'!$B$4:$B$615=Analítico!$B124),-(Analítico!BH$3&gt;='Gastos Gerais'!$D$4:$D$615),-(Analítico!BH$3&lt;='Gastos Gerais'!$E$4:$E$615),-('Gastos Gerais'!$C$4:$C$615))</f>
        <v>0</v>
      </c>
      <c r="BI124" s="73">
        <f>SUMPRODUCT(-('Gastos Gerais'!$B$4:$B$615=Analítico!$B124),-(Analítico!BI$3&gt;='Gastos Gerais'!$D$4:$D$615),-(Analítico!BI$3&lt;='Gastos Gerais'!$E$4:$E$615),-('Gastos Gerais'!$C$4:$C$615))</f>
        <v>0</v>
      </c>
      <c r="BJ124" s="73">
        <f>SUMPRODUCT(-('Gastos Gerais'!$B$4:$B$615=Analítico!$B124),-(Analítico!BJ$3&gt;='Gastos Gerais'!$D$4:$D$615),-(Analítico!BJ$3&lt;='Gastos Gerais'!$E$4:$E$615),-('Gastos Gerais'!$C$4:$C$615))</f>
        <v>0</v>
      </c>
      <c r="BK124" s="71">
        <f t="shared" si="35"/>
        <v>139500</v>
      </c>
      <c r="BL124" s="76">
        <f t="shared" ca="1" si="36"/>
        <v>3.8049998034682923E-4</v>
      </c>
    </row>
    <row r="125" spans="1:64" s="49" customFormat="1" ht="23.25" customHeight="1" x14ac:dyDescent="0.2">
      <c r="A125" s="109" t="s">
        <v>318</v>
      </c>
      <c r="B125" s="112" t="s">
        <v>319</v>
      </c>
      <c r="C125" s="73">
        <f>SUMPRODUCT(-('Gastos Gerais'!$B$4:$B$615=Analítico!$B125),-(Analítico!C$3&gt;='Gastos Gerais'!$D$4:$D$615),-(Analítico!C$3&lt;='Gastos Gerais'!$E$4:$E$615),-('Gastos Gerais'!$C$4:$C$615))</f>
        <v>0</v>
      </c>
      <c r="D125" s="73">
        <f>SUMPRODUCT(-('Gastos Gerais'!$B$4:$B$615=Analítico!$B125),-(Analítico!D$3&gt;='Gastos Gerais'!$D$4:$D$615),-(Analítico!D$3&lt;='Gastos Gerais'!$E$4:$E$615),-('Gastos Gerais'!$C$4:$C$615))</f>
        <v>0</v>
      </c>
      <c r="E125" s="73">
        <f>SUMPRODUCT(-('Gastos Gerais'!$B$4:$B$615=Analítico!$B125),-(Analítico!E$3&gt;='Gastos Gerais'!$D$4:$D$615),-(Analítico!E$3&lt;='Gastos Gerais'!$E$4:$E$615),-('Gastos Gerais'!$C$4:$C$615))</f>
        <v>0</v>
      </c>
      <c r="F125" s="73">
        <f>SUMPRODUCT(-('Gastos Gerais'!$B$4:$B$615=Analítico!$B125),-(Analítico!F$3&gt;='Gastos Gerais'!$D$4:$D$615),-(Analítico!F$3&lt;='Gastos Gerais'!$E$4:$E$615),-('Gastos Gerais'!$C$4:$C$615))</f>
        <v>0</v>
      </c>
      <c r="G125" s="73">
        <f>SUMPRODUCT(-('Gastos Gerais'!$B$4:$B$615=Analítico!$B125),-(Analítico!G$3&gt;='Gastos Gerais'!$D$4:$D$615),-(Analítico!G$3&lt;='Gastos Gerais'!$E$4:$E$615),-('Gastos Gerais'!$C$4:$C$615))</f>
        <v>0</v>
      </c>
      <c r="H125" s="73">
        <f>SUMPRODUCT(-('Gastos Gerais'!$B$4:$B$615=Analítico!$B125),-(Analítico!H$3&gt;='Gastos Gerais'!$D$4:$D$615),-(Analítico!H$3&lt;='Gastos Gerais'!$E$4:$E$615),-('Gastos Gerais'!$C$4:$C$615))</f>
        <v>0</v>
      </c>
      <c r="I125" s="73">
        <f>SUMPRODUCT(-('Gastos Gerais'!$B$4:$B$615=Analítico!$B125),-(Analítico!I$3&gt;='Gastos Gerais'!$D$4:$D$615),-(Analítico!I$3&lt;='Gastos Gerais'!$E$4:$E$615),-('Gastos Gerais'!$C$4:$C$615))</f>
        <v>0</v>
      </c>
      <c r="J125" s="73">
        <f>SUMPRODUCT(-('Gastos Gerais'!$B$4:$B$615=Analítico!$B125),-(Analítico!J$3&gt;='Gastos Gerais'!$D$4:$D$615),-(Analítico!J$3&lt;='Gastos Gerais'!$E$4:$E$615),-('Gastos Gerais'!$C$4:$C$615))</f>
        <v>0</v>
      </c>
      <c r="K125" s="73">
        <f>SUMPRODUCT(-('Gastos Gerais'!$B$4:$B$615=Analítico!$B125),-(Analítico!K$3&gt;='Gastos Gerais'!$D$4:$D$615),-(Analítico!K$3&lt;='Gastos Gerais'!$E$4:$E$615),-('Gastos Gerais'!$C$4:$C$615))</f>
        <v>0</v>
      </c>
      <c r="L125" s="73">
        <f>SUMPRODUCT(-('Gastos Gerais'!$B$4:$B$615=Analítico!$B125),-(Analítico!L$3&gt;='Gastos Gerais'!$D$4:$D$615),-(Analítico!L$3&lt;='Gastos Gerais'!$E$4:$E$615),-('Gastos Gerais'!$C$4:$C$615))</f>
        <v>0</v>
      </c>
      <c r="M125" s="73">
        <f>SUMPRODUCT(-('Gastos Gerais'!$B$4:$B$615=Analítico!$B125),-(Analítico!M$3&gt;='Gastos Gerais'!$D$4:$D$615),-(Analítico!M$3&lt;='Gastos Gerais'!$E$4:$E$615),-('Gastos Gerais'!$C$4:$C$615))</f>
        <v>0</v>
      </c>
      <c r="N125" s="73">
        <f>SUMPRODUCT(-('Gastos Gerais'!$B$4:$B$615=Analítico!$B125),-(Analítico!N$3&gt;='Gastos Gerais'!$D$4:$D$615),-(Analítico!N$3&lt;='Gastos Gerais'!$E$4:$E$615),-('Gastos Gerais'!$C$4:$C$615))</f>
        <v>0</v>
      </c>
      <c r="O125" s="73">
        <f>SUMPRODUCT(-('Gastos Gerais'!$B$4:$B$615=Analítico!$B125),-(Analítico!O$3&gt;='Gastos Gerais'!$D$4:$D$615),-(Analítico!O$3&lt;='Gastos Gerais'!$E$4:$E$615),-('Gastos Gerais'!$C$4:$C$615))</f>
        <v>0</v>
      </c>
      <c r="P125" s="73">
        <f>SUMPRODUCT(-('Gastos Gerais'!$B$4:$B$615=Analítico!$B125),-(Analítico!P$3&gt;='Gastos Gerais'!$D$4:$D$615),-(Analítico!P$3&lt;='Gastos Gerais'!$E$4:$E$615),-('Gastos Gerais'!$C$4:$C$615))</f>
        <v>0</v>
      </c>
      <c r="Q125" s="73">
        <f>SUMPRODUCT(-('Gastos Gerais'!$B$4:$B$615=Analítico!$B125),-(Analítico!Q$3&gt;='Gastos Gerais'!$D$4:$D$615),-(Analítico!Q$3&lt;='Gastos Gerais'!$E$4:$E$615),-('Gastos Gerais'!$C$4:$C$615))</f>
        <v>0</v>
      </c>
      <c r="R125" s="73">
        <f>SUMPRODUCT(-('Gastos Gerais'!$B$4:$B$615=Analítico!$B125),-(Analítico!R$3&gt;='Gastos Gerais'!$D$4:$D$615),-(Analítico!R$3&lt;='Gastos Gerais'!$E$4:$E$615),-('Gastos Gerais'!$C$4:$C$615))</f>
        <v>0</v>
      </c>
      <c r="S125" s="73">
        <f>SUMPRODUCT(-('Gastos Gerais'!$B$4:$B$615=Analítico!$B125),-(Analítico!S$3&gt;='Gastos Gerais'!$D$4:$D$615),-(Analítico!S$3&lt;='Gastos Gerais'!$E$4:$E$615),-('Gastos Gerais'!$C$4:$C$615))</f>
        <v>0</v>
      </c>
      <c r="T125" s="73">
        <f>SUMPRODUCT(-('Gastos Gerais'!$B$4:$B$615=Analítico!$B125),-(Analítico!T$3&gt;='Gastos Gerais'!$D$4:$D$615),-(Analítico!T$3&lt;='Gastos Gerais'!$E$4:$E$615),-('Gastos Gerais'!$C$4:$C$615))</f>
        <v>0</v>
      </c>
      <c r="U125" s="73">
        <f>SUMPRODUCT(-('Gastos Gerais'!$B$4:$B$615=Analítico!$B125),-(Analítico!U$3&gt;='Gastos Gerais'!$D$4:$D$615),-(Analítico!U$3&lt;='Gastos Gerais'!$E$4:$E$615),-('Gastos Gerais'!$C$4:$C$615))</f>
        <v>0</v>
      </c>
      <c r="V125" s="73">
        <f>SUMPRODUCT(-('Gastos Gerais'!$B$4:$B$615=Analítico!$B125),-(Analítico!V$3&gt;='Gastos Gerais'!$D$4:$D$615),-(Analítico!V$3&lt;='Gastos Gerais'!$E$4:$E$615),-('Gastos Gerais'!$C$4:$C$615))</f>
        <v>0</v>
      </c>
      <c r="W125" s="73">
        <f>SUMPRODUCT(-('Gastos Gerais'!$B$4:$B$615=Analítico!$B125),-(Analítico!W$3&gt;='Gastos Gerais'!$D$4:$D$615),-(Analítico!W$3&lt;='Gastos Gerais'!$E$4:$E$615),-('Gastos Gerais'!$C$4:$C$615))</f>
        <v>0</v>
      </c>
      <c r="X125" s="73">
        <f>SUMPRODUCT(-('Gastos Gerais'!$B$4:$B$615=Analítico!$B125),-(Analítico!X$3&gt;='Gastos Gerais'!$D$4:$D$615),-(Analítico!X$3&lt;='Gastos Gerais'!$E$4:$E$615),-('Gastos Gerais'!$C$4:$C$615))</f>
        <v>0</v>
      </c>
      <c r="Y125" s="73">
        <f>SUMPRODUCT(-('Gastos Gerais'!$B$4:$B$615=Analítico!$B125),-(Analítico!Y$3&gt;='Gastos Gerais'!$D$4:$D$615),-(Analítico!Y$3&lt;='Gastos Gerais'!$E$4:$E$615),-('Gastos Gerais'!$C$4:$C$615))</f>
        <v>0</v>
      </c>
      <c r="Z125" s="73">
        <f>SUMPRODUCT(-('Gastos Gerais'!$B$4:$B$615=Analítico!$B125),-(Analítico!Z$3&gt;='Gastos Gerais'!$D$4:$D$615),-(Analítico!Z$3&lt;='Gastos Gerais'!$E$4:$E$615),-('Gastos Gerais'!$C$4:$C$615))</f>
        <v>0</v>
      </c>
      <c r="AA125" s="73">
        <f>SUMPRODUCT(-('Gastos Gerais'!$B$4:$B$615=Analítico!$B125),-(Analítico!AA$3&gt;='Gastos Gerais'!$D$4:$D$615),-(Analítico!AA$3&lt;='Gastos Gerais'!$E$4:$E$615),-('Gastos Gerais'!$C$4:$C$615))</f>
        <v>0</v>
      </c>
      <c r="AB125" s="73">
        <f>SUMPRODUCT(-('Gastos Gerais'!$B$4:$B$615=Analítico!$B125),-(Analítico!AB$3&gt;='Gastos Gerais'!$D$4:$D$615),-(Analítico!AB$3&lt;='Gastos Gerais'!$E$4:$E$615),-('Gastos Gerais'!$C$4:$C$615))</f>
        <v>0</v>
      </c>
      <c r="AC125" s="73">
        <f>SUMPRODUCT(-('Gastos Gerais'!$B$4:$B$615=Analítico!$B125),-(Analítico!AC$3&gt;='Gastos Gerais'!$D$4:$D$615),-(Analítico!AC$3&lt;='Gastos Gerais'!$E$4:$E$615),-('Gastos Gerais'!$C$4:$C$615))</f>
        <v>0</v>
      </c>
      <c r="AD125" s="73">
        <f>SUMPRODUCT(-('Gastos Gerais'!$B$4:$B$615=Analítico!$B125),-(Analítico!AD$3&gt;='Gastos Gerais'!$D$4:$D$615),-(Analítico!AD$3&lt;='Gastos Gerais'!$E$4:$E$615),-('Gastos Gerais'!$C$4:$C$615))</f>
        <v>0</v>
      </c>
      <c r="AE125" s="73">
        <f>SUMPRODUCT(-('Gastos Gerais'!$B$4:$B$615=Analítico!$B125),-(Analítico!AE$3&gt;='Gastos Gerais'!$D$4:$D$615),-(Analítico!AE$3&lt;='Gastos Gerais'!$E$4:$E$615),-('Gastos Gerais'!$C$4:$C$615))</f>
        <v>0</v>
      </c>
      <c r="AF125" s="73">
        <f>SUMPRODUCT(-('Gastos Gerais'!$B$4:$B$615=Analítico!$B125),-(Analítico!AF$3&gt;='Gastos Gerais'!$D$4:$D$615),-(Analítico!AF$3&lt;='Gastos Gerais'!$E$4:$E$615),-('Gastos Gerais'!$C$4:$C$615))</f>
        <v>0</v>
      </c>
      <c r="AG125" s="73">
        <f>SUMPRODUCT(-('Gastos Gerais'!$B$4:$B$615=Analítico!$B125),-(Analítico!AG$3&gt;='Gastos Gerais'!$D$4:$D$615),-(Analítico!AG$3&lt;='Gastos Gerais'!$E$4:$E$615),-('Gastos Gerais'!$C$4:$C$615))</f>
        <v>0</v>
      </c>
      <c r="AH125" s="73">
        <f>SUMPRODUCT(-('Gastos Gerais'!$B$4:$B$615=Analítico!$B125),-(Analítico!AH$3&gt;='Gastos Gerais'!$D$4:$D$615),-(Analítico!AH$3&lt;='Gastos Gerais'!$E$4:$E$615),-('Gastos Gerais'!$C$4:$C$615))</f>
        <v>0</v>
      </c>
      <c r="AI125" s="73">
        <f>SUMPRODUCT(-('Gastos Gerais'!$B$4:$B$615=Analítico!$B125),-(Analítico!AI$3&gt;='Gastos Gerais'!$D$4:$D$615),-(Analítico!AI$3&lt;='Gastos Gerais'!$E$4:$E$615),-('Gastos Gerais'!$C$4:$C$615))</f>
        <v>0</v>
      </c>
      <c r="AJ125" s="73">
        <f>SUMPRODUCT(-('Gastos Gerais'!$B$4:$B$615=Analítico!$B125),-(Analítico!AJ$3&gt;='Gastos Gerais'!$D$4:$D$615),-(Analítico!AJ$3&lt;='Gastos Gerais'!$E$4:$E$615),-('Gastos Gerais'!$C$4:$C$615))</f>
        <v>0</v>
      </c>
      <c r="AK125" s="73">
        <f>SUMPRODUCT(-('Gastos Gerais'!$B$4:$B$615=Analítico!$B125),-(Analítico!AK$3&gt;='Gastos Gerais'!$D$4:$D$615),-(Analítico!AK$3&lt;='Gastos Gerais'!$E$4:$E$615),-('Gastos Gerais'!$C$4:$C$615))</f>
        <v>0</v>
      </c>
      <c r="AL125" s="73">
        <f>SUMPRODUCT(-('Gastos Gerais'!$B$4:$B$615=Analítico!$B125),-(Analítico!AL$3&gt;='Gastos Gerais'!$D$4:$D$615),-(Analítico!AL$3&lt;='Gastos Gerais'!$E$4:$E$615),-('Gastos Gerais'!$C$4:$C$615))</f>
        <v>0</v>
      </c>
      <c r="AM125" s="73">
        <f>SUMPRODUCT(-('Gastos Gerais'!$B$4:$B$615=Analítico!$B125),-(Analítico!AM$3&gt;='Gastos Gerais'!$D$4:$D$615),-(Analítico!AM$3&lt;='Gastos Gerais'!$E$4:$E$615),-('Gastos Gerais'!$C$4:$C$615))</f>
        <v>0</v>
      </c>
      <c r="AN125" s="73">
        <f>SUMPRODUCT(-('Gastos Gerais'!$B$4:$B$615=Analítico!$B125),-(Analítico!AN$3&gt;='Gastos Gerais'!$D$4:$D$615),-(Analítico!AN$3&lt;='Gastos Gerais'!$E$4:$E$615),-('Gastos Gerais'!$C$4:$C$615))</f>
        <v>0</v>
      </c>
      <c r="AO125" s="73">
        <f>SUMPRODUCT(-('Gastos Gerais'!$B$4:$B$615=Analítico!$B125),-(Analítico!AO$3&gt;='Gastos Gerais'!$D$4:$D$615),-(Analítico!AO$3&lt;='Gastos Gerais'!$E$4:$E$615),-('Gastos Gerais'!$C$4:$C$615))</f>
        <v>0</v>
      </c>
      <c r="AP125" s="73">
        <f>SUMPRODUCT(-('Gastos Gerais'!$B$4:$B$615=Analítico!$B125),-(Analítico!AP$3&gt;='Gastos Gerais'!$D$4:$D$615),-(Analítico!AP$3&lt;='Gastos Gerais'!$E$4:$E$615),-('Gastos Gerais'!$C$4:$C$615))</f>
        <v>0</v>
      </c>
      <c r="AQ125" s="73">
        <f>SUMPRODUCT(-('Gastos Gerais'!$B$4:$B$615=Analítico!$B125),-(Analítico!AQ$3&gt;='Gastos Gerais'!$D$4:$D$615),-(Analítico!AQ$3&lt;='Gastos Gerais'!$E$4:$E$615),-('Gastos Gerais'!$C$4:$C$615))</f>
        <v>0</v>
      </c>
      <c r="AR125" s="73">
        <f>SUMPRODUCT(-('Gastos Gerais'!$B$4:$B$615=Analítico!$B125),-(Analítico!AR$3&gt;='Gastos Gerais'!$D$4:$D$615),-(Analítico!AR$3&lt;='Gastos Gerais'!$E$4:$E$615),-('Gastos Gerais'!$C$4:$C$615))</f>
        <v>0</v>
      </c>
      <c r="AS125" s="73">
        <f>SUMPRODUCT(-('Gastos Gerais'!$B$4:$B$615=Analítico!$B125),-(Analítico!AS$3&gt;='Gastos Gerais'!$D$4:$D$615),-(Analítico!AS$3&lt;='Gastos Gerais'!$E$4:$E$615),-('Gastos Gerais'!$C$4:$C$615))</f>
        <v>0</v>
      </c>
      <c r="AT125" s="73">
        <f>SUMPRODUCT(-('Gastos Gerais'!$B$4:$B$615=Analítico!$B125),-(Analítico!AT$3&gt;='Gastos Gerais'!$D$4:$D$615),-(Analítico!AT$3&lt;='Gastos Gerais'!$E$4:$E$615),-('Gastos Gerais'!$C$4:$C$615))</f>
        <v>0</v>
      </c>
      <c r="AU125" s="73">
        <f>SUMPRODUCT(-('Gastos Gerais'!$B$4:$B$615=Analítico!$B125),-(Analítico!AU$3&gt;='Gastos Gerais'!$D$4:$D$615),-(Analítico!AU$3&lt;='Gastos Gerais'!$E$4:$E$615),-('Gastos Gerais'!$C$4:$C$615))</f>
        <v>0</v>
      </c>
      <c r="AV125" s="73">
        <f>SUMPRODUCT(-('Gastos Gerais'!$B$4:$B$615=Analítico!$B125),-(Analítico!AV$3&gt;='Gastos Gerais'!$D$4:$D$615),-(Analítico!AV$3&lt;='Gastos Gerais'!$E$4:$E$615),-('Gastos Gerais'!$C$4:$C$615))</f>
        <v>0</v>
      </c>
      <c r="AW125" s="73">
        <f>SUMPRODUCT(-('Gastos Gerais'!$B$4:$B$615=Analítico!$B125),-(Analítico!AW$3&gt;='Gastos Gerais'!$D$4:$D$615),-(Analítico!AW$3&lt;='Gastos Gerais'!$E$4:$E$615),-('Gastos Gerais'!$C$4:$C$615))</f>
        <v>0</v>
      </c>
      <c r="AX125" s="73">
        <f>SUMPRODUCT(-('Gastos Gerais'!$B$4:$B$615=Analítico!$B125),-(Analítico!AX$3&gt;='Gastos Gerais'!$D$4:$D$615),-(Analítico!AX$3&lt;='Gastos Gerais'!$E$4:$E$615),-('Gastos Gerais'!$C$4:$C$615))</f>
        <v>0</v>
      </c>
      <c r="AY125" s="73">
        <f>SUMPRODUCT(-('Gastos Gerais'!$B$4:$B$615=Analítico!$B125),-(Analítico!AY$3&gt;='Gastos Gerais'!$D$4:$D$615),-(Analítico!AY$3&lt;='Gastos Gerais'!$E$4:$E$615),-('Gastos Gerais'!$C$4:$C$615))</f>
        <v>0</v>
      </c>
      <c r="AZ125" s="73">
        <f>SUMPRODUCT(-('Gastos Gerais'!$B$4:$B$615=Analítico!$B125),-(Analítico!AZ$3&gt;='Gastos Gerais'!$D$4:$D$615),-(Analítico!AZ$3&lt;='Gastos Gerais'!$E$4:$E$615),-('Gastos Gerais'!$C$4:$C$615))</f>
        <v>0</v>
      </c>
      <c r="BA125" s="73">
        <f>SUMPRODUCT(-('Gastos Gerais'!$B$4:$B$615=Analítico!$B125),-(Analítico!BA$3&gt;='Gastos Gerais'!$D$4:$D$615),-(Analítico!BA$3&lt;='Gastos Gerais'!$E$4:$E$615),-('Gastos Gerais'!$C$4:$C$615))</f>
        <v>0</v>
      </c>
      <c r="BB125" s="73">
        <f>SUMPRODUCT(-('Gastos Gerais'!$B$4:$B$615=Analítico!$B125),-(Analítico!BB$3&gt;='Gastos Gerais'!$D$4:$D$615),-(Analítico!BB$3&lt;='Gastos Gerais'!$E$4:$E$615),-('Gastos Gerais'!$C$4:$C$615))</f>
        <v>0</v>
      </c>
      <c r="BC125" s="73">
        <f>SUMPRODUCT(-('Gastos Gerais'!$B$4:$B$615=Analítico!$B125),-(Analítico!BC$3&gt;='Gastos Gerais'!$D$4:$D$615),-(Analítico!BC$3&lt;='Gastos Gerais'!$E$4:$E$615),-('Gastos Gerais'!$C$4:$C$615))</f>
        <v>0</v>
      </c>
      <c r="BD125" s="73">
        <f>SUMPRODUCT(-('Gastos Gerais'!$B$4:$B$615=Analítico!$B125),-(Analítico!BD$3&gt;='Gastos Gerais'!$D$4:$D$615),-(Analítico!BD$3&lt;='Gastos Gerais'!$E$4:$E$615),-('Gastos Gerais'!$C$4:$C$615))</f>
        <v>0</v>
      </c>
      <c r="BE125" s="73">
        <f>SUMPRODUCT(-('Gastos Gerais'!$B$4:$B$615=Analítico!$B125),-(Analítico!BE$3&gt;='Gastos Gerais'!$D$4:$D$615),-(Analítico!BE$3&lt;='Gastos Gerais'!$E$4:$E$615),-('Gastos Gerais'!$C$4:$C$615))</f>
        <v>0</v>
      </c>
      <c r="BF125" s="73">
        <f>SUMPRODUCT(-('Gastos Gerais'!$B$4:$B$615=Analítico!$B125),-(Analítico!BF$3&gt;='Gastos Gerais'!$D$4:$D$615),-(Analítico!BF$3&lt;='Gastos Gerais'!$E$4:$E$615),-('Gastos Gerais'!$C$4:$C$615))</f>
        <v>0</v>
      </c>
      <c r="BG125" s="73">
        <f>SUMPRODUCT(-('Gastos Gerais'!$B$4:$B$615=Analítico!$B125),-(Analítico!BG$3&gt;='Gastos Gerais'!$D$4:$D$615),-(Analítico!BG$3&lt;='Gastos Gerais'!$E$4:$E$615),-('Gastos Gerais'!$C$4:$C$615))</f>
        <v>0</v>
      </c>
      <c r="BH125" s="73">
        <f>SUMPRODUCT(-('Gastos Gerais'!$B$4:$B$615=Analítico!$B125),-(Analítico!BH$3&gt;='Gastos Gerais'!$D$4:$D$615),-(Analítico!BH$3&lt;='Gastos Gerais'!$E$4:$E$615),-('Gastos Gerais'!$C$4:$C$615))</f>
        <v>0</v>
      </c>
      <c r="BI125" s="73">
        <f>SUMPRODUCT(-('Gastos Gerais'!$B$4:$B$615=Analítico!$B125),-(Analítico!BI$3&gt;='Gastos Gerais'!$D$4:$D$615),-(Analítico!BI$3&lt;='Gastos Gerais'!$E$4:$E$615),-('Gastos Gerais'!$C$4:$C$615))</f>
        <v>0</v>
      </c>
      <c r="BJ125" s="73">
        <f>SUMPRODUCT(-('Gastos Gerais'!$B$4:$B$615=Analítico!$B125),-(Analítico!BJ$3&gt;='Gastos Gerais'!$D$4:$D$615),-(Analítico!BJ$3&lt;='Gastos Gerais'!$E$4:$E$615),-('Gastos Gerais'!$C$4:$C$615))</f>
        <v>0</v>
      </c>
      <c r="BK125" s="71">
        <f t="shared" si="35"/>
        <v>0</v>
      </c>
      <c r="BL125" s="76">
        <f t="shared" ca="1" si="36"/>
        <v>0</v>
      </c>
    </row>
    <row r="126" spans="1:64" s="49" customFormat="1" ht="23.25" customHeight="1" x14ac:dyDescent="0.2">
      <c r="A126" s="109" t="s">
        <v>320</v>
      </c>
      <c r="B126" s="112" t="s">
        <v>321</v>
      </c>
      <c r="C126" s="73">
        <f>SUMPRODUCT(-('Gastos Gerais'!$B$4:$B$615=Analítico!$B126),-(Analítico!C$3&gt;='Gastos Gerais'!$D$4:$D$615),-(Analítico!C$3&lt;='Gastos Gerais'!$E$4:$E$615),-('Gastos Gerais'!$C$4:$C$615))</f>
        <v>0</v>
      </c>
      <c r="D126" s="73">
        <f>SUMPRODUCT(-('Gastos Gerais'!$B$4:$B$615=Analítico!$B126),-(Analítico!D$3&gt;='Gastos Gerais'!$D$4:$D$615),-(Analítico!D$3&lt;='Gastos Gerais'!$E$4:$E$615),-('Gastos Gerais'!$C$4:$C$615))</f>
        <v>0</v>
      </c>
      <c r="E126" s="73">
        <f>SUMPRODUCT(-('Gastos Gerais'!$B$4:$B$615=Analítico!$B126),-(Analítico!E$3&gt;='Gastos Gerais'!$D$4:$D$615),-(Analítico!E$3&lt;='Gastos Gerais'!$E$4:$E$615),-('Gastos Gerais'!$C$4:$C$615))</f>
        <v>0</v>
      </c>
      <c r="F126" s="73">
        <f>SUMPRODUCT(-('Gastos Gerais'!$B$4:$B$615=Analítico!$B126),-(Analítico!F$3&gt;='Gastos Gerais'!$D$4:$D$615),-(Analítico!F$3&lt;='Gastos Gerais'!$E$4:$E$615),-('Gastos Gerais'!$C$4:$C$615))</f>
        <v>0</v>
      </c>
      <c r="G126" s="73">
        <f>SUMPRODUCT(-('Gastos Gerais'!$B$4:$B$615=Analítico!$B126),-(Analítico!G$3&gt;='Gastos Gerais'!$D$4:$D$615),-(Analítico!G$3&lt;='Gastos Gerais'!$E$4:$E$615),-('Gastos Gerais'!$C$4:$C$615))</f>
        <v>0</v>
      </c>
      <c r="H126" s="73">
        <f>SUMPRODUCT(-('Gastos Gerais'!$B$4:$B$615=Analítico!$B126),-(Analítico!H$3&gt;='Gastos Gerais'!$D$4:$D$615),-(Analítico!H$3&lt;='Gastos Gerais'!$E$4:$E$615),-('Gastos Gerais'!$C$4:$C$615))</f>
        <v>0</v>
      </c>
      <c r="I126" s="73">
        <f>SUMPRODUCT(-('Gastos Gerais'!$B$4:$B$615=Analítico!$B126),-(Analítico!I$3&gt;='Gastos Gerais'!$D$4:$D$615),-(Analítico!I$3&lt;='Gastos Gerais'!$E$4:$E$615),-('Gastos Gerais'!$C$4:$C$615))</f>
        <v>0</v>
      </c>
      <c r="J126" s="73">
        <f>SUMPRODUCT(-('Gastos Gerais'!$B$4:$B$615=Analítico!$B126),-(Analítico!J$3&gt;='Gastos Gerais'!$D$4:$D$615),-(Analítico!J$3&lt;='Gastos Gerais'!$E$4:$E$615),-('Gastos Gerais'!$C$4:$C$615))</f>
        <v>0</v>
      </c>
      <c r="K126" s="73">
        <f>SUMPRODUCT(-('Gastos Gerais'!$B$4:$B$615=Analítico!$B126),-(Analítico!K$3&gt;='Gastos Gerais'!$D$4:$D$615),-(Analítico!K$3&lt;='Gastos Gerais'!$E$4:$E$615),-('Gastos Gerais'!$C$4:$C$615))</f>
        <v>0</v>
      </c>
      <c r="L126" s="73">
        <f>SUMPRODUCT(-('Gastos Gerais'!$B$4:$B$615=Analítico!$B126),-(Analítico!L$3&gt;='Gastos Gerais'!$D$4:$D$615),-(Analítico!L$3&lt;='Gastos Gerais'!$E$4:$E$615),-('Gastos Gerais'!$C$4:$C$615))</f>
        <v>0</v>
      </c>
      <c r="M126" s="73">
        <f>SUMPRODUCT(-('Gastos Gerais'!$B$4:$B$615=Analítico!$B126),-(Analítico!M$3&gt;='Gastos Gerais'!$D$4:$D$615),-(Analítico!M$3&lt;='Gastos Gerais'!$E$4:$E$615),-('Gastos Gerais'!$C$4:$C$615))</f>
        <v>0</v>
      </c>
      <c r="N126" s="73">
        <f>SUMPRODUCT(-('Gastos Gerais'!$B$4:$B$615=Analítico!$B126),-(Analítico!N$3&gt;='Gastos Gerais'!$D$4:$D$615),-(Analítico!N$3&lt;='Gastos Gerais'!$E$4:$E$615),-('Gastos Gerais'!$C$4:$C$615))</f>
        <v>0</v>
      </c>
      <c r="O126" s="73">
        <f>SUMPRODUCT(-('Gastos Gerais'!$B$4:$B$615=Analítico!$B126),-(Analítico!O$3&gt;='Gastos Gerais'!$D$4:$D$615),-(Analítico!O$3&lt;='Gastos Gerais'!$E$4:$E$615),-('Gastos Gerais'!$C$4:$C$615))</f>
        <v>0</v>
      </c>
      <c r="P126" s="73">
        <f>SUMPRODUCT(-('Gastos Gerais'!$B$4:$B$615=Analítico!$B126),-(Analítico!P$3&gt;='Gastos Gerais'!$D$4:$D$615),-(Analítico!P$3&lt;='Gastos Gerais'!$E$4:$E$615),-('Gastos Gerais'!$C$4:$C$615))</f>
        <v>0</v>
      </c>
      <c r="Q126" s="73">
        <f>SUMPRODUCT(-('Gastos Gerais'!$B$4:$B$615=Analítico!$B126),-(Analítico!Q$3&gt;='Gastos Gerais'!$D$4:$D$615),-(Analítico!Q$3&lt;='Gastos Gerais'!$E$4:$E$615),-('Gastos Gerais'!$C$4:$C$615))</f>
        <v>0</v>
      </c>
      <c r="R126" s="73">
        <f>SUMPRODUCT(-('Gastos Gerais'!$B$4:$B$615=Analítico!$B126),-(Analítico!R$3&gt;='Gastos Gerais'!$D$4:$D$615),-(Analítico!R$3&lt;='Gastos Gerais'!$E$4:$E$615),-('Gastos Gerais'!$C$4:$C$615))</f>
        <v>0</v>
      </c>
      <c r="S126" s="73">
        <f>SUMPRODUCT(-('Gastos Gerais'!$B$4:$B$615=Analítico!$B126),-(Analítico!S$3&gt;='Gastos Gerais'!$D$4:$D$615),-(Analítico!S$3&lt;='Gastos Gerais'!$E$4:$E$615),-('Gastos Gerais'!$C$4:$C$615))</f>
        <v>0</v>
      </c>
      <c r="T126" s="73">
        <f>SUMPRODUCT(-('Gastos Gerais'!$B$4:$B$615=Analítico!$B126),-(Analítico!T$3&gt;='Gastos Gerais'!$D$4:$D$615),-(Analítico!T$3&lt;='Gastos Gerais'!$E$4:$E$615),-('Gastos Gerais'!$C$4:$C$615))</f>
        <v>0</v>
      </c>
      <c r="U126" s="73">
        <f>SUMPRODUCT(-('Gastos Gerais'!$B$4:$B$615=Analítico!$B126),-(Analítico!U$3&gt;='Gastos Gerais'!$D$4:$D$615),-(Analítico!U$3&lt;='Gastos Gerais'!$E$4:$E$615),-('Gastos Gerais'!$C$4:$C$615))</f>
        <v>0</v>
      </c>
      <c r="V126" s="73">
        <f>SUMPRODUCT(-('Gastos Gerais'!$B$4:$B$615=Analítico!$B126),-(Analítico!V$3&gt;='Gastos Gerais'!$D$4:$D$615),-(Analítico!V$3&lt;='Gastos Gerais'!$E$4:$E$615),-('Gastos Gerais'!$C$4:$C$615))</f>
        <v>0</v>
      </c>
      <c r="W126" s="73">
        <f>SUMPRODUCT(-('Gastos Gerais'!$B$4:$B$615=Analítico!$B126),-(Analítico!W$3&gt;='Gastos Gerais'!$D$4:$D$615),-(Analítico!W$3&lt;='Gastos Gerais'!$E$4:$E$615),-('Gastos Gerais'!$C$4:$C$615))</f>
        <v>0</v>
      </c>
      <c r="X126" s="73">
        <f>SUMPRODUCT(-('Gastos Gerais'!$B$4:$B$615=Analítico!$B126),-(Analítico!X$3&gt;='Gastos Gerais'!$D$4:$D$615),-(Analítico!X$3&lt;='Gastos Gerais'!$E$4:$E$615),-('Gastos Gerais'!$C$4:$C$615))</f>
        <v>0</v>
      </c>
      <c r="Y126" s="73">
        <f>SUMPRODUCT(-('Gastos Gerais'!$B$4:$B$615=Analítico!$B126),-(Analítico!Y$3&gt;='Gastos Gerais'!$D$4:$D$615),-(Analítico!Y$3&lt;='Gastos Gerais'!$E$4:$E$615),-('Gastos Gerais'!$C$4:$C$615))</f>
        <v>0</v>
      </c>
      <c r="Z126" s="73">
        <f>SUMPRODUCT(-('Gastos Gerais'!$B$4:$B$615=Analítico!$B126),-(Analítico!Z$3&gt;='Gastos Gerais'!$D$4:$D$615),-(Analítico!Z$3&lt;='Gastos Gerais'!$E$4:$E$615),-('Gastos Gerais'!$C$4:$C$615))</f>
        <v>0</v>
      </c>
      <c r="AA126" s="73">
        <f>SUMPRODUCT(-('Gastos Gerais'!$B$4:$B$615=Analítico!$B126),-(Analítico!AA$3&gt;='Gastos Gerais'!$D$4:$D$615),-(Analítico!AA$3&lt;='Gastos Gerais'!$E$4:$E$615),-('Gastos Gerais'!$C$4:$C$615))</f>
        <v>0</v>
      </c>
      <c r="AB126" s="73">
        <f>SUMPRODUCT(-('Gastos Gerais'!$B$4:$B$615=Analítico!$B126),-(Analítico!AB$3&gt;='Gastos Gerais'!$D$4:$D$615),-(Analítico!AB$3&lt;='Gastos Gerais'!$E$4:$E$615),-('Gastos Gerais'!$C$4:$C$615))</f>
        <v>0</v>
      </c>
      <c r="AC126" s="73">
        <f>SUMPRODUCT(-('Gastos Gerais'!$B$4:$B$615=Analítico!$B126),-(Analítico!AC$3&gt;='Gastos Gerais'!$D$4:$D$615),-(Analítico!AC$3&lt;='Gastos Gerais'!$E$4:$E$615),-('Gastos Gerais'!$C$4:$C$615))</f>
        <v>0</v>
      </c>
      <c r="AD126" s="73">
        <f>SUMPRODUCT(-('Gastos Gerais'!$B$4:$B$615=Analítico!$B126),-(Analítico!AD$3&gt;='Gastos Gerais'!$D$4:$D$615),-(Analítico!AD$3&lt;='Gastos Gerais'!$E$4:$E$615),-('Gastos Gerais'!$C$4:$C$615))</f>
        <v>0</v>
      </c>
      <c r="AE126" s="73">
        <f>SUMPRODUCT(-('Gastos Gerais'!$B$4:$B$615=Analítico!$B126),-(Analítico!AE$3&gt;='Gastos Gerais'!$D$4:$D$615),-(Analítico!AE$3&lt;='Gastos Gerais'!$E$4:$E$615),-('Gastos Gerais'!$C$4:$C$615))</f>
        <v>0</v>
      </c>
      <c r="AF126" s="73">
        <f>SUMPRODUCT(-('Gastos Gerais'!$B$4:$B$615=Analítico!$B126),-(Analítico!AF$3&gt;='Gastos Gerais'!$D$4:$D$615),-(Analítico!AF$3&lt;='Gastos Gerais'!$E$4:$E$615),-('Gastos Gerais'!$C$4:$C$615))</f>
        <v>0</v>
      </c>
      <c r="AG126" s="73">
        <f>SUMPRODUCT(-('Gastos Gerais'!$B$4:$B$615=Analítico!$B126),-(Analítico!AG$3&gt;='Gastos Gerais'!$D$4:$D$615),-(Analítico!AG$3&lt;='Gastos Gerais'!$E$4:$E$615),-('Gastos Gerais'!$C$4:$C$615))</f>
        <v>0</v>
      </c>
      <c r="AH126" s="73">
        <f>SUMPRODUCT(-('Gastos Gerais'!$B$4:$B$615=Analítico!$B126),-(Analítico!AH$3&gt;='Gastos Gerais'!$D$4:$D$615),-(Analítico!AH$3&lt;='Gastos Gerais'!$E$4:$E$615),-('Gastos Gerais'!$C$4:$C$615))</f>
        <v>0</v>
      </c>
      <c r="AI126" s="73">
        <f>SUMPRODUCT(-('Gastos Gerais'!$B$4:$B$615=Analítico!$B126),-(Analítico!AI$3&gt;='Gastos Gerais'!$D$4:$D$615),-(Analítico!AI$3&lt;='Gastos Gerais'!$E$4:$E$615),-('Gastos Gerais'!$C$4:$C$615))</f>
        <v>0</v>
      </c>
      <c r="AJ126" s="73">
        <f>SUMPRODUCT(-('Gastos Gerais'!$B$4:$B$615=Analítico!$B126),-(Analítico!AJ$3&gt;='Gastos Gerais'!$D$4:$D$615),-(Analítico!AJ$3&lt;='Gastos Gerais'!$E$4:$E$615),-('Gastos Gerais'!$C$4:$C$615))</f>
        <v>0</v>
      </c>
      <c r="AK126" s="73">
        <f>SUMPRODUCT(-('Gastos Gerais'!$B$4:$B$615=Analítico!$B126),-(Analítico!AK$3&gt;='Gastos Gerais'!$D$4:$D$615),-(Analítico!AK$3&lt;='Gastos Gerais'!$E$4:$E$615),-('Gastos Gerais'!$C$4:$C$615))</f>
        <v>0</v>
      </c>
      <c r="AL126" s="73">
        <f>SUMPRODUCT(-('Gastos Gerais'!$B$4:$B$615=Analítico!$B126),-(Analítico!AL$3&gt;='Gastos Gerais'!$D$4:$D$615),-(Analítico!AL$3&lt;='Gastos Gerais'!$E$4:$E$615),-('Gastos Gerais'!$C$4:$C$615))</f>
        <v>0</v>
      </c>
      <c r="AM126" s="73">
        <f>SUMPRODUCT(-('Gastos Gerais'!$B$4:$B$615=Analítico!$B126),-(Analítico!AM$3&gt;='Gastos Gerais'!$D$4:$D$615),-(Analítico!AM$3&lt;='Gastos Gerais'!$E$4:$E$615),-('Gastos Gerais'!$C$4:$C$615))</f>
        <v>0</v>
      </c>
      <c r="AN126" s="73">
        <f>SUMPRODUCT(-('Gastos Gerais'!$B$4:$B$615=Analítico!$B126),-(Analítico!AN$3&gt;='Gastos Gerais'!$D$4:$D$615),-(Analítico!AN$3&lt;='Gastos Gerais'!$E$4:$E$615),-('Gastos Gerais'!$C$4:$C$615))</f>
        <v>0</v>
      </c>
      <c r="AO126" s="73">
        <f>SUMPRODUCT(-('Gastos Gerais'!$B$4:$B$615=Analítico!$B126),-(Analítico!AO$3&gt;='Gastos Gerais'!$D$4:$D$615),-(Analítico!AO$3&lt;='Gastos Gerais'!$E$4:$E$615),-('Gastos Gerais'!$C$4:$C$615))</f>
        <v>0</v>
      </c>
      <c r="AP126" s="73">
        <f>SUMPRODUCT(-('Gastos Gerais'!$B$4:$B$615=Analítico!$B126),-(Analítico!AP$3&gt;='Gastos Gerais'!$D$4:$D$615),-(Analítico!AP$3&lt;='Gastos Gerais'!$E$4:$E$615),-('Gastos Gerais'!$C$4:$C$615))</f>
        <v>0</v>
      </c>
      <c r="AQ126" s="73">
        <f>SUMPRODUCT(-('Gastos Gerais'!$B$4:$B$615=Analítico!$B126),-(Analítico!AQ$3&gt;='Gastos Gerais'!$D$4:$D$615),-(Analítico!AQ$3&lt;='Gastos Gerais'!$E$4:$E$615),-('Gastos Gerais'!$C$4:$C$615))</f>
        <v>0</v>
      </c>
      <c r="AR126" s="73">
        <f>SUMPRODUCT(-('Gastos Gerais'!$B$4:$B$615=Analítico!$B126),-(Analítico!AR$3&gt;='Gastos Gerais'!$D$4:$D$615),-(Analítico!AR$3&lt;='Gastos Gerais'!$E$4:$E$615),-('Gastos Gerais'!$C$4:$C$615))</f>
        <v>0</v>
      </c>
      <c r="AS126" s="73">
        <f>SUMPRODUCT(-('Gastos Gerais'!$B$4:$B$615=Analítico!$B126),-(Analítico!AS$3&gt;='Gastos Gerais'!$D$4:$D$615),-(Analítico!AS$3&lt;='Gastos Gerais'!$E$4:$E$615),-('Gastos Gerais'!$C$4:$C$615))</f>
        <v>0</v>
      </c>
      <c r="AT126" s="73">
        <f>SUMPRODUCT(-('Gastos Gerais'!$B$4:$B$615=Analítico!$B126),-(Analítico!AT$3&gt;='Gastos Gerais'!$D$4:$D$615),-(Analítico!AT$3&lt;='Gastos Gerais'!$E$4:$E$615),-('Gastos Gerais'!$C$4:$C$615))</f>
        <v>0</v>
      </c>
      <c r="AU126" s="73">
        <f>SUMPRODUCT(-('Gastos Gerais'!$B$4:$B$615=Analítico!$B126),-(Analítico!AU$3&gt;='Gastos Gerais'!$D$4:$D$615),-(Analítico!AU$3&lt;='Gastos Gerais'!$E$4:$E$615),-('Gastos Gerais'!$C$4:$C$615))</f>
        <v>0</v>
      </c>
      <c r="AV126" s="73">
        <f>SUMPRODUCT(-('Gastos Gerais'!$B$4:$B$615=Analítico!$B126),-(Analítico!AV$3&gt;='Gastos Gerais'!$D$4:$D$615),-(Analítico!AV$3&lt;='Gastos Gerais'!$E$4:$E$615),-('Gastos Gerais'!$C$4:$C$615))</f>
        <v>0</v>
      </c>
      <c r="AW126" s="73">
        <f>SUMPRODUCT(-('Gastos Gerais'!$B$4:$B$615=Analítico!$B126),-(Analítico!AW$3&gt;='Gastos Gerais'!$D$4:$D$615),-(Analítico!AW$3&lt;='Gastos Gerais'!$E$4:$E$615),-('Gastos Gerais'!$C$4:$C$615))</f>
        <v>0</v>
      </c>
      <c r="AX126" s="73">
        <f>SUMPRODUCT(-('Gastos Gerais'!$B$4:$B$615=Analítico!$B126),-(Analítico!AX$3&gt;='Gastos Gerais'!$D$4:$D$615),-(Analítico!AX$3&lt;='Gastos Gerais'!$E$4:$E$615),-('Gastos Gerais'!$C$4:$C$615))</f>
        <v>0</v>
      </c>
      <c r="AY126" s="73">
        <f>SUMPRODUCT(-('Gastos Gerais'!$B$4:$B$615=Analítico!$B126),-(Analítico!AY$3&gt;='Gastos Gerais'!$D$4:$D$615),-(Analítico!AY$3&lt;='Gastos Gerais'!$E$4:$E$615),-('Gastos Gerais'!$C$4:$C$615))</f>
        <v>0</v>
      </c>
      <c r="AZ126" s="73">
        <f>SUMPRODUCT(-('Gastos Gerais'!$B$4:$B$615=Analítico!$B126),-(Analítico!AZ$3&gt;='Gastos Gerais'!$D$4:$D$615),-(Analítico!AZ$3&lt;='Gastos Gerais'!$E$4:$E$615),-('Gastos Gerais'!$C$4:$C$615))</f>
        <v>0</v>
      </c>
      <c r="BA126" s="73">
        <f>SUMPRODUCT(-('Gastos Gerais'!$B$4:$B$615=Analítico!$B126),-(Analítico!BA$3&gt;='Gastos Gerais'!$D$4:$D$615),-(Analítico!BA$3&lt;='Gastos Gerais'!$E$4:$E$615),-('Gastos Gerais'!$C$4:$C$615))</f>
        <v>0</v>
      </c>
      <c r="BB126" s="73">
        <f>SUMPRODUCT(-('Gastos Gerais'!$B$4:$B$615=Analítico!$B126),-(Analítico!BB$3&gt;='Gastos Gerais'!$D$4:$D$615),-(Analítico!BB$3&lt;='Gastos Gerais'!$E$4:$E$615),-('Gastos Gerais'!$C$4:$C$615))</f>
        <v>0</v>
      </c>
      <c r="BC126" s="73">
        <f>SUMPRODUCT(-('Gastos Gerais'!$B$4:$B$615=Analítico!$B126),-(Analítico!BC$3&gt;='Gastos Gerais'!$D$4:$D$615),-(Analítico!BC$3&lt;='Gastos Gerais'!$E$4:$E$615),-('Gastos Gerais'!$C$4:$C$615))</f>
        <v>0</v>
      </c>
      <c r="BD126" s="73">
        <f>SUMPRODUCT(-('Gastos Gerais'!$B$4:$B$615=Analítico!$B126),-(Analítico!BD$3&gt;='Gastos Gerais'!$D$4:$D$615),-(Analítico!BD$3&lt;='Gastos Gerais'!$E$4:$E$615),-('Gastos Gerais'!$C$4:$C$615))</f>
        <v>0</v>
      </c>
      <c r="BE126" s="73">
        <f>SUMPRODUCT(-('Gastos Gerais'!$B$4:$B$615=Analítico!$B126),-(Analítico!BE$3&gt;='Gastos Gerais'!$D$4:$D$615),-(Analítico!BE$3&lt;='Gastos Gerais'!$E$4:$E$615),-('Gastos Gerais'!$C$4:$C$615))</f>
        <v>0</v>
      </c>
      <c r="BF126" s="73">
        <f>SUMPRODUCT(-('Gastos Gerais'!$B$4:$B$615=Analítico!$B126),-(Analítico!BF$3&gt;='Gastos Gerais'!$D$4:$D$615),-(Analítico!BF$3&lt;='Gastos Gerais'!$E$4:$E$615),-('Gastos Gerais'!$C$4:$C$615))</f>
        <v>0</v>
      </c>
      <c r="BG126" s="73">
        <f>SUMPRODUCT(-('Gastos Gerais'!$B$4:$B$615=Analítico!$B126),-(Analítico!BG$3&gt;='Gastos Gerais'!$D$4:$D$615),-(Analítico!BG$3&lt;='Gastos Gerais'!$E$4:$E$615),-('Gastos Gerais'!$C$4:$C$615))</f>
        <v>0</v>
      </c>
      <c r="BH126" s="73">
        <f>SUMPRODUCT(-('Gastos Gerais'!$B$4:$B$615=Analítico!$B126),-(Analítico!BH$3&gt;='Gastos Gerais'!$D$4:$D$615),-(Analítico!BH$3&lt;='Gastos Gerais'!$E$4:$E$615),-('Gastos Gerais'!$C$4:$C$615))</f>
        <v>0</v>
      </c>
      <c r="BI126" s="73">
        <f>SUMPRODUCT(-('Gastos Gerais'!$B$4:$B$615=Analítico!$B126),-(Analítico!BI$3&gt;='Gastos Gerais'!$D$4:$D$615),-(Analítico!BI$3&lt;='Gastos Gerais'!$E$4:$E$615),-('Gastos Gerais'!$C$4:$C$615))</f>
        <v>0</v>
      </c>
      <c r="BJ126" s="73">
        <f>SUMPRODUCT(-('Gastos Gerais'!$B$4:$B$615=Analítico!$B126),-(Analítico!BJ$3&gt;='Gastos Gerais'!$D$4:$D$615),-(Analítico!BJ$3&lt;='Gastos Gerais'!$E$4:$E$615),-('Gastos Gerais'!$C$4:$C$615))</f>
        <v>0</v>
      </c>
      <c r="BK126" s="71">
        <f t="shared" si="35"/>
        <v>0</v>
      </c>
      <c r="BL126" s="76">
        <f t="shared" ca="1" si="36"/>
        <v>0</v>
      </c>
    </row>
    <row r="127" spans="1:64" s="49" customFormat="1" ht="23.25" customHeight="1" x14ac:dyDescent="0.2">
      <c r="A127" s="109" t="s">
        <v>322</v>
      </c>
      <c r="B127" s="112" t="s">
        <v>323</v>
      </c>
      <c r="C127" s="73">
        <f>SUMPRODUCT(-('Gastos Gerais'!$B$4:$B$615=Analítico!$B127),-(Analítico!C$3&gt;='Gastos Gerais'!$D$4:$D$615),-(Analítico!C$3&lt;='Gastos Gerais'!$E$4:$E$615),-('Gastos Gerais'!$C$4:$C$615))</f>
        <v>0</v>
      </c>
      <c r="D127" s="73">
        <f>SUMPRODUCT(-('Gastos Gerais'!$B$4:$B$615=Analítico!$B127),-(Analítico!D$3&gt;='Gastos Gerais'!$D$4:$D$615),-(Analítico!D$3&lt;='Gastos Gerais'!$E$4:$E$615),-('Gastos Gerais'!$C$4:$C$615))</f>
        <v>0</v>
      </c>
      <c r="E127" s="73">
        <f>SUMPRODUCT(-('Gastos Gerais'!$B$4:$B$615=Analítico!$B127),-(Analítico!E$3&gt;='Gastos Gerais'!$D$4:$D$615),-(Analítico!E$3&lt;='Gastos Gerais'!$E$4:$E$615),-('Gastos Gerais'!$C$4:$C$615))</f>
        <v>0</v>
      </c>
      <c r="F127" s="73">
        <f>SUMPRODUCT(-('Gastos Gerais'!$B$4:$B$615=Analítico!$B127),-(Analítico!F$3&gt;='Gastos Gerais'!$D$4:$D$615),-(Analítico!F$3&lt;='Gastos Gerais'!$E$4:$E$615),-('Gastos Gerais'!$C$4:$C$615))</f>
        <v>0</v>
      </c>
      <c r="G127" s="73">
        <f>SUMPRODUCT(-('Gastos Gerais'!$B$4:$B$615=Analítico!$B127),-(Analítico!G$3&gt;='Gastos Gerais'!$D$4:$D$615),-(Analítico!G$3&lt;='Gastos Gerais'!$E$4:$E$615),-('Gastos Gerais'!$C$4:$C$615))</f>
        <v>0</v>
      </c>
      <c r="H127" s="73">
        <f>SUMPRODUCT(-('Gastos Gerais'!$B$4:$B$615=Analítico!$B127),-(Analítico!H$3&gt;='Gastos Gerais'!$D$4:$D$615),-(Analítico!H$3&lt;='Gastos Gerais'!$E$4:$E$615),-('Gastos Gerais'!$C$4:$C$615))</f>
        <v>420000</v>
      </c>
      <c r="I127" s="73">
        <f>SUMPRODUCT(-('Gastos Gerais'!$B$4:$B$615=Analítico!$B127),-(Analítico!I$3&gt;='Gastos Gerais'!$D$4:$D$615),-(Analítico!I$3&lt;='Gastos Gerais'!$E$4:$E$615),-('Gastos Gerais'!$C$4:$C$615))</f>
        <v>0</v>
      </c>
      <c r="J127" s="73">
        <f>SUMPRODUCT(-('Gastos Gerais'!$B$4:$B$615=Analítico!$B127),-(Analítico!J$3&gt;='Gastos Gerais'!$D$4:$D$615),-(Analítico!J$3&lt;='Gastos Gerais'!$E$4:$E$615),-('Gastos Gerais'!$C$4:$C$615))</f>
        <v>0</v>
      </c>
      <c r="K127" s="73">
        <f>SUMPRODUCT(-('Gastos Gerais'!$B$4:$B$615=Analítico!$B127),-(Analítico!K$3&gt;='Gastos Gerais'!$D$4:$D$615),-(Analítico!K$3&lt;='Gastos Gerais'!$E$4:$E$615),-('Gastos Gerais'!$C$4:$C$615))</f>
        <v>0</v>
      </c>
      <c r="L127" s="73">
        <f>SUMPRODUCT(-('Gastos Gerais'!$B$4:$B$615=Analítico!$B127),-(Analítico!L$3&gt;='Gastos Gerais'!$D$4:$D$615),-(Analítico!L$3&lt;='Gastos Gerais'!$E$4:$E$615),-('Gastos Gerais'!$C$4:$C$615))</f>
        <v>0</v>
      </c>
      <c r="M127" s="73">
        <f>SUMPRODUCT(-('Gastos Gerais'!$B$4:$B$615=Analítico!$B127),-(Analítico!M$3&gt;='Gastos Gerais'!$D$4:$D$615),-(Analítico!M$3&lt;='Gastos Gerais'!$E$4:$E$615),-('Gastos Gerais'!$C$4:$C$615))</f>
        <v>0</v>
      </c>
      <c r="N127" s="73">
        <f>SUMPRODUCT(-('Gastos Gerais'!$B$4:$B$615=Analítico!$B127),-(Analítico!N$3&gt;='Gastos Gerais'!$D$4:$D$615),-(Analítico!N$3&lt;='Gastos Gerais'!$E$4:$E$615),-('Gastos Gerais'!$C$4:$C$615))</f>
        <v>0</v>
      </c>
      <c r="O127" s="73">
        <f>SUMPRODUCT(-('Gastos Gerais'!$B$4:$B$615=Analítico!$B127),-(Analítico!O$3&gt;='Gastos Gerais'!$D$4:$D$615),-(Analítico!O$3&lt;='Gastos Gerais'!$E$4:$E$615),-('Gastos Gerais'!$C$4:$C$615))</f>
        <v>420000</v>
      </c>
      <c r="P127" s="73">
        <f>SUMPRODUCT(-('Gastos Gerais'!$B$4:$B$615=Analítico!$B127),-(Analítico!P$3&gt;='Gastos Gerais'!$D$4:$D$615),-(Analítico!P$3&lt;='Gastos Gerais'!$E$4:$E$615),-('Gastos Gerais'!$C$4:$C$615))</f>
        <v>0</v>
      </c>
      <c r="Q127" s="73">
        <f>SUMPRODUCT(-('Gastos Gerais'!$B$4:$B$615=Analítico!$B127),-(Analítico!Q$3&gt;='Gastos Gerais'!$D$4:$D$615),-(Analítico!Q$3&lt;='Gastos Gerais'!$E$4:$E$615),-('Gastos Gerais'!$C$4:$C$615))</f>
        <v>0</v>
      </c>
      <c r="R127" s="73">
        <f>SUMPRODUCT(-('Gastos Gerais'!$B$4:$B$615=Analítico!$B127),-(Analítico!R$3&gt;='Gastos Gerais'!$D$4:$D$615),-(Analítico!R$3&lt;='Gastos Gerais'!$E$4:$E$615),-('Gastos Gerais'!$C$4:$C$615))</f>
        <v>0</v>
      </c>
      <c r="S127" s="73">
        <f>SUMPRODUCT(-('Gastos Gerais'!$B$4:$B$615=Analítico!$B127),-(Analítico!S$3&gt;='Gastos Gerais'!$D$4:$D$615),-(Analítico!S$3&lt;='Gastos Gerais'!$E$4:$E$615),-('Gastos Gerais'!$C$4:$C$615))</f>
        <v>0</v>
      </c>
      <c r="T127" s="73">
        <f>SUMPRODUCT(-('Gastos Gerais'!$B$4:$B$615=Analítico!$B127),-(Analítico!T$3&gt;='Gastos Gerais'!$D$4:$D$615),-(Analítico!T$3&lt;='Gastos Gerais'!$E$4:$E$615),-('Gastos Gerais'!$C$4:$C$615))</f>
        <v>0</v>
      </c>
      <c r="U127" s="73">
        <f>SUMPRODUCT(-('Gastos Gerais'!$B$4:$B$615=Analítico!$B127),-(Analítico!U$3&gt;='Gastos Gerais'!$D$4:$D$615),-(Analítico!U$3&lt;='Gastos Gerais'!$E$4:$E$615),-('Gastos Gerais'!$C$4:$C$615))</f>
        <v>0</v>
      </c>
      <c r="V127" s="73">
        <f>SUMPRODUCT(-('Gastos Gerais'!$B$4:$B$615=Analítico!$B127),-(Analítico!V$3&gt;='Gastos Gerais'!$D$4:$D$615),-(Analítico!V$3&lt;='Gastos Gerais'!$E$4:$E$615),-('Gastos Gerais'!$C$4:$C$615))</f>
        <v>0</v>
      </c>
      <c r="W127" s="73">
        <f>SUMPRODUCT(-('Gastos Gerais'!$B$4:$B$615=Analítico!$B127),-(Analítico!W$3&gt;='Gastos Gerais'!$D$4:$D$615),-(Analítico!W$3&lt;='Gastos Gerais'!$E$4:$E$615),-('Gastos Gerais'!$C$4:$C$615))</f>
        <v>0</v>
      </c>
      <c r="X127" s="73">
        <f>SUMPRODUCT(-('Gastos Gerais'!$B$4:$B$615=Analítico!$B127),-(Analítico!X$3&gt;='Gastos Gerais'!$D$4:$D$615),-(Analítico!X$3&lt;='Gastos Gerais'!$E$4:$E$615),-('Gastos Gerais'!$C$4:$C$615))</f>
        <v>0</v>
      </c>
      <c r="Y127" s="73">
        <f>SUMPRODUCT(-('Gastos Gerais'!$B$4:$B$615=Analítico!$B127),-(Analítico!Y$3&gt;='Gastos Gerais'!$D$4:$D$615),-(Analítico!Y$3&lt;='Gastos Gerais'!$E$4:$E$615),-('Gastos Gerais'!$C$4:$C$615))</f>
        <v>0</v>
      </c>
      <c r="Z127" s="73">
        <f>SUMPRODUCT(-('Gastos Gerais'!$B$4:$B$615=Analítico!$B127),-(Analítico!Z$3&gt;='Gastos Gerais'!$D$4:$D$615),-(Analítico!Z$3&lt;='Gastos Gerais'!$E$4:$E$615),-('Gastos Gerais'!$C$4:$C$615))</f>
        <v>0</v>
      </c>
      <c r="AA127" s="73">
        <f>SUMPRODUCT(-('Gastos Gerais'!$B$4:$B$615=Analítico!$B127),-(Analítico!AA$3&gt;='Gastos Gerais'!$D$4:$D$615),-(Analítico!AA$3&lt;='Gastos Gerais'!$E$4:$E$615),-('Gastos Gerais'!$C$4:$C$615))</f>
        <v>420000</v>
      </c>
      <c r="AB127" s="73">
        <f>SUMPRODUCT(-('Gastos Gerais'!$B$4:$B$615=Analítico!$B127),-(Analítico!AB$3&gt;='Gastos Gerais'!$D$4:$D$615),-(Analítico!AB$3&lt;='Gastos Gerais'!$E$4:$E$615),-('Gastos Gerais'!$C$4:$C$615))</f>
        <v>0</v>
      </c>
      <c r="AC127" s="73">
        <f>SUMPRODUCT(-('Gastos Gerais'!$B$4:$B$615=Analítico!$B127),-(Analítico!AC$3&gt;='Gastos Gerais'!$D$4:$D$615),-(Analítico!AC$3&lt;='Gastos Gerais'!$E$4:$E$615),-('Gastos Gerais'!$C$4:$C$615))</f>
        <v>0</v>
      </c>
      <c r="AD127" s="73">
        <f>SUMPRODUCT(-('Gastos Gerais'!$B$4:$B$615=Analítico!$B127),-(Analítico!AD$3&gt;='Gastos Gerais'!$D$4:$D$615),-(Analítico!AD$3&lt;='Gastos Gerais'!$E$4:$E$615),-('Gastos Gerais'!$C$4:$C$615))</f>
        <v>0</v>
      </c>
      <c r="AE127" s="73">
        <f>SUMPRODUCT(-('Gastos Gerais'!$B$4:$B$615=Analítico!$B127),-(Analítico!AE$3&gt;='Gastos Gerais'!$D$4:$D$615),-(Analítico!AE$3&lt;='Gastos Gerais'!$E$4:$E$615),-('Gastos Gerais'!$C$4:$C$615))</f>
        <v>0</v>
      </c>
      <c r="AF127" s="73">
        <f>SUMPRODUCT(-('Gastos Gerais'!$B$4:$B$615=Analítico!$B127),-(Analítico!AF$3&gt;='Gastos Gerais'!$D$4:$D$615),-(Analítico!AF$3&lt;='Gastos Gerais'!$E$4:$E$615),-('Gastos Gerais'!$C$4:$C$615))</f>
        <v>0</v>
      </c>
      <c r="AG127" s="73">
        <f>SUMPRODUCT(-('Gastos Gerais'!$B$4:$B$615=Analítico!$B127),-(Analítico!AG$3&gt;='Gastos Gerais'!$D$4:$D$615),-(Analítico!AG$3&lt;='Gastos Gerais'!$E$4:$E$615),-('Gastos Gerais'!$C$4:$C$615))</f>
        <v>0</v>
      </c>
      <c r="AH127" s="73">
        <f>SUMPRODUCT(-('Gastos Gerais'!$B$4:$B$615=Analítico!$B127),-(Analítico!AH$3&gt;='Gastos Gerais'!$D$4:$D$615),-(Analítico!AH$3&lt;='Gastos Gerais'!$E$4:$E$615),-('Gastos Gerais'!$C$4:$C$615))</f>
        <v>0</v>
      </c>
      <c r="AI127" s="73">
        <f>SUMPRODUCT(-('Gastos Gerais'!$B$4:$B$615=Analítico!$B127),-(Analítico!AI$3&gt;='Gastos Gerais'!$D$4:$D$615),-(Analítico!AI$3&lt;='Gastos Gerais'!$E$4:$E$615),-('Gastos Gerais'!$C$4:$C$615))</f>
        <v>0</v>
      </c>
      <c r="AJ127" s="73">
        <f>SUMPRODUCT(-('Gastos Gerais'!$B$4:$B$615=Analítico!$B127),-(Analítico!AJ$3&gt;='Gastos Gerais'!$D$4:$D$615),-(Analítico!AJ$3&lt;='Gastos Gerais'!$E$4:$E$615),-('Gastos Gerais'!$C$4:$C$615))</f>
        <v>0</v>
      </c>
      <c r="AK127" s="73">
        <f>SUMPRODUCT(-('Gastos Gerais'!$B$4:$B$615=Analítico!$B127),-(Analítico!AK$3&gt;='Gastos Gerais'!$D$4:$D$615),-(Analítico!AK$3&lt;='Gastos Gerais'!$E$4:$E$615),-('Gastos Gerais'!$C$4:$C$615))</f>
        <v>0</v>
      </c>
      <c r="AL127" s="73">
        <f>SUMPRODUCT(-('Gastos Gerais'!$B$4:$B$615=Analítico!$B127),-(Analítico!AL$3&gt;='Gastos Gerais'!$D$4:$D$615),-(Analítico!AL$3&lt;='Gastos Gerais'!$E$4:$E$615),-('Gastos Gerais'!$C$4:$C$615))</f>
        <v>0</v>
      </c>
      <c r="AM127" s="73">
        <f>SUMPRODUCT(-('Gastos Gerais'!$B$4:$B$615=Analítico!$B127),-(Analítico!AM$3&gt;='Gastos Gerais'!$D$4:$D$615),-(Analítico!AM$3&lt;='Gastos Gerais'!$E$4:$E$615),-('Gastos Gerais'!$C$4:$C$615))</f>
        <v>0</v>
      </c>
      <c r="AN127" s="73">
        <f>SUMPRODUCT(-('Gastos Gerais'!$B$4:$B$615=Analítico!$B127),-(Analítico!AN$3&gt;='Gastos Gerais'!$D$4:$D$615),-(Analítico!AN$3&lt;='Gastos Gerais'!$E$4:$E$615),-('Gastos Gerais'!$C$4:$C$615))</f>
        <v>0</v>
      </c>
      <c r="AO127" s="73">
        <f>SUMPRODUCT(-('Gastos Gerais'!$B$4:$B$615=Analítico!$B127),-(Analítico!AO$3&gt;='Gastos Gerais'!$D$4:$D$615),-(Analítico!AO$3&lt;='Gastos Gerais'!$E$4:$E$615),-('Gastos Gerais'!$C$4:$C$615))</f>
        <v>0</v>
      </c>
      <c r="AP127" s="73">
        <f>SUMPRODUCT(-('Gastos Gerais'!$B$4:$B$615=Analítico!$B127),-(Analítico!AP$3&gt;='Gastos Gerais'!$D$4:$D$615),-(Analítico!AP$3&lt;='Gastos Gerais'!$E$4:$E$615),-('Gastos Gerais'!$C$4:$C$615))</f>
        <v>0</v>
      </c>
      <c r="AQ127" s="73">
        <f>SUMPRODUCT(-('Gastos Gerais'!$B$4:$B$615=Analítico!$B127),-(Analítico!AQ$3&gt;='Gastos Gerais'!$D$4:$D$615),-(Analítico!AQ$3&lt;='Gastos Gerais'!$E$4:$E$615),-('Gastos Gerais'!$C$4:$C$615))</f>
        <v>0</v>
      </c>
      <c r="AR127" s="73">
        <f>SUMPRODUCT(-('Gastos Gerais'!$B$4:$B$615=Analítico!$B127),-(Analítico!AR$3&gt;='Gastos Gerais'!$D$4:$D$615),-(Analítico!AR$3&lt;='Gastos Gerais'!$E$4:$E$615),-('Gastos Gerais'!$C$4:$C$615))</f>
        <v>0</v>
      </c>
      <c r="AS127" s="73">
        <f>SUMPRODUCT(-('Gastos Gerais'!$B$4:$B$615=Analítico!$B127),-(Analítico!AS$3&gt;='Gastos Gerais'!$D$4:$D$615),-(Analítico!AS$3&lt;='Gastos Gerais'!$E$4:$E$615),-('Gastos Gerais'!$C$4:$C$615))</f>
        <v>0</v>
      </c>
      <c r="AT127" s="73">
        <f>SUMPRODUCT(-('Gastos Gerais'!$B$4:$B$615=Analítico!$B127),-(Analítico!AT$3&gt;='Gastos Gerais'!$D$4:$D$615),-(Analítico!AT$3&lt;='Gastos Gerais'!$E$4:$E$615),-('Gastos Gerais'!$C$4:$C$615))</f>
        <v>0</v>
      </c>
      <c r="AU127" s="73">
        <f>SUMPRODUCT(-('Gastos Gerais'!$B$4:$B$615=Analítico!$B127),-(Analítico!AU$3&gt;='Gastos Gerais'!$D$4:$D$615),-(Analítico!AU$3&lt;='Gastos Gerais'!$E$4:$E$615),-('Gastos Gerais'!$C$4:$C$615))</f>
        <v>0</v>
      </c>
      <c r="AV127" s="73">
        <f>SUMPRODUCT(-('Gastos Gerais'!$B$4:$B$615=Analítico!$B127),-(Analítico!AV$3&gt;='Gastos Gerais'!$D$4:$D$615),-(Analítico!AV$3&lt;='Gastos Gerais'!$E$4:$E$615),-('Gastos Gerais'!$C$4:$C$615))</f>
        <v>0</v>
      </c>
      <c r="AW127" s="73">
        <f>SUMPRODUCT(-('Gastos Gerais'!$B$4:$B$615=Analítico!$B127),-(Analítico!AW$3&gt;='Gastos Gerais'!$D$4:$D$615),-(Analítico!AW$3&lt;='Gastos Gerais'!$E$4:$E$615),-('Gastos Gerais'!$C$4:$C$615))</f>
        <v>0</v>
      </c>
      <c r="AX127" s="73">
        <f>SUMPRODUCT(-('Gastos Gerais'!$B$4:$B$615=Analítico!$B127),-(Analítico!AX$3&gt;='Gastos Gerais'!$D$4:$D$615),-(Analítico!AX$3&lt;='Gastos Gerais'!$E$4:$E$615),-('Gastos Gerais'!$C$4:$C$615))</f>
        <v>0</v>
      </c>
      <c r="AY127" s="73">
        <f>SUMPRODUCT(-('Gastos Gerais'!$B$4:$B$615=Analítico!$B127),-(Analítico!AY$3&gt;='Gastos Gerais'!$D$4:$D$615),-(Analítico!AY$3&lt;='Gastos Gerais'!$E$4:$E$615),-('Gastos Gerais'!$C$4:$C$615))</f>
        <v>0</v>
      </c>
      <c r="AZ127" s="73">
        <f>SUMPRODUCT(-('Gastos Gerais'!$B$4:$B$615=Analítico!$B127),-(Analítico!AZ$3&gt;='Gastos Gerais'!$D$4:$D$615),-(Analítico!AZ$3&lt;='Gastos Gerais'!$E$4:$E$615),-('Gastos Gerais'!$C$4:$C$615))</f>
        <v>0</v>
      </c>
      <c r="BA127" s="73">
        <f>SUMPRODUCT(-('Gastos Gerais'!$B$4:$B$615=Analítico!$B127),-(Analítico!BA$3&gt;='Gastos Gerais'!$D$4:$D$615),-(Analítico!BA$3&lt;='Gastos Gerais'!$E$4:$E$615),-('Gastos Gerais'!$C$4:$C$615))</f>
        <v>0</v>
      </c>
      <c r="BB127" s="73">
        <f>SUMPRODUCT(-('Gastos Gerais'!$B$4:$B$615=Analítico!$B127),-(Analítico!BB$3&gt;='Gastos Gerais'!$D$4:$D$615),-(Analítico!BB$3&lt;='Gastos Gerais'!$E$4:$E$615),-('Gastos Gerais'!$C$4:$C$615))</f>
        <v>0</v>
      </c>
      <c r="BC127" s="73">
        <f>SUMPRODUCT(-('Gastos Gerais'!$B$4:$B$615=Analítico!$B127),-(Analítico!BC$3&gt;='Gastos Gerais'!$D$4:$D$615),-(Analítico!BC$3&lt;='Gastos Gerais'!$E$4:$E$615),-('Gastos Gerais'!$C$4:$C$615))</f>
        <v>0</v>
      </c>
      <c r="BD127" s="73">
        <f>SUMPRODUCT(-('Gastos Gerais'!$B$4:$B$615=Analítico!$B127),-(Analítico!BD$3&gt;='Gastos Gerais'!$D$4:$D$615),-(Analítico!BD$3&lt;='Gastos Gerais'!$E$4:$E$615),-('Gastos Gerais'!$C$4:$C$615))</f>
        <v>0</v>
      </c>
      <c r="BE127" s="73">
        <f>SUMPRODUCT(-('Gastos Gerais'!$B$4:$B$615=Analítico!$B127),-(Analítico!BE$3&gt;='Gastos Gerais'!$D$4:$D$615),-(Analítico!BE$3&lt;='Gastos Gerais'!$E$4:$E$615),-('Gastos Gerais'!$C$4:$C$615))</f>
        <v>0</v>
      </c>
      <c r="BF127" s="73">
        <f>SUMPRODUCT(-('Gastos Gerais'!$B$4:$B$615=Analítico!$B127),-(Analítico!BF$3&gt;='Gastos Gerais'!$D$4:$D$615),-(Analítico!BF$3&lt;='Gastos Gerais'!$E$4:$E$615),-('Gastos Gerais'!$C$4:$C$615))</f>
        <v>0</v>
      </c>
      <c r="BG127" s="73">
        <f>SUMPRODUCT(-('Gastos Gerais'!$B$4:$B$615=Analítico!$B127),-(Analítico!BG$3&gt;='Gastos Gerais'!$D$4:$D$615),-(Analítico!BG$3&lt;='Gastos Gerais'!$E$4:$E$615),-('Gastos Gerais'!$C$4:$C$615))</f>
        <v>0</v>
      </c>
      <c r="BH127" s="73">
        <f>SUMPRODUCT(-('Gastos Gerais'!$B$4:$B$615=Analítico!$B127),-(Analítico!BH$3&gt;='Gastos Gerais'!$D$4:$D$615),-(Analítico!BH$3&lt;='Gastos Gerais'!$E$4:$E$615),-('Gastos Gerais'!$C$4:$C$615))</f>
        <v>0</v>
      </c>
      <c r="BI127" s="73">
        <f>SUMPRODUCT(-('Gastos Gerais'!$B$4:$B$615=Analítico!$B127),-(Analítico!BI$3&gt;='Gastos Gerais'!$D$4:$D$615),-(Analítico!BI$3&lt;='Gastos Gerais'!$E$4:$E$615),-('Gastos Gerais'!$C$4:$C$615))</f>
        <v>0</v>
      </c>
      <c r="BJ127" s="73">
        <f>SUMPRODUCT(-('Gastos Gerais'!$B$4:$B$615=Analítico!$B127),-(Analítico!BJ$3&gt;='Gastos Gerais'!$D$4:$D$615),-(Analítico!BJ$3&lt;='Gastos Gerais'!$E$4:$E$615),-('Gastos Gerais'!$C$4:$C$615))</f>
        <v>0</v>
      </c>
      <c r="BK127" s="71">
        <f t="shared" si="35"/>
        <v>1260000</v>
      </c>
      <c r="BL127" s="76">
        <f t="shared" ca="1" si="36"/>
        <v>3.4367740160358771E-3</v>
      </c>
    </row>
    <row r="128" spans="1:64" s="49" customFormat="1" ht="23.25" customHeight="1" x14ac:dyDescent="0.2">
      <c r="A128" s="109" t="s">
        <v>324</v>
      </c>
      <c r="B128" s="112" t="s">
        <v>325</v>
      </c>
      <c r="C128" s="73">
        <f>SUMPRODUCT(-('Gastos Gerais'!$B$4:$B$615=Analítico!$B128),-(Analítico!C$3&gt;='Gastos Gerais'!$D$4:$D$615),-(Analítico!C$3&lt;='Gastos Gerais'!$E$4:$E$615),-('Gastos Gerais'!$C$4:$C$615))</f>
        <v>32000</v>
      </c>
      <c r="D128" s="73">
        <f>SUMPRODUCT(-('Gastos Gerais'!$B$4:$B$615=Analítico!$B128),-(Analítico!D$3&gt;='Gastos Gerais'!$D$4:$D$615),-(Analítico!D$3&lt;='Gastos Gerais'!$E$4:$E$615),-('Gastos Gerais'!$C$4:$C$615))</f>
        <v>32000</v>
      </c>
      <c r="E128" s="73">
        <f>SUMPRODUCT(-('Gastos Gerais'!$B$4:$B$615=Analítico!$B128),-(Analítico!E$3&gt;='Gastos Gerais'!$D$4:$D$615),-(Analítico!E$3&lt;='Gastos Gerais'!$E$4:$E$615),-('Gastos Gerais'!$C$4:$C$615))</f>
        <v>32000</v>
      </c>
      <c r="F128" s="73">
        <f>SUMPRODUCT(-('Gastos Gerais'!$B$4:$B$615=Analítico!$B128),-(Analítico!F$3&gt;='Gastos Gerais'!$D$4:$D$615),-(Analítico!F$3&lt;='Gastos Gerais'!$E$4:$E$615),-('Gastos Gerais'!$C$4:$C$615))</f>
        <v>32000</v>
      </c>
      <c r="G128" s="73">
        <f>SUMPRODUCT(-('Gastos Gerais'!$B$4:$B$615=Analítico!$B128),-(Analítico!G$3&gt;='Gastos Gerais'!$D$4:$D$615),-(Analítico!G$3&lt;='Gastos Gerais'!$E$4:$E$615),-('Gastos Gerais'!$C$4:$C$615))</f>
        <v>32000</v>
      </c>
      <c r="H128" s="73">
        <f>SUMPRODUCT(-('Gastos Gerais'!$B$4:$B$615=Analítico!$B128),-(Analítico!H$3&gt;='Gastos Gerais'!$D$4:$D$615),-(Analítico!H$3&lt;='Gastos Gerais'!$E$4:$E$615),-('Gastos Gerais'!$C$4:$C$615))</f>
        <v>32000</v>
      </c>
      <c r="I128" s="73">
        <f>SUMPRODUCT(-('Gastos Gerais'!$B$4:$B$615=Analítico!$B128),-(Analítico!I$3&gt;='Gastos Gerais'!$D$4:$D$615),-(Analítico!I$3&lt;='Gastos Gerais'!$E$4:$E$615),-('Gastos Gerais'!$C$4:$C$615))</f>
        <v>32000</v>
      </c>
      <c r="J128" s="73">
        <f>SUMPRODUCT(-('Gastos Gerais'!$B$4:$B$615=Analítico!$B128),-(Analítico!J$3&gt;='Gastos Gerais'!$D$4:$D$615),-(Analítico!J$3&lt;='Gastos Gerais'!$E$4:$E$615),-('Gastos Gerais'!$C$4:$C$615))</f>
        <v>32000</v>
      </c>
      <c r="K128" s="73">
        <f>SUMPRODUCT(-('Gastos Gerais'!$B$4:$B$615=Analítico!$B128),-(Analítico!K$3&gt;='Gastos Gerais'!$D$4:$D$615),-(Analítico!K$3&lt;='Gastos Gerais'!$E$4:$E$615),-('Gastos Gerais'!$C$4:$C$615))</f>
        <v>32000</v>
      </c>
      <c r="L128" s="73">
        <f>SUMPRODUCT(-('Gastos Gerais'!$B$4:$B$615=Analítico!$B128),-(Analítico!L$3&gt;='Gastos Gerais'!$D$4:$D$615),-(Analítico!L$3&lt;='Gastos Gerais'!$E$4:$E$615),-('Gastos Gerais'!$C$4:$C$615))</f>
        <v>32000</v>
      </c>
      <c r="M128" s="73">
        <f>SUMPRODUCT(-('Gastos Gerais'!$B$4:$B$615=Analítico!$B128),-(Analítico!M$3&gt;='Gastos Gerais'!$D$4:$D$615),-(Analítico!M$3&lt;='Gastos Gerais'!$E$4:$E$615),-('Gastos Gerais'!$C$4:$C$615))</f>
        <v>32000</v>
      </c>
      <c r="N128" s="73">
        <f>SUMPRODUCT(-('Gastos Gerais'!$B$4:$B$615=Analítico!$B128),-(Analítico!N$3&gt;='Gastos Gerais'!$D$4:$D$615),-(Analítico!N$3&lt;='Gastos Gerais'!$E$4:$E$615),-('Gastos Gerais'!$C$4:$C$615))</f>
        <v>32000</v>
      </c>
      <c r="O128" s="73">
        <f>SUMPRODUCT(-('Gastos Gerais'!$B$4:$B$615=Analítico!$B128),-(Analítico!O$3&gt;='Gastos Gerais'!$D$4:$D$615),-(Analítico!O$3&lt;='Gastos Gerais'!$E$4:$E$615),-('Gastos Gerais'!$C$4:$C$615))</f>
        <v>32000</v>
      </c>
      <c r="P128" s="73">
        <f>SUMPRODUCT(-('Gastos Gerais'!$B$4:$B$615=Analítico!$B128),-(Analítico!P$3&gt;='Gastos Gerais'!$D$4:$D$615),-(Analítico!P$3&lt;='Gastos Gerais'!$E$4:$E$615),-('Gastos Gerais'!$C$4:$C$615))</f>
        <v>32000</v>
      </c>
      <c r="Q128" s="73">
        <f>SUMPRODUCT(-('Gastos Gerais'!$B$4:$B$615=Analítico!$B128),-(Analítico!Q$3&gt;='Gastos Gerais'!$D$4:$D$615),-(Analítico!Q$3&lt;='Gastos Gerais'!$E$4:$E$615),-('Gastos Gerais'!$C$4:$C$615))</f>
        <v>32000</v>
      </c>
      <c r="R128" s="73">
        <f>SUMPRODUCT(-('Gastos Gerais'!$B$4:$B$615=Analítico!$B128),-(Analítico!R$3&gt;='Gastos Gerais'!$D$4:$D$615),-(Analítico!R$3&lt;='Gastos Gerais'!$E$4:$E$615),-('Gastos Gerais'!$C$4:$C$615))</f>
        <v>32000</v>
      </c>
      <c r="S128" s="73">
        <f>SUMPRODUCT(-('Gastos Gerais'!$B$4:$B$615=Analítico!$B128),-(Analítico!S$3&gt;='Gastos Gerais'!$D$4:$D$615),-(Analítico!S$3&lt;='Gastos Gerais'!$E$4:$E$615),-('Gastos Gerais'!$C$4:$C$615))</f>
        <v>32000</v>
      </c>
      <c r="T128" s="73">
        <f>SUMPRODUCT(-('Gastos Gerais'!$B$4:$B$615=Analítico!$B128),-(Analítico!T$3&gt;='Gastos Gerais'!$D$4:$D$615),-(Analítico!T$3&lt;='Gastos Gerais'!$E$4:$E$615),-('Gastos Gerais'!$C$4:$C$615))</f>
        <v>32000</v>
      </c>
      <c r="U128" s="73">
        <f>SUMPRODUCT(-('Gastos Gerais'!$B$4:$B$615=Analítico!$B128),-(Analítico!U$3&gt;='Gastos Gerais'!$D$4:$D$615),-(Analítico!U$3&lt;='Gastos Gerais'!$E$4:$E$615),-('Gastos Gerais'!$C$4:$C$615))</f>
        <v>32000</v>
      </c>
      <c r="V128" s="73">
        <f>SUMPRODUCT(-('Gastos Gerais'!$B$4:$B$615=Analítico!$B128),-(Analítico!V$3&gt;='Gastos Gerais'!$D$4:$D$615),-(Analítico!V$3&lt;='Gastos Gerais'!$E$4:$E$615),-('Gastos Gerais'!$C$4:$C$615))</f>
        <v>32000</v>
      </c>
      <c r="W128" s="73">
        <f>SUMPRODUCT(-('Gastos Gerais'!$B$4:$B$615=Analítico!$B128),-(Analítico!W$3&gt;='Gastos Gerais'!$D$4:$D$615),-(Analítico!W$3&lt;='Gastos Gerais'!$E$4:$E$615),-('Gastos Gerais'!$C$4:$C$615))</f>
        <v>32000</v>
      </c>
      <c r="X128" s="73">
        <f>SUMPRODUCT(-('Gastos Gerais'!$B$4:$B$615=Analítico!$B128),-(Analítico!X$3&gt;='Gastos Gerais'!$D$4:$D$615),-(Analítico!X$3&lt;='Gastos Gerais'!$E$4:$E$615),-('Gastos Gerais'!$C$4:$C$615))</f>
        <v>32000</v>
      </c>
      <c r="Y128" s="73">
        <f>SUMPRODUCT(-('Gastos Gerais'!$B$4:$B$615=Analítico!$B128),-(Analítico!Y$3&gt;='Gastos Gerais'!$D$4:$D$615),-(Analítico!Y$3&lt;='Gastos Gerais'!$E$4:$E$615),-('Gastos Gerais'!$C$4:$C$615))</f>
        <v>32000</v>
      </c>
      <c r="Z128" s="73">
        <f>SUMPRODUCT(-('Gastos Gerais'!$B$4:$B$615=Analítico!$B128),-(Analítico!Z$3&gt;='Gastos Gerais'!$D$4:$D$615),-(Analítico!Z$3&lt;='Gastos Gerais'!$E$4:$E$615),-('Gastos Gerais'!$C$4:$C$615))</f>
        <v>32000</v>
      </c>
      <c r="AA128" s="73">
        <f>SUMPRODUCT(-('Gastos Gerais'!$B$4:$B$615=Analítico!$B128),-(Analítico!AA$3&gt;='Gastos Gerais'!$D$4:$D$615),-(Analítico!AA$3&lt;='Gastos Gerais'!$E$4:$E$615),-('Gastos Gerais'!$C$4:$C$615))</f>
        <v>32000</v>
      </c>
      <c r="AB128" s="73">
        <f>SUMPRODUCT(-('Gastos Gerais'!$B$4:$B$615=Analítico!$B128),-(Analítico!AB$3&gt;='Gastos Gerais'!$D$4:$D$615),-(Analítico!AB$3&lt;='Gastos Gerais'!$E$4:$E$615),-('Gastos Gerais'!$C$4:$C$615))</f>
        <v>32000</v>
      </c>
      <c r="AC128" s="73">
        <f>SUMPRODUCT(-('Gastos Gerais'!$B$4:$B$615=Analítico!$B128),-(Analítico!AC$3&gt;='Gastos Gerais'!$D$4:$D$615),-(Analítico!AC$3&lt;='Gastos Gerais'!$E$4:$E$615),-('Gastos Gerais'!$C$4:$C$615))</f>
        <v>32000</v>
      </c>
      <c r="AD128" s="73">
        <f>SUMPRODUCT(-('Gastos Gerais'!$B$4:$B$615=Analítico!$B128),-(Analítico!AD$3&gt;='Gastos Gerais'!$D$4:$D$615),-(Analítico!AD$3&lt;='Gastos Gerais'!$E$4:$E$615),-('Gastos Gerais'!$C$4:$C$615))</f>
        <v>32000</v>
      </c>
      <c r="AE128" s="73">
        <f>SUMPRODUCT(-('Gastos Gerais'!$B$4:$B$615=Analítico!$B128),-(Analítico!AE$3&gt;='Gastos Gerais'!$D$4:$D$615),-(Analítico!AE$3&lt;='Gastos Gerais'!$E$4:$E$615),-('Gastos Gerais'!$C$4:$C$615))</f>
        <v>32000</v>
      </c>
      <c r="AF128" s="73">
        <f>SUMPRODUCT(-('Gastos Gerais'!$B$4:$B$615=Analítico!$B128),-(Analítico!AF$3&gt;='Gastos Gerais'!$D$4:$D$615),-(Analítico!AF$3&lt;='Gastos Gerais'!$E$4:$E$615),-('Gastos Gerais'!$C$4:$C$615))</f>
        <v>32000</v>
      </c>
      <c r="AG128" s="73">
        <f>SUMPRODUCT(-('Gastos Gerais'!$B$4:$B$615=Analítico!$B128),-(Analítico!AG$3&gt;='Gastos Gerais'!$D$4:$D$615),-(Analítico!AG$3&lt;='Gastos Gerais'!$E$4:$E$615),-('Gastos Gerais'!$C$4:$C$615))</f>
        <v>32000</v>
      </c>
      <c r="AH128" s="73">
        <f>SUMPRODUCT(-('Gastos Gerais'!$B$4:$B$615=Analítico!$B128),-(Analítico!AH$3&gt;='Gastos Gerais'!$D$4:$D$615),-(Analítico!AH$3&lt;='Gastos Gerais'!$E$4:$E$615),-('Gastos Gerais'!$C$4:$C$615))</f>
        <v>32000</v>
      </c>
      <c r="AI128" s="73">
        <f>SUMPRODUCT(-('Gastos Gerais'!$B$4:$B$615=Analítico!$B128),-(Analítico!AI$3&gt;='Gastos Gerais'!$D$4:$D$615),-(Analítico!AI$3&lt;='Gastos Gerais'!$E$4:$E$615),-('Gastos Gerais'!$C$4:$C$615))</f>
        <v>32000</v>
      </c>
      <c r="AJ128" s="73">
        <f>SUMPRODUCT(-('Gastos Gerais'!$B$4:$B$615=Analítico!$B128),-(Analítico!AJ$3&gt;='Gastos Gerais'!$D$4:$D$615),-(Analítico!AJ$3&lt;='Gastos Gerais'!$E$4:$E$615),-('Gastos Gerais'!$C$4:$C$615))</f>
        <v>32000</v>
      </c>
      <c r="AK128" s="73">
        <f>SUMPRODUCT(-('Gastos Gerais'!$B$4:$B$615=Analítico!$B128),-(Analítico!AK$3&gt;='Gastos Gerais'!$D$4:$D$615),-(Analítico!AK$3&lt;='Gastos Gerais'!$E$4:$E$615),-('Gastos Gerais'!$C$4:$C$615))</f>
        <v>32000</v>
      </c>
      <c r="AL128" s="73">
        <f>SUMPRODUCT(-('Gastos Gerais'!$B$4:$B$615=Analítico!$B128),-(Analítico!AL$3&gt;='Gastos Gerais'!$D$4:$D$615),-(Analítico!AL$3&lt;='Gastos Gerais'!$E$4:$E$615),-('Gastos Gerais'!$C$4:$C$615))</f>
        <v>32000</v>
      </c>
      <c r="AM128" s="73">
        <f>SUMPRODUCT(-('Gastos Gerais'!$B$4:$B$615=Analítico!$B128),-(Analítico!AM$3&gt;='Gastos Gerais'!$D$4:$D$615),-(Analítico!AM$3&lt;='Gastos Gerais'!$E$4:$E$615),-('Gastos Gerais'!$C$4:$C$615))</f>
        <v>0</v>
      </c>
      <c r="AN128" s="73">
        <f>SUMPRODUCT(-('Gastos Gerais'!$B$4:$B$615=Analítico!$B128),-(Analítico!AN$3&gt;='Gastos Gerais'!$D$4:$D$615),-(Analítico!AN$3&lt;='Gastos Gerais'!$E$4:$E$615),-('Gastos Gerais'!$C$4:$C$615))</f>
        <v>0</v>
      </c>
      <c r="AO128" s="73">
        <f>SUMPRODUCT(-('Gastos Gerais'!$B$4:$B$615=Analítico!$B128),-(Analítico!AO$3&gt;='Gastos Gerais'!$D$4:$D$615),-(Analítico!AO$3&lt;='Gastos Gerais'!$E$4:$E$615),-('Gastos Gerais'!$C$4:$C$615))</f>
        <v>0</v>
      </c>
      <c r="AP128" s="73">
        <f>SUMPRODUCT(-('Gastos Gerais'!$B$4:$B$615=Analítico!$B128),-(Analítico!AP$3&gt;='Gastos Gerais'!$D$4:$D$615),-(Analítico!AP$3&lt;='Gastos Gerais'!$E$4:$E$615),-('Gastos Gerais'!$C$4:$C$615))</f>
        <v>0</v>
      </c>
      <c r="AQ128" s="73">
        <f>SUMPRODUCT(-('Gastos Gerais'!$B$4:$B$615=Analítico!$B128),-(Analítico!AQ$3&gt;='Gastos Gerais'!$D$4:$D$615),-(Analítico!AQ$3&lt;='Gastos Gerais'!$E$4:$E$615),-('Gastos Gerais'!$C$4:$C$615))</f>
        <v>0</v>
      </c>
      <c r="AR128" s="73">
        <f>SUMPRODUCT(-('Gastos Gerais'!$B$4:$B$615=Analítico!$B128),-(Analítico!AR$3&gt;='Gastos Gerais'!$D$4:$D$615),-(Analítico!AR$3&lt;='Gastos Gerais'!$E$4:$E$615),-('Gastos Gerais'!$C$4:$C$615))</f>
        <v>0</v>
      </c>
      <c r="AS128" s="73">
        <f>SUMPRODUCT(-('Gastos Gerais'!$B$4:$B$615=Analítico!$B128),-(Analítico!AS$3&gt;='Gastos Gerais'!$D$4:$D$615),-(Analítico!AS$3&lt;='Gastos Gerais'!$E$4:$E$615),-('Gastos Gerais'!$C$4:$C$615))</f>
        <v>0</v>
      </c>
      <c r="AT128" s="73">
        <f>SUMPRODUCT(-('Gastos Gerais'!$B$4:$B$615=Analítico!$B128),-(Analítico!AT$3&gt;='Gastos Gerais'!$D$4:$D$615),-(Analítico!AT$3&lt;='Gastos Gerais'!$E$4:$E$615),-('Gastos Gerais'!$C$4:$C$615))</f>
        <v>0</v>
      </c>
      <c r="AU128" s="73">
        <f>SUMPRODUCT(-('Gastos Gerais'!$B$4:$B$615=Analítico!$B128),-(Analítico!AU$3&gt;='Gastos Gerais'!$D$4:$D$615),-(Analítico!AU$3&lt;='Gastos Gerais'!$E$4:$E$615),-('Gastos Gerais'!$C$4:$C$615))</f>
        <v>0</v>
      </c>
      <c r="AV128" s="73">
        <f>SUMPRODUCT(-('Gastos Gerais'!$B$4:$B$615=Analítico!$B128),-(Analítico!AV$3&gt;='Gastos Gerais'!$D$4:$D$615),-(Analítico!AV$3&lt;='Gastos Gerais'!$E$4:$E$615),-('Gastos Gerais'!$C$4:$C$615))</f>
        <v>0</v>
      </c>
      <c r="AW128" s="73">
        <f>SUMPRODUCT(-('Gastos Gerais'!$B$4:$B$615=Analítico!$B128),-(Analítico!AW$3&gt;='Gastos Gerais'!$D$4:$D$615),-(Analítico!AW$3&lt;='Gastos Gerais'!$E$4:$E$615),-('Gastos Gerais'!$C$4:$C$615))</f>
        <v>0</v>
      </c>
      <c r="AX128" s="73">
        <f>SUMPRODUCT(-('Gastos Gerais'!$B$4:$B$615=Analítico!$B128),-(Analítico!AX$3&gt;='Gastos Gerais'!$D$4:$D$615),-(Analítico!AX$3&lt;='Gastos Gerais'!$E$4:$E$615),-('Gastos Gerais'!$C$4:$C$615))</f>
        <v>0</v>
      </c>
      <c r="AY128" s="73">
        <f>SUMPRODUCT(-('Gastos Gerais'!$B$4:$B$615=Analítico!$B128),-(Analítico!AY$3&gt;='Gastos Gerais'!$D$4:$D$615),-(Analítico!AY$3&lt;='Gastos Gerais'!$E$4:$E$615),-('Gastos Gerais'!$C$4:$C$615))</f>
        <v>0</v>
      </c>
      <c r="AZ128" s="73">
        <f>SUMPRODUCT(-('Gastos Gerais'!$B$4:$B$615=Analítico!$B128),-(Analítico!AZ$3&gt;='Gastos Gerais'!$D$4:$D$615),-(Analítico!AZ$3&lt;='Gastos Gerais'!$E$4:$E$615),-('Gastos Gerais'!$C$4:$C$615))</f>
        <v>0</v>
      </c>
      <c r="BA128" s="73">
        <f>SUMPRODUCT(-('Gastos Gerais'!$B$4:$B$615=Analítico!$B128),-(Analítico!BA$3&gt;='Gastos Gerais'!$D$4:$D$615),-(Analítico!BA$3&lt;='Gastos Gerais'!$E$4:$E$615),-('Gastos Gerais'!$C$4:$C$615))</f>
        <v>0</v>
      </c>
      <c r="BB128" s="73">
        <f>SUMPRODUCT(-('Gastos Gerais'!$B$4:$B$615=Analítico!$B128),-(Analítico!BB$3&gt;='Gastos Gerais'!$D$4:$D$615),-(Analítico!BB$3&lt;='Gastos Gerais'!$E$4:$E$615),-('Gastos Gerais'!$C$4:$C$615))</f>
        <v>0</v>
      </c>
      <c r="BC128" s="73">
        <f>SUMPRODUCT(-('Gastos Gerais'!$B$4:$B$615=Analítico!$B128),-(Analítico!BC$3&gt;='Gastos Gerais'!$D$4:$D$615),-(Analítico!BC$3&lt;='Gastos Gerais'!$E$4:$E$615),-('Gastos Gerais'!$C$4:$C$615))</f>
        <v>0</v>
      </c>
      <c r="BD128" s="73">
        <f>SUMPRODUCT(-('Gastos Gerais'!$B$4:$B$615=Analítico!$B128),-(Analítico!BD$3&gt;='Gastos Gerais'!$D$4:$D$615),-(Analítico!BD$3&lt;='Gastos Gerais'!$E$4:$E$615),-('Gastos Gerais'!$C$4:$C$615))</f>
        <v>0</v>
      </c>
      <c r="BE128" s="73">
        <f>SUMPRODUCT(-('Gastos Gerais'!$B$4:$B$615=Analítico!$B128),-(Analítico!BE$3&gt;='Gastos Gerais'!$D$4:$D$615),-(Analítico!BE$3&lt;='Gastos Gerais'!$E$4:$E$615),-('Gastos Gerais'!$C$4:$C$615))</f>
        <v>0</v>
      </c>
      <c r="BF128" s="73">
        <f>SUMPRODUCT(-('Gastos Gerais'!$B$4:$B$615=Analítico!$B128),-(Analítico!BF$3&gt;='Gastos Gerais'!$D$4:$D$615),-(Analítico!BF$3&lt;='Gastos Gerais'!$E$4:$E$615),-('Gastos Gerais'!$C$4:$C$615))</f>
        <v>0</v>
      </c>
      <c r="BG128" s="73">
        <f>SUMPRODUCT(-('Gastos Gerais'!$B$4:$B$615=Analítico!$B128),-(Analítico!BG$3&gt;='Gastos Gerais'!$D$4:$D$615),-(Analítico!BG$3&lt;='Gastos Gerais'!$E$4:$E$615),-('Gastos Gerais'!$C$4:$C$615))</f>
        <v>0</v>
      </c>
      <c r="BH128" s="73">
        <f>SUMPRODUCT(-('Gastos Gerais'!$B$4:$B$615=Analítico!$B128),-(Analítico!BH$3&gt;='Gastos Gerais'!$D$4:$D$615),-(Analítico!BH$3&lt;='Gastos Gerais'!$E$4:$E$615),-('Gastos Gerais'!$C$4:$C$615))</f>
        <v>0</v>
      </c>
      <c r="BI128" s="73">
        <f>SUMPRODUCT(-('Gastos Gerais'!$B$4:$B$615=Analítico!$B128),-(Analítico!BI$3&gt;='Gastos Gerais'!$D$4:$D$615),-(Analítico!BI$3&lt;='Gastos Gerais'!$E$4:$E$615),-('Gastos Gerais'!$C$4:$C$615))</f>
        <v>0</v>
      </c>
      <c r="BJ128" s="73">
        <f>SUMPRODUCT(-('Gastos Gerais'!$B$4:$B$615=Analítico!$B128),-(Analítico!BJ$3&gt;='Gastos Gerais'!$D$4:$D$615),-(Analítico!BJ$3&lt;='Gastos Gerais'!$E$4:$E$615),-('Gastos Gerais'!$C$4:$C$615))</f>
        <v>0</v>
      </c>
      <c r="BK128" s="71">
        <f t="shared" si="35"/>
        <v>1152000</v>
      </c>
      <c r="BL128" s="76">
        <f t="shared" ca="1" si="36"/>
        <v>3.1421933860899449E-3</v>
      </c>
    </row>
    <row r="129" spans="1:64" s="49" customFormat="1" ht="23.25" customHeight="1" x14ac:dyDescent="0.2">
      <c r="A129" s="109" t="s">
        <v>326</v>
      </c>
      <c r="B129" s="112" t="s">
        <v>327</v>
      </c>
      <c r="C129" s="73">
        <f>SUMPRODUCT(-('Gastos Gerais'!$B$4:$B$615=Analítico!$B129),-(Analítico!C$3&gt;='Gastos Gerais'!$D$4:$D$615),-(Analítico!C$3&lt;='Gastos Gerais'!$E$4:$E$615),-('Gastos Gerais'!$C$4:$C$615))</f>
        <v>19200</v>
      </c>
      <c r="D129" s="73">
        <f>SUMPRODUCT(-('Gastos Gerais'!$B$4:$B$615=Analítico!$B129),-(Analítico!D$3&gt;='Gastos Gerais'!$D$4:$D$615),-(Analítico!D$3&lt;='Gastos Gerais'!$E$4:$E$615),-('Gastos Gerais'!$C$4:$C$615))</f>
        <v>19200</v>
      </c>
      <c r="E129" s="73">
        <f>SUMPRODUCT(-('Gastos Gerais'!$B$4:$B$615=Analítico!$B129),-(Analítico!E$3&gt;='Gastos Gerais'!$D$4:$D$615),-(Analítico!E$3&lt;='Gastos Gerais'!$E$4:$E$615),-('Gastos Gerais'!$C$4:$C$615))</f>
        <v>19200</v>
      </c>
      <c r="F129" s="73">
        <f>SUMPRODUCT(-('Gastos Gerais'!$B$4:$B$615=Analítico!$B129),-(Analítico!F$3&gt;='Gastos Gerais'!$D$4:$D$615),-(Analítico!F$3&lt;='Gastos Gerais'!$E$4:$E$615),-('Gastos Gerais'!$C$4:$C$615))</f>
        <v>19200</v>
      </c>
      <c r="G129" s="73">
        <f>SUMPRODUCT(-('Gastos Gerais'!$B$4:$B$615=Analítico!$B129),-(Analítico!G$3&gt;='Gastos Gerais'!$D$4:$D$615),-(Analítico!G$3&lt;='Gastos Gerais'!$E$4:$E$615),-('Gastos Gerais'!$C$4:$C$615))</f>
        <v>19200</v>
      </c>
      <c r="H129" s="73">
        <f>SUMPRODUCT(-('Gastos Gerais'!$B$4:$B$615=Analítico!$B129),-(Analítico!H$3&gt;='Gastos Gerais'!$D$4:$D$615),-(Analítico!H$3&lt;='Gastos Gerais'!$E$4:$E$615),-('Gastos Gerais'!$C$4:$C$615))</f>
        <v>19200</v>
      </c>
      <c r="I129" s="73">
        <f>SUMPRODUCT(-('Gastos Gerais'!$B$4:$B$615=Analítico!$B129),-(Analítico!I$3&gt;='Gastos Gerais'!$D$4:$D$615),-(Analítico!I$3&lt;='Gastos Gerais'!$E$4:$E$615),-('Gastos Gerais'!$C$4:$C$615))</f>
        <v>19200</v>
      </c>
      <c r="J129" s="73">
        <f>SUMPRODUCT(-('Gastos Gerais'!$B$4:$B$615=Analítico!$B129),-(Analítico!J$3&gt;='Gastos Gerais'!$D$4:$D$615),-(Analítico!J$3&lt;='Gastos Gerais'!$E$4:$E$615),-('Gastos Gerais'!$C$4:$C$615))</f>
        <v>19200</v>
      </c>
      <c r="K129" s="73">
        <f>SUMPRODUCT(-('Gastos Gerais'!$B$4:$B$615=Analítico!$B129),-(Analítico!K$3&gt;='Gastos Gerais'!$D$4:$D$615),-(Analítico!K$3&lt;='Gastos Gerais'!$E$4:$E$615),-('Gastos Gerais'!$C$4:$C$615))</f>
        <v>19200</v>
      </c>
      <c r="L129" s="73">
        <f>SUMPRODUCT(-('Gastos Gerais'!$B$4:$B$615=Analítico!$B129),-(Analítico!L$3&gt;='Gastos Gerais'!$D$4:$D$615),-(Analítico!L$3&lt;='Gastos Gerais'!$E$4:$E$615),-('Gastos Gerais'!$C$4:$C$615))</f>
        <v>19200</v>
      </c>
      <c r="M129" s="73">
        <f>SUMPRODUCT(-('Gastos Gerais'!$B$4:$B$615=Analítico!$B129),-(Analítico!M$3&gt;='Gastos Gerais'!$D$4:$D$615),-(Analítico!M$3&lt;='Gastos Gerais'!$E$4:$E$615),-('Gastos Gerais'!$C$4:$C$615))</f>
        <v>19200</v>
      </c>
      <c r="N129" s="73">
        <f>SUMPRODUCT(-('Gastos Gerais'!$B$4:$B$615=Analítico!$B129),-(Analítico!N$3&gt;='Gastos Gerais'!$D$4:$D$615),-(Analítico!N$3&lt;='Gastos Gerais'!$E$4:$E$615),-('Gastos Gerais'!$C$4:$C$615))</f>
        <v>19200</v>
      </c>
      <c r="O129" s="73">
        <f>SUMPRODUCT(-('Gastos Gerais'!$B$4:$B$615=Analítico!$B129),-(Analítico!O$3&gt;='Gastos Gerais'!$D$4:$D$615),-(Analítico!O$3&lt;='Gastos Gerais'!$E$4:$E$615),-('Gastos Gerais'!$C$4:$C$615))</f>
        <v>19200</v>
      </c>
      <c r="P129" s="73">
        <f>SUMPRODUCT(-('Gastos Gerais'!$B$4:$B$615=Analítico!$B129),-(Analítico!P$3&gt;='Gastos Gerais'!$D$4:$D$615),-(Analítico!P$3&lt;='Gastos Gerais'!$E$4:$E$615),-('Gastos Gerais'!$C$4:$C$615))</f>
        <v>19200</v>
      </c>
      <c r="Q129" s="73">
        <f>SUMPRODUCT(-('Gastos Gerais'!$B$4:$B$615=Analítico!$B129),-(Analítico!Q$3&gt;='Gastos Gerais'!$D$4:$D$615),-(Analítico!Q$3&lt;='Gastos Gerais'!$E$4:$E$615),-('Gastos Gerais'!$C$4:$C$615))</f>
        <v>19200</v>
      </c>
      <c r="R129" s="73">
        <f>SUMPRODUCT(-('Gastos Gerais'!$B$4:$B$615=Analítico!$B129),-(Analítico!R$3&gt;='Gastos Gerais'!$D$4:$D$615),-(Analítico!R$3&lt;='Gastos Gerais'!$E$4:$E$615),-('Gastos Gerais'!$C$4:$C$615))</f>
        <v>19200</v>
      </c>
      <c r="S129" s="73">
        <f>SUMPRODUCT(-('Gastos Gerais'!$B$4:$B$615=Analítico!$B129),-(Analítico!S$3&gt;='Gastos Gerais'!$D$4:$D$615),-(Analítico!S$3&lt;='Gastos Gerais'!$E$4:$E$615),-('Gastos Gerais'!$C$4:$C$615))</f>
        <v>19200</v>
      </c>
      <c r="T129" s="73">
        <f>SUMPRODUCT(-('Gastos Gerais'!$B$4:$B$615=Analítico!$B129),-(Analítico!T$3&gt;='Gastos Gerais'!$D$4:$D$615),-(Analítico!T$3&lt;='Gastos Gerais'!$E$4:$E$615),-('Gastos Gerais'!$C$4:$C$615))</f>
        <v>19200</v>
      </c>
      <c r="U129" s="73">
        <f>SUMPRODUCT(-('Gastos Gerais'!$B$4:$B$615=Analítico!$B129),-(Analítico!U$3&gt;='Gastos Gerais'!$D$4:$D$615),-(Analítico!U$3&lt;='Gastos Gerais'!$E$4:$E$615),-('Gastos Gerais'!$C$4:$C$615))</f>
        <v>19200</v>
      </c>
      <c r="V129" s="73">
        <f>SUMPRODUCT(-('Gastos Gerais'!$B$4:$B$615=Analítico!$B129),-(Analítico!V$3&gt;='Gastos Gerais'!$D$4:$D$615),-(Analítico!V$3&lt;='Gastos Gerais'!$E$4:$E$615),-('Gastos Gerais'!$C$4:$C$615))</f>
        <v>19200</v>
      </c>
      <c r="W129" s="73">
        <f>SUMPRODUCT(-('Gastos Gerais'!$B$4:$B$615=Analítico!$B129),-(Analítico!W$3&gt;='Gastos Gerais'!$D$4:$D$615),-(Analítico!W$3&lt;='Gastos Gerais'!$E$4:$E$615),-('Gastos Gerais'!$C$4:$C$615))</f>
        <v>19200</v>
      </c>
      <c r="X129" s="73">
        <f>SUMPRODUCT(-('Gastos Gerais'!$B$4:$B$615=Analítico!$B129),-(Analítico!X$3&gt;='Gastos Gerais'!$D$4:$D$615),-(Analítico!X$3&lt;='Gastos Gerais'!$E$4:$E$615),-('Gastos Gerais'!$C$4:$C$615))</f>
        <v>19200</v>
      </c>
      <c r="Y129" s="73">
        <f>SUMPRODUCT(-('Gastos Gerais'!$B$4:$B$615=Analítico!$B129),-(Analítico!Y$3&gt;='Gastos Gerais'!$D$4:$D$615),-(Analítico!Y$3&lt;='Gastos Gerais'!$E$4:$E$615),-('Gastos Gerais'!$C$4:$C$615))</f>
        <v>19200</v>
      </c>
      <c r="Z129" s="73">
        <f>SUMPRODUCT(-('Gastos Gerais'!$B$4:$B$615=Analítico!$B129),-(Analítico!Z$3&gt;='Gastos Gerais'!$D$4:$D$615),-(Analítico!Z$3&lt;='Gastos Gerais'!$E$4:$E$615),-('Gastos Gerais'!$C$4:$C$615))</f>
        <v>19200</v>
      </c>
      <c r="AA129" s="73">
        <f>SUMPRODUCT(-('Gastos Gerais'!$B$4:$B$615=Analítico!$B129),-(Analítico!AA$3&gt;='Gastos Gerais'!$D$4:$D$615),-(Analítico!AA$3&lt;='Gastos Gerais'!$E$4:$E$615),-('Gastos Gerais'!$C$4:$C$615))</f>
        <v>19200</v>
      </c>
      <c r="AB129" s="73">
        <f>SUMPRODUCT(-('Gastos Gerais'!$B$4:$B$615=Analítico!$B129),-(Analítico!AB$3&gt;='Gastos Gerais'!$D$4:$D$615),-(Analítico!AB$3&lt;='Gastos Gerais'!$E$4:$E$615),-('Gastos Gerais'!$C$4:$C$615))</f>
        <v>19200</v>
      </c>
      <c r="AC129" s="73">
        <f>SUMPRODUCT(-('Gastos Gerais'!$B$4:$B$615=Analítico!$B129),-(Analítico!AC$3&gt;='Gastos Gerais'!$D$4:$D$615),-(Analítico!AC$3&lt;='Gastos Gerais'!$E$4:$E$615),-('Gastos Gerais'!$C$4:$C$615))</f>
        <v>19200</v>
      </c>
      <c r="AD129" s="73">
        <f>SUMPRODUCT(-('Gastos Gerais'!$B$4:$B$615=Analítico!$B129),-(Analítico!AD$3&gt;='Gastos Gerais'!$D$4:$D$615),-(Analítico!AD$3&lt;='Gastos Gerais'!$E$4:$E$615),-('Gastos Gerais'!$C$4:$C$615))</f>
        <v>19200</v>
      </c>
      <c r="AE129" s="73">
        <f>SUMPRODUCT(-('Gastos Gerais'!$B$4:$B$615=Analítico!$B129),-(Analítico!AE$3&gt;='Gastos Gerais'!$D$4:$D$615),-(Analítico!AE$3&lt;='Gastos Gerais'!$E$4:$E$615),-('Gastos Gerais'!$C$4:$C$615))</f>
        <v>19200</v>
      </c>
      <c r="AF129" s="73">
        <f>SUMPRODUCT(-('Gastos Gerais'!$B$4:$B$615=Analítico!$B129),-(Analítico!AF$3&gt;='Gastos Gerais'!$D$4:$D$615),-(Analítico!AF$3&lt;='Gastos Gerais'!$E$4:$E$615),-('Gastos Gerais'!$C$4:$C$615))</f>
        <v>19200</v>
      </c>
      <c r="AG129" s="73">
        <f>SUMPRODUCT(-('Gastos Gerais'!$B$4:$B$615=Analítico!$B129),-(Analítico!AG$3&gt;='Gastos Gerais'!$D$4:$D$615),-(Analítico!AG$3&lt;='Gastos Gerais'!$E$4:$E$615),-('Gastos Gerais'!$C$4:$C$615))</f>
        <v>19200</v>
      </c>
      <c r="AH129" s="73">
        <f>SUMPRODUCT(-('Gastos Gerais'!$B$4:$B$615=Analítico!$B129),-(Analítico!AH$3&gt;='Gastos Gerais'!$D$4:$D$615),-(Analítico!AH$3&lt;='Gastos Gerais'!$E$4:$E$615),-('Gastos Gerais'!$C$4:$C$615))</f>
        <v>19200</v>
      </c>
      <c r="AI129" s="73">
        <f>SUMPRODUCT(-('Gastos Gerais'!$B$4:$B$615=Analítico!$B129),-(Analítico!AI$3&gt;='Gastos Gerais'!$D$4:$D$615),-(Analítico!AI$3&lt;='Gastos Gerais'!$E$4:$E$615),-('Gastos Gerais'!$C$4:$C$615))</f>
        <v>19200</v>
      </c>
      <c r="AJ129" s="73">
        <f>SUMPRODUCT(-('Gastos Gerais'!$B$4:$B$615=Analítico!$B129),-(Analítico!AJ$3&gt;='Gastos Gerais'!$D$4:$D$615),-(Analítico!AJ$3&lt;='Gastos Gerais'!$E$4:$E$615),-('Gastos Gerais'!$C$4:$C$615))</f>
        <v>19200</v>
      </c>
      <c r="AK129" s="73">
        <f>SUMPRODUCT(-('Gastos Gerais'!$B$4:$B$615=Analítico!$B129),-(Analítico!AK$3&gt;='Gastos Gerais'!$D$4:$D$615),-(Analítico!AK$3&lt;='Gastos Gerais'!$E$4:$E$615),-('Gastos Gerais'!$C$4:$C$615))</f>
        <v>19200</v>
      </c>
      <c r="AL129" s="73">
        <f>SUMPRODUCT(-('Gastos Gerais'!$B$4:$B$615=Analítico!$B129),-(Analítico!AL$3&gt;='Gastos Gerais'!$D$4:$D$615),-(Analítico!AL$3&lt;='Gastos Gerais'!$E$4:$E$615),-('Gastos Gerais'!$C$4:$C$615))</f>
        <v>19200</v>
      </c>
      <c r="AM129" s="73">
        <f>SUMPRODUCT(-('Gastos Gerais'!$B$4:$B$615=Analítico!$B129),-(Analítico!AM$3&gt;='Gastos Gerais'!$D$4:$D$615),-(Analítico!AM$3&lt;='Gastos Gerais'!$E$4:$E$615),-('Gastos Gerais'!$C$4:$C$615))</f>
        <v>0</v>
      </c>
      <c r="AN129" s="73">
        <f>SUMPRODUCT(-('Gastos Gerais'!$B$4:$B$615=Analítico!$B129),-(Analítico!AN$3&gt;='Gastos Gerais'!$D$4:$D$615),-(Analítico!AN$3&lt;='Gastos Gerais'!$E$4:$E$615),-('Gastos Gerais'!$C$4:$C$615))</f>
        <v>0</v>
      </c>
      <c r="AO129" s="73">
        <f>SUMPRODUCT(-('Gastos Gerais'!$B$4:$B$615=Analítico!$B129),-(Analítico!AO$3&gt;='Gastos Gerais'!$D$4:$D$615),-(Analítico!AO$3&lt;='Gastos Gerais'!$E$4:$E$615),-('Gastos Gerais'!$C$4:$C$615))</f>
        <v>0</v>
      </c>
      <c r="AP129" s="73">
        <f>SUMPRODUCT(-('Gastos Gerais'!$B$4:$B$615=Analítico!$B129),-(Analítico!AP$3&gt;='Gastos Gerais'!$D$4:$D$615),-(Analítico!AP$3&lt;='Gastos Gerais'!$E$4:$E$615),-('Gastos Gerais'!$C$4:$C$615))</f>
        <v>0</v>
      </c>
      <c r="AQ129" s="73">
        <f>SUMPRODUCT(-('Gastos Gerais'!$B$4:$B$615=Analítico!$B129),-(Analítico!AQ$3&gt;='Gastos Gerais'!$D$4:$D$615),-(Analítico!AQ$3&lt;='Gastos Gerais'!$E$4:$E$615),-('Gastos Gerais'!$C$4:$C$615))</f>
        <v>0</v>
      </c>
      <c r="AR129" s="73">
        <f>SUMPRODUCT(-('Gastos Gerais'!$B$4:$B$615=Analítico!$B129),-(Analítico!AR$3&gt;='Gastos Gerais'!$D$4:$D$615),-(Analítico!AR$3&lt;='Gastos Gerais'!$E$4:$E$615),-('Gastos Gerais'!$C$4:$C$615))</f>
        <v>0</v>
      </c>
      <c r="AS129" s="73">
        <f>SUMPRODUCT(-('Gastos Gerais'!$B$4:$B$615=Analítico!$B129),-(Analítico!AS$3&gt;='Gastos Gerais'!$D$4:$D$615),-(Analítico!AS$3&lt;='Gastos Gerais'!$E$4:$E$615),-('Gastos Gerais'!$C$4:$C$615))</f>
        <v>0</v>
      </c>
      <c r="AT129" s="73">
        <f>SUMPRODUCT(-('Gastos Gerais'!$B$4:$B$615=Analítico!$B129),-(Analítico!AT$3&gt;='Gastos Gerais'!$D$4:$D$615),-(Analítico!AT$3&lt;='Gastos Gerais'!$E$4:$E$615),-('Gastos Gerais'!$C$4:$C$615))</f>
        <v>0</v>
      </c>
      <c r="AU129" s="73">
        <f>SUMPRODUCT(-('Gastos Gerais'!$B$4:$B$615=Analítico!$B129),-(Analítico!AU$3&gt;='Gastos Gerais'!$D$4:$D$615),-(Analítico!AU$3&lt;='Gastos Gerais'!$E$4:$E$615),-('Gastos Gerais'!$C$4:$C$615))</f>
        <v>0</v>
      </c>
      <c r="AV129" s="73">
        <f>SUMPRODUCT(-('Gastos Gerais'!$B$4:$B$615=Analítico!$B129),-(Analítico!AV$3&gt;='Gastos Gerais'!$D$4:$D$615),-(Analítico!AV$3&lt;='Gastos Gerais'!$E$4:$E$615),-('Gastos Gerais'!$C$4:$C$615))</f>
        <v>0</v>
      </c>
      <c r="AW129" s="73">
        <f>SUMPRODUCT(-('Gastos Gerais'!$B$4:$B$615=Analítico!$B129),-(Analítico!AW$3&gt;='Gastos Gerais'!$D$4:$D$615),-(Analítico!AW$3&lt;='Gastos Gerais'!$E$4:$E$615),-('Gastos Gerais'!$C$4:$C$615))</f>
        <v>0</v>
      </c>
      <c r="AX129" s="73">
        <f>SUMPRODUCT(-('Gastos Gerais'!$B$4:$B$615=Analítico!$B129),-(Analítico!AX$3&gt;='Gastos Gerais'!$D$4:$D$615),-(Analítico!AX$3&lt;='Gastos Gerais'!$E$4:$E$615),-('Gastos Gerais'!$C$4:$C$615))</f>
        <v>0</v>
      </c>
      <c r="AY129" s="73">
        <f>SUMPRODUCT(-('Gastos Gerais'!$B$4:$B$615=Analítico!$B129),-(Analítico!AY$3&gt;='Gastos Gerais'!$D$4:$D$615),-(Analítico!AY$3&lt;='Gastos Gerais'!$E$4:$E$615),-('Gastos Gerais'!$C$4:$C$615))</f>
        <v>0</v>
      </c>
      <c r="AZ129" s="73">
        <f>SUMPRODUCT(-('Gastos Gerais'!$B$4:$B$615=Analítico!$B129),-(Analítico!AZ$3&gt;='Gastos Gerais'!$D$4:$D$615),-(Analítico!AZ$3&lt;='Gastos Gerais'!$E$4:$E$615),-('Gastos Gerais'!$C$4:$C$615))</f>
        <v>0</v>
      </c>
      <c r="BA129" s="73">
        <f>SUMPRODUCT(-('Gastos Gerais'!$B$4:$B$615=Analítico!$B129),-(Analítico!BA$3&gt;='Gastos Gerais'!$D$4:$D$615),-(Analítico!BA$3&lt;='Gastos Gerais'!$E$4:$E$615),-('Gastos Gerais'!$C$4:$C$615))</f>
        <v>0</v>
      </c>
      <c r="BB129" s="73">
        <f>SUMPRODUCT(-('Gastos Gerais'!$B$4:$B$615=Analítico!$B129),-(Analítico!BB$3&gt;='Gastos Gerais'!$D$4:$D$615),-(Analítico!BB$3&lt;='Gastos Gerais'!$E$4:$E$615),-('Gastos Gerais'!$C$4:$C$615))</f>
        <v>0</v>
      </c>
      <c r="BC129" s="73">
        <f>SUMPRODUCT(-('Gastos Gerais'!$B$4:$B$615=Analítico!$B129),-(Analítico!BC$3&gt;='Gastos Gerais'!$D$4:$D$615),-(Analítico!BC$3&lt;='Gastos Gerais'!$E$4:$E$615),-('Gastos Gerais'!$C$4:$C$615))</f>
        <v>0</v>
      </c>
      <c r="BD129" s="73">
        <f>SUMPRODUCT(-('Gastos Gerais'!$B$4:$B$615=Analítico!$B129),-(Analítico!BD$3&gt;='Gastos Gerais'!$D$4:$D$615),-(Analítico!BD$3&lt;='Gastos Gerais'!$E$4:$E$615),-('Gastos Gerais'!$C$4:$C$615))</f>
        <v>0</v>
      </c>
      <c r="BE129" s="73">
        <f>SUMPRODUCT(-('Gastos Gerais'!$B$4:$B$615=Analítico!$B129),-(Analítico!BE$3&gt;='Gastos Gerais'!$D$4:$D$615),-(Analítico!BE$3&lt;='Gastos Gerais'!$E$4:$E$615),-('Gastos Gerais'!$C$4:$C$615))</f>
        <v>0</v>
      </c>
      <c r="BF129" s="73">
        <f>SUMPRODUCT(-('Gastos Gerais'!$B$4:$B$615=Analítico!$B129),-(Analítico!BF$3&gt;='Gastos Gerais'!$D$4:$D$615),-(Analítico!BF$3&lt;='Gastos Gerais'!$E$4:$E$615),-('Gastos Gerais'!$C$4:$C$615))</f>
        <v>0</v>
      </c>
      <c r="BG129" s="73">
        <f>SUMPRODUCT(-('Gastos Gerais'!$B$4:$B$615=Analítico!$B129),-(Analítico!BG$3&gt;='Gastos Gerais'!$D$4:$D$615),-(Analítico!BG$3&lt;='Gastos Gerais'!$E$4:$E$615),-('Gastos Gerais'!$C$4:$C$615))</f>
        <v>0</v>
      </c>
      <c r="BH129" s="73">
        <f>SUMPRODUCT(-('Gastos Gerais'!$B$4:$B$615=Analítico!$B129),-(Analítico!BH$3&gt;='Gastos Gerais'!$D$4:$D$615),-(Analítico!BH$3&lt;='Gastos Gerais'!$E$4:$E$615),-('Gastos Gerais'!$C$4:$C$615))</f>
        <v>0</v>
      </c>
      <c r="BI129" s="73">
        <f>SUMPRODUCT(-('Gastos Gerais'!$B$4:$B$615=Analítico!$B129),-(Analítico!BI$3&gt;='Gastos Gerais'!$D$4:$D$615),-(Analítico!BI$3&lt;='Gastos Gerais'!$E$4:$E$615),-('Gastos Gerais'!$C$4:$C$615))</f>
        <v>0</v>
      </c>
      <c r="BJ129" s="73">
        <f>SUMPRODUCT(-('Gastos Gerais'!$B$4:$B$615=Analítico!$B129),-(Analítico!BJ$3&gt;='Gastos Gerais'!$D$4:$D$615),-(Analítico!BJ$3&lt;='Gastos Gerais'!$E$4:$E$615),-('Gastos Gerais'!$C$4:$C$615))</f>
        <v>0</v>
      </c>
      <c r="BK129" s="71">
        <f t="shared" si="35"/>
        <v>691200</v>
      </c>
      <c r="BL129" s="76">
        <f t="shared" ca="1" si="36"/>
        <v>1.8853160316539669E-3</v>
      </c>
    </row>
    <row r="130" spans="1:64" s="49" customFormat="1" ht="23.25" customHeight="1" x14ac:dyDescent="0.2">
      <c r="A130" s="109" t="s">
        <v>328</v>
      </c>
      <c r="B130" s="112" t="s">
        <v>329</v>
      </c>
      <c r="C130" s="73">
        <f>SUMPRODUCT(-('Gastos Gerais'!$B$4:$B$615=Analítico!$B130),-(Analítico!C$3&gt;='Gastos Gerais'!$D$4:$D$615),-(Analítico!C$3&lt;='Gastos Gerais'!$E$4:$E$615),-('Gastos Gerais'!$C$4:$C$615))</f>
        <v>18500</v>
      </c>
      <c r="D130" s="73">
        <f>SUMPRODUCT(-('Gastos Gerais'!$B$4:$B$615=Analítico!$B130),-(Analítico!D$3&gt;='Gastos Gerais'!$D$4:$D$615),-(Analítico!D$3&lt;='Gastos Gerais'!$E$4:$E$615),-('Gastos Gerais'!$C$4:$C$615))</f>
        <v>18500</v>
      </c>
      <c r="E130" s="73">
        <f>SUMPRODUCT(-('Gastos Gerais'!$B$4:$B$615=Analítico!$B130),-(Analítico!E$3&gt;='Gastos Gerais'!$D$4:$D$615),-(Analítico!E$3&lt;='Gastos Gerais'!$E$4:$E$615),-('Gastos Gerais'!$C$4:$C$615))</f>
        <v>18500</v>
      </c>
      <c r="F130" s="73">
        <f>SUMPRODUCT(-('Gastos Gerais'!$B$4:$B$615=Analítico!$B130),-(Analítico!F$3&gt;='Gastos Gerais'!$D$4:$D$615),-(Analítico!F$3&lt;='Gastos Gerais'!$E$4:$E$615),-('Gastos Gerais'!$C$4:$C$615))</f>
        <v>18500</v>
      </c>
      <c r="G130" s="73">
        <f>SUMPRODUCT(-('Gastos Gerais'!$B$4:$B$615=Analítico!$B130),-(Analítico!G$3&gt;='Gastos Gerais'!$D$4:$D$615),-(Analítico!G$3&lt;='Gastos Gerais'!$E$4:$E$615),-('Gastos Gerais'!$C$4:$C$615))</f>
        <v>18500</v>
      </c>
      <c r="H130" s="73">
        <f>SUMPRODUCT(-('Gastos Gerais'!$B$4:$B$615=Analítico!$B130),-(Analítico!H$3&gt;='Gastos Gerais'!$D$4:$D$615),-(Analítico!H$3&lt;='Gastos Gerais'!$E$4:$E$615),-('Gastos Gerais'!$C$4:$C$615))</f>
        <v>18500</v>
      </c>
      <c r="I130" s="73">
        <f>SUMPRODUCT(-('Gastos Gerais'!$B$4:$B$615=Analítico!$B130),-(Analítico!I$3&gt;='Gastos Gerais'!$D$4:$D$615),-(Analítico!I$3&lt;='Gastos Gerais'!$E$4:$E$615),-('Gastos Gerais'!$C$4:$C$615))</f>
        <v>18500</v>
      </c>
      <c r="J130" s="73">
        <f>SUMPRODUCT(-('Gastos Gerais'!$B$4:$B$615=Analítico!$B130),-(Analítico!J$3&gt;='Gastos Gerais'!$D$4:$D$615),-(Analítico!J$3&lt;='Gastos Gerais'!$E$4:$E$615),-('Gastos Gerais'!$C$4:$C$615))</f>
        <v>18500</v>
      </c>
      <c r="K130" s="73">
        <f>SUMPRODUCT(-('Gastos Gerais'!$B$4:$B$615=Analítico!$B130),-(Analítico!K$3&gt;='Gastos Gerais'!$D$4:$D$615),-(Analítico!K$3&lt;='Gastos Gerais'!$E$4:$E$615),-('Gastos Gerais'!$C$4:$C$615))</f>
        <v>18500</v>
      </c>
      <c r="L130" s="73">
        <f>SUMPRODUCT(-('Gastos Gerais'!$B$4:$B$615=Analítico!$B130),-(Analítico!L$3&gt;='Gastos Gerais'!$D$4:$D$615),-(Analítico!L$3&lt;='Gastos Gerais'!$E$4:$E$615),-('Gastos Gerais'!$C$4:$C$615))</f>
        <v>18500</v>
      </c>
      <c r="M130" s="73">
        <f>SUMPRODUCT(-('Gastos Gerais'!$B$4:$B$615=Analítico!$B130),-(Analítico!M$3&gt;='Gastos Gerais'!$D$4:$D$615),-(Analítico!M$3&lt;='Gastos Gerais'!$E$4:$E$615),-('Gastos Gerais'!$C$4:$C$615))</f>
        <v>18500</v>
      </c>
      <c r="N130" s="73">
        <f>SUMPRODUCT(-('Gastos Gerais'!$B$4:$B$615=Analítico!$B130),-(Analítico!N$3&gt;='Gastos Gerais'!$D$4:$D$615),-(Analítico!N$3&lt;='Gastos Gerais'!$E$4:$E$615),-('Gastos Gerais'!$C$4:$C$615))</f>
        <v>18500</v>
      </c>
      <c r="O130" s="73">
        <f>SUMPRODUCT(-('Gastos Gerais'!$B$4:$B$615=Analítico!$B130),-(Analítico!O$3&gt;='Gastos Gerais'!$D$4:$D$615),-(Analítico!O$3&lt;='Gastos Gerais'!$E$4:$E$615),-('Gastos Gerais'!$C$4:$C$615))</f>
        <v>18500</v>
      </c>
      <c r="P130" s="73">
        <f>SUMPRODUCT(-('Gastos Gerais'!$B$4:$B$615=Analítico!$B130),-(Analítico!P$3&gt;='Gastos Gerais'!$D$4:$D$615),-(Analítico!P$3&lt;='Gastos Gerais'!$E$4:$E$615),-('Gastos Gerais'!$C$4:$C$615))</f>
        <v>18500</v>
      </c>
      <c r="Q130" s="73">
        <f>SUMPRODUCT(-('Gastos Gerais'!$B$4:$B$615=Analítico!$B130),-(Analítico!Q$3&gt;='Gastos Gerais'!$D$4:$D$615),-(Analítico!Q$3&lt;='Gastos Gerais'!$E$4:$E$615),-('Gastos Gerais'!$C$4:$C$615))</f>
        <v>18500</v>
      </c>
      <c r="R130" s="73">
        <f>SUMPRODUCT(-('Gastos Gerais'!$B$4:$B$615=Analítico!$B130),-(Analítico!R$3&gt;='Gastos Gerais'!$D$4:$D$615),-(Analítico!R$3&lt;='Gastos Gerais'!$E$4:$E$615),-('Gastos Gerais'!$C$4:$C$615))</f>
        <v>18500</v>
      </c>
      <c r="S130" s="73">
        <f>SUMPRODUCT(-('Gastos Gerais'!$B$4:$B$615=Analítico!$B130),-(Analítico!S$3&gt;='Gastos Gerais'!$D$4:$D$615),-(Analítico!S$3&lt;='Gastos Gerais'!$E$4:$E$615),-('Gastos Gerais'!$C$4:$C$615))</f>
        <v>18500</v>
      </c>
      <c r="T130" s="73">
        <f>SUMPRODUCT(-('Gastos Gerais'!$B$4:$B$615=Analítico!$B130),-(Analítico!T$3&gt;='Gastos Gerais'!$D$4:$D$615),-(Analítico!T$3&lt;='Gastos Gerais'!$E$4:$E$615),-('Gastos Gerais'!$C$4:$C$615))</f>
        <v>18500</v>
      </c>
      <c r="U130" s="73">
        <f>SUMPRODUCT(-('Gastos Gerais'!$B$4:$B$615=Analítico!$B130),-(Analítico!U$3&gt;='Gastos Gerais'!$D$4:$D$615),-(Analítico!U$3&lt;='Gastos Gerais'!$E$4:$E$615),-('Gastos Gerais'!$C$4:$C$615))</f>
        <v>18500</v>
      </c>
      <c r="V130" s="73">
        <f>SUMPRODUCT(-('Gastos Gerais'!$B$4:$B$615=Analítico!$B130),-(Analítico!V$3&gt;='Gastos Gerais'!$D$4:$D$615),-(Analítico!V$3&lt;='Gastos Gerais'!$E$4:$E$615),-('Gastos Gerais'!$C$4:$C$615))</f>
        <v>18500</v>
      </c>
      <c r="W130" s="73">
        <f>SUMPRODUCT(-('Gastos Gerais'!$B$4:$B$615=Analítico!$B130),-(Analítico!W$3&gt;='Gastos Gerais'!$D$4:$D$615),-(Analítico!W$3&lt;='Gastos Gerais'!$E$4:$E$615),-('Gastos Gerais'!$C$4:$C$615))</f>
        <v>18500</v>
      </c>
      <c r="X130" s="73">
        <f>SUMPRODUCT(-('Gastos Gerais'!$B$4:$B$615=Analítico!$B130),-(Analítico!X$3&gt;='Gastos Gerais'!$D$4:$D$615),-(Analítico!X$3&lt;='Gastos Gerais'!$E$4:$E$615),-('Gastos Gerais'!$C$4:$C$615))</f>
        <v>18500</v>
      </c>
      <c r="Y130" s="73">
        <f>SUMPRODUCT(-('Gastos Gerais'!$B$4:$B$615=Analítico!$B130),-(Analítico!Y$3&gt;='Gastos Gerais'!$D$4:$D$615),-(Analítico!Y$3&lt;='Gastos Gerais'!$E$4:$E$615),-('Gastos Gerais'!$C$4:$C$615))</f>
        <v>18500</v>
      </c>
      <c r="Z130" s="73">
        <f>SUMPRODUCT(-('Gastos Gerais'!$B$4:$B$615=Analítico!$B130),-(Analítico!Z$3&gt;='Gastos Gerais'!$D$4:$D$615),-(Analítico!Z$3&lt;='Gastos Gerais'!$E$4:$E$615),-('Gastos Gerais'!$C$4:$C$615))</f>
        <v>18500</v>
      </c>
      <c r="AA130" s="73">
        <f>SUMPRODUCT(-('Gastos Gerais'!$B$4:$B$615=Analítico!$B130),-(Analítico!AA$3&gt;='Gastos Gerais'!$D$4:$D$615),-(Analítico!AA$3&lt;='Gastos Gerais'!$E$4:$E$615),-('Gastos Gerais'!$C$4:$C$615))</f>
        <v>18500</v>
      </c>
      <c r="AB130" s="73">
        <f>SUMPRODUCT(-('Gastos Gerais'!$B$4:$B$615=Analítico!$B130),-(Analítico!AB$3&gt;='Gastos Gerais'!$D$4:$D$615),-(Analítico!AB$3&lt;='Gastos Gerais'!$E$4:$E$615),-('Gastos Gerais'!$C$4:$C$615))</f>
        <v>18500</v>
      </c>
      <c r="AC130" s="73">
        <f>SUMPRODUCT(-('Gastos Gerais'!$B$4:$B$615=Analítico!$B130),-(Analítico!AC$3&gt;='Gastos Gerais'!$D$4:$D$615),-(Analítico!AC$3&lt;='Gastos Gerais'!$E$4:$E$615),-('Gastos Gerais'!$C$4:$C$615))</f>
        <v>18500</v>
      </c>
      <c r="AD130" s="73">
        <f>SUMPRODUCT(-('Gastos Gerais'!$B$4:$B$615=Analítico!$B130),-(Analítico!AD$3&gt;='Gastos Gerais'!$D$4:$D$615),-(Analítico!AD$3&lt;='Gastos Gerais'!$E$4:$E$615),-('Gastos Gerais'!$C$4:$C$615))</f>
        <v>18500</v>
      </c>
      <c r="AE130" s="73">
        <f>SUMPRODUCT(-('Gastos Gerais'!$B$4:$B$615=Analítico!$B130),-(Analítico!AE$3&gt;='Gastos Gerais'!$D$4:$D$615),-(Analítico!AE$3&lt;='Gastos Gerais'!$E$4:$E$615),-('Gastos Gerais'!$C$4:$C$615))</f>
        <v>18500</v>
      </c>
      <c r="AF130" s="73">
        <f>SUMPRODUCT(-('Gastos Gerais'!$B$4:$B$615=Analítico!$B130),-(Analítico!AF$3&gt;='Gastos Gerais'!$D$4:$D$615),-(Analítico!AF$3&lt;='Gastos Gerais'!$E$4:$E$615),-('Gastos Gerais'!$C$4:$C$615))</f>
        <v>18500</v>
      </c>
      <c r="AG130" s="73">
        <f>SUMPRODUCT(-('Gastos Gerais'!$B$4:$B$615=Analítico!$B130),-(Analítico!AG$3&gt;='Gastos Gerais'!$D$4:$D$615),-(Analítico!AG$3&lt;='Gastos Gerais'!$E$4:$E$615),-('Gastos Gerais'!$C$4:$C$615))</f>
        <v>18500</v>
      </c>
      <c r="AH130" s="73">
        <f>SUMPRODUCT(-('Gastos Gerais'!$B$4:$B$615=Analítico!$B130),-(Analítico!AH$3&gt;='Gastos Gerais'!$D$4:$D$615),-(Analítico!AH$3&lt;='Gastos Gerais'!$E$4:$E$615),-('Gastos Gerais'!$C$4:$C$615))</f>
        <v>18500</v>
      </c>
      <c r="AI130" s="73">
        <f>SUMPRODUCT(-('Gastos Gerais'!$B$4:$B$615=Analítico!$B130),-(Analítico!AI$3&gt;='Gastos Gerais'!$D$4:$D$615),-(Analítico!AI$3&lt;='Gastos Gerais'!$E$4:$E$615),-('Gastos Gerais'!$C$4:$C$615))</f>
        <v>18500</v>
      </c>
      <c r="AJ130" s="73">
        <f>SUMPRODUCT(-('Gastos Gerais'!$B$4:$B$615=Analítico!$B130),-(Analítico!AJ$3&gt;='Gastos Gerais'!$D$4:$D$615),-(Analítico!AJ$3&lt;='Gastos Gerais'!$E$4:$E$615),-('Gastos Gerais'!$C$4:$C$615))</f>
        <v>18500</v>
      </c>
      <c r="AK130" s="73">
        <f>SUMPRODUCT(-('Gastos Gerais'!$B$4:$B$615=Analítico!$B130),-(Analítico!AK$3&gt;='Gastos Gerais'!$D$4:$D$615),-(Analítico!AK$3&lt;='Gastos Gerais'!$E$4:$E$615),-('Gastos Gerais'!$C$4:$C$615))</f>
        <v>18500</v>
      </c>
      <c r="AL130" s="73">
        <f>SUMPRODUCT(-('Gastos Gerais'!$B$4:$B$615=Analítico!$B130),-(Analítico!AL$3&gt;='Gastos Gerais'!$D$4:$D$615),-(Analítico!AL$3&lt;='Gastos Gerais'!$E$4:$E$615),-('Gastos Gerais'!$C$4:$C$615))</f>
        <v>18500</v>
      </c>
      <c r="AM130" s="73">
        <f>SUMPRODUCT(-('Gastos Gerais'!$B$4:$B$615=Analítico!$B130),-(Analítico!AM$3&gt;='Gastos Gerais'!$D$4:$D$615),-(Analítico!AM$3&lt;='Gastos Gerais'!$E$4:$E$615),-('Gastos Gerais'!$C$4:$C$615))</f>
        <v>0</v>
      </c>
      <c r="AN130" s="73">
        <f>SUMPRODUCT(-('Gastos Gerais'!$B$4:$B$615=Analítico!$B130),-(Analítico!AN$3&gt;='Gastos Gerais'!$D$4:$D$615),-(Analítico!AN$3&lt;='Gastos Gerais'!$E$4:$E$615),-('Gastos Gerais'!$C$4:$C$615))</f>
        <v>0</v>
      </c>
      <c r="AO130" s="73">
        <f>SUMPRODUCT(-('Gastos Gerais'!$B$4:$B$615=Analítico!$B130),-(Analítico!AO$3&gt;='Gastos Gerais'!$D$4:$D$615),-(Analítico!AO$3&lt;='Gastos Gerais'!$E$4:$E$615),-('Gastos Gerais'!$C$4:$C$615))</f>
        <v>0</v>
      </c>
      <c r="AP130" s="73">
        <f>SUMPRODUCT(-('Gastos Gerais'!$B$4:$B$615=Analítico!$B130),-(Analítico!AP$3&gt;='Gastos Gerais'!$D$4:$D$615),-(Analítico!AP$3&lt;='Gastos Gerais'!$E$4:$E$615),-('Gastos Gerais'!$C$4:$C$615))</f>
        <v>0</v>
      </c>
      <c r="AQ130" s="73">
        <f>SUMPRODUCT(-('Gastos Gerais'!$B$4:$B$615=Analítico!$B130),-(Analítico!AQ$3&gt;='Gastos Gerais'!$D$4:$D$615),-(Analítico!AQ$3&lt;='Gastos Gerais'!$E$4:$E$615),-('Gastos Gerais'!$C$4:$C$615))</f>
        <v>0</v>
      </c>
      <c r="AR130" s="73">
        <f>SUMPRODUCT(-('Gastos Gerais'!$B$4:$B$615=Analítico!$B130),-(Analítico!AR$3&gt;='Gastos Gerais'!$D$4:$D$615),-(Analítico!AR$3&lt;='Gastos Gerais'!$E$4:$E$615),-('Gastos Gerais'!$C$4:$C$615))</f>
        <v>0</v>
      </c>
      <c r="AS130" s="73">
        <f>SUMPRODUCT(-('Gastos Gerais'!$B$4:$B$615=Analítico!$B130),-(Analítico!AS$3&gt;='Gastos Gerais'!$D$4:$D$615),-(Analítico!AS$3&lt;='Gastos Gerais'!$E$4:$E$615),-('Gastos Gerais'!$C$4:$C$615))</f>
        <v>0</v>
      </c>
      <c r="AT130" s="73">
        <f>SUMPRODUCT(-('Gastos Gerais'!$B$4:$B$615=Analítico!$B130),-(Analítico!AT$3&gt;='Gastos Gerais'!$D$4:$D$615),-(Analítico!AT$3&lt;='Gastos Gerais'!$E$4:$E$615),-('Gastos Gerais'!$C$4:$C$615))</f>
        <v>0</v>
      </c>
      <c r="AU130" s="73">
        <f>SUMPRODUCT(-('Gastos Gerais'!$B$4:$B$615=Analítico!$B130),-(Analítico!AU$3&gt;='Gastos Gerais'!$D$4:$D$615),-(Analítico!AU$3&lt;='Gastos Gerais'!$E$4:$E$615),-('Gastos Gerais'!$C$4:$C$615))</f>
        <v>0</v>
      </c>
      <c r="AV130" s="73">
        <f>SUMPRODUCT(-('Gastos Gerais'!$B$4:$B$615=Analítico!$B130),-(Analítico!AV$3&gt;='Gastos Gerais'!$D$4:$D$615),-(Analítico!AV$3&lt;='Gastos Gerais'!$E$4:$E$615),-('Gastos Gerais'!$C$4:$C$615))</f>
        <v>0</v>
      </c>
      <c r="AW130" s="73">
        <f>SUMPRODUCT(-('Gastos Gerais'!$B$4:$B$615=Analítico!$B130),-(Analítico!AW$3&gt;='Gastos Gerais'!$D$4:$D$615),-(Analítico!AW$3&lt;='Gastos Gerais'!$E$4:$E$615),-('Gastos Gerais'!$C$4:$C$615))</f>
        <v>0</v>
      </c>
      <c r="AX130" s="73">
        <f>SUMPRODUCT(-('Gastos Gerais'!$B$4:$B$615=Analítico!$B130),-(Analítico!AX$3&gt;='Gastos Gerais'!$D$4:$D$615),-(Analítico!AX$3&lt;='Gastos Gerais'!$E$4:$E$615),-('Gastos Gerais'!$C$4:$C$615))</f>
        <v>0</v>
      </c>
      <c r="AY130" s="73">
        <f>SUMPRODUCT(-('Gastos Gerais'!$B$4:$B$615=Analítico!$B130),-(Analítico!AY$3&gt;='Gastos Gerais'!$D$4:$D$615),-(Analítico!AY$3&lt;='Gastos Gerais'!$E$4:$E$615),-('Gastos Gerais'!$C$4:$C$615))</f>
        <v>0</v>
      </c>
      <c r="AZ130" s="73">
        <f>SUMPRODUCT(-('Gastos Gerais'!$B$4:$B$615=Analítico!$B130),-(Analítico!AZ$3&gt;='Gastos Gerais'!$D$4:$D$615),-(Analítico!AZ$3&lt;='Gastos Gerais'!$E$4:$E$615),-('Gastos Gerais'!$C$4:$C$615))</f>
        <v>0</v>
      </c>
      <c r="BA130" s="73">
        <f>SUMPRODUCT(-('Gastos Gerais'!$B$4:$B$615=Analítico!$B130),-(Analítico!BA$3&gt;='Gastos Gerais'!$D$4:$D$615),-(Analítico!BA$3&lt;='Gastos Gerais'!$E$4:$E$615),-('Gastos Gerais'!$C$4:$C$615))</f>
        <v>0</v>
      </c>
      <c r="BB130" s="73">
        <f>SUMPRODUCT(-('Gastos Gerais'!$B$4:$B$615=Analítico!$B130),-(Analítico!BB$3&gt;='Gastos Gerais'!$D$4:$D$615),-(Analítico!BB$3&lt;='Gastos Gerais'!$E$4:$E$615),-('Gastos Gerais'!$C$4:$C$615))</f>
        <v>0</v>
      </c>
      <c r="BC130" s="73">
        <f>SUMPRODUCT(-('Gastos Gerais'!$B$4:$B$615=Analítico!$B130),-(Analítico!BC$3&gt;='Gastos Gerais'!$D$4:$D$615),-(Analítico!BC$3&lt;='Gastos Gerais'!$E$4:$E$615),-('Gastos Gerais'!$C$4:$C$615))</f>
        <v>0</v>
      </c>
      <c r="BD130" s="73">
        <f>SUMPRODUCT(-('Gastos Gerais'!$B$4:$B$615=Analítico!$B130),-(Analítico!BD$3&gt;='Gastos Gerais'!$D$4:$D$615),-(Analítico!BD$3&lt;='Gastos Gerais'!$E$4:$E$615),-('Gastos Gerais'!$C$4:$C$615))</f>
        <v>0</v>
      </c>
      <c r="BE130" s="73">
        <f>SUMPRODUCT(-('Gastos Gerais'!$B$4:$B$615=Analítico!$B130),-(Analítico!BE$3&gt;='Gastos Gerais'!$D$4:$D$615),-(Analítico!BE$3&lt;='Gastos Gerais'!$E$4:$E$615),-('Gastos Gerais'!$C$4:$C$615))</f>
        <v>0</v>
      </c>
      <c r="BF130" s="73">
        <f>SUMPRODUCT(-('Gastos Gerais'!$B$4:$B$615=Analítico!$B130),-(Analítico!BF$3&gt;='Gastos Gerais'!$D$4:$D$615),-(Analítico!BF$3&lt;='Gastos Gerais'!$E$4:$E$615),-('Gastos Gerais'!$C$4:$C$615))</f>
        <v>0</v>
      </c>
      <c r="BG130" s="73">
        <f>SUMPRODUCT(-('Gastos Gerais'!$B$4:$B$615=Analítico!$B130),-(Analítico!BG$3&gt;='Gastos Gerais'!$D$4:$D$615),-(Analítico!BG$3&lt;='Gastos Gerais'!$E$4:$E$615),-('Gastos Gerais'!$C$4:$C$615))</f>
        <v>0</v>
      </c>
      <c r="BH130" s="73">
        <f>SUMPRODUCT(-('Gastos Gerais'!$B$4:$B$615=Analítico!$B130),-(Analítico!BH$3&gt;='Gastos Gerais'!$D$4:$D$615),-(Analítico!BH$3&lt;='Gastos Gerais'!$E$4:$E$615),-('Gastos Gerais'!$C$4:$C$615))</f>
        <v>0</v>
      </c>
      <c r="BI130" s="73">
        <f>SUMPRODUCT(-('Gastos Gerais'!$B$4:$B$615=Analítico!$B130),-(Analítico!BI$3&gt;='Gastos Gerais'!$D$4:$D$615),-(Analítico!BI$3&lt;='Gastos Gerais'!$E$4:$E$615),-('Gastos Gerais'!$C$4:$C$615))</f>
        <v>0</v>
      </c>
      <c r="BJ130" s="73">
        <f>SUMPRODUCT(-('Gastos Gerais'!$B$4:$B$615=Analítico!$B130),-(Analítico!BJ$3&gt;='Gastos Gerais'!$D$4:$D$615),-(Analítico!BJ$3&lt;='Gastos Gerais'!$E$4:$E$615),-('Gastos Gerais'!$C$4:$C$615))</f>
        <v>0</v>
      </c>
      <c r="BK130" s="71">
        <f t="shared" si="35"/>
        <v>666000</v>
      </c>
      <c r="BL130" s="76">
        <f t="shared" ca="1" si="36"/>
        <v>1.8165805513332494E-3</v>
      </c>
    </row>
    <row r="131" spans="1:64" s="49" customFormat="1" ht="23.25" customHeight="1" x14ac:dyDescent="0.2">
      <c r="A131" s="109" t="s">
        <v>330</v>
      </c>
      <c r="B131" s="112" t="s">
        <v>331</v>
      </c>
      <c r="C131" s="73">
        <f>SUMPRODUCT(-('Gastos Gerais'!$B$4:$B$615=Analítico!$B131),-(Analítico!C$3&gt;='Gastos Gerais'!$D$4:$D$615),-(Analítico!C$3&lt;='Gastos Gerais'!$E$4:$E$615),-('Gastos Gerais'!$C$4:$C$615))</f>
        <v>20000</v>
      </c>
      <c r="D131" s="73">
        <f>SUMPRODUCT(-('Gastos Gerais'!$B$4:$B$615=Analítico!$B131),-(Analítico!D$3&gt;='Gastos Gerais'!$D$4:$D$615),-(Analítico!D$3&lt;='Gastos Gerais'!$E$4:$E$615),-('Gastos Gerais'!$C$4:$C$615))</f>
        <v>20000</v>
      </c>
      <c r="E131" s="73">
        <f>SUMPRODUCT(-('Gastos Gerais'!$B$4:$B$615=Analítico!$B131),-(Analítico!E$3&gt;='Gastos Gerais'!$D$4:$D$615),-(Analítico!E$3&lt;='Gastos Gerais'!$E$4:$E$615),-('Gastos Gerais'!$C$4:$C$615))</f>
        <v>20000</v>
      </c>
      <c r="F131" s="73">
        <f>SUMPRODUCT(-('Gastos Gerais'!$B$4:$B$615=Analítico!$B131),-(Analítico!F$3&gt;='Gastos Gerais'!$D$4:$D$615),-(Analítico!F$3&lt;='Gastos Gerais'!$E$4:$E$615),-('Gastos Gerais'!$C$4:$C$615))</f>
        <v>20000</v>
      </c>
      <c r="G131" s="73">
        <f>SUMPRODUCT(-('Gastos Gerais'!$B$4:$B$615=Analítico!$B131),-(Analítico!G$3&gt;='Gastos Gerais'!$D$4:$D$615),-(Analítico!G$3&lt;='Gastos Gerais'!$E$4:$E$615),-('Gastos Gerais'!$C$4:$C$615))</f>
        <v>20000</v>
      </c>
      <c r="H131" s="73">
        <f>SUMPRODUCT(-('Gastos Gerais'!$B$4:$B$615=Analítico!$B131),-(Analítico!H$3&gt;='Gastos Gerais'!$D$4:$D$615),-(Analítico!H$3&lt;='Gastos Gerais'!$E$4:$E$615),-('Gastos Gerais'!$C$4:$C$615))</f>
        <v>20000</v>
      </c>
      <c r="I131" s="73">
        <f>SUMPRODUCT(-('Gastos Gerais'!$B$4:$B$615=Analítico!$B131),-(Analítico!I$3&gt;='Gastos Gerais'!$D$4:$D$615),-(Analítico!I$3&lt;='Gastos Gerais'!$E$4:$E$615),-('Gastos Gerais'!$C$4:$C$615))</f>
        <v>20000</v>
      </c>
      <c r="J131" s="73">
        <f>SUMPRODUCT(-('Gastos Gerais'!$B$4:$B$615=Analítico!$B131),-(Analítico!J$3&gt;='Gastos Gerais'!$D$4:$D$615),-(Analítico!J$3&lt;='Gastos Gerais'!$E$4:$E$615),-('Gastos Gerais'!$C$4:$C$615))</f>
        <v>20000</v>
      </c>
      <c r="K131" s="73">
        <f>SUMPRODUCT(-('Gastos Gerais'!$B$4:$B$615=Analítico!$B131),-(Analítico!K$3&gt;='Gastos Gerais'!$D$4:$D$615),-(Analítico!K$3&lt;='Gastos Gerais'!$E$4:$E$615),-('Gastos Gerais'!$C$4:$C$615))</f>
        <v>20000</v>
      </c>
      <c r="L131" s="73">
        <f>SUMPRODUCT(-('Gastos Gerais'!$B$4:$B$615=Analítico!$B131),-(Analítico!L$3&gt;='Gastos Gerais'!$D$4:$D$615),-(Analítico!L$3&lt;='Gastos Gerais'!$E$4:$E$615),-('Gastos Gerais'!$C$4:$C$615))</f>
        <v>20000</v>
      </c>
      <c r="M131" s="73">
        <f>SUMPRODUCT(-('Gastos Gerais'!$B$4:$B$615=Analítico!$B131),-(Analítico!M$3&gt;='Gastos Gerais'!$D$4:$D$615),-(Analítico!M$3&lt;='Gastos Gerais'!$E$4:$E$615),-('Gastos Gerais'!$C$4:$C$615))</f>
        <v>20000</v>
      </c>
      <c r="N131" s="73">
        <f>SUMPRODUCT(-('Gastos Gerais'!$B$4:$B$615=Analítico!$B131),-(Analítico!N$3&gt;='Gastos Gerais'!$D$4:$D$615),-(Analítico!N$3&lt;='Gastos Gerais'!$E$4:$E$615),-('Gastos Gerais'!$C$4:$C$615))</f>
        <v>20000</v>
      </c>
      <c r="O131" s="73">
        <f>SUMPRODUCT(-('Gastos Gerais'!$B$4:$B$615=Analítico!$B131),-(Analítico!O$3&gt;='Gastos Gerais'!$D$4:$D$615),-(Analítico!O$3&lt;='Gastos Gerais'!$E$4:$E$615),-('Gastos Gerais'!$C$4:$C$615))</f>
        <v>19000</v>
      </c>
      <c r="P131" s="73">
        <f>SUMPRODUCT(-('Gastos Gerais'!$B$4:$B$615=Analítico!$B131),-(Analítico!P$3&gt;='Gastos Gerais'!$D$4:$D$615),-(Analítico!P$3&lt;='Gastos Gerais'!$E$4:$E$615),-('Gastos Gerais'!$C$4:$C$615))</f>
        <v>19000</v>
      </c>
      <c r="Q131" s="73">
        <f>SUMPRODUCT(-('Gastos Gerais'!$B$4:$B$615=Analítico!$B131),-(Analítico!Q$3&gt;='Gastos Gerais'!$D$4:$D$615),-(Analítico!Q$3&lt;='Gastos Gerais'!$E$4:$E$615),-('Gastos Gerais'!$C$4:$C$615))</f>
        <v>19000</v>
      </c>
      <c r="R131" s="73">
        <f>SUMPRODUCT(-('Gastos Gerais'!$B$4:$B$615=Analítico!$B131),-(Analítico!R$3&gt;='Gastos Gerais'!$D$4:$D$615),-(Analítico!R$3&lt;='Gastos Gerais'!$E$4:$E$615),-('Gastos Gerais'!$C$4:$C$615))</f>
        <v>19000</v>
      </c>
      <c r="S131" s="73">
        <f>SUMPRODUCT(-('Gastos Gerais'!$B$4:$B$615=Analítico!$B131),-(Analítico!S$3&gt;='Gastos Gerais'!$D$4:$D$615),-(Analítico!S$3&lt;='Gastos Gerais'!$E$4:$E$615),-('Gastos Gerais'!$C$4:$C$615))</f>
        <v>19000</v>
      </c>
      <c r="T131" s="73">
        <f>SUMPRODUCT(-('Gastos Gerais'!$B$4:$B$615=Analítico!$B131),-(Analítico!T$3&gt;='Gastos Gerais'!$D$4:$D$615),-(Analítico!T$3&lt;='Gastos Gerais'!$E$4:$E$615),-('Gastos Gerais'!$C$4:$C$615))</f>
        <v>19000</v>
      </c>
      <c r="U131" s="73">
        <f>SUMPRODUCT(-('Gastos Gerais'!$B$4:$B$615=Analítico!$B131),-(Analítico!U$3&gt;='Gastos Gerais'!$D$4:$D$615),-(Analítico!U$3&lt;='Gastos Gerais'!$E$4:$E$615),-('Gastos Gerais'!$C$4:$C$615))</f>
        <v>19000</v>
      </c>
      <c r="V131" s="73">
        <f>SUMPRODUCT(-('Gastos Gerais'!$B$4:$B$615=Analítico!$B131),-(Analítico!V$3&gt;='Gastos Gerais'!$D$4:$D$615),-(Analítico!V$3&lt;='Gastos Gerais'!$E$4:$E$615),-('Gastos Gerais'!$C$4:$C$615))</f>
        <v>19000</v>
      </c>
      <c r="W131" s="73">
        <f>SUMPRODUCT(-('Gastos Gerais'!$B$4:$B$615=Analítico!$B131),-(Analítico!W$3&gt;='Gastos Gerais'!$D$4:$D$615),-(Analítico!W$3&lt;='Gastos Gerais'!$E$4:$E$615),-('Gastos Gerais'!$C$4:$C$615))</f>
        <v>19000</v>
      </c>
      <c r="X131" s="73">
        <f>SUMPRODUCT(-('Gastos Gerais'!$B$4:$B$615=Analítico!$B131),-(Analítico!X$3&gt;='Gastos Gerais'!$D$4:$D$615),-(Analítico!X$3&lt;='Gastos Gerais'!$E$4:$E$615),-('Gastos Gerais'!$C$4:$C$615))</f>
        <v>19000</v>
      </c>
      <c r="Y131" s="73">
        <f>SUMPRODUCT(-('Gastos Gerais'!$B$4:$B$615=Analítico!$B131),-(Analítico!Y$3&gt;='Gastos Gerais'!$D$4:$D$615),-(Analítico!Y$3&lt;='Gastos Gerais'!$E$4:$E$615),-('Gastos Gerais'!$C$4:$C$615))</f>
        <v>19000</v>
      </c>
      <c r="Z131" s="73">
        <f>SUMPRODUCT(-('Gastos Gerais'!$B$4:$B$615=Analítico!$B131),-(Analítico!Z$3&gt;='Gastos Gerais'!$D$4:$D$615),-(Analítico!Z$3&lt;='Gastos Gerais'!$E$4:$E$615),-('Gastos Gerais'!$C$4:$C$615))</f>
        <v>19000</v>
      </c>
      <c r="AA131" s="73">
        <f>SUMPRODUCT(-('Gastos Gerais'!$B$4:$B$615=Analítico!$B131),-(Analítico!AA$3&gt;='Gastos Gerais'!$D$4:$D$615),-(Analítico!AA$3&lt;='Gastos Gerais'!$E$4:$E$615),-('Gastos Gerais'!$C$4:$C$615))</f>
        <v>19000</v>
      </c>
      <c r="AB131" s="73">
        <f>SUMPRODUCT(-('Gastos Gerais'!$B$4:$B$615=Analítico!$B131),-(Analítico!AB$3&gt;='Gastos Gerais'!$D$4:$D$615),-(Analítico!AB$3&lt;='Gastos Gerais'!$E$4:$E$615),-('Gastos Gerais'!$C$4:$C$615))</f>
        <v>19000</v>
      </c>
      <c r="AC131" s="73">
        <f>SUMPRODUCT(-('Gastos Gerais'!$B$4:$B$615=Analítico!$B131),-(Analítico!AC$3&gt;='Gastos Gerais'!$D$4:$D$615),-(Analítico!AC$3&lt;='Gastos Gerais'!$E$4:$E$615),-('Gastos Gerais'!$C$4:$C$615))</f>
        <v>19000</v>
      </c>
      <c r="AD131" s="73">
        <f>SUMPRODUCT(-('Gastos Gerais'!$B$4:$B$615=Analítico!$B131),-(Analítico!AD$3&gt;='Gastos Gerais'!$D$4:$D$615),-(Analítico!AD$3&lt;='Gastos Gerais'!$E$4:$E$615),-('Gastos Gerais'!$C$4:$C$615))</f>
        <v>19000</v>
      </c>
      <c r="AE131" s="73">
        <f>SUMPRODUCT(-('Gastos Gerais'!$B$4:$B$615=Analítico!$B131),-(Analítico!AE$3&gt;='Gastos Gerais'!$D$4:$D$615),-(Analítico!AE$3&lt;='Gastos Gerais'!$E$4:$E$615),-('Gastos Gerais'!$C$4:$C$615))</f>
        <v>19000</v>
      </c>
      <c r="AF131" s="73">
        <f>SUMPRODUCT(-('Gastos Gerais'!$B$4:$B$615=Analítico!$B131),-(Analítico!AF$3&gt;='Gastos Gerais'!$D$4:$D$615),-(Analítico!AF$3&lt;='Gastos Gerais'!$E$4:$E$615),-('Gastos Gerais'!$C$4:$C$615))</f>
        <v>19000</v>
      </c>
      <c r="AG131" s="73">
        <f>SUMPRODUCT(-('Gastos Gerais'!$B$4:$B$615=Analítico!$B131),-(Analítico!AG$3&gt;='Gastos Gerais'!$D$4:$D$615),-(Analítico!AG$3&lt;='Gastos Gerais'!$E$4:$E$615),-('Gastos Gerais'!$C$4:$C$615))</f>
        <v>19000</v>
      </c>
      <c r="AH131" s="73">
        <f>SUMPRODUCT(-('Gastos Gerais'!$B$4:$B$615=Analítico!$B131),-(Analítico!AH$3&gt;='Gastos Gerais'!$D$4:$D$615),-(Analítico!AH$3&lt;='Gastos Gerais'!$E$4:$E$615),-('Gastos Gerais'!$C$4:$C$615))</f>
        <v>19000</v>
      </c>
      <c r="AI131" s="73">
        <f>SUMPRODUCT(-('Gastos Gerais'!$B$4:$B$615=Analítico!$B131),-(Analítico!AI$3&gt;='Gastos Gerais'!$D$4:$D$615),-(Analítico!AI$3&lt;='Gastos Gerais'!$E$4:$E$615),-('Gastos Gerais'!$C$4:$C$615))</f>
        <v>19000</v>
      </c>
      <c r="AJ131" s="73">
        <f>SUMPRODUCT(-('Gastos Gerais'!$B$4:$B$615=Analítico!$B131),-(Analítico!AJ$3&gt;='Gastos Gerais'!$D$4:$D$615),-(Analítico!AJ$3&lt;='Gastos Gerais'!$E$4:$E$615),-('Gastos Gerais'!$C$4:$C$615))</f>
        <v>19000</v>
      </c>
      <c r="AK131" s="73">
        <f>SUMPRODUCT(-('Gastos Gerais'!$B$4:$B$615=Analítico!$B131),-(Analítico!AK$3&gt;='Gastos Gerais'!$D$4:$D$615),-(Analítico!AK$3&lt;='Gastos Gerais'!$E$4:$E$615),-('Gastos Gerais'!$C$4:$C$615))</f>
        <v>19000</v>
      </c>
      <c r="AL131" s="73">
        <f>SUMPRODUCT(-('Gastos Gerais'!$B$4:$B$615=Analítico!$B131),-(Analítico!AL$3&gt;='Gastos Gerais'!$D$4:$D$615),-(Analítico!AL$3&lt;='Gastos Gerais'!$E$4:$E$615),-('Gastos Gerais'!$C$4:$C$615))</f>
        <v>19000</v>
      </c>
      <c r="AM131" s="73">
        <f>SUMPRODUCT(-('Gastos Gerais'!$B$4:$B$615=Analítico!$B131),-(Analítico!AM$3&gt;='Gastos Gerais'!$D$4:$D$615),-(Analítico!AM$3&lt;='Gastos Gerais'!$E$4:$E$615),-('Gastos Gerais'!$C$4:$C$615))</f>
        <v>0</v>
      </c>
      <c r="AN131" s="73">
        <f>SUMPRODUCT(-('Gastos Gerais'!$B$4:$B$615=Analítico!$B131),-(Analítico!AN$3&gt;='Gastos Gerais'!$D$4:$D$615),-(Analítico!AN$3&lt;='Gastos Gerais'!$E$4:$E$615),-('Gastos Gerais'!$C$4:$C$615))</f>
        <v>0</v>
      </c>
      <c r="AO131" s="73">
        <f>SUMPRODUCT(-('Gastos Gerais'!$B$4:$B$615=Analítico!$B131),-(Analítico!AO$3&gt;='Gastos Gerais'!$D$4:$D$615),-(Analítico!AO$3&lt;='Gastos Gerais'!$E$4:$E$615),-('Gastos Gerais'!$C$4:$C$615))</f>
        <v>0</v>
      </c>
      <c r="AP131" s="73">
        <f>SUMPRODUCT(-('Gastos Gerais'!$B$4:$B$615=Analítico!$B131),-(Analítico!AP$3&gt;='Gastos Gerais'!$D$4:$D$615),-(Analítico!AP$3&lt;='Gastos Gerais'!$E$4:$E$615),-('Gastos Gerais'!$C$4:$C$615))</f>
        <v>0</v>
      </c>
      <c r="AQ131" s="73">
        <f>SUMPRODUCT(-('Gastos Gerais'!$B$4:$B$615=Analítico!$B131),-(Analítico!AQ$3&gt;='Gastos Gerais'!$D$4:$D$615),-(Analítico!AQ$3&lt;='Gastos Gerais'!$E$4:$E$615),-('Gastos Gerais'!$C$4:$C$615))</f>
        <v>0</v>
      </c>
      <c r="AR131" s="73">
        <f>SUMPRODUCT(-('Gastos Gerais'!$B$4:$B$615=Analítico!$B131),-(Analítico!AR$3&gt;='Gastos Gerais'!$D$4:$D$615),-(Analítico!AR$3&lt;='Gastos Gerais'!$E$4:$E$615),-('Gastos Gerais'!$C$4:$C$615))</f>
        <v>0</v>
      </c>
      <c r="AS131" s="73">
        <f>SUMPRODUCT(-('Gastos Gerais'!$B$4:$B$615=Analítico!$B131),-(Analítico!AS$3&gt;='Gastos Gerais'!$D$4:$D$615),-(Analítico!AS$3&lt;='Gastos Gerais'!$E$4:$E$615),-('Gastos Gerais'!$C$4:$C$615))</f>
        <v>0</v>
      </c>
      <c r="AT131" s="73">
        <f>SUMPRODUCT(-('Gastos Gerais'!$B$4:$B$615=Analítico!$B131),-(Analítico!AT$3&gt;='Gastos Gerais'!$D$4:$D$615),-(Analítico!AT$3&lt;='Gastos Gerais'!$E$4:$E$615),-('Gastos Gerais'!$C$4:$C$615))</f>
        <v>0</v>
      </c>
      <c r="AU131" s="73">
        <f>SUMPRODUCT(-('Gastos Gerais'!$B$4:$B$615=Analítico!$B131),-(Analítico!AU$3&gt;='Gastos Gerais'!$D$4:$D$615),-(Analítico!AU$3&lt;='Gastos Gerais'!$E$4:$E$615),-('Gastos Gerais'!$C$4:$C$615))</f>
        <v>0</v>
      </c>
      <c r="AV131" s="73">
        <f>SUMPRODUCT(-('Gastos Gerais'!$B$4:$B$615=Analítico!$B131),-(Analítico!AV$3&gt;='Gastos Gerais'!$D$4:$D$615),-(Analítico!AV$3&lt;='Gastos Gerais'!$E$4:$E$615),-('Gastos Gerais'!$C$4:$C$615))</f>
        <v>0</v>
      </c>
      <c r="AW131" s="73">
        <f>SUMPRODUCT(-('Gastos Gerais'!$B$4:$B$615=Analítico!$B131),-(Analítico!AW$3&gt;='Gastos Gerais'!$D$4:$D$615),-(Analítico!AW$3&lt;='Gastos Gerais'!$E$4:$E$615),-('Gastos Gerais'!$C$4:$C$615))</f>
        <v>0</v>
      </c>
      <c r="AX131" s="73">
        <f>SUMPRODUCT(-('Gastos Gerais'!$B$4:$B$615=Analítico!$B131),-(Analítico!AX$3&gt;='Gastos Gerais'!$D$4:$D$615),-(Analítico!AX$3&lt;='Gastos Gerais'!$E$4:$E$615),-('Gastos Gerais'!$C$4:$C$615))</f>
        <v>0</v>
      </c>
      <c r="AY131" s="73">
        <f>SUMPRODUCT(-('Gastos Gerais'!$B$4:$B$615=Analítico!$B131),-(Analítico!AY$3&gt;='Gastos Gerais'!$D$4:$D$615),-(Analítico!AY$3&lt;='Gastos Gerais'!$E$4:$E$615),-('Gastos Gerais'!$C$4:$C$615))</f>
        <v>0</v>
      </c>
      <c r="AZ131" s="73">
        <f>SUMPRODUCT(-('Gastos Gerais'!$B$4:$B$615=Analítico!$B131),-(Analítico!AZ$3&gt;='Gastos Gerais'!$D$4:$D$615),-(Analítico!AZ$3&lt;='Gastos Gerais'!$E$4:$E$615),-('Gastos Gerais'!$C$4:$C$615))</f>
        <v>0</v>
      </c>
      <c r="BA131" s="73">
        <f>SUMPRODUCT(-('Gastos Gerais'!$B$4:$B$615=Analítico!$B131),-(Analítico!BA$3&gt;='Gastos Gerais'!$D$4:$D$615),-(Analítico!BA$3&lt;='Gastos Gerais'!$E$4:$E$615),-('Gastos Gerais'!$C$4:$C$615))</f>
        <v>0</v>
      </c>
      <c r="BB131" s="73">
        <f>SUMPRODUCT(-('Gastos Gerais'!$B$4:$B$615=Analítico!$B131),-(Analítico!BB$3&gt;='Gastos Gerais'!$D$4:$D$615),-(Analítico!BB$3&lt;='Gastos Gerais'!$E$4:$E$615),-('Gastos Gerais'!$C$4:$C$615))</f>
        <v>0</v>
      </c>
      <c r="BC131" s="73">
        <f>SUMPRODUCT(-('Gastos Gerais'!$B$4:$B$615=Analítico!$B131),-(Analítico!BC$3&gt;='Gastos Gerais'!$D$4:$D$615),-(Analítico!BC$3&lt;='Gastos Gerais'!$E$4:$E$615),-('Gastos Gerais'!$C$4:$C$615))</f>
        <v>0</v>
      </c>
      <c r="BD131" s="73">
        <f>SUMPRODUCT(-('Gastos Gerais'!$B$4:$B$615=Analítico!$B131),-(Analítico!BD$3&gt;='Gastos Gerais'!$D$4:$D$615),-(Analítico!BD$3&lt;='Gastos Gerais'!$E$4:$E$615),-('Gastos Gerais'!$C$4:$C$615))</f>
        <v>0</v>
      </c>
      <c r="BE131" s="73">
        <f>SUMPRODUCT(-('Gastos Gerais'!$B$4:$B$615=Analítico!$B131),-(Analítico!BE$3&gt;='Gastos Gerais'!$D$4:$D$615),-(Analítico!BE$3&lt;='Gastos Gerais'!$E$4:$E$615),-('Gastos Gerais'!$C$4:$C$615))</f>
        <v>0</v>
      </c>
      <c r="BF131" s="73">
        <f>SUMPRODUCT(-('Gastos Gerais'!$B$4:$B$615=Analítico!$B131),-(Analítico!BF$3&gt;='Gastos Gerais'!$D$4:$D$615),-(Analítico!BF$3&lt;='Gastos Gerais'!$E$4:$E$615),-('Gastos Gerais'!$C$4:$C$615))</f>
        <v>0</v>
      </c>
      <c r="BG131" s="73">
        <f>SUMPRODUCT(-('Gastos Gerais'!$B$4:$B$615=Analítico!$B131),-(Analítico!BG$3&gt;='Gastos Gerais'!$D$4:$D$615),-(Analítico!BG$3&lt;='Gastos Gerais'!$E$4:$E$615),-('Gastos Gerais'!$C$4:$C$615))</f>
        <v>0</v>
      </c>
      <c r="BH131" s="73">
        <f>SUMPRODUCT(-('Gastos Gerais'!$B$4:$B$615=Analítico!$B131),-(Analítico!BH$3&gt;='Gastos Gerais'!$D$4:$D$615),-(Analítico!BH$3&lt;='Gastos Gerais'!$E$4:$E$615),-('Gastos Gerais'!$C$4:$C$615))</f>
        <v>0</v>
      </c>
      <c r="BI131" s="73">
        <f>SUMPRODUCT(-('Gastos Gerais'!$B$4:$B$615=Analítico!$B131),-(Analítico!BI$3&gt;='Gastos Gerais'!$D$4:$D$615),-(Analítico!BI$3&lt;='Gastos Gerais'!$E$4:$E$615),-('Gastos Gerais'!$C$4:$C$615))</f>
        <v>0</v>
      </c>
      <c r="BJ131" s="73">
        <f>SUMPRODUCT(-('Gastos Gerais'!$B$4:$B$615=Analítico!$B131),-(Analítico!BJ$3&gt;='Gastos Gerais'!$D$4:$D$615),-(Analítico!BJ$3&lt;='Gastos Gerais'!$E$4:$E$615),-('Gastos Gerais'!$C$4:$C$615))</f>
        <v>0</v>
      </c>
      <c r="BK131" s="71">
        <f t="shared" si="35"/>
        <v>696000</v>
      </c>
      <c r="BL131" s="76">
        <f t="shared" ca="1" si="36"/>
        <v>1.8984085040960083E-3</v>
      </c>
    </row>
    <row r="132" spans="1:64" s="49" customFormat="1" ht="23.25" customHeight="1" x14ac:dyDescent="0.2">
      <c r="A132" s="109" t="s">
        <v>332</v>
      </c>
      <c r="B132" s="112" t="s">
        <v>333</v>
      </c>
      <c r="C132" s="73">
        <f>SUMPRODUCT(-('Gastos Gerais'!$B$4:$B$615=Analítico!$B132),-(Analítico!C$3&gt;='Gastos Gerais'!$D$4:$D$615),-(Analítico!C$3&lt;='Gastos Gerais'!$E$4:$E$615),-('Gastos Gerais'!$C$4:$C$615))</f>
        <v>2300</v>
      </c>
      <c r="D132" s="73">
        <f>SUMPRODUCT(-('Gastos Gerais'!$B$4:$B$615=Analítico!$B132),-(Analítico!D$3&gt;='Gastos Gerais'!$D$4:$D$615),-(Analítico!D$3&lt;='Gastos Gerais'!$E$4:$E$615),-('Gastos Gerais'!$C$4:$C$615))</f>
        <v>2300</v>
      </c>
      <c r="E132" s="73">
        <f>SUMPRODUCT(-('Gastos Gerais'!$B$4:$B$615=Analítico!$B132),-(Analítico!E$3&gt;='Gastos Gerais'!$D$4:$D$615),-(Analítico!E$3&lt;='Gastos Gerais'!$E$4:$E$615),-('Gastos Gerais'!$C$4:$C$615))</f>
        <v>2300</v>
      </c>
      <c r="F132" s="73">
        <f>SUMPRODUCT(-('Gastos Gerais'!$B$4:$B$615=Analítico!$B132),-(Analítico!F$3&gt;='Gastos Gerais'!$D$4:$D$615),-(Analítico!F$3&lt;='Gastos Gerais'!$E$4:$E$615),-('Gastos Gerais'!$C$4:$C$615))</f>
        <v>2300</v>
      </c>
      <c r="G132" s="73">
        <f>SUMPRODUCT(-('Gastos Gerais'!$B$4:$B$615=Analítico!$B132),-(Analítico!G$3&gt;='Gastos Gerais'!$D$4:$D$615),-(Analítico!G$3&lt;='Gastos Gerais'!$E$4:$E$615),-('Gastos Gerais'!$C$4:$C$615))</f>
        <v>2300</v>
      </c>
      <c r="H132" s="73">
        <f>SUMPRODUCT(-('Gastos Gerais'!$B$4:$B$615=Analítico!$B132),-(Analítico!H$3&gt;='Gastos Gerais'!$D$4:$D$615),-(Analítico!H$3&lt;='Gastos Gerais'!$E$4:$E$615),-('Gastos Gerais'!$C$4:$C$615))</f>
        <v>2300</v>
      </c>
      <c r="I132" s="73">
        <f>SUMPRODUCT(-('Gastos Gerais'!$B$4:$B$615=Analítico!$B132),-(Analítico!I$3&gt;='Gastos Gerais'!$D$4:$D$615),-(Analítico!I$3&lt;='Gastos Gerais'!$E$4:$E$615),-('Gastos Gerais'!$C$4:$C$615))</f>
        <v>2300</v>
      </c>
      <c r="J132" s="73">
        <f>SUMPRODUCT(-('Gastos Gerais'!$B$4:$B$615=Analítico!$B132),-(Analítico!J$3&gt;='Gastos Gerais'!$D$4:$D$615),-(Analítico!J$3&lt;='Gastos Gerais'!$E$4:$E$615),-('Gastos Gerais'!$C$4:$C$615))</f>
        <v>2300</v>
      </c>
      <c r="K132" s="73">
        <f>SUMPRODUCT(-('Gastos Gerais'!$B$4:$B$615=Analítico!$B132),-(Analítico!K$3&gt;='Gastos Gerais'!$D$4:$D$615),-(Analítico!K$3&lt;='Gastos Gerais'!$E$4:$E$615),-('Gastos Gerais'!$C$4:$C$615))</f>
        <v>2300</v>
      </c>
      <c r="L132" s="73">
        <f>SUMPRODUCT(-('Gastos Gerais'!$B$4:$B$615=Analítico!$B132),-(Analítico!L$3&gt;='Gastos Gerais'!$D$4:$D$615),-(Analítico!L$3&lt;='Gastos Gerais'!$E$4:$E$615),-('Gastos Gerais'!$C$4:$C$615))</f>
        <v>2300</v>
      </c>
      <c r="M132" s="73">
        <f>SUMPRODUCT(-('Gastos Gerais'!$B$4:$B$615=Analítico!$B132),-(Analítico!M$3&gt;='Gastos Gerais'!$D$4:$D$615),-(Analítico!M$3&lt;='Gastos Gerais'!$E$4:$E$615),-('Gastos Gerais'!$C$4:$C$615))</f>
        <v>2300</v>
      </c>
      <c r="N132" s="73">
        <f>SUMPRODUCT(-('Gastos Gerais'!$B$4:$B$615=Analítico!$B132),-(Analítico!N$3&gt;='Gastos Gerais'!$D$4:$D$615),-(Analítico!N$3&lt;='Gastos Gerais'!$E$4:$E$615),-('Gastos Gerais'!$C$4:$C$615))</f>
        <v>2300</v>
      </c>
      <c r="O132" s="73">
        <f>SUMPRODUCT(-('Gastos Gerais'!$B$4:$B$615=Analítico!$B132),-(Analítico!O$3&gt;='Gastos Gerais'!$D$4:$D$615),-(Analítico!O$3&lt;='Gastos Gerais'!$E$4:$E$615),-('Gastos Gerais'!$C$4:$C$615))</f>
        <v>2300</v>
      </c>
      <c r="P132" s="73">
        <f>SUMPRODUCT(-('Gastos Gerais'!$B$4:$B$615=Analítico!$B132),-(Analítico!P$3&gt;='Gastos Gerais'!$D$4:$D$615),-(Analítico!P$3&lt;='Gastos Gerais'!$E$4:$E$615),-('Gastos Gerais'!$C$4:$C$615))</f>
        <v>2300</v>
      </c>
      <c r="Q132" s="73">
        <f>SUMPRODUCT(-('Gastos Gerais'!$B$4:$B$615=Analítico!$B132),-(Analítico!Q$3&gt;='Gastos Gerais'!$D$4:$D$615),-(Analítico!Q$3&lt;='Gastos Gerais'!$E$4:$E$615),-('Gastos Gerais'!$C$4:$C$615))</f>
        <v>2300</v>
      </c>
      <c r="R132" s="73">
        <f>SUMPRODUCT(-('Gastos Gerais'!$B$4:$B$615=Analítico!$B132),-(Analítico!R$3&gt;='Gastos Gerais'!$D$4:$D$615),-(Analítico!R$3&lt;='Gastos Gerais'!$E$4:$E$615),-('Gastos Gerais'!$C$4:$C$615))</f>
        <v>2300</v>
      </c>
      <c r="S132" s="73">
        <f>SUMPRODUCT(-('Gastos Gerais'!$B$4:$B$615=Analítico!$B132),-(Analítico!S$3&gt;='Gastos Gerais'!$D$4:$D$615),-(Analítico!S$3&lt;='Gastos Gerais'!$E$4:$E$615),-('Gastos Gerais'!$C$4:$C$615))</f>
        <v>2300</v>
      </c>
      <c r="T132" s="73">
        <f>SUMPRODUCT(-('Gastos Gerais'!$B$4:$B$615=Analítico!$B132),-(Analítico!T$3&gt;='Gastos Gerais'!$D$4:$D$615),-(Analítico!T$3&lt;='Gastos Gerais'!$E$4:$E$615),-('Gastos Gerais'!$C$4:$C$615))</f>
        <v>2300</v>
      </c>
      <c r="U132" s="73">
        <f>SUMPRODUCT(-('Gastos Gerais'!$B$4:$B$615=Analítico!$B132),-(Analítico!U$3&gt;='Gastos Gerais'!$D$4:$D$615),-(Analítico!U$3&lt;='Gastos Gerais'!$E$4:$E$615),-('Gastos Gerais'!$C$4:$C$615))</f>
        <v>2300</v>
      </c>
      <c r="V132" s="73">
        <f>SUMPRODUCT(-('Gastos Gerais'!$B$4:$B$615=Analítico!$B132),-(Analítico!V$3&gt;='Gastos Gerais'!$D$4:$D$615),-(Analítico!V$3&lt;='Gastos Gerais'!$E$4:$E$615),-('Gastos Gerais'!$C$4:$C$615))</f>
        <v>2300</v>
      </c>
      <c r="W132" s="73">
        <f>SUMPRODUCT(-('Gastos Gerais'!$B$4:$B$615=Analítico!$B132),-(Analítico!W$3&gt;='Gastos Gerais'!$D$4:$D$615),-(Analítico!W$3&lt;='Gastos Gerais'!$E$4:$E$615),-('Gastos Gerais'!$C$4:$C$615))</f>
        <v>2300</v>
      </c>
      <c r="X132" s="73">
        <f>SUMPRODUCT(-('Gastos Gerais'!$B$4:$B$615=Analítico!$B132),-(Analítico!X$3&gt;='Gastos Gerais'!$D$4:$D$615),-(Analítico!X$3&lt;='Gastos Gerais'!$E$4:$E$615),-('Gastos Gerais'!$C$4:$C$615))</f>
        <v>2300</v>
      </c>
      <c r="Y132" s="73">
        <f>SUMPRODUCT(-('Gastos Gerais'!$B$4:$B$615=Analítico!$B132),-(Analítico!Y$3&gt;='Gastos Gerais'!$D$4:$D$615),-(Analítico!Y$3&lt;='Gastos Gerais'!$E$4:$E$615),-('Gastos Gerais'!$C$4:$C$615))</f>
        <v>2300</v>
      </c>
      <c r="Z132" s="73">
        <f>SUMPRODUCT(-('Gastos Gerais'!$B$4:$B$615=Analítico!$B132),-(Analítico!Z$3&gt;='Gastos Gerais'!$D$4:$D$615),-(Analítico!Z$3&lt;='Gastos Gerais'!$E$4:$E$615),-('Gastos Gerais'!$C$4:$C$615))</f>
        <v>2300</v>
      </c>
      <c r="AA132" s="73">
        <f>SUMPRODUCT(-('Gastos Gerais'!$B$4:$B$615=Analítico!$B132),-(Analítico!AA$3&gt;='Gastos Gerais'!$D$4:$D$615),-(Analítico!AA$3&lt;='Gastos Gerais'!$E$4:$E$615),-('Gastos Gerais'!$C$4:$C$615))</f>
        <v>2300</v>
      </c>
      <c r="AB132" s="73">
        <f>SUMPRODUCT(-('Gastos Gerais'!$B$4:$B$615=Analítico!$B132),-(Analítico!AB$3&gt;='Gastos Gerais'!$D$4:$D$615),-(Analítico!AB$3&lt;='Gastos Gerais'!$E$4:$E$615),-('Gastos Gerais'!$C$4:$C$615))</f>
        <v>2300</v>
      </c>
      <c r="AC132" s="73">
        <f>SUMPRODUCT(-('Gastos Gerais'!$B$4:$B$615=Analítico!$B132),-(Analítico!AC$3&gt;='Gastos Gerais'!$D$4:$D$615),-(Analítico!AC$3&lt;='Gastos Gerais'!$E$4:$E$615),-('Gastos Gerais'!$C$4:$C$615))</f>
        <v>2300</v>
      </c>
      <c r="AD132" s="73">
        <f>SUMPRODUCT(-('Gastos Gerais'!$B$4:$B$615=Analítico!$B132),-(Analítico!AD$3&gt;='Gastos Gerais'!$D$4:$D$615),-(Analítico!AD$3&lt;='Gastos Gerais'!$E$4:$E$615),-('Gastos Gerais'!$C$4:$C$615))</f>
        <v>2300</v>
      </c>
      <c r="AE132" s="73">
        <f>SUMPRODUCT(-('Gastos Gerais'!$B$4:$B$615=Analítico!$B132),-(Analítico!AE$3&gt;='Gastos Gerais'!$D$4:$D$615),-(Analítico!AE$3&lt;='Gastos Gerais'!$E$4:$E$615),-('Gastos Gerais'!$C$4:$C$615))</f>
        <v>2300</v>
      </c>
      <c r="AF132" s="73">
        <f>SUMPRODUCT(-('Gastos Gerais'!$B$4:$B$615=Analítico!$B132),-(Analítico!AF$3&gt;='Gastos Gerais'!$D$4:$D$615),-(Analítico!AF$3&lt;='Gastos Gerais'!$E$4:$E$615),-('Gastos Gerais'!$C$4:$C$615))</f>
        <v>2300</v>
      </c>
      <c r="AG132" s="73">
        <f>SUMPRODUCT(-('Gastos Gerais'!$B$4:$B$615=Analítico!$B132),-(Analítico!AG$3&gt;='Gastos Gerais'!$D$4:$D$615),-(Analítico!AG$3&lt;='Gastos Gerais'!$E$4:$E$615),-('Gastos Gerais'!$C$4:$C$615))</f>
        <v>2300</v>
      </c>
      <c r="AH132" s="73">
        <f>SUMPRODUCT(-('Gastos Gerais'!$B$4:$B$615=Analítico!$B132),-(Analítico!AH$3&gt;='Gastos Gerais'!$D$4:$D$615),-(Analítico!AH$3&lt;='Gastos Gerais'!$E$4:$E$615),-('Gastos Gerais'!$C$4:$C$615))</f>
        <v>2300</v>
      </c>
      <c r="AI132" s="73">
        <f>SUMPRODUCT(-('Gastos Gerais'!$B$4:$B$615=Analítico!$B132),-(Analítico!AI$3&gt;='Gastos Gerais'!$D$4:$D$615),-(Analítico!AI$3&lt;='Gastos Gerais'!$E$4:$E$615),-('Gastos Gerais'!$C$4:$C$615))</f>
        <v>2300</v>
      </c>
      <c r="AJ132" s="73">
        <f>SUMPRODUCT(-('Gastos Gerais'!$B$4:$B$615=Analítico!$B132),-(Analítico!AJ$3&gt;='Gastos Gerais'!$D$4:$D$615),-(Analítico!AJ$3&lt;='Gastos Gerais'!$E$4:$E$615),-('Gastos Gerais'!$C$4:$C$615))</f>
        <v>2300</v>
      </c>
      <c r="AK132" s="73">
        <f>SUMPRODUCT(-('Gastos Gerais'!$B$4:$B$615=Analítico!$B132),-(Analítico!AK$3&gt;='Gastos Gerais'!$D$4:$D$615),-(Analítico!AK$3&lt;='Gastos Gerais'!$E$4:$E$615),-('Gastos Gerais'!$C$4:$C$615))</f>
        <v>2300</v>
      </c>
      <c r="AL132" s="73">
        <f>SUMPRODUCT(-('Gastos Gerais'!$B$4:$B$615=Analítico!$B132),-(Analítico!AL$3&gt;='Gastos Gerais'!$D$4:$D$615),-(Analítico!AL$3&lt;='Gastos Gerais'!$E$4:$E$615),-('Gastos Gerais'!$C$4:$C$615))</f>
        <v>2300</v>
      </c>
      <c r="AM132" s="73">
        <f>SUMPRODUCT(-('Gastos Gerais'!$B$4:$B$615=Analítico!$B132),-(Analítico!AM$3&gt;='Gastos Gerais'!$D$4:$D$615),-(Analítico!AM$3&lt;='Gastos Gerais'!$E$4:$E$615),-('Gastos Gerais'!$C$4:$C$615))</f>
        <v>0</v>
      </c>
      <c r="AN132" s="73">
        <f>SUMPRODUCT(-('Gastos Gerais'!$B$4:$B$615=Analítico!$B132),-(Analítico!AN$3&gt;='Gastos Gerais'!$D$4:$D$615),-(Analítico!AN$3&lt;='Gastos Gerais'!$E$4:$E$615),-('Gastos Gerais'!$C$4:$C$615))</f>
        <v>0</v>
      </c>
      <c r="AO132" s="73">
        <f>SUMPRODUCT(-('Gastos Gerais'!$B$4:$B$615=Analítico!$B132),-(Analítico!AO$3&gt;='Gastos Gerais'!$D$4:$D$615),-(Analítico!AO$3&lt;='Gastos Gerais'!$E$4:$E$615),-('Gastos Gerais'!$C$4:$C$615))</f>
        <v>0</v>
      </c>
      <c r="AP132" s="73">
        <f>SUMPRODUCT(-('Gastos Gerais'!$B$4:$B$615=Analítico!$B132),-(Analítico!AP$3&gt;='Gastos Gerais'!$D$4:$D$615),-(Analítico!AP$3&lt;='Gastos Gerais'!$E$4:$E$615),-('Gastos Gerais'!$C$4:$C$615))</f>
        <v>0</v>
      </c>
      <c r="AQ132" s="73">
        <f>SUMPRODUCT(-('Gastos Gerais'!$B$4:$B$615=Analítico!$B132),-(Analítico!AQ$3&gt;='Gastos Gerais'!$D$4:$D$615),-(Analítico!AQ$3&lt;='Gastos Gerais'!$E$4:$E$615),-('Gastos Gerais'!$C$4:$C$615))</f>
        <v>0</v>
      </c>
      <c r="AR132" s="73">
        <f>SUMPRODUCT(-('Gastos Gerais'!$B$4:$B$615=Analítico!$B132),-(Analítico!AR$3&gt;='Gastos Gerais'!$D$4:$D$615),-(Analítico!AR$3&lt;='Gastos Gerais'!$E$4:$E$615),-('Gastos Gerais'!$C$4:$C$615))</f>
        <v>0</v>
      </c>
      <c r="AS132" s="73">
        <f>SUMPRODUCT(-('Gastos Gerais'!$B$4:$B$615=Analítico!$B132),-(Analítico!AS$3&gt;='Gastos Gerais'!$D$4:$D$615),-(Analítico!AS$3&lt;='Gastos Gerais'!$E$4:$E$615),-('Gastos Gerais'!$C$4:$C$615))</f>
        <v>0</v>
      </c>
      <c r="AT132" s="73">
        <f>SUMPRODUCT(-('Gastos Gerais'!$B$4:$B$615=Analítico!$B132),-(Analítico!AT$3&gt;='Gastos Gerais'!$D$4:$D$615),-(Analítico!AT$3&lt;='Gastos Gerais'!$E$4:$E$615),-('Gastos Gerais'!$C$4:$C$615))</f>
        <v>0</v>
      </c>
      <c r="AU132" s="73">
        <f>SUMPRODUCT(-('Gastos Gerais'!$B$4:$B$615=Analítico!$B132),-(Analítico!AU$3&gt;='Gastos Gerais'!$D$4:$D$615),-(Analítico!AU$3&lt;='Gastos Gerais'!$E$4:$E$615),-('Gastos Gerais'!$C$4:$C$615))</f>
        <v>0</v>
      </c>
      <c r="AV132" s="73">
        <f>SUMPRODUCT(-('Gastos Gerais'!$B$4:$B$615=Analítico!$B132),-(Analítico!AV$3&gt;='Gastos Gerais'!$D$4:$D$615),-(Analítico!AV$3&lt;='Gastos Gerais'!$E$4:$E$615),-('Gastos Gerais'!$C$4:$C$615))</f>
        <v>0</v>
      </c>
      <c r="AW132" s="73">
        <f>SUMPRODUCT(-('Gastos Gerais'!$B$4:$B$615=Analítico!$B132),-(Analítico!AW$3&gt;='Gastos Gerais'!$D$4:$D$615),-(Analítico!AW$3&lt;='Gastos Gerais'!$E$4:$E$615),-('Gastos Gerais'!$C$4:$C$615))</f>
        <v>0</v>
      </c>
      <c r="AX132" s="73">
        <f>SUMPRODUCT(-('Gastos Gerais'!$B$4:$B$615=Analítico!$B132),-(Analítico!AX$3&gt;='Gastos Gerais'!$D$4:$D$615),-(Analítico!AX$3&lt;='Gastos Gerais'!$E$4:$E$615),-('Gastos Gerais'!$C$4:$C$615))</f>
        <v>0</v>
      </c>
      <c r="AY132" s="73">
        <f>SUMPRODUCT(-('Gastos Gerais'!$B$4:$B$615=Analítico!$B132),-(Analítico!AY$3&gt;='Gastos Gerais'!$D$4:$D$615),-(Analítico!AY$3&lt;='Gastos Gerais'!$E$4:$E$615),-('Gastos Gerais'!$C$4:$C$615))</f>
        <v>0</v>
      </c>
      <c r="AZ132" s="73">
        <f>SUMPRODUCT(-('Gastos Gerais'!$B$4:$B$615=Analítico!$B132),-(Analítico!AZ$3&gt;='Gastos Gerais'!$D$4:$D$615),-(Analítico!AZ$3&lt;='Gastos Gerais'!$E$4:$E$615),-('Gastos Gerais'!$C$4:$C$615))</f>
        <v>0</v>
      </c>
      <c r="BA132" s="73">
        <f>SUMPRODUCT(-('Gastos Gerais'!$B$4:$B$615=Analítico!$B132),-(Analítico!BA$3&gt;='Gastos Gerais'!$D$4:$D$615),-(Analítico!BA$3&lt;='Gastos Gerais'!$E$4:$E$615),-('Gastos Gerais'!$C$4:$C$615))</f>
        <v>0</v>
      </c>
      <c r="BB132" s="73">
        <f>SUMPRODUCT(-('Gastos Gerais'!$B$4:$B$615=Analítico!$B132),-(Analítico!BB$3&gt;='Gastos Gerais'!$D$4:$D$615),-(Analítico!BB$3&lt;='Gastos Gerais'!$E$4:$E$615),-('Gastos Gerais'!$C$4:$C$615))</f>
        <v>0</v>
      </c>
      <c r="BC132" s="73">
        <f>SUMPRODUCT(-('Gastos Gerais'!$B$4:$B$615=Analítico!$B132),-(Analítico!BC$3&gt;='Gastos Gerais'!$D$4:$D$615),-(Analítico!BC$3&lt;='Gastos Gerais'!$E$4:$E$615),-('Gastos Gerais'!$C$4:$C$615))</f>
        <v>0</v>
      </c>
      <c r="BD132" s="73">
        <f>SUMPRODUCT(-('Gastos Gerais'!$B$4:$B$615=Analítico!$B132),-(Analítico!BD$3&gt;='Gastos Gerais'!$D$4:$D$615),-(Analítico!BD$3&lt;='Gastos Gerais'!$E$4:$E$615),-('Gastos Gerais'!$C$4:$C$615))</f>
        <v>0</v>
      </c>
      <c r="BE132" s="73">
        <f>SUMPRODUCT(-('Gastos Gerais'!$B$4:$B$615=Analítico!$B132),-(Analítico!BE$3&gt;='Gastos Gerais'!$D$4:$D$615),-(Analítico!BE$3&lt;='Gastos Gerais'!$E$4:$E$615),-('Gastos Gerais'!$C$4:$C$615))</f>
        <v>0</v>
      </c>
      <c r="BF132" s="73">
        <f>SUMPRODUCT(-('Gastos Gerais'!$B$4:$B$615=Analítico!$B132),-(Analítico!BF$3&gt;='Gastos Gerais'!$D$4:$D$615),-(Analítico!BF$3&lt;='Gastos Gerais'!$E$4:$E$615),-('Gastos Gerais'!$C$4:$C$615))</f>
        <v>0</v>
      </c>
      <c r="BG132" s="73">
        <f>SUMPRODUCT(-('Gastos Gerais'!$B$4:$B$615=Analítico!$B132),-(Analítico!BG$3&gt;='Gastos Gerais'!$D$4:$D$615),-(Analítico!BG$3&lt;='Gastos Gerais'!$E$4:$E$615),-('Gastos Gerais'!$C$4:$C$615))</f>
        <v>0</v>
      </c>
      <c r="BH132" s="73">
        <f>SUMPRODUCT(-('Gastos Gerais'!$B$4:$B$615=Analítico!$B132),-(Analítico!BH$3&gt;='Gastos Gerais'!$D$4:$D$615),-(Analítico!BH$3&lt;='Gastos Gerais'!$E$4:$E$615),-('Gastos Gerais'!$C$4:$C$615))</f>
        <v>0</v>
      </c>
      <c r="BI132" s="73">
        <f>SUMPRODUCT(-('Gastos Gerais'!$B$4:$B$615=Analítico!$B132),-(Analítico!BI$3&gt;='Gastos Gerais'!$D$4:$D$615),-(Analítico!BI$3&lt;='Gastos Gerais'!$E$4:$E$615),-('Gastos Gerais'!$C$4:$C$615))</f>
        <v>0</v>
      </c>
      <c r="BJ132" s="73">
        <f>SUMPRODUCT(-('Gastos Gerais'!$B$4:$B$615=Analítico!$B132),-(Analítico!BJ$3&gt;='Gastos Gerais'!$D$4:$D$615),-(Analítico!BJ$3&lt;='Gastos Gerais'!$E$4:$E$615),-('Gastos Gerais'!$C$4:$C$615))</f>
        <v>0</v>
      </c>
      <c r="BK132" s="71">
        <f t="shared" si="35"/>
        <v>82800</v>
      </c>
      <c r="BL132" s="76">
        <f t="shared" ca="1" si="36"/>
        <v>2.258451496252148E-4</v>
      </c>
    </row>
    <row r="133" spans="1:64" s="49" customFormat="1" ht="23.25" customHeight="1" x14ac:dyDescent="0.2">
      <c r="A133" s="109" t="s">
        <v>334</v>
      </c>
      <c r="B133" s="112" t="s">
        <v>335</v>
      </c>
      <c r="C133" s="73">
        <f>SUMPRODUCT(-('Gastos Gerais'!$B$4:$B$615=Analítico!$B133),-(Analítico!C$3&gt;='Gastos Gerais'!$D$4:$D$615),-(Analítico!C$3&lt;='Gastos Gerais'!$E$4:$E$615),-('Gastos Gerais'!$C$4:$C$615))</f>
        <v>4500</v>
      </c>
      <c r="D133" s="73">
        <f>SUMPRODUCT(-('Gastos Gerais'!$B$4:$B$615=Analítico!$B133),-(Analítico!D$3&gt;='Gastos Gerais'!$D$4:$D$615),-(Analítico!D$3&lt;='Gastos Gerais'!$E$4:$E$615),-('Gastos Gerais'!$C$4:$C$615))</f>
        <v>4500</v>
      </c>
      <c r="E133" s="73">
        <f>SUMPRODUCT(-('Gastos Gerais'!$B$4:$B$615=Analítico!$B133),-(Analítico!E$3&gt;='Gastos Gerais'!$D$4:$D$615),-(Analítico!E$3&lt;='Gastos Gerais'!$E$4:$E$615),-('Gastos Gerais'!$C$4:$C$615))</f>
        <v>4500</v>
      </c>
      <c r="F133" s="73">
        <f>SUMPRODUCT(-('Gastos Gerais'!$B$4:$B$615=Analítico!$B133),-(Analítico!F$3&gt;='Gastos Gerais'!$D$4:$D$615),-(Analítico!F$3&lt;='Gastos Gerais'!$E$4:$E$615),-('Gastos Gerais'!$C$4:$C$615))</f>
        <v>4500</v>
      </c>
      <c r="G133" s="73">
        <f>SUMPRODUCT(-('Gastos Gerais'!$B$4:$B$615=Analítico!$B133),-(Analítico!G$3&gt;='Gastos Gerais'!$D$4:$D$615),-(Analítico!G$3&lt;='Gastos Gerais'!$E$4:$E$615),-('Gastos Gerais'!$C$4:$C$615))</f>
        <v>4500</v>
      </c>
      <c r="H133" s="73">
        <f>SUMPRODUCT(-('Gastos Gerais'!$B$4:$B$615=Analítico!$B133),-(Analítico!H$3&gt;='Gastos Gerais'!$D$4:$D$615),-(Analítico!H$3&lt;='Gastos Gerais'!$E$4:$E$615),-('Gastos Gerais'!$C$4:$C$615))</f>
        <v>4500</v>
      </c>
      <c r="I133" s="73">
        <f>SUMPRODUCT(-('Gastos Gerais'!$B$4:$B$615=Analítico!$B133),-(Analítico!I$3&gt;='Gastos Gerais'!$D$4:$D$615),-(Analítico!I$3&lt;='Gastos Gerais'!$E$4:$E$615),-('Gastos Gerais'!$C$4:$C$615))</f>
        <v>4500</v>
      </c>
      <c r="J133" s="73">
        <f>SUMPRODUCT(-('Gastos Gerais'!$B$4:$B$615=Analítico!$B133),-(Analítico!J$3&gt;='Gastos Gerais'!$D$4:$D$615),-(Analítico!J$3&lt;='Gastos Gerais'!$E$4:$E$615),-('Gastos Gerais'!$C$4:$C$615))</f>
        <v>4500</v>
      </c>
      <c r="K133" s="73">
        <f>SUMPRODUCT(-('Gastos Gerais'!$B$4:$B$615=Analítico!$B133),-(Analítico!K$3&gt;='Gastos Gerais'!$D$4:$D$615),-(Analítico!K$3&lt;='Gastos Gerais'!$E$4:$E$615),-('Gastos Gerais'!$C$4:$C$615))</f>
        <v>4500</v>
      </c>
      <c r="L133" s="73">
        <f>SUMPRODUCT(-('Gastos Gerais'!$B$4:$B$615=Analítico!$B133),-(Analítico!L$3&gt;='Gastos Gerais'!$D$4:$D$615),-(Analítico!L$3&lt;='Gastos Gerais'!$E$4:$E$615),-('Gastos Gerais'!$C$4:$C$615))</f>
        <v>4500</v>
      </c>
      <c r="M133" s="73">
        <f>SUMPRODUCT(-('Gastos Gerais'!$B$4:$B$615=Analítico!$B133),-(Analítico!M$3&gt;='Gastos Gerais'!$D$4:$D$615),-(Analítico!M$3&lt;='Gastos Gerais'!$E$4:$E$615),-('Gastos Gerais'!$C$4:$C$615))</f>
        <v>4500</v>
      </c>
      <c r="N133" s="73">
        <f>SUMPRODUCT(-('Gastos Gerais'!$B$4:$B$615=Analítico!$B133),-(Analítico!N$3&gt;='Gastos Gerais'!$D$4:$D$615),-(Analítico!N$3&lt;='Gastos Gerais'!$E$4:$E$615),-('Gastos Gerais'!$C$4:$C$615))</f>
        <v>4500</v>
      </c>
      <c r="O133" s="73">
        <f>SUMPRODUCT(-('Gastos Gerais'!$B$4:$B$615=Analítico!$B133),-(Analítico!O$3&gt;='Gastos Gerais'!$D$4:$D$615),-(Analítico!O$3&lt;='Gastos Gerais'!$E$4:$E$615),-('Gastos Gerais'!$C$4:$C$615))</f>
        <v>4500</v>
      </c>
      <c r="P133" s="73">
        <f>SUMPRODUCT(-('Gastos Gerais'!$B$4:$B$615=Analítico!$B133),-(Analítico!P$3&gt;='Gastos Gerais'!$D$4:$D$615),-(Analítico!P$3&lt;='Gastos Gerais'!$E$4:$E$615),-('Gastos Gerais'!$C$4:$C$615))</f>
        <v>4500</v>
      </c>
      <c r="Q133" s="73">
        <f>SUMPRODUCT(-('Gastos Gerais'!$B$4:$B$615=Analítico!$B133),-(Analítico!Q$3&gt;='Gastos Gerais'!$D$4:$D$615),-(Analítico!Q$3&lt;='Gastos Gerais'!$E$4:$E$615),-('Gastos Gerais'!$C$4:$C$615))</f>
        <v>4500</v>
      </c>
      <c r="R133" s="73">
        <f>SUMPRODUCT(-('Gastos Gerais'!$B$4:$B$615=Analítico!$B133),-(Analítico!R$3&gt;='Gastos Gerais'!$D$4:$D$615),-(Analítico!R$3&lt;='Gastos Gerais'!$E$4:$E$615),-('Gastos Gerais'!$C$4:$C$615))</f>
        <v>4500</v>
      </c>
      <c r="S133" s="73">
        <f>SUMPRODUCT(-('Gastos Gerais'!$B$4:$B$615=Analítico!$B133),-(Analítico!S$3&gt;='Gastos Gerais'!$D$4:$D$615),-(Analítico!S$3&lt;='Gastos Gerais'!$E$4:$E$615),-('Gastos Gerais'!$C$4:$C$615))</f>
        <v>4500</v>
      </c>
      <c r="T133" s="73">
        <f>SUMPRODUCT(-('Gastos Gerais'!$B$4:$B$615=Analítico!$B133),-(Analítico!T$3&gt;='Gastos Gerais'!$D$4:$D$615),-(Analítico!T$3&lt;='Gastos Gerais'!$E$4:$E$615),-('Gastos Gerais'!$C$4:$C$615))</f>
        <v>4500</v>
      </c>
      <c r="U133" s="73">
        <f>SUMPRODUCT(-('Gastos Gerais'!$B$4:$B$615=Analítico!$B133),-(Analítico!U$3&gt;='Gastos Gerais'!$D$4:$D$615),-(Analítico!U$3&lt;='Gastos Gerais'!$E$4:$E$615),-('Gastos Gerais'!$C$4:$C$615))</f>
        <v>4500</v>
      </c>
      <c r="V133" s="73">
        <f>SUMPRODUCT(-('Gastos Gerais'!$B$4:$B$615=Analítico!$B133),-(Analítico!V$3&gt;='Gastos Gerais'!$D$4:$D$615),-(Analítico!V$3&lt;='Gastos Gerais'!$E$4:$E$615),-('Gastos Gerais'!$C$4:$C$615))</f>
        <v>4500</v>
      </c>
      <c r="W133" s="73">
        <f>SUMPRODUCT(-('Gastos Gerais'!$B$4:$B$615=Analítico!$B133),-(Analítico!W$3&gt;='Gastos Gerais'!$D$4:$D$615),-(Analítico!W$3&lt;='Gastos Gerais'!$E$4:$E$615),-('Gastos Gerais'!$C$4:$C$615))</f>
        <v>4500</v>
      </c>
      <c r="X133" s="73">
        <f>SUMPRODUCT(-('Gastos Gerais'!$B$4:$B$615=Analítico!$B133),-(Analítico!X$3&gt;='Gastos Gerais'!$D$4:$D$615),-(Analítico!X$3&lt;='Gastos Gerais'!$E$4:$E$615),-('Gastos Gerais'!$C$4:$C$615))</f>
        <v>4500</v>
      </c>
      <c r="Y133" s="73">
        <f>SUMPRODUCT(-('Gastos Gerais'!$B$4:$B$615=Analítico!$B133),-(Analítico!Y$3&gt;='Gastos Gerais'!$D$4:$D$615),-(Analítico!Y$3&lt;='Gastos Gerais'!$E$4:$E$615),-('Gastos Gerais'!$C$4:$C$615))</f>
        <v>4500</v>
      </c>
      <c r="Z133" s="73">
        <f>SUMPRODUCT(-('Gastos Gerais'!$B$4:$B$615=Analítico!$B133),-(Analítico!Z$3&gt;='Gastos Gerais'!$D$4:$D$615),-(Analítico!Z$3&lt;='Gastos Gerais'!$E$4:$E$615),-('Gastos Gerais'!$C$4:$C$615))</f>
        <v>4500</v>
      </c>
      <c r="AA133" s="73">
        <f>SUMPRODUCT(-('Gastos Gerais'!$B$4:$B$615=Analítico!$B133),-(Analítico!AA$3&gt;='Gastos Gerais'!$D$4:$D$615),-(Analítico!AA$3&lt;='Gastos Gerais'!$E$4:$E$615),-('Gastos Gerais'!$C$4:$C$615))</f>
        <v>4500</v>
      </c>
      <c r="AB133" s="73">
        <f>SUMPRODUCT(-('Gastos Gerais'!$B$4:$B$615=Analítico!$B133),-(Analítico!AB$3&gt;='Gastos Gerais'!$D$4:$D$615),-(Analítico!AB$3&lt;='Gastos Gerais'!$E$4:$E$615),-('Gastos Gerais'!$C$4:$C$615))</f>
        <v>4500</v>
      </c>
      <c r="AC133" s="73">
        <f>SUMPRODUCT(-('Gastos Gerais'!$B$4:$B$615=Analítico!$B133),-(Analítico!AC$3&gt;='Gastos Gerais'!$D$4:$D$615),-(Analítico!AC$3&lt;='Gastos Gerais'!$E$4:$E$615),-('Gastos Gerais'!$C$4:$C$615))</f>
        <v>4500</v>
      </c>
      <c r="AD133" s="73">
        <f>SUMPRODUCT(-('Gastos Gerais'!$B$4:$B$615=Analítico!$B133),-(Analítico!AD$3&gt;='Gastos Gerais'!$D$4:$D$615),-(Analítico!AD$3&lt;='Gastos Gerais'!$E$4:$E$615),-('Gastos Gerais'!$C$4:$C$615))</f>
        <v>4500</v>
      </c>
      <c r="AE133" s="73">
        <f>SUMPRODUCT(-('Gastos Gerais'!$B$4:$B$615=Analítico!$B133),-(Analítico!AE$3&gt;='Gastos Gerais'!$D$4:$D$615),-(Analítico!AE$3&lt;='Gastos Gerais'!$E$4:$E$615),-('Gastos Gerais'!$C$4:$C$615))</f>
        <v>4500</v>
      </c>
      <c r="AF133" s="73">
        <f>SUMPRODUCT(-('Gastos Gerais'!$B$4:$B$615=Analítico!$B133),-(Analítico!AF$3&gt;='Gastos Gerais'!$D$4:$D$615),-(Analítico!AF$3&lt;='Gastos Gerais'!$E$4:$E$615),-('Gastos Gerais'!$C$4:$C$615))</f>
        <v>4500</v>
      </c>
      <c r="AG133" s="73">
        <f>SUMPRODUCT(-('Gastos Gerais'!$B$4:$B$615=Analítico!$B133),-(Analítico!AG$3&gt;='Gastos Gerais'!$D$4:$D$615),-(Analítico!AG$3&lt;='Gastos Gerais'!$E$4:$E$615),-('Gastos Gerais'!$C$4:$C$615))</f>
        <v>4500</v>
      </c>
      <c r="AH133" s="73">
        <f>SUMPRODUCT(-('Gastos Gerais'!$B$4:$B$615=Analítico!$B133),-(Analítico!AH$3&gt;='Gastos Gerais'!$D$4:$D$615),-(Analítico!AH$3&lt;='Gastos Gerais'!$E$4:$E$615),-('Gastos Gerais'!$C$4:$C$615))</f>
        <v>4500</v>
      </c>
      <c r="AI133" s="73">
        <f>SUMPRODUCT(-('Gastos Gerais'!$B$4:$B$615=Analítico!$B133),-(Analítico!AI$3&gt;='Gastos Gerais'!$D$4:$D$615),-(Analítico!AI$3&lt;='Gastos Gerais'!$E$4:$E$615),-('Gastos Gerais'!$C$4:$C$615))</f>
        <v>4500</v>
      </c>
      <c r="AJ133" s="73">
        <f>SUMPRODUCT(-('Gastos Gerais'!$B$4:$B$615=Analítico!$B133),-(Analítico!AJ$3&gt;='Gastos Gerais'!$D$4:$D$615),-(Analítico!AJ$3&lt;='Gastos Gerais'!$E$4:$E$615),-('Gastos Gerais'!$C$4:$C$615))</f>
        <v>4500</v>
      </c>
      <c r="AK133" s="73">
        <f>SUMPRODUCT(-('Gastos Gerais'!$B$4:$B$615=Analítico!$B133),-(Analítico!AK$3&gt;='Gastos Gerais'!$D$4:$D$615),-(Analítico!AK$3&lt;='Gastos Gerais'!$E$4:$E$615),-('Gastos Gerais'!$C$4:$C$615))</f>
        <v>4500</v>
      </c>
      <c r="AL133" s="73">
        <f>SUMPRODUCT(-('Gastos Gerais'!$B$4:$B$615=Analítico!$B133),-(Analítico!AL$3&gt;='Gastos Gerais'!$D$4:$D$615),-(Analítico!AL$3&lt;='Gastos Gerais'!$E$4:$E$615),-('Gastos Gerais'!$C$4:$C$615))</f>
        <v>4500</v>
      </c>
      <c r="AM133" s="73">
        <f>SUMPRODUCT(-('Gastos Gerais'!$B$4:$B$615=Analítico!$B133),-(Analítico!AM$3&gt;='Gastos Gerais'!$D$4:$D$615),-(Analítico!AM$3&lt;='Gastos Gerais'!$E$4:$E$615),-('Gastos Gerais'!$C$4:$C$615))</f>
        <v>0</v>
      </c>
      <c r="AN133" s="73">
        <f>SUMPRODUCT(-('Gastos Gerais'!$B$4:$B$615=Analítico!$B133),-(Analítico!AN$3&gt;='Gastos Gerais'!$D$4:$D$615),-(Analítico!AN$3&lt;='Gastos Gerais'!$E$4:$E$615),-('Gastos Gerais'!$C$4:$C$615))</f>
        <v>0</v>
      </c>
      <c r="AO133" s="73">
        <f>SUMPRODUCT(-('Gastos Gerais'!$B$4:$B$615=Analítico!$B133),-(Analítico!AO$3&gt;='Gastos Gerais'!$D$4:$D$615),-(Analítico!AO$3&lt;='Gastos Gerais'!$E$4:$E$615),-('Gastos Gerais'!$C$4:$C$615))</f>
        <v>0</v>
      </c>
      <c r="AP133" s="73">
        <f>SUMPRODUCT(-('Gastos Gerais'!$B$4:$B$615=Analítico!$B133),-(Analítico!AP$3&gt;='Gastos Gerais'!$D$4:$D$615),-(Analítico!AP$3&lt;='Gastos Gerais'!$E$4:$E$615),-('Gastos Gerais'!$C$4:$C$615))</f>
        <v>0</v>
      </c>
      <c r="AQ133" s="73">
        <f>SUMPRODUCT(-('Gastos Gerais'!$B$4:$B$615=Analítico!$B133),-(Analítico!AQ$3&gt;='Gastos Gerais'!$D$4:$D$615),-(Analítico!AQ$3&lt;='Gastos Gerais'!$E$4:$E$615),-('Gastos Gerais'!$C$4:$C$615))</f>
        <v>0</v>
      </c>
      <c r="AR133" s="73">
        <f>SUMPRODUCT(-('Gastos Gerais'!$B$4:$B$615=Analítico!$B133),-(Analítico!AR$3&gt;='Gastos Gerais'!$D$4:$D$615),-(Analítico!AR$3&lt;='Gastos Gerais'!$E$4:$E$615),-('Gastos Gerais'!$C$4:$C$615))</f>
        <v>0</v>
      </c>
      <c r="AS133" s="73">
        <f>SUMPRODUCT(-('Gastos Gerais'!$B$4:$B$615=Analítico!$B133),-(Analítico!AS$3&gt;='Gastos Gerais'!$D$4:$D$615),-(Analítico!AS$3&lt;='Gastos Gerais'!$E$4:$E$615),-('Gastos Gerais'!$C$4:$C$615))</f>
        <v>0</v>
      </c>
      <c r="AT133" s="73">
        <f>SUMPRODUCT(-('Gastos Gerais'!$B$4:$B$615=Analítico!$B133),-(Analítico!AT$3&gt;='Gastos Gerais'!$D$4:$D$615),-(Analítico!AT$3&lt;='Gastos Gerais'!$E$4:$E$615),-('Gastos Gerais'!$C$4:$C$615))</f>
        <v>0</v>
      </c>
      <c r="AU133" s="73">
        <f>SUMPRODUCT(-('Gastos Gerais'!$B$4:$B$615=Analítico!$B133),-(Analítico!AU$3&gt;='Gastos Gerais'!$D$4:$D$615),-(Analítico!AU$3&lt;='Gastos Gerais'!$E$4:$E$615),-('Gastos Gerais'!$C$4:$C$615))</f>
        <v>0</v>
      </c>
      <c r="AV133" s="73">
        <f>SUMPRODUCT(-('Gastos Gerais'!$B$4:$B$615=Analítico!$B133),-(Analítico!AV$3&gt;='Gastos Gerais'!$D$4:$D$615),-(Analítico!AV$3&lt;='Gastos Gerais'!$E$4:$E$615),-('Gastos Gerais'!$C$4:$C$615))</f>
        <v>0</v>
      </c>
      <c r="AW133" s="73">
        <f>SUMPRODUCT(-('Gastos Gerais'!$B$4:$B$615=Analítico!$B133),-(Analítico!AW$3&gt;='Gastos Gerais'!$D$4:$D$615),-(Analítico!AW$3&lt;='Gastos Gerais'!$E$4:$E$615),-('Gastos Gerais'!$C$4:$C$615))</f>
        <v>0</v>
      </c>
      <c r="AX133" s="73">
        <f>SUMPRODUCT(-('Gastos Gerais'!$B$4:$B$615=Analítico!$B133),-(Analítico!AX$3&gt;='Gastos Gerais'!$D$4:$D$615),-(Analítico!AX$3&lt;='Gastos Gerais'!$E$4:$E$615),-('Gastos Gerais'!$C$4:$C$615))</f>
        <v>0</v>
      </c>
      <c r="AY133" s="73">
        <f>SUMPRODUCT(-('Gastos Gerais'!$B$4:$B$615=Analítico!$B133),-(Analítico!AY$3&gt;='Gastos Gerais'!$D$4:$D$615),-(Analítico!AY$3&lt;='Gastos Gerais'!$E$4:$E$615),-('Gastos Gerais'!$C$4:$C$615))</f>
        <v>0</v>
      </c>
      <c r="AZ133" s="73">
        <f>SUMPRODUCT(-('Gastos Gerais'!$B$4:$B$615=Analítico!$B133),-(Analítico!AZ$3&gt;='Gastos Gerais'!$D$4:$D$615),-(Analítico!AZ$3&lt;='Gastos Gerais'!$E$4:$E$615),-('Gastos Gerais'!$C$4:$C$615))</f>
        <v>0</v>
      </c>
      <c r="BA133" s="73">
        <f>SUMPRODUCT(-('Gastos Gerais'!$B$4:$B$615=Analítico!$B133),-(Analítico!BA$3&gt;='Gastos Gerais'!$D$4:$D$615),-(Analítico!BA$3&lt;='Gastos Gerais'!$E$4:$E$615),-('Gastos Gerais'!$C$4:$C$615))</f>
        <v>0</v>
      </c>
      <c r="BB133" s="73">
        <f>SUMPRODUCT(-('Gastos Gerais'!$B$4:$B$615=Analítico!$B133),-(Analítico!BB$3&gt;='Gastos Gerais'!$D$4:$D$615),-(Analítico!BB$3&lt;='Gastos Gerais'!$E$4:$E$615),-('Gastos Gerais'!$C$4:$C$615))</f>
        <v>0</v>
      </c>
      <c r="BC133" s="73">
        <f>SUMPRODUCT(-('Gastos Gerais'!$B$4:$B$615=Analítico!$B133),-(Analítico!BC$3&gt;='Gastos Gerais'!$D$4:$D$615),-(Analítico!BC$3&lt;='Gastos Gerais'!$E$4:$E$615),-('Gastos Gerais'!$C$4:$C$615))</f>
        <v>0</v>
      </c>
      <c r="BD133" s="73">
        <f>SUMPRODUCT(-('Gastos Gerais'!$B$4:$B$615=Analítico!$B133),-(Analítico!BD$3&gt;='Gastos Gerais'!$D$4:$D$615),-(Analítico!BD$3&lt;='Gastos Gerais'!$E$4:$E$615),-('Gastos Gerais'!$C$4:$C$615))</f>
        <v>0</v>
      </c>
      <c r="BE133" s="73">
        <f>SUMPRODUCT(-('Gastos Gerais'!$B$4:$B$615=Analítico!$B133),-(Analítico!BE$3&gt;='Gastos Gerais'!$D$4:$D$615),-(Analítico!BE$3&lt;='Gastos Gerais'!$E$4:$E$615),-('Gastos Gerais'!$C$4:$C$615))</f>
        <v>0</v>
      </c>
      <c r="BF133" s="73">
        <f>SUMPRODUCT(-('Gastos Gerais'!$B$4:$B$615=Analítico!$B133),-(Analítico!BF$3&gt;='Gastos Gerais'!$D$4:$D$615),-(Analítico!BF$3&lt;='Gastos Gerais'!$E$4:$E$615),-('Gastos Gerais'!$C$4:$C$615))</f>
        <v>0</v>
      </c>
      <c r="BG133" s="73">
        <f>SUMPRODUCT(-('Gastos Gerais'!$B$4:$B$615=Analítico!$B133),-(Analítico!BG$3&gt;='Gastos Gerais'!$D$4:$D$615),-(Analítico!BG$3&lt;='Gastos Gerais'!$E$4:$E$615),-('Gastos Gerais'!$C$4:$C$615))</f>
        <v>0</v>
      </c>
      <c r="BH133" s="73">
        <f>SUMPRODUCT(-('Gastos Gerais'!$B$4:$B$615=Analítico!$B133),-(Analítico!BH$3&gt;='Gastos Gerais'!$D$4:$D$615),-(Analítico!BH$3&lt;='Gastos Gerais'!$E$4:$E$615),-('Gastos Gerais'!$C$4:$C$615))</f>
        <v>0</v>
      </c>
      <c r="BI133" s="73">
        <f>SUMPRODUCT(-('Gastos Gerais'!$B$4:$B$615=Analítico!$B133),-(Analítico!BI$3&gt;='Gastos Gerais'!$D$4:$D$615),-(Analítico!BI$3&lt;='Gastos Gerais'!$E$4:$E$615),-('Gastos Gerais'!$C$4:$C$615))</f>
        <v>0</v>
      </c>
      <c r="BJ133" s="73">
        <f>SUMPRODUCT(-('Gastos Gerais'!$B$4:$B$615=Analítico!$B133),-(Analítico!BJ$3&gt;='Gastos Gerais'!$D$4:$D$615),-(Analítico!BJ$3&lt;='Gastos Gerais'!$E$4:$E$615),-('Gastos Gerais'!$C$4:$C$615))</f>
        <v>0</v>
      </c>
      <c r="BK133" s="71">
        <f t="shared" si="35"/>
        <v>162000</v>
      </c>
      <c r="BL133" s="76">
        <f t="shared" ca="1" si="36"/>
        <v>4.4187094491889847E-4</v>
      </c>
    </row>
    <row r="134" spans="1:64" s="49" customFormat="1" ht="23.25" customHeight="1" x14ac:dyDescent="0.2">
      <c r="A134" s="109" t="s">
        <v>336</v>
      </c>
      <c r="B134" s="112" t="s">
        <v>337</v>
      </c>
      <c r="C134" s="73">
        <f>SUMPRODUCT(-('Gastos Gerais'!$B$4:$B$615=Analítico!$B134),-(Analítico!C$3&gt;='Gastos Gerais'!$D$4:$D$615),-(Analítico!C$3&lt;='Gastos Gerais'!$E$4:$E$615),-('Gastos Gerais'!$C$4:$C$615))</f>
        <v>20400</v>
      </c>
      <c r="D134" s="73">
        <f>SUMPRODUCT(-('Gastos Gerais'!$B$4:$B$615=Analítico!$B134),-(Analítico!D$3&gt;='Gastos Gerais'!$D$4:$D$615),-(Analítico!D$3&lt;='Gastos Gerais'!$E$4:$E$615),-('Gastos Gerais'!$C$4:$C$615))</f>
        <v>20400</v>
      </c>
      <c r="E134" s="73">
        <f>SUMPRODUCT(-('Gastos Gerais'!$B$4:$B$615=Analítico!$B134),-(Analítico!E$3&gt;='Gastos Gerais'!$D$4:$D$615),-(Analítico!E$3&lt;='Gastos Gerais'!$E$4:$E$615),-('Gastos Gerais'!$C$4:$C$615))</f>
        <v>20400</v>
      </c>
      <c r="F134" s="73">
        <f>SUMPRODUCT(-('Gastos Gerais'!$B$4:$B$615=Analítico!$B134),-(Analítico!F$3&gt;='Gastos Gerais'!$D$4:$D$615),-(Analítico!F$3&lt;='Gastos Gerais'!$E$4:$E$615),-('Gastos Gerais'!$C$4:$C$615))</f>
        <v>20400</v>
      </c>
      <c r="G134" s="73">
        <f>SUMPRODUCT(-('Gastos Gerais'!$B$4:$B$615=Analítico!$B134),-(Analítico!G$3&gt;='Gastos Gerais'!$D$4:$D$615),-(Analítico!G$3&lt;='Gastos Gerais'!$E$4:$E$615),-('Gastos Gerais'!$C$4:$C$615))</f>
        <v>20400</v>
      </c>
      <c r="H134" s="73">
        <f>SUMPRODUCT(-('Gastos Gerais'!$B$4:$B$615=Analítico!$B134),-(Analítico!H$3&gt;='Gastos Gerais'!$D$4:$D$615),-(Analítico!H$3&lt;='Gastos Gerais'!$E$4:$E$615),-('Gastos Gerais'!$C$4:$C$615))</f>
        <v>20400</v>
      </c>
      <c r="I134" s="73">
        <f>SUMPRODUCT(-('Gastos Gerais'!$B$4:$B$615=Analítico!$B134),-(Analítico!I$3&gt;='Gastos Gerais'!$D$4:$D$615),-(Analítico!I$3&lt;='Gastos Gerais'!$E$4:$E$615),-('Gastos Gerais'!$C$4:$C$615))</f>
        <v>20400</v>
      </c>
      <c r="J134" s="73">
        <f>SUMPRODUCT(-('Gastos Gerais'!$B$4:$B$615=Analítico!$B134),-(Analítico!J$3&gt;='Gastos Gerais'!$D$4:$D$615),-(Analítico!J$3&lt;='Gastos Gerais'!$E$4:$E$615),-('Gastos Gerais'!$C$4:$C$615))</f>
        <v>20400</v>
      </c>
      <c r="K134" s="73">
        <f>SUMPRODUCT(-('Gastos Gerais'!$B$4:$B$615=Analítico!$B134),-(Analítico!K$3&gt;='Gastos Gerais'!$D$4:$D$615),-(Analítico!K$3&lt;='Gastos Gerais'!$E$4:$E$615),-('Gastos Gerais'!$C$4:$C$615))</f>
        <v>20400</v>
      </c>
      <c r="L134" s="73">
        <f>SUMPRODUCT(-('Gastos Gerais'!$B$4:$B$615=Analítico!$B134),-(Analítico!L$3&gt;='Gastos Gerais'!$D$4:$D$615),-(Analítico!L$3&lt;='Gastos Gerais'!$E$4:$E$615),-('Gastos Gerais'!$C$4:$C$615))</f>
        <v>20400</v>
      </c>
      <c r="M134" s="73">
        <f>SUMPRODUCT(-('Gastos Gerais'!$B$4:$B$615=Analítico!$B134),-(Analítico!M$3&gt;='Gastos Gerais'!$D$4:$D$615),-(Analítico!M$3&lt;='Gastos Gerais'!$E$4:$E$615),-('Gastos Gerais'!$C$4:$C$615))</f>
        <v>20400</v>
      </c>
      <c r="N134" s="73">
        <f>SUMPRODUCT(-('Gastos Gerais'!$B$4:$B$615=Analítico!$B134),-(Analítico!N$3&gt;='Gastos Gerais'!$D$4:$D$615),-(Analítico!N$3&lt;='Gastos Gerais'!$E$4:$E$615),-('Gastos Gerais'!$C$4:$C$615))</f>
        <v>20400</v>
      </c>
      <c r="O134" s="73">
        <f>SUMPRODUCT(-('Gastos Gerais'!$B$4:$B$615=Analítico!$B134),-(Analítico!O$3&gt;='Gastos Gerais'!$D$4:$D$615),-(Analítico!O$3&lt;='Gastos Gerais'!$E$4:$E$615),-('Gastos Gerais'!$C$4:$C$615))</f>
        <v>20400</v>
      </c>
      <c r="P134" s="73">
        <f>SUMPRODUCT(-('Gastos Gerais'!$B$4:$B$615=Analítico!$B134),-(Analítico!P$3&gt;='Gastos Gerais'!$D$4:$D$615),-(Analítico!P$3&lt;='Gastos Gerais'!$E$4:$E$615),-('Gastos Gerais'!$C$4:$C$615))</f>
        <v>20400</v>
      </c>
      <c r="Q134" s="73">
        <f>SUMPRODUCT(-('Gastos Gerais'!$B$4:$B$615=Analítico!$B134),-(Analítico!Q$3&gt;='Gastos Gerais'!$D$4:$D$615),-(Analítico!Q$3&lt;='Gastos Gerais'!$E$4:$E$615),-('Gastos Gerais'!$C$4:$C$615))</f>
        <v>20400</v>
      </c>
      <c r="R134" s="73">
        <f>SUMPRODUCT(-('Gastos Gerais'!$B$4:$B$615=Analítico!$B134),-(Analítico!R$3&gt;='Gastos Gerais'!$D$4:$D$615),-(Analítico!R$3&lt;='Gastos Gerais'!$E$4:$E$615),-('Gastos Gerais'!$C$4:$C$615))</f>
        <v>20400</v>
      </c>
      <c r="S134" s="73">
        <f>SUMPRODUCT(-('Gastos Gerais'!$B$4:$B$615=Analítico!$B134),-(Analítico!S$3&gt;='Gastos Gerais'!$D$4:$D$615),-(Analítico!S$3&lt;='Gastos Gerais'!$E$4:$E$615),-('Gastos Gerais'!$C$4:$C$615))</f>
        <v>20400</v>
      </c>
      <c r="T134" s="73">
        <f>SUMPRODUCT(-('Gastos Gerais'!$B$4:$B$615=Analítico!$B134),-(Analítico!T$3&gt;='Gastos Gerais'!$D$4:$D$615),-(Analítico!T$3&lt;='Gastos Gerais'!$E$4:$E$615),-('Gastos Gerais'!$C$4:$C$615))</f>
        <v>20400</v>
      </c>
      <c r="U134" s="73">
        <f>SUMPRODUCT(-('Gastos Gerais'!$B$4:$B$615=Analítico!$B134),-(Analítico!U$3&gt;='Gastos Gerais'!$D$4:$D$615),-(Analítico!U$3&lt;='Gastos Gerais'!$E$4:$E$615),-('Gastos Gerais'!$C$4:$C$615))</f>
        <v>20400</v>
      </c>
      <c r="V134" s="73">
        <f>SUMPRODUCT(-('Gastos Gerais'!$B$4:$B$615=Analítico!$B134),-(Analítico!V$3&gt;='Gastos Gerais'!$D$4:$D$615),-(Analítico!V$3&lt;='Gastos Gerais'!$E$4:$E$615),-('Gastos Gerais'!$C$4:$C$615))</f>
        <v>20400</v>
      </c>
      <c r="W134" s="73">
        <f>SUMPRODUCT(-('Gastos Gerais'!$B$4:$B$615=Analítico!$B134),-(Analítico!W$3&gt;='Gastos Gerais'!$D$4:$D$615),-(Analítico!W$3&lt;='Gastos Gerais'!$E$4:$E$615),-('Gastos Gerais'!$C$4:$C$615))</f>
        <v>20400</v>
      </c>
      <c r="X134" s="73">
        <f>SUMPRODUCT(-('Gastos Gerais'!$B$4:$B$615=Analítico!$B134),-(Analítico!X$3&gt;='Gastos Gerais'!$D$4:$D$615),-(Analítico!X$3&lt;='Gastos Gerais'!$E$4:$E$615),-('Gastos Gerais'!$C$4:$C$615))</f>
        <v>20400</v>
      </c>
      <c r="Y134" s="73">
        <f>SUMPRODUCT(-('Gastos Gerais'!$B$4:$B$615=Analítico!$B134),-(Analítico!Y$3&gt;='Gastos Gerais'!$D$4:$D$615),-(Analítico!Y$3&lt;='Gastos Gerais'!$E$4:$E$615),-('Gastos Gerais'!$C$4:$C$615))</f>
        <v>20400</v>
      </c>
      <c r="Z134" s="73">
        <f>SUMPRODUCT(-('Gastos Gerais'!$B$4:$B$615=Analítico!$B134),-(Analítico!Z$3&gt;='Gastos Gerais'!$D$4:$D$615),-(Analítico!Z$3&lt;='Gastos Gerais'!$E$4:$E$615),-('Gastos Gerais'!$C$4:$C$615))</f>
        <v>20400</v>
      </c>
      <c r="AA134" s="73">
        <f>SUMPRODUCT(-('Gastos Gerais'!$B$4:$B$615=Analítico!$B134),-(Analítico!AA$3&gt;='Gastos Gerais'!$D$4:$D$615),-(Analítico!AA$3&lt;='Gastos Gerais'!$E$4:$E$615),-('Gastos Gerais'!$C$4:$C$615))</f>
        <v>20400</v>
      </c>
      <c r="AB134" s="73">
        <f>SUMPRODUCT(-('Gastos Gerais'!$B$4:$B$615=Analítico!$B134),-(Analítico!AB$3&gt;='Gastos Gerais'!$D$4:$D$615),-(Analítico!AB$3&lt;='Gastos Gerais'!$E$4:$E$615),-('Gastos Gerais'!$C$4:$C$615))</f>
        <v>20400</v>
      </c>
      <c r="AC134" s="73">
        <f>SUMPRODUCT(-('Gastos Gerais'!$B$4:$B$615=Analítico!$B134),-(Analítico!AC$3&gt;='Gastos Gerais'!$D$4:$D$615),-(Analítico!AC$3&lt;='Gastos Gerais'!$E$4:$E$615),-('Gastos Gerais'!$C$4:$C$615))</f>
        <v>20400</v>
      </c>
      <c r="AD134" s="73">
        <f>SUMPRODUCT(-('Gastos Gerais'!$B$4:$B$615=Analítico!$B134),-(Analítico!AD$3&gt;='Gastos Gerais'!$D$4:$D$615),-(Analítico!AD$3&lt;='Gastos Gerais'!$E$4:$E$615),-('Gastos Gerais'!$C$4:$C$615))</f>
        <v>20400</v>
      </c>
      <c r="AE134" s="73">
        <f>SUMPRODUCT(-('Gastos Gerais'!$B$4:$B$615=Analítico!$B134),-(Analítico!AE$3&gt;='Gastos Gerais'!$D$4:$D$615),-(Analítico!AE$3&lt;='Gastos Gerais'!$E$4:$E$615),-('Gastos Gerais'!$C$4:$C$615))</f>
        <v>20400</v>
      </c>
      <c r="AF134" s="73">
        <f>SUMPRODUCT(-('Gastos Gerais'!$B$4:$B$615=Analítico!$B134),-(Analítico!AF$3&gt;='Gastos Gerais'!$D$4:$D$615),-(Analítico!AF$3&lt;='Gastos Gerais'!$E$4:$E$615),-('Gastos Gerais'!$C$4:$C$615))</f>
        <v>20400</v>
      </c>
      <c r="AG134" s="73">
        <f>SUMPRODUCT(-('Gastos Gerais'!$B$4:$B$615=Analítico!$B134),-(Analítico!AG$3&gt;='Gastos Gerais'!$D$4:$D$615),-(Analítico!AG$3&lt;='Gastos Gerais'!$E$4:$E$615),-('Gastos Gerais'!$C$4:$C$615))</f>
        <v>20400</v>
      </c>
      <c r="AH134" s="73">
        <f>SUMPRODUCT(-('Gastos Gerais'!$B$4:$B$615=Analítico!$B134),-(Analítico!AH$3&gt;='Gastos Gerais'!$D$4:$D$615),-(Analítico!AH$3&lt;='Gastos Gerais'!$E$4:$E$615),-('Gastos Gerais'!$C$4:$C$615))</f>
        <v>20400</v>
      </c>
      <c r="AI134" s="73">
        <f>SUMPRODUCT(-('Gastos Gerais'!$B$4:$B$615=Analítico!$B134),-(Analítico!AI$3&gt;='Gastos Gerais'!$D$4:$D$615),-(Analítico!AI$3&lt;='Gastos Gerais'!$E$4:$E$615),-('Gastos Gerais'!$C$4:$C$615))</f>
        <v>20400</v>
      </c>
      <c r="AJ134" s="73">
        <f>SUMPRODUCT(-('Gastos Gerais'!$B$4:$B$615=Analítico!$B134),-(Analítico!AJ$3&gt;='Gastos Gerais'!$D$4:$D$615),-(Analítico!AJ$3&lt;='Gastos Gerais'!$E$4:$E$615),-('Gastos Gerais'!$C$4:$C$615))</f>
        <v>20400</v>
      </c>
      <c r="AK134" s="73">
        <f>SUMPRODUCT(-('Gastos Gerais'!$B$4:$B$615=Analítico!$B134),-(Analítico!AK$3&gt;='Gastos Gerais'!$D$4:$D$615),-(Analítico!AK$3&lt;='Gastos Gerais'!$E$4:$E$615),-('Gastos Gerais'!$C$4:$C$615))</f>
        <v>20400</v>
      </c>
      <c r="AL134" s="73">
        <f>SUMPRODUCT(-('Gastos Gerais'!$B$4:$B$615=Analítico!$B134),-(Analítico!AL$3&gt;='Gastos Gerais'!$D$4:$D$615),-(Analítico!AL$3&lt;='Gastos Gerais'!$E$4:$E$615),-('Gastos Gerais'!$C$4:$C$615))</f>
        <v>20400</v>
      </c>
      <c r="AM134" s="73">
        <f>SUMPRODUCT(-('Gastos Gerais'!$B$4:$B$615=Analítico!$B134),-(Analítico!AM$3&gt;='Gastos Gerais'!$D$4:$D$615),-(Analítico!AM$3&lt;='Gastos Gerais'!$E$4:$E$615),-('Gastos Gerais'!$C$4:$C$615))</f>
        <v>0</v>
      </c>
      <c r="AN134" s="73">
        <f>SUMPRODUCT(-('Gastos Gerais'!$B$4:$B$615=Analítico!$B134),-(Analítico!AN$3&gt;='Gastos Gerais'!$D$4:$D$615),-(Analítico!AN$3&lt;='Gastos Gerais'!$E$4:$E$615),-('Gastos Gerais'!$C$4:$C$615))</f>
        <v>0</v>
      </c>
      <c r="AO134" s="73">
        <f>SUMPRODUCT(-('Gastos Gerais'!$B$4:$B$615=Analítico!$B134),-(Analítico!AO$3&gt;='Gastos Gerais'!$D$4:$D$615),-(Analítico!AO$3&lt;='Gastos Gerais'!$E$4:$E$615),-('Gastos Gerais'!$C$4:$C$615))</f>
        <v>0</v>
      </c>
      <c r="AP134" s="73">
        <f>SUMPRODUCT(-('Gastos Gerais'!$B$4:$B$615=Analítico!$B134),-(Analítico!AP$3&gt;='Gastos Gerais'!$D$4:$D$615),-(Analítico!AP$3&lt;='Gastos Gerais'!$E$4:$E$615),-('Gastos Gerais'!$C$4:$C$615))</f>
        <v>0</v>
      </c>
      <c r="AQ134" s="73">
        <f>SUMPRODUCT(-('Gastos Gerais'!$B$4:$B$615=Analítico!$B134),-(Analítico!AQ$3&gt;='Gastos Gerais'!$D$4:$D$615),-(Analítico!AQ$3&lt;='Gastos Gerais'!$E$4:$E$615),-('Gastos Gerais'!$C$4:$C$615))</f>
        <v>0</v>
      </c>
      <c r="AR134" s="73">
        <f>SUMPRODUCT(-('Gastos Gerais'!$B$4:$B$615=Analítico!$B134),-(Analítico!AR$3&gt;='Gastos Gerais'!$D$4:$D$615),-(Analítico!AR$3&lt;='Gastos Gerais'!$E$4:$E$615),-('Gastos Gerais'!$C$4:$C$615))</f>
        <v>0</v>
      </c>
      <c r="AS134" s="73">
        <f>SUMPRODUCT(-('Gastos Gerais'!$B$4:$B$615=Analítico!$B134),-(Analítico!AS$3&gt;='Gastos Gerais'!$D$4:$D$615),-(Analítico!AS$3&lt;='Gastos Gerais'!$E$4:$E$615),-('Gastos Gerais'!$C$4:$C$615))</f>
        <v>0</v>
      </c>
      <c r="AT134" s="73">
        <f>SUMPRODUCT(-('Gastos Gerais'!$B$4:$B$615=Analítico!$B134),-(Analítico!AT$3&gt;='Gastos Gerais'!$D$4:$D$615),-(Analítico!AT$3&lt;='Gastos Gerais'!$E$4:$E$615),-('Gastos Gerais'!$C$4:$C$615))</f>
        <v>0</v>
      </c>
      <c r="AU134" s="73">
        <f>SUMPRODUCT(-('Gastos Gerais'!$B$4:$B$615=Analítico!$B134),-(Analítico!AU$3&gt;='Gastos Gerais'!$D$4:$D$615),-(Analítico!AU$3&lt;='Gastos Gerais'!$E$4:$E$615),-('Gastos Gerais'!$C$4:$C$615))</f>
        <v>0</v>
      </c>
      <c r="AV134" s="73">
        <f>SUMPRODUCT(-('Gastos Gerais'!$B$4:$B$615=Analítico!$B134),-(Analítico!AV$3&gt;='Gastos Gerais'!$D$4:$D$615),-(Analítico!AV$3&lt;='Gastos Gerais'!$E$4:$E$615),-('Gastos Gerais'!$C$4:$C$615))</f>
        <v>0</v>
      </c>
      <c r="AW134" s="73">
        <f>SUMPRODUCT(-('Gastos Gerais'!$B$4:$B$615=Analítico!$B134),-(Analítico!AW$3&gt;='Gastos Gerais'!$D$4:$D$615),-(Analítico!AW$3&lt;='Gastos Gerais'!$E$4:$E$615),-('Gastos Gerais'!$C$4:$C$615))</f>
        <v>0</v>
      </c>
      <c r="AX134" s="73">
        <f>SUMPRODUCT(-('Gastos Gerais'!$B$4:$B$615=Analítico!$B134),-(Analítico!AX$3&gt;='Gastos Gerais'!$D$4:$D$615),-(Analítico!AX$3&lt;='Gastos Gerais'!$E$4:$E$615),-('Gastos Gerais'!$C$4:$C$615))</f>
        <v>0</v>
      </c>
      <c r="AY134" s="73">
        <f>SUMPRODUCT(-('Gastos Gerais'!$B$4:$B$615=Analítico!$B134),-(Analítico!AY$3&gt;='Gastos Gerais'!$D$4:$D$615),-(Analítico!AY$3&lt;='Gastos Gerais'!$E$4:$E$615),-('Gastos Gerais'!$C$4:$C$615))</f>
        <v>0</v>
      </c>
      <c r="AZ134" s="73">
        <f>SUMPRODUCT(-('Gastos Gerais'!$B$4:$B$615=Analítico!$B134),-(Analítico!AZ$3&gt;='Gastos Gerais'!$D$4:$D$615),-(Analítico!AZ$3&lt;='Gastos Gerais'!$E$4:$E$615),-('Gastos Gerais'!$C$4:$C$615))</f>
        <v>0</v>
      </c>
      <c r="BA134" s="73">
        <f>SUMPRODUCT(-('Gastos Gerais'!$B$4:$B$615=Analítico!$B134),-(Analítico!BA$3&gt;='Gastos Gerais'!$D$4:$D$615),-(Analítico!BA$3&lt;='Gastos Gerais'!$E$4:$E$615),-('Gastos Gerais'!$C$4:$C$615))</f>
        <v>0</v>
      </c>
      <c r="BB134" s="73">
        <f>SUMPRODUCT(-('Gastos Gerais'!$B$4:$B$615=Analítico!$B134),-(Analítico!BB$3&gt;='Gastos Gerais'!$D$4:$D$615),-(Analítico!BB$3&lt;='Gastos Gerais'!$E$4:$E$615),-('Gastos Gerais'!$C$4:$C$615))</f>
        <v>0</v>
      </c>
      <c r="BC134" s="73">
        <f>SUMPRODUCT(-('Gastos Gerais'!$B$4:$B$615=Analítico!$B134),-(Analítico!BC$3&gt;='Gastos Gerais'!$D$4:$D$615),-(Analítico!BC$3&lt;='Gastos Gerais'!$E$4:$E$615),-('Gastos Gerais'!$C$4:$C$615))</f>
        <v>0</v>
      </c>
      <c r="BD134" s="73">
        <f>SUMPRODUCT(-('Gastos Gerais'!$B$4:$B$615=Analítico!$B134),-(Analítico!BD$3&gt;='Gastos Gerais'!$D$4:$D$615),-(Analítico!BD$3&lt;='Gastos Gerais'!$E$4:$E$615),-('Gastos Gerais'!$C$4:$C$615))</f>
        <v>0</v>
      </c>
      <c r="BE134" s="73">
        <f>SUMPRODUCT(-('Gastos Gerais'!$B$4:$B$615=Analítico!$B134),-(Analítico!BE$3&gt;='Gastos Gerais'!$D$4:$D$615),-(Analítico!BE$3&lt;='Gastos Gerais'!$E$4:$E$615),-('Gastos Gerais'!$C$4:$C$615))</f>
        <v>0</v>
      </c>
      <c r="BF134" s="73">
        <f>SUMPRODUCT(-('Gastos Gerais'!$B$4:$B$615=Analítico!$B134),-(Analítico!BF$3&gt;='Gastos Gerais'!$D$4:$D$615),-(Analítico!BF$3&lt;='Gastos Gerais'!$E$4:$E$615),-('Gastos Gerais'!$C$4:$C$615))</f>
        <v>0</v>
      </c>
      <c r="BG134" s="73">
        <f>SUMPRODUCT(-('Gastos Gerais'!$B$4:$B$615=Analítico!$B134),-(Analítico!BG$3&gt;='Gastos Gerais'!$D$4:$D$615),-(Analítico!BG$3&lt;='Gastos Gerais'!$E$4:$E$615),-('Gastos Gerais'!$C$4:$C$615))</f>
        <v>0</v>
      </c>
      <c r="BH134" s="73">
        <f>SUMPRODUCT(-('Gastos Gerais'!$B$4:$B$615=Analítico!$B134),-(Analítico!BH$3&gt;='Gastos Gerais'!$D$4:$D$615),-(Analítico!BH$3&lt;='Gastos Gerais'!$E$4:$E$615),-('Gastos Gerais'!$C$4:$C$615))</f>
        <v>0</v>
      </c>
      <c r="BI134" s="73">
        <f>SUMPRODUCT(-('Gastos Gerais'!$B$4:$B$615=Analítico!$B134),-(Analítico!BI$3&gt;='Gastos Gerais'!$D$4:$D$615),-(Analítico!BI$3&lt;='Gastos Gerais'!$E$4:$E$615),-('Gastos Gerais'!$C$4:$C$615))</f>
        <v>0</v>
      </c>
      <c r="BJ134" s="73">
        <f>SUMPRODUCT(-('Gastos Gerais'!$B$4:$B$615=Analítico!$B134),-(Analítico!BJ$3&gt;='Gastos Gerais'!$D$4:$D$615),-(Analítico!BJ$3&lt;='Gastos Gerais'!$E$4:$E$615),-('Gastos Gerais'!$C$4:$C$615))</f>
        <v>0</v>
      </c>
      <c r="BK134" s="71">
        <f t="shared" si="35"/>
        <v>734400</v>
      </c>
      <c r="BL134" s="76">
        <f t="shared" ca="1" si="36"/>
        <v>2.00314828363234E-3</v>
      </c>
    </row>
    <row r="135" spans="1:64" s="49" customFormat="1" ht="23.25" customHeight="1" x14ac:dyDescent="0.2">
      <c r="A135" s="109" t="s">
        <v>338</v>
      </c>
      <c r="B135" s="113" t="s">
        <v>339</v>
      </c>
      <c r="C135" s="73">
        <f>SUMPRODUCT(-('Gastos Gerais'!$B$4:$B$615=Analítico!$B135),-(Analítico!C$3&gt;='Gastos Gerais'!$D$4:$D$615),-(Analítico!C$3&lt;='Gastos Gerais'!$E$4:$E$615),-('Gastos Gerais'!$C$4:$C$615))</f>
        <v>38500</v>
      </c>
      <c r="D135" s="73">
        <f>SUMPRODUCT(-('Gastos Gerais'!$B$4:$B$615=Analítico!$B135),-(Analítico!D$3&gt;='Gastos Gerais'!$D$4:$D$615),-(Analítico!D$3&lt;='Gastos Gerais'!$E$4:$E$615),-('Gastos Gerais'!$C$4:$C$615))</f>
        <v>38500</v>
      </c>
      <c r="E135" s="73">
        <f>SUMPRODUCT(-('Gastos Gerais'!$B$4:$B$615=Analítico!$B135),-(Analítico!E$3&gt;='Gastos Gerais'!$D$4:$D$615),-(Analítico!E$3&lt;='Gastos Gerais'!$E$4:$E$615),-('Gastos Gerais'!$C$4:$C$615))</f>
        <v>38500</v>
      </c>
      <c r="F135" s="73">
        <f>SUMPRODUCT(-('Gastos Gerais'!$B$4:$B$615=Analítico!$B135),-(Analítico!F$3&gt;='Gastos Gerais'!$D$4:$D$615),-(Analítico!F$3&lt;='Gastos Gerais'!$E$4:$E$615),-('Gastos Gerais'!$C$4:$C$615))</f>
        <v>38500</v>
      </c>
      <c r="G135" s="73">
        <f>SUMPRODUCT(-('Gastos Gerais'!$B$4:$B$615=Analítico!$B135),-(Analítico!G$3&gt;='Gastos Gerais'!$D$4:$D$615),-(Analítico!G$3&lt;='Gastos Gerais'!$E$4:$E$615),-('Gastos Gerais'!$C$4:$C$615))</f>
        <v>38500</v>
      </c>
      <c r="H135" s="73">
        <f>SUMPRODUCT(-('Gastos Gerais'!$B$4:$B$615=Analítico!$B135),-(Analítico!H$3&gt;='Gastos Gerais'!$D$4:$D$615),-(Analítico!H$3&lt;='Gastos Gerais'!$E$4:$E$615),-('Gastos Gerais'!$C$4:$C$615))</f>
        <v>38500</v>
      </c>
      <c r="I135" s="73">
        <f>SUMPRODUCT(-('Gastos Gerais'!$B$4:$B$615=Analítico!$B135),-(Analítico!I$3&gt;='Gastos Gerais'!$D$4:$D$615),-(Analítico!I$3&lt;='Gastos Gerais'!$E$4:$E$615),-('Gastos Gerais'!$C$4:$C$615))</f>
        <v>38500</v>
      </c>
      <c r="J135" s="73">
        <f>SUMPRODUCT(-('Gastos Gerais'!$B$4:$B$615=Analítico!$B135),-(Analítico!J$3&gt;='Gastos Gerais'!$D$4:$D$615),-(Analítico!J$3&lt;='Gastos Gerais'!$E$4:$E$615),-('Gastos Gerais'!$C$4:$C$615))</f>
        <v>38500</v>
      </c>
      <c r="K135" s="73">
        <f>SUMPRODUCT(-('Gastos Gerais'!$B$4:$B$615=Analítico!$B135),-(Analítico!K$3&gt;='Gastos Gerais'!$D$4:$D$615),-(Analítico!K$3&lt;='Gastos Gerais'!$E$4:$E$615),-('Gastos Gerais'!$C$4:$C$615))</f>
        <v>38500</v>
      </c>
      <c r="L135" s="73">
        <f>SUMPRODUCT(-('Gastos Gerais'!$B$4:$B$615=Analítico!$B135),-(Analítico!L$3&gt;='Gastos Gerais'!$D$4:$D$615),-(Analítico!L$3&lt;='Gastos Gerais'!$E$4:$E$615),-('Gastos Gerais'!$C$4:$C$615))</f>
        <v>38500</v>
      </c>
      <c r="M135" s="73">
        <f>SUMPRODUCT(-('Gastos Gerais'!$B$4:$B$615=Analítico!$B135),-(Analítico!M$3&gt;='Gastos Gerais'!$D$4:$D$615),-(Analítico!M$3&lt;='Gastos Gerais'!$E$4:$E$615),-('Gastos Gerais'!$C$4:$C$615))</f>
        <v>38500</v>
      </c>
      <c r="N135" s="73">
        <f>SUMPRODUCT(-('Gastos Gerais'!$B$4:$B$615=Analítico!$B135),-(Analítico!N$3&gt;='Gastos Gerais'!$D$4:$D$615),-(Analítico!N$3&lt;='Gastos Gerais'!$E$4:$E$615),-('Gastos Gerais'!$C$4:$C$615))</f>
        <v>38500</v>
      </c>
      <c r="O135" s="73">
        <f>SUMPRODUCT(-('Gastos Gerais'!$B$4:$B$615=Analítico!$B135),-(Analítico!O$3&gt;='Gastos Gerais'!$D$4:$D$615),-(Analítico!O$3&lt;='Gastos Gerais'!$E$4:$E$615),-('Gastos Gerais'!$C$4:$C$615))</f>
        <v>38500</v>
      </c>
      <c r="P135" s="73">
        <f>SUMPRODUCT(-('Gastos Gerais'!$B$4:$B$615=Analítico!$B135),-(Analítico!P$3&gt;='Gastos Gerais'!$D$4:$D$615),-(Analítico!P$3&lt;='Gastos Gerais'!$E$4:$E$615),-('Gastos Gerais'!$C$4:$C$615))</f>
        <v>38500</v>
      </c>
      <c r="Q135" s="73">
        <f>SUMPRODUCT(-('Gastos Gerais'!$B$4:$B$615=Analítico!$B135),-(Analítico!Q$3&gt;='Gastos Gerais'!$D$4:$D$615),-(Analítico!Q$3&lt;='Gastos Gerais'!$E$4:$E$615),-('Gastos Gerais'!$C$4:$C$615))</f>
        <v>38500</v>
      </c>
      <c r="R135" s="73">
        <f>SUMPRODUCT(-('Gastos Gerais'!$B$4:$B$615=Analítico!$B135),-(Analítico!R$3&gt;='Gastos Gerais'!$D$4:$D$615),-(Analítico!R$3&lt;='Gastos Gerais'!$E$4:$E$615),-('Gastos Gerais'!$C$4:$C$615))</f>
        <v>38500</v>
      </c>
      <c r="S135" s="73">
        <f>SUMPRODUCT(-('Gastos Gerais'!$B$4:$B$615=Analítico!$B135),-(Analítico!S$3&gt;='Gastos Gerais'!$D$4:$D$615),-(Analítico!S$3&lt;='Gastos Gerais'!$E$4:$E$615),-('Gastos Gerais'!$C$4:$C$615))</f>
        <v>38500</v>
      </c>
      <c r="T135" s="73">
        <f>SUMPRODUCT(-('Gastos Gerais'!$B$4:$B$615=Analítico!$B135),-(Analítico!T$3&gt;='Gastos Gerais'!$D$4:$D$615),-(Analítico!T$3&lt;='Gastos Gerais'!$E$4:$E$615),-('Gastos Gerais'!$C$4:$C$615))</f>
        <v>38500</v>
      </c>
      <c r="U135" s="73">
        <f>SUMPRODUCT(-('Gastos Gerais'!$B$4:$B$615=Analítico!$B135),-(Analítico!U$3&gt;='Gastos Gerais'!$D$4:$D$615),-(Analítico!U$3&lt;='Gastos Gerais'!$E$4:$E$615),-('Gastos Gerais'!$C$4:$C$615))</f>
        <v>38500</v>
      </c>
      <c r="V135" s="73">
        <f>SUMPRODUCT(-('Gastos Gerais'!$B$4:$B$615=Analítico!$B135),-(Analítico!V$3&gt;='Gastos Gerais'!$D$4:$D$615),-(Analítico!V$3&lt;='Gastos Gerais'!$E$4:$E$615),-('Gastos Gerais'!$C$4:$C$615))</f>
        <v>38500</v>
      </c>
      <c r="W135" s="73">
        <f>SUMPRODUCT(-('Gastos Gerais'!$B$4:$B$615=Analítico!$B135),-(Analítico!W$3&gt;='Gastos Gerais'!$D$4:$D$615),-(Analítico!W$3&lt;='Gastos Gerais'!$E$4:$E$615),-('Gastos Gerais'!$C$4:$C$615))</f>
        <v>38500</v>
      </c>
      <c r="X135" s="73">
        <f>SUMPRODUCT(-('Gastos Gerais'!$B$4:$B$615=Analítico!$B135),-(Analítico!X$3&gt;='Gastos Gerais'!$D$4:$D$615),-(Analítico!X$3&lt;='Gastos Gerais'!$E$4:$E$615),-('Gastos Gerais'!$C$4:$C$615))</f>
        <v>38500</v>
      </c>
      <c r="Y135" s="73">
        <f>SUMPRODUCT(-('Gastos Gerais'!$B$4:$B$615=Analítico!$B135),-(Analítico!Y$3&gt;='Gastos Gerais'!$D$4:$D$615),-(Analítico!Y$3&lt;='Gastos Gerais'!$E$4:$E$615),-('Gastos Gerais'!$C$4:$C$615))</f>
        <v>38500</v>
      </c>
      <c r="Z135" s="73">
        <f>SUMPRODUCT(-('Gastos Gerais'!$B$4:$B$615=Analítico!$B135),-(Analítico!Z$3&gt;='Gastos Gerais'!$D$4:$D$615),-(Analítico!Z$3&lt;='Gastos Gerais'!$E$4:$E$615),-('Gastos Gerais'!$C$4:$C$615))</f>
        <v>38500</v>
      </c>
      <c r="AA135" s="73">
        <f>SUMPRODUCT(-('Gastos Gerais'!$B$4:$B$615=Analítico!$B135),-(Analítico!AA$3&gt;='Gastos Gerais'!$D$4:$D$615),-(Analítico!AA$3&lt;='Gastos Gerais'!$E$4:$E$615),-('Gastos Gerais'!$C$4:$C$615))</f>
        <v>38500</v>
      </c>
      <c r="AB135" s="73">
        <f>SUMPRODUCT(-('Gastos Gerais'!$B$4:$B$615=Analítico!$B135),-(Analítico!AB$3&gt;='Gastos Gerais'!$D$4:$D$615),-(Analítico!AB$3&lt;='Gastos Gerais'!$E$4:$E$615),-('Gastos Gerais'!$C$4:$C$615))</f>
        <v>38500</v>
      </c>
      <c r="AC135" s="73">
        <f>SUMPRODUCT(-('Gastos Gerais'!$B$4:$B$615=Analítico!$B135),-(Analítico!AC$3&gt;='Gastos Gerais'!$D$4:$D$615),-(Analítico!AC$3&lt;='Gastos Gerais'!$E$4:$E$615),-('Gastos Gerais'!$C$4:$C$615))</f>
        <v>38500</v>
      </c>
      <c r="AD135" s="73">
        <f>SUMPRODUCT(-('Gastos Gerais'!$B$4:$B$615=Analítico!$B135),-(Analítico!AD$3&gt;='Gastos Gerais'!$D$4:$D$615),-(Analítico!AD$3&lt;='Gastos Gerais'!$E$4:$E$615),-('Gastos Gerais'!$C$4:$C$615))</f>
        <v>38500</v>
      </c>
      <c r="AE135" s="73">
        <f>SUMPRODUCT(-('Gastos Gerais'!$B$4:$B$615=Analítico!$B135),-(Analítico!AE$3&gt;='Gastos Gerais'!$D$4:$D$615),-(Analítico!AE$3&lt;='Gastos Gerais'!$E$4:$E$615),-('Gastos Gerais'!$C$4:$C$615))</f>
        <v>38500</v>
      </c>
      <c r="AF135" s="73">
        <f>SUMPRODUCT(-('Gastos Gerais'!$B$4:$B$615=Analítico!$B135),-(Analítico!AF$3&gt;='Gastos Gerais'!$D$4:$D$615),-(Analítico!AF$3&lt;='Gastos Gerais'!$E$4:$E$615),-('Gastos Gerais'!$C$4:$C$615))</f>
        <v>38500</v>
      </c>
      <c r="AG135" s="73">
        <f>SUMPRODUCT(-('Gastos Gerais'!$B$4:$B$615=Analítico!$B135),-(Analítico!AG$3&gt;='Gastos Gerais'!$D$4:$D$615),-(Analítico!AG$3&lt;='Gastos Gerais'!$E$4:$E$615),-('Gastos Gerais'!$C$4:$C$615))</f>
        <v>38500</v>
      </c>
      <c r="AH135" s="73">
        <f>SUMPRODUCT(-('Gastos Gerais'!$B$4:$B$615=Analítico!$B135),-(Analítico!AH$3&gt;='Gastos Gerais'!$D$4:$D$615),-(Analítico!AH$3&lt;='Gastos Gerais'!$E$4:$E$615),-('Gastos Gerais'!$C$4:$C$615))</f>
        <v>38500</v>
      </c>
      <c r="AI135" s="73">
        <f>SUMPRODUCT(-('Gastos Gerais'!$B$4:$B$615=Analítico!$B135),-(Analítico!AI$3&gt;='Gastos Gerais'!$D$4:$D$615),-(Analítico!AI$3&lt;='Gastos Gerais'!$E$4:$E$615),-('Gastos Gerais'!$C$4:$C$615))</f>
        <v>38500</v>
      </c>
      <c r="AJ135" s="73">
        <f>SUMPRODUCT(-('Gastos Gerais'!$B$4:$B$615=Analítico!$B135),-(Analítico!AJ$3&gt;='Gastos Gerais'!$D$4:$D$615),-(Analítico!AJ$3&lt;='Gastos Gerais'!$E$4:$E$615),-('Gastos Gerais'!$C$4:$C$615))</f>
        <v>38500</v>
      </c>
      <c r="AK135" s="73">
        <f>SUMPRODUCT(-('Gastos Gerais'!$B$4:$B$615=Analítico!$B135),-(Analítico!AK$3&gt;='Gastos Gerais'!$D$4:$D$615),-(Analítico!AK$3&lt;='Gastos Gerais'!$E$4:$E$615),-('Gastos Gerais'!$C$4:$C$615))</f>
        <v>38500</v>
      </c>
      <c r="AL135" s="73">
        <f>SUMPRODUCT(-('Gastos Gerais'!$B$4:$B$615=Analítico!$B135),-(Analítico!AL$3&gt;='Gastos Gerais'!$D$4:$D$615),-(Analítico!AL$3&lt;='Gastos Gerais'!$E$4:$E$615),-('Gastos Gerais'!$C$4:$C$615))</f>
        <v>38500</v>
      </c>
      <c r="AM135" s="73">
        <f>SUMPRODUCT(-('Gastos Gerais'!$B$4:$B$615=Analítico!$B135),-(Analítico!AM$3&gt;='Gastos Gerais'!$D$4:$D$615),-(Analítico!AM$3&lt;='Gastos Gerais'!$E$4:$E$615),-('Gastos Gerais'!$C$4:$C$615))</f>
        <v>0</v>
      </c>
      <c r="AN135" s="73">
        <f>SUMPRODUCT(-('Gastos Gerais'!$B$4:$B$615=Analítico!$B135),-(Analítico!AN$3&gt;='Gastos Gerais'!$D$4:$D$615),-(Analítico!AN$3&lt;='Gastos Gerais'!$E$4:$E$615),-('Gastos Gerais'!$C$4:$C$615))</f>
        <v>0</v>
      </c>
      <c r="AO135" s="73">
        <f>SUMPRODUCT(-('Gastos Gerais'!$B$4:$B$615=Analítico!$B135),-(Analítico!AO$3&gt;='Gastos Gerais'!$D$4:$D$615),-(Analítico!AO$3&lt;='Gastos Gerais'!$E$4:$E$615),-('Gastos Gerais'!$C$4:$C$615))</f>
        <v>0</v>
      </c>
      <c r="AP135" s="73">
        <f>SUMPRODUCT(-('Gastos Gerais'!$B$4:$B$615=Analítico!$B135),-(Analítico!AP$3&gt;='Gastos Gerais'!$D$4:$D$615),-(Analítico!AP$3&lt;='Gastos Gerais'!$E$4:$E$615),-('Gastos Gerais'!$C$4:$C$615))</f>
        <v>0</v>
      </c>
      <c r="AQ135" s="73">
        <f>SUMPRODUCT(-('Gastos Gerais'!$B$4:$B$615=Analítico!$B135),-(Analítico!AQ$3&gt;='Gastos Gerais'!$D$4:$D$615),-(Analítico!AQ$3&lt;='Gastos Gerais'!$E$4:$E$615),-('Gastos Gerais'!$C$4:$C$615))</f>
        <v>0</v>
      </c>
      <c r="AR135" s="73">
        <f>SUMPRODUCT(-('Gastos Gerais'!$B$4:$B$615=Analítico!$B135),-(Analítico!AR$3&gt;='Gastos Gerais'!$D$4:$D$615),-(Analítico!AR$3&lt;='Gastos Gerais'!$E$4:$E$615),-('Gastos Gerais'!$C$4:$C$615))</f>
        <v>0</v>
      </c>
      <c r="AS135" s="73">
        <f>SUMPRODUCT(-('Gastos Gerais'!$B$4:$B$615=Analítico!$B135),-(Analítico!AS$3&gt;='Gastos Gerais'!$D$4:$D$615),-(Analítico!AS$3&lt;='Gastos Gerais'!$E$4:$E$615),-('Gastos Gerais'!$C$4:$C$615))</f>
        <v>0</v>
      </c>
      <c r="AT135" s="73">
        <f>SUMPRODUCT(-('Gastos Gerais'!$B$4:$B$615=Analítico!$B135),-(Analítico!AT$3&gt;='Gastos Gerais'!$D$4:$D$615),-(Analítico!AT$3&lt;='Gastos Gerais'!$E$4:$E$615),-('Gastos Gerais'!$C$4:$C$615))</f>
        <v>0</v>
      </c>
      <c r="AU135" s="73">
        <f>SUMPRODUCT(-('Gastos Gerais'!$B$4:$B$615=Analítico!$B135),-(Analítico!AU$3&gt;='Gastos Gerais'!$D$4:$D$615),-(Analítico!AU$3&lt;='Gastos Gerais'!$E$4:$E$615),-('Gastos Gerais'!$C$4:$C$615))</f>
        <v>0</v>
      </c>
      <c r="AV135" s="73">
        <f>SUMPRODUCT(-('Gastos Gerais'!$B$4:$B$615=Analítico!$B135),-(Analítico!AV$3&gt;='Gastos Gerais'!$D$4:$D$615),-(Analítico!AV$3&lt;='Gastos Gerais'!$E$4:$E$615),-('Gastos Gerais'!$C$4:$C$615))</f>
        <v>0</v>
      </c>
      <c r="AW135" s="73">
        <f>SUMPRODUCT(-('Gastos Gerais'!$B$4:$B$615=Analítico!$B135),-(Analítico!AW$3&gt;='Gastos Gerais'!$D$4:$D$615),-(Analítico!AW$3&lt;='Gastos Gerais'!$E$4:$E$615),-('Gastos Gerais'!$C$4:$C$615))</f>
        <v>0</v>
      </c>
      <c r="AX135" s="73">
        <f>SUMPRODUCT(-('Gastos Gerais'!$B$4:$B$615=Analítico!$B135),-(Analítico!AX$3&gt;='Gastos Gerais'!$D$4:$D$615),-(Analítico!AX$3&lt;='Gastos Gerais'!$E$4:$E$615),-('Gastos Gerais'!$C$4:$C$615))</f>
        <v>0</v>
      </c>
      <c r="AY135" s="73">
        <f>SUMPRODUCT(-('Gastos Gerais'!$B$4:$B$615=Analítico!$B135),-(Analítico!AY$3&gt;='Gastos Gerais'!$D$4:$D$615),-(Analítico!AY$3&lt;='Gastos Gerais'!$E$4:$E$615),-('Gastos Gerais'!$C$4:$C$615))</f>
        <v>0</v>
      </c>
      <c r="AZ135" s="73">
        <f>SUMPRODUCT(-('Gastos Gerais'!$B$4:$B$615=Analítico!$B135),-(Analítico!AZ$3&gt;='Gastos Gerais'!$D$4:$D$615),-(Analítico!AZ$3&lt;='Gastos Gerais'!$E$4:$E$615),-('Gastos Gerais'!$C$4:$C$615))</f>
        <v>0</v>
      </c>
      <c r="BA135" s="73">
        <f>SUMPRODUCT(-('Gastos Gerais'!$B$4:$B$615=Analítico!$B135),-(Analítico!BA$3&gt;='Gastos Gerais'!$D$4:$D$615),-(Analítico!BA$3&lt;='Gastos Gerais'!$E$4:$E$615),-('Gastos Gerais'!$C$4:$C$615))</f>
        <v>0</v>
      </c>
      <c r="BB135" s="73">
        <f>SUMPRODUCT(-('Gastos Gerais'!$B$4:$B$615=Analítico!$B135),-(Analítico!BB$3&gt;='Gastos Gerais'!$D$4:$D$615),-(Analítico!BB$3&lt;='Gastos Gerais'!$E$4:$E$615),-('Gastos Gerais'!$C$4:$C$615))</f>
        <v>0</v>
      </c>
      <c r="BC135" s="73">
        <f>SUMPRODUCT(-('Gastos Gerais'!$B$4:$B$615=Analítico!$B135),-(Analítico!BC$3&gt;='Gastos Gerais'!$D$4:$D$615),-(Analítico!BC$3&lt;='Gastos Gerais'!$E$4:$E$615),-('Gastos Gerais'!$C$4:$C$615))</f>
        <v>0</v>
      </c>
      <c r="BD135" s="73">
        <f>SUMPRODUCT(-('Gastos Gerais'!$B$4:$B$615=Analítico!$B135),-(Analítico!BD$3&gt;='Gastos Gerais'!$D$4:$D$615),-(Analítico!BD$3&lt;='Gastos Gerais'!$E$4:$E$615),-('Gastos Gerais'!$C$4:$C$615))</f>
        <v>0</v>
      </c>
      <c r="BE135" s="73">
        <f>SUMPRODUCT(-('Gastos Gerais'!$B$4:$B$615=Analítico!$B135),-(Analítico!BE$3&gt;='Gastos Gerais'!$D$4:$D$615),-(Analítico!BE$3&lt;='Gastos Gerais'!$E$4:$E$615),-('Gastos Gerais'!$C$4:$C$615))</f>
        <v>0</v>
      </c>
      <c r="BF135" s="73">
        <f>SUMPRODUCT(-('Gastos Gerais'!$B$4:$B$615=Analítico!$B135),-(Analítico!BF$3&gt;='Gastos Gerais'!$D$4:$D$615),-(Analítico!BF$3&lt;='Gastos Gerais'!$E$4:$E$615),-('Gastos Gerais'!$C$4:$C$615))</f>
        <v>0</v>
      </c>
      <c r="BG135" s="73">
        <f>SUMPRODUCT(-('Gastos Gerais'!$B$4:$B$615=Analítico!$B135),-(Analítico!BG$3&gt;='Gastos Gerais'!$D$4:$D$615),-(Analítico!BG$3&lt;='Gastos Gerais'!$E$4:$E$615),-('Gastos Gerais'!$C$4:$C$615))</f>
        <v>0</v>
      </c>
      <c r="BH135" s="73">
        <f>SUMPRODUCT(-('Gastos Gerais'!$B$4:$B$615=Analítico!$B135),-(Analítico!BH$3&gt;='Gastos Gerais'!$D$4:$D$615),-(Analítico!BH$3&lt;='Gastos Gerais'!$E$4:$E$615),-('Gastos Gerais'!$C$4:$C$615))</f>
        <v>0</v>
      </c>
      <c r="BI135" s="73">
        <f>SUMPRODUCT(-('Gastos Gerais'!$B$4:$B$615=Analítico!$B135),-(Analítico!BI$3&gt;='Gastos Gerais'!$D$4:$D$615),-(Analítico!BI$3&lt;='Gastos Gerais'!$E$4:$E$615),-('Gastos Gerais'!$C$4:$C$615))</f>
        <v>0</v>
      </c>
      <c r="BJ135" s="73">
        <f>SUMPRODUCT(-('Gastos Gerais'!$B$4:$B$615=Analítico!$B135),-(Analítico!BJ$3&gt;='Gastos Gerais'!$D$4:$D$615),-(Analítico!BJ$3&lt;='Gastos Gerais'!$E$4:$E$615),-('Gastos Gerais'!$C$4:$C$615))</f>
        <v>0</v>
      </c>
      <c r="BK135" s="71">
        <f t="shared" si="33"/>
        <v>1386000</v>
      </c>
      <c r="BL135" s="76">
        <f ca="1">IF($BK$155=0,0,BK135/$BK$155)</f>
        <v>3.7804514176394649E-3</v>
      </c>
    </row>
    <row r="136" spans="1:64" s="49" customFormat="1" ht="23.25" customHeight="1" thickBot="1" x14ac:dyDescent="0.25">
      <c r="A136" s="301"/>
      <c r="B136" s="300" t="s">
        <v>340</v>
      </c>
      <c r="C136" s="302">
        <f t="shared" ref="C136:AH136" si="37">SUBTOTAL(109,C60:C135)</f>
        <v>3873905</v>
      </c>
      <c r="D136" s="302">
        <f t="shared" si="37"/>
        <v>2468905</v>
      </c>
      <c r="E136" s="302">
        <f t="shared" si="37"/>
        <v>2668905</v>
      </c>
      <c r="F136" s="302">
        <f t="shared" si="37"/>
        <v>2878905</v>
      </c>
      <c r="G136" s="302">
        <f t="shared" si="37"/>
        <v>3468905</v>
      </c>
      <c r="H136" s="302">
        <f t="shared" si="37"/>
        <v>3188905</v>
      </c>
      <c r="I136" s="302">
        <f t="shared" si="37"/>
        <v>2468905</v>
      </c>
      <c r="J136" s="302">
        <f t="shared" si="37"/>
        <v>2468905</v>
      </c>
      <c r="K136" s="302">
        <f t="shared" si="37"/>
        <v>2468905</v>
      </c>
      <c r="L136" s="302">
        <f t="shared" si="37"/>
        <v>2468905</v>
      </c>
      <c r="M136" s="302">
        <f t="shared" si="37"/>
        <v>2468905</v>
      </c>
      <c r="N136" s="302">
        <f t="shared" si="37"/>
        <v>2533905</v>
      </c>
      <c r="O136" s="302">
        <f t="shared" si="37"/>
        <v>4427405</v>
      </c>
      <c r="P136" s="302">
        <f t="shared" si="37"/>
        <v>3296405</v>
      </c>
      <c r="Q136" s="302">
        <f t="shared" si="37"/>
        <v>5796405</v>
      </c>
      <c r="R136" s="302">
        <f t="shared" si="37"/>
        <v>3346405</v>
      </c>
      <c r="S136" s="302">
        <f t="shared" si="37"/>
        <v>2596405</v>
      </c>
      <c r="T136" s="302">
        <f t="shared" si="37"/>
        <v>2896405</v>
      </c>
      <c r="U136" s="302">
        <f t="shared" si="37"/>
        <v>2596405</v>
      </c>
      <c r="V136" s="302">
        <f t="shared" si="37"/>
        <v>2596405</v>
      </c>
      <c r="W136" s="302">
        <f t="shared" si="37"/>
        <v>2596405</v>
      </c>
      <c r="X136" s="302">
        <f t="shared" si="37"/>
        <v>2596405</v>
      </c>
      <c r="Y136" s="302">
        <f t="shared" si="37"/>
        <v>2596405</v>
      </c>
      <c r="Z136" s="302">
        <f t="shared" si="37"/>
        <v>2676405</v>
      </c>
      <c r="AA136" s="302">
        <f t="shared" si="37"/>
        <v>4794905</v>
      </c>
      <c r="AB136" s="302">
        <f t="shared" si="37"/>
        <v>2680905</v>
      </c>
      <c r="AC136" s="302">
        <f t="shared" si="37"/>
        <v>2680905</v>
      </c>
      <c r="AD136" s="302">
        <f t="shared" si="37"/>
        <v>3080905</v>
      </c>
      <c r="AE136" s="302">
        <f t="shared" si="37"/>
        <v>2680905</v>
      </c>
      <c r="AF136" s="302">
        <f t="shared" si="37"/>
        <v>3030905</v>
      </c>
      <c r="AG136" s="302">
        <f t="shared" si="37"/>
        <v>2680905</v>
      </c>
      <c r="AH136" s="302">
        <f t="shared" si="37"/>
        <v>2680905</v>
      </c>
      <c r="AI136" s="302">
        <f t="shared" ref="AI136:BK136" si="38">SUBTOTAL(109,AI60:AI135)</f>
        <v>2680905</v>
      </c>
      <c r="AJ136" s="302">
        <f t="shared" si="38"/>
        <v>2680905</v>
      </c>
      <c r="AK136" s="302">
        <f t="shared" si="38"/>
        <v>2680905</v>
      </c>
      <c r="AL136" s="302">
        <f t="shared" si="38"/>
        <v>2765905</v>
      </c>
      <c r="AM136" s="302">
        <f t="shared" si="38"/>
        <v>0</v>
      </c>
      <c r="AN136" s="302">
        <f t="shared" si="38"/>
        <v>0</v>
      </c>
      <c r="AO136" s="302">
        <f t="shared" si="38"/>
        <v>0</v>
      </c>
      <c r="AP136" s="302">
        <f t="shared" si="38"/>
        <v>0</v>
      </c>
      <c r="AQ136" s="302">
        <f t="shared" si="38"/>
        <v>0</v>
      </c>
      <c r="AR136" s="302">
        <f t="shared" si="38"/>
        <v>0</v>
      </c>
      <c r="AS136" s="302">
        <f t="shared" si="38"/>
        <v>0</v>
      </c>
      <c r="AT136" s="302">
        <f t="shared" si="38"/>
        <v>0</v>
      </c>
      <c r="AU136" s="302">
        <f t="shared" si="38"/>
        <v>0</v>
      </c>
      <c r="AV136" s="302">
        <f t="shared" si="38"/>
        <v>0</v>
      </c>
      <c r="AW136" s="302">
        <f t="shared" si="38"/>
        <v>0</v>
      </c>
      <c r="AX136" s="302">
        <f t="shared" si="38"/>
        <v>0</v>
      </c>
      <c r="AY136" s="302">
        <f t="shared" si="38"/>
        <v>0</v>
      </c>
      <c r="AZ136" s="302">
        <f t="shared" si="38"/>
        <v>0</v>
      </c>
      <c r="BA136" s="302">
        <f t="shared" si="38"/>
        <v>0</v>
      </c>
      <c r="BB136" s="302">
        <f t="shared" si="38"/>
        <v>0</v>
      </c>
      <c r="BC136" s="302">
        <f t="shared" si="38"/>
        <v>0</v>
      </c>
      <c r="BD136" s="302">
        <f t="shared" si="38"/>
        <v>0</v>
      </c>
      <c r="BE136" s="302">
        <f t="shared" si="38"/>
        <v>0</v>
      </c>
      <c r="BF136" s="302">
        <f t="shared" si="38"/>
        <v>0</v>
      </c>
      <c r="BG136" s="302">
        <f t="shared" si="38"/>
        <v>0</v>
      </c>
      <c r="BH136" s="302">
        <f t="shared" si="38"/>
        <v>0</v>
      </c>
      <c r="BI136" s="302">
        <f t="shared" si="38"/>
        <v>0</v>
      </c>
      <c r="BJ136" s="302">
        <f t="shared" si="38"/>
        <v>0</v>
      </c>
      <c r="BK136" s="302">
        <f t="shared" si="38"/>
        <v>106564580</v>
      </c>
      <c r="BL136" s="303">
        <f ca="1">IF($BK$155=0,0,BK136/$BK$155)</f>
        <v>0.29066538061410835</v>
      </c>
    </row>
    <row r="137" spans="1:64" s="49" customFormat="1" ht="23.25" customHeight="1" thickBot="1" x14ac:dyDescent="0.25">
      <c r="A137" s="266" t="s">
        <v>92</v>
      </c>
      <c r="B137" s="267" t="s">
        <v>93</v>
      </c>
      <c r="C137" s="268"/>
      <c r="D137" s="268"/>
      <c r="E137" s="268"/>
      <c r="F137" s="268"/>
      <c r="G137" s="268"/>
      <c r="H137" s="268"/>
      <c r="I137" s="268"/>
      <c r="J137" s="268"/>
      <c r="K137" s="268"/>
      <c r="L137" s="268"/>
      <c r="M137" s="268"/>
      <c r="N137" s="268"/>
      <c r="O137" s="268"/>
      <c r="P137" s="268"/>
      <c r="Q137" s="268"/>
      <c r="R137" s="268"/>
      <c r="S137" s="268"/>
      <c r="T137" s="268"/>
      <c r="U137" s="268"/>
      <c r="V137" s="268"/>
      <c r="W137" s="268"/>
      <c r="X137" s="268"/>
      <c r="Y137" s="268"/>
      <c r="Z137" s="268"/>
      <c r="AA137" s="268"/>
      <c r="AB137" s="268"/>
      <c r="AC137" s="268"/>
      <c r="AD137" s="268"/>
      <c r="AE137" s="268"/>
      <c r="AF137" s="268"/>
      <c r="AG137" s="268"/>
      <c r="AH137" s="268"/>
      <c r="AI137" s="268"/>
      <c r="AJ137" s="268"/>
      <c r="AK137" s="268"/>
      <c r="AL137" s="268"/>
      <c r="AM137" s="268"/>
      <c r="AN137" s="268"/>
      <c r="AO137" s="268"/>
      <c r="AP137" s="268"/>
      <c r="AQ137" s="268"/>
      <c r="AR137" s="268"/>
      <c r="AS137" s="268"/>
      <c r="AT137" s="268"/>
      <c r="AU137" s="268"/>
      <c r="AV137" s="268"/>
      <c r="AW137" s="268"/>
      <c r="AX137" s="268"/>
      <c r="AY137" s="268"/>
      <c r="AZ137" s="268"/>
      <c r="BA137" s="268"/>
      <c r="BB137" s="268"/>
      <c r="BC137" s="268"/>
      <c r="BD137" s="268"/>
      <c r="BE137" s="268"/>
      <c r="BF137" s="268"/>
      <c r="BG137" s="268"/>
      <c r="BH137" s="268"/>
      <c r="BI137" s="268"/>
      <c r="BJ137" s="268"/>
      <c r="BK137" s="268"/>
      <c r="BL137" s="244"/>
    </row>
    <row r="138" spans="1:64" s="49" customFormat="1" ht="23.25" customHeight="1" x14ac:dyDescent="0.2">
      <c r="A138" s="19" t="s">
        <v>341</v>
      </c>
      <c r="B138" s="20" t="s">
        <v>342</v>
      </c>
      <c r="C138" s="73">
        <f>SUMPRODUCT(-(Bens!$B$4:$B$90=Analítico!$B138),-(Bens!$D$4:$D$90=Analítico!C$3),(Bens!$G$4:$G$90))</f>
        <v>0</v>
      </c>
      <c r="D138" s="73">
        <f>SUMPRODUCT(-(Bens!$B$4:$B$90=Analítico!$B138),-(Bens!$D$4:$D$90=Analítico!D$3),(Bens!$G$4:$G$90))</f>
        <v>0</v>
      </c>
      <c r="E138" s="73">
        <f>SUMPRODUCT(-(Bens!$B$4:$B$90=Analítico!$B138),-(Bens!$D$4:$D$90=Analítico!E$3),(Bens!$G$4:$G$90))</f>
        <v>0</v>
      </c>
      <c r="F138" s="73">
        <f>SUMPRODUCT(-(Bens!$B$4:$B$90=Analítico!$B138),-(Bens!$D$4:$D$90=Analítico!F$3),(Bens!$G$4:$G$90))</f>
        <v>0</v>
      </c>
      <c r="G138" s="73">
        <f>SUMPRODUCT(-(Bens!$B$4:$B$90=Analítico!$B138),-(Bens!$D$4:$D$90=Analítico!G$3),(Bens!$G$4:$G$90))</f>
        <v>0</v>
      </c>
      <c r="H138" s="73">
        <f>SUMPRODUCT(-(Bens!$B$4:$B$90=Analítico!$B138),-(Bens!$D$4:$D$90=Analítico!H$3),(Bens!$G$4:$G$90))</f>
        <v>0</v>
      </c>
      <c r="I138" s="73">
        <f>SUMPRODUCT(-(Bens!$B$4:$B$90=Analítico!$B138),-(Bens!$D$4:$D$90=Analítico!I$3),(Bens!$G$4:$G$90))</f>
        <v>0</v>
      </c>
      <c r="J138" s="73">
        <f>SUMPRODUCT(-(Bens!$B$4:$B$90=Analítico!$B138),-(Bens!$D$4:$D$90=Analítico!J$3),(Bens!$G$4:$G$90))</f>
        <v>0</v>
      </c>
      <c r="K138" s="73">
        <f>SUMPRODUCT(-(Bens!$B$4:$B$90=Analítico!$B138),-(Bens!$D$4:$D$90=Analítico!K$3),(Bens!$G$4:$G$90))</f>
        <v>0</v>
      </c>
      <c r="L138" s="73">
        <f>SUMPRODUCT(-(Bens!$B$4:$B$90=Analítico!$B138),-(Bens!$D$4:$D$90=Analítico!L$3),(Bens!$G$4:$G$90))</f>
        <v>0</v>
      </c>
      <c r="M138" s="73">
        <f>SUMPRODUCT(-(Bens!$B$4:$B$90=Analítico!$B138),-(Bens!$D$4:$D$90=Analítico!M$3),(Bens!$G$4:$G$90))</f>
        <v>0</v>
      </c>
      <c r="N138" s="73">
        <f>SUMPRODUCT(-(Bens!$B$4:$B$90=Analítico!$B138),-(Bens!$D$4:$D$90=Analítico!N$3),(Bens!$G$4:$G$90))</f>
        <v>0</v>
      </c>
      <c r="O138" s="73">
        <f>SUMPRODUCT(-(Bens!$B$4:$B$90=Analítico!$B138),-(Bens!$D$4:$D$90=Analítico!O$3),(Bens!$G$4:$G$90))</f>
        <v>0</v>
      </c>
      <c r="P138" s="73">
        <f>SUMPRODUCT(-(Bens!$B$4:$B$90=Analítico!$B138),-(Bens!$D$4:$D$90=Analítico!P$3),(Bens!$G$4:$G$90))</f>
        <v>0</v>
      </c>
      <c r="Q138" s="73">
        <f>SUMPRODUCT(-(Bens!$B$4:$B$90=Analítico!$B138),-(Bens!$D$4:$D$90=Analítico!Q$3),(Bens!$G$4:$G$90))</f>
        <v>280000</v>
      </c>
      <c r="R138" s="73">
        <f>SUMPRODUCT(-(Bens!$B$4:$B$90=Analítico!$B138),-(Bens!$D$4:$D$90=Analítico!R$3),(Bens!$G$4:$G$90))</f>
        <v>0</v>
      </c>
      <c r="S138" s="73">
        <f>SUMPRODUCT(-(Bens!$B$4:$B$90=Analítico!$B138),-(Bens!$D$4:$D$90=Analítico!S$3),(Bens!$G$4:$G$90))</f>
        <v>0</v>
      </c>
      <c r="T138" s="73">
        <f>SUMPRODUCT(-(Bens!$B$4:$B$90=Analítico!$B138),-(Bens!$D$4:$D$90=Analítico!T$3),(Bens!$G$4:$G$90))</f>
        <v>0</v>
      </c>
      <c r="U138" s="73">
        <f>SUMPRODUCT(-(Bens!$B$4:$B$90=Analítico!$B138),-(Bens!$D$4:$D$90=Analítico!U$3),(Bens!$G$4:$G$90))</f>
        <v>0</v>
      </c>
      <c r="V138" s="73">
        <f>SUMPRODUCT(-(Bens!$B$4:$B$90=Analítico!$B138),-(Bens!$D$4:$D$90=Analítico!V$3),(Bens!$G$4:$G$90))</f>
        <v>0</v>
      </c>
      <c r="W138" s="73">
        <f>SUMPRODUCT(-(Bens!$B$4:$B$90=Analítico!$B138),-(Bens!$D$4:$D$90=Analítico!W$3),(Bens!$G$4:$G$90))</f>
        <v>0</v>
      </c>
      <c r="X138" s="73">
        <f>SUMPRODUCT(-(Bens!$B$4:$B$90=Analítico!$B138),-(Bens!$D$4:$D$90=Analítico!X$3),(Bens!$G$4:$G$90))</f>
        <v>0</v>
      </c>
      <c r="Y138" s="73">
        <f>SUMPRODUCT(-(Bens!$B$4:$B$90=Analítico!$B138),-(Bens!$D$4:$D$90=Analítico!Y$3),(Bens!$G$4:$G$90))</f>
        <v>0</v>
      </c>
      <c r="Z138" s="73">
        <f>SUMPRODUCT(-(Bens!$B$4:$B$90=Analítico!$B138),-(Bens!$D$4:$D$90=Analítico!Z$3),(Bens!$G$4:$G$90))</f>
        <v>0</v>
      </c>
      <c r="AA138" s="73">
        <f>SUMPRODUCT(-(Bens!$B$4:$B$90=Analítico!$B138),-(Bens!$D$4:$D$90=Analítico!AA$3),(Bens!$G$4:$G$90))</f>
        <v>0</v>
      </c>
      <c r="AB138" s="73">
        <f>SUMPRODUCT(-(Bens!$B$4:$B$90=Analítico!$B138),-(Bens!$D$4:$D$90=Analítico!AB$3),(Bens!$G$4:$G$90))</f>
        <v>0</v>
      </c>
      <c r="AC138" s="73">
        <f>SUMPRODUCT(-(Bens!$B$4:$B$90=Analítico!$B138),-(Bens!$D$4:$D$90=Analítico!AC$3),(Bens!$G$4:$G$90))</f>
        <v>0</v>
      </c>
      <c r="AD138" s="73">
        <f>SUMPRODUCT(-(Bens!$B$4:$B$90=Analítico!$B138),-(Bens!$D$4:$D$90=Analítico!AD$3),(Bens!$G$4:$G$90))</f>
        <v>0</v>
      </c>
      <c r="AE138" s="73">
        <f>SUMPRODUCT(-(Bens!$B$4:$B$90=Analítico!$B138),-(Bens!$D$4:$D$90=Analítico!AE$3),(Bens!$G$4:$G$90))</f>
        <v>0</v>
      </c>
      <c r="AF138" s="73">
        <f>SUMPRODUCT(-(Bens!$B$4:$B$90=Analítico!$B138),-(Bens!$D$4:$D$90=Analítico!AF$3),(Bens!$G$4:$G$90))</f>
        <v>0</v>
      </c>
      <c r="AG138" s="73">
        <f>SUMPRODUCT(-(Bens!$B$4:$B$90=Analítico!$B138),-(Bens!$D$4:$D$90=Analítico!AG$3),(Bens!$G$4:$G$90))</f>
        <v>0</v>
      </c>
      <c r="AH138" s="73">
        <f>SUMPRODUCT(-(Bens!$B$4:$B$90=Analítico!$B138),-(Bens!$D$4:$D$90=Analítico!AH$3),(Bens!$G$4:$G$90))</f>
        <v>0</v>
      </c>
      <c r="AI138" s="73">
        <f>SUMPRODUCT(-(Bens!$B$4:$B$90=Analítico!$B138),-(Bens!$D$4:$D$90=Analítico!AI$3),(Bens!$G$4:$G$90))</f>
        <v>0</v>
      </c>
      <c r="AJ138" s="73">
        <f>SUMPRODUCT(-(Bens!$B$4:$B$90=Analítico!$B138),-(Bens!$D$4:$D$90=Analítico!AJ$3),(Bens!$G$4:$G$90))</f>
        <v>0</v>
      </c>
      <c r="AK138" s="73">
        <f>SUMPRODUCT(-(Bens!$B$4:$B$90=Analítico!$B138),-(Bens!$D$4:$D$90=Analítico!AK$3),(Bens!$G$4:$G$90))</f>
        <v>0</v>
      </c>
      <c r="AL138" s="73">
        <f>SUMPRODUCT(-(Bens!$B$4:$B$90=Analítico!$B138),-(Bens!$D$4:$D$90=Analítico!AL$3),(Bens!$G$4:$G$90))</f>
        <v>0</v>
      </c>
      <c r="AM138" s="73">
        <f>SUMPRODUCT(-(Bens!$B$4:$B$90=Analítico!$B138),-(Bens!$D$4:$D$90=Analítico!AM$3),(Bens!$G$4:$G$90))</f>
        <v>0</v>
      </c>
      <c r="AN138" s="73">
        <f>SUMPRODUCT(-(Bens!$B$4:$B$90=Analítico!$B138),-(Bens!$D$4:$D$90=Analítico!AN$3),(Bens!$G$4:$G$90))</f>
        <v>0</v>
      </c>
      <c r="AO138" s="73">
        <f>SUMPRODUCT(-(Bens!$B$4:$B$90=Analítico!$B138),-(Bens!$D$4:$D$90=Analítico!AO$3),(Bens!$G$4:$G$90))</f>
        <v>0</v>
      </c>
      <c r="AP138" s="73">
        <f>SUMPRODUCT(-(Bens!$B$4:$B$90=Analítico!$B138),-(Bens!$D$4:$D$90=Analítico!AP$3),(Bens!$G$4:$G$90))</f>
        <v>0</v>
      </c>
      <c r="AQ138" s="73">
        <f>SUMPRODUCT(-(Bens!$B$4:$B$90=Analítico!$B138),-(Bens!$D$4:$D$90=Analítico!AQ$3),(Bens!$G$4:$G$90))</f>
        <v>0</v>
      </c>
      <c r="AR138" s="73">
        <f>SUMPRODUCT(-(Bens!$B$4:$B$90=Analítico!$B138),-(Bens!$D$4:$D$90=Analítico!AR$3),(Bens!$G$4:$G$90))</f>
        <v>0</v>
      </c>
      <c r="AS138" s="73">
        <f>SUMPRODUCT(-(Bens!$B$4:$B$90=Analítico!$B138),-(Bens!$D$4:$D$90=Analítico!AS$3),(Bens!$G$4:$G$90))</f>
        <v>0</v>
      </c>
      <c r="AT138" s="73">
        <f>SUMPRODUCT(-(Bens!$B$4:$B$90=Analítico!$B138),-(Bens!$D$4:$D$90=Analítico!AT$3),(Bens!$G$4:$G$90))</f>
        <v>0</v>
      </c>
      <c r="AU138" s="73">
        <f>SUMPRODUCT(-(Bens!$B$4:$B$90=Analítico!$B138),-(Bens!$D$4:$D$90=Analítico!AU$3),(Bens!$G$4:$G$90))</f>
        <v>0</v>
      </c>
      <c r="AV138" s="73">
        <f>SUMPRODUCT(-(Bens!$B$4:$B$90=Analítico!$B138),-(Bens!$D$4:$D$90=Analítico!AV$3),(Bens!$G$4:$G$90))</f>
        <v>0</v>
      </c>
      <c r="AW138" s="73">
        <f>SUMPRODUCT(-(Bens!$B$4:$B$90=Analítico!$B138),-(Bens!$D$4:$D$90=Analítico!AW$3),(Bens!$G$4:$G$90))</f>
        <v>0</v>
      </c>
      <c r="AX138" s="73">
        <f>SUMPRODUCT(-(Bens!$B$4:$B$90=Analítico!$B138),-(Bens!$D$4:$D$90=Analítico!AX$3),(Bens!$G$4:$G$90))</f>
        <v>0</v>
      </c>
      <c r="AY138" s="73">
        <f>SUMPRODUCT(-(Bens!$B$4:$B$90=Analítico!$B138),-(Bens!$D$4:$D$90=Analítico!AY$3),(Bens!$G$4:$G$90))</f>
        <v>0</v>
      </c>
      <c r="AZ138" s="73">
        <f>SUMPRODUCT(-(Bens!$B$4:$B$90=Analítico!$B138),-(Bens!$D$4:$D$90=Analítico!AZ$3),(Bens!$G$4:$G$90))</f>
        <v>0</v>
      </c>
      <c r="BA138" s="73">
        <f>SUMPRODUCT(-(Bens!$B$4:$B$90=Analítico!$B138),-(Bens!$D$4:$D$90=Analítico!BA$3),(Bens!$G$4:$G$90))</f>
        <v>0</v>
      </c>
      <c r="BB138" s="73">
        <f>SUMPRODUCT(-(Bens!$B$4:$B$90=Analítico!$B138),-(Bens!$D$4:$D$90=Analítico!BB$3),(Bens!$G$4:$G$90))</f>
        <v>0</v>
      </c>
      <c r="BC138" s="73">
        <f>SUMPRODUCT(-(Bens!$B$4:$B$90=Analítico!$B138),-(Bens!$D$4:$D$90=Analítico!BC$3),(Bens!$G$4:$G$90))</f>
        <v>0</v>
      </c>
      <c r="BD138" s="73">
        <f>SUMPRODUCT(-(Bens!$B$4:$B$90=Analítico!$B138),-(Bens!$D$4:$D$90=Analítico!BD$3),(Bens!$G$4:$G$90))</f>
        <v>0</v>
      </c>
      <c r="BE138" s="73">
        <f>SUMPRODUCT(-(Bens!$B$4:$B$90=Analítico!$B138),-(Bens!$D$4:$D$90=Analítico!BE$3),(Bens!$G$4:$G$90))</f>
        <v>0</v>
      </c>
      <c r="BF138" s="73">
        <f>SUMPRODUCT(-(Bens!$B$4:$B$90=Analítico!$B138),-(Bens!$D$4:$D$90=Analítico!BF$3),(Bens!$G$4:$G$90))</f>
        <v>0</v>
      </c>
      <c r="BG138" s="73">
        <f>SUMPRODUCT(-(Bens!$B$4:$B$90=Analítico!$B138),-(Bens!$D$4:$D$90=Analítico!BG$3),(Bens!$G$4:$G$90))</f>
        <v>0</v>
      </c>
      <c r="BH138" s="73">
        <f>SUMPRODUCT(-(Bens!$B$4:$B$90=Analítico!$B138),-(Bens!$D$4:$D$90=Analítico!BH$3),(Bens!$G$4:$G$90))</f>
        <v>0</v>
      </c>
      <c r="BI138" s="73">
        <f>SUMPRODUCT(-(Bens!$B$4:$B$90=Analítico!$B138),-(Bens!$D$4:$D$90=Analítico!BI$3),(Bens!$G$4:$G$90))</f>
        <v>0</v>
      </c>
      <c r="BJ138" s="73">
        <f>SUMPRODUCT(-(Bens!$B$4:$B$90=Analítico!$B138),-(Bens!$D$4:$D$90=Analítico!BJ$3),(Bens!$G$4:$G$90))</f>
        <v>0</v>
      </c>
      <c r="BK138" s="71">
        <f t="shared" ref="BK138:BK151" si="39">SUM(C138:BJ138)</f>
        <v>280000</v>
      </c>
      <c r="BL138" s="76">
        <f t="shared" ref="BL138:BL149" ca="1" si="40">IF($BK$155=0,0,BK138/$BK$155)</f>
        <v>7.6372755911908378E-4</v>
      </c>
    </row>
    <row r="139" spans="1:64" s="49" customFormat="1" ht="23.25" customHeight="1" x14ac:dyDescent="0.2">
      <c r="A139" s="19" t="s">
        <v>343</v>
      </c>
      <c r="B139" s="20" t="s">
        <v>344</v>
      </c>
      <c r="C139" s="73">
        <f>SUMPRODUCT(-(Bens!$B$4:$B$90=Analítico!$B139),-(Bens!$D$4:$D$90=Analítico!C$3),(Bens!$G$4:$G$90))</f>
        <v>0</v>
      </c>
      <c r="D139" s="73">
        <f>SUMPRODUCT(-(Bens!$B$4:$B$90=Analítico!$B139),-(Bens!$D$4:$D$90=Analítico!D$3),(Bens!$G$4:$G$90))</f>
        <v>0</v>
      </c>
      <c r="E139" s="73">
        <f>SUMPRODUCT(-(Bens!$B$4:$B$90=Analítico!$B139),-(Bens!$D$4:$D$90=Analítico!E$3),(Bens!$G$4:$G$90))</f>
        <v>0</v>
      </c>
      <c r="F139" s="73">
        <f>SUMPRODUCT(-(Bens!$B$4:$B$90=Analítico!$B139),-(Bens!$D$4:$D$90=Analítico!F$3),(Bens!$G$4:$G$90))</f>
        <v>0</v>
      </c>
      <c r="G139" s="73">
        <f>SUMPRODUCT(-(Bens!$B$4:$B$90=Analítico!$B139),-(Bens!$D$4:$D$90=Analítico!G$3),(Bens!$G$4:$G$90))</f>
        <v>0</v>
      </c>
      <c r="H139" s="73">
        <f>SUMPRODUCT(-(Bens!$B$4:$B$90=Analítico!$B139),-(Bens!$D$4:$D$90=Analítico!H$3),(Bens!$G$4:$G$90))</f>
        <v>0</v>
      </c>
      <c r="I139" s="73">
        <f>SUMPRODUCT(-(Bens!$B$4:$B$90=Analítico!$B139),-(Bens!$D$4:$D$90=Analítico!I$3),(Bens!$G$4:$G$90))</f>
        <v>0</v>
      </c>
      <c r="J139" s="73">
        <f>SUMPRODUCT(-(Bens!$B$4:$B$90=Analítico!$B139),-(Bens!$D$4:$D$90=Analítico!J$3),(Bens!$G$4:$G$90))</f>
        <v>0</v>
      </c>
      <c r="K139" s="73">
        <f>SUMPRODUCT(-(Bens!$B$4:$B$90=Analítico!$B139),-(Bens!$D$4:$D$90=Analítico!K$3),(Bens!$G$4:$G$90))</f>
        <v>0</v>
      </c>
      <c r="L139" s="73">
        <f>SUMPRODUCT(-(Bens!$B$4:$B$90=Analítico!$B139),-(Bens!$D$4:$D$90=Analítico!L$3),(Bens!$G$4:$G$90))</f>
        <v>0</v>
      </c>
      <c r="M139" s="73">
        <f>SUMPRODUCT(-(Bens!$B$4:$B$90=Analítico!$B139),-(Bens!$D$4:$D$90=Analítico!M$3),(Bens!$G$4:$G$90))</f>
        <v>0</v>
      </c>
      <c r="N139" s="73">
        <f>SUMPRODUCT(-(Bens!$B$4:$B$90=Analítico!$B139),-(Bens!$D$4:$D$90=Analítico!N$3),(Bens!$G$4:$G$90))</f>
        <v>0</v>
      </c>
      <c r="O139" s="73">
        <f>SUMPRODUCT(-(Bens!$B$4:$B$90=Analítico!$B139),-(Bens!$D$4:$D$90=Analítico!O$3),(Bens!$G$4:$G$90))</f>
        <v>0</v>
      </c>
      <c r="P139" s="73">
        <f>SUMPRODUCT(-(Bens!$B$4:$B$90=Analítico!$B139),-(Bens!$D$4:$D$90=Analítico!P$3),(Bens!$G$4:$G$90))</f>
        <v>0</v>
      </c>
      <c r="Q139" s="73">
        <f>SUMPRODUCT(-(Bens!$B$4:$B$90=Analítico!$B139),-(Bens!$D$4:$D$90=Analítico!Q$3),(Bens!$G$4:$G$90))</f>
        <v>0</v>
      </c>
      <c r="R139" s="73">
        <f>SUMPRODUCT(-(Bens!$B$4:$B$90=Analítico!$B139),-(Bens!$D$4:$D$90=Analítico!R$3),(Bens!$G$4:$G$90))</f>
        <v>0</v>
      </c>
      <c r="S139" s="73">
        <f>SUMPRODUCT(-(Bens!$B$4:$B$90=Analítico!$B139),-(Bens!$D$4:$D$90=Analítico!S$3),(Bens!$G$4:$G$90))</f>
        <v>0</v>
      </c>
      <c r="T139" s="73">
        <f>SUMPRODUCT(-(Bens!$B$4:$B$90=Analítico!$B139),-(Bens!$D$4:$D$90=Analítico!T$3),(Bens!$G$4:$G$90))</f>
        <v>0</v>
      </c>
      <c r="U139" s="73">
        <f>SUMPRODUCT(-(Bens!$B$4:$B$90=Analítico!$B139),-(Bens!$D$4:$D$90=Analítico!U$3),(Bens!$G$4:$G$90))</f>
        <v>0</v>
      </c>
      <c r="V139" s="73">
        <f>SUMPRODUCT(-(Bens!$B$4:$B$90=Analítico!$B139),-(Bens!$D$4:$D$90=Analítico!V$3),(Bens!$G$4:$G$90))</f>
        <v>0</v>
      </c>
      <c r="W139" s="73">
        <f>SUMPRODUCT(-(Bens!$B$4:$B$90=Analítico!$B139),-(Bens!$D$4:$D$90=Analítico!W$3),(Bens!$G$4:$G$90))</f>
        <v>0</v>
      </c>
      <c r="X139" s="73">
        <f>SUMPRODUCT(-(Bens!$B$4:$B$90=Analítico!$B139),-(Bens!$D$4:$D$90=Analítico!X$3),(Bens!$G$4:$G$90))</f>
        <v>0</v>
      </c>
      <c r="Y139" s="73">
        <f>SUMPRODUCT(-(Bens!$B$4:$B$90=Analítico!$B139),-(Bens!$D$4:$D$90=Analítico!Y$3),(Bens!$G$4:$G$90))</f>
        <v>0</v>
      </c>
      <c r="Z139" s="73">
        <f>SUMPRODUCT(-(Bens!$B$4:$B$90=Analítico!$B139),-(Bens!$D$4:$D$90=Analítico!Z$3),(Bens!$G$4:$G$90))</f>
        <v>0</v>
      </c>
      <c r="AA139" s="73">
        <f>SUMPRODUCT(-(Bens!$B$4:$B$90=Analítico!$B139),-(Bens!$D$4:$D$90=Analítico!AA$3),(Bens!$G$4:$G$90))</f>
        <v>0</v>
      </c>
      <c r="AB139" s="73">
        <f>SUMPRODUCT(-(Bens!$B$4:$B$90=Analítico!$B139),-(Bens!$D$4:$D$90=Analítico!AB$3),(Bens!$G$4:$G$90))</f>
        <v>0</v>
      </c>
      <c r="AC139" s="73">
        <f>SUMPRODUCT(-(Bens!$B$4:$B$90=Analítico!$B139),-(Bens!$D$4:$D$90=Analítico!AC$3),(Bens!$G$4:$G$90))</f>
        <v>0</v>
      </c>
      <c r="AD139" s="73">
        <f>SUMPRODUCT(-(Bens!$B$4:$B$90=Analítico!$B139),-(Bens!$D$4:$D$90=Analítico!AD$3),(Bens!$G$4:$G$90))</f>
        <v>0</v>
      </c>
      <c r="AE139" s="73">
        <f>SUMPRODUCT(-(Bens!$B$4:$B$90=Analítico!$B139),-(Bens!$D$4:$D$90=Analítico!AE$3),(Bens!$G$4:$G$90))</f>
        <v>0</v>
      </c>
      <c r="AF139" s="73">
        <f>SUMPRODUCT(-(Bens!$B$4:$B$90=Analítico!$B139),-(Bens!$D$4:$D$90=Analítico!AF$3),(Bens!$G$4:$G$90))</f>
        <v>0</v>
      </c>
      <c r="AG139" s="73">
        <f>SUMPRODUCT(-(Bens!$B$4:$B$90=Analítico!$B139),-(Bens!$D$4:$D$90=Analítico!AG$3),(Bens!$G$4:$G$90))</f>
        <v>0</v>
      </c>
      <c r="AH139" s="73">
        <f>SUMPRODUCT(-(Bens!$B$4:$B$90=Analítico!$B139),-(Bens!$D$4:$D$90=Analítico!AH$3),(Bens!$G$4:$G$90))</f>
        <v>0</v>
      </c>
      <c r="AI139" s="73">
        <f>SUMPRODUCT(-(Bens!$B$4:$B$90=Analítico!$B139),-(Bens!$D$4:$D$90=Analítico!AI$3),(Bens!$G$4:$G$90))</f>
        <v>0</v>
      </c>
      <c r="AJ139" s="73">
        <f>SUMPRODUCT(-(Bens!$B$4:$B$90=Analítico!$B139),-(Bens!$D$4:$D$90=Analítico!AJ$3),(Bens!$G$4:$G$90))</f>
        <v>0</v>
      </c>
      <c r="AK139" s="73">
        <f>SUMPRODUCT(-(Bens!$B$4:$B$90=Analítico!$B139),-(Bens!$D$4:$D$90=Analítico!AK$3),(Bens!$G$4:$G$90))</f>
        <v>0</v>
      </c>
      <c r="AL139" s="73">
        <f>SUMPRODUCT(-(Bens!$B$4:$B$90=Analítico!$B139),-(Bens!$D$4:$D$90=Analítico!AL$3),(Bens!$G$4:$G$90))</f>
        <v>0</v>
      </c>
      <c r="AM139" s="73">
        <f>SUMPRODUCT(-(Bens!$B$4:$B$90=Analítico!$B139),-(Bens!$D$4:$D$90=Analítico!AM$3),(Bens!$G$4:$G$90))</f>
        <v>0</v>
      </c>
      <c r="AN139" s="73">
        <f>SUMPRODUCT(-(Bens!$B$4:$B$90=Analítico!$B139),-(Bens!$D$4:$D$90=Analítico!AN$3),(Bens!$G$4:$G$90))</f>
        <v>0</v>
      </c>
      <c r="AO139" s="73">
        <f>SUMPRODUCT(-(Bens!$B$4:$B$90=Analítico!$B139),-(Bens!$D$4:$D$90=Analítico!AO$3),(Bens!$G$4:$G$90))</f>
        <v>0</v>
      </c>
      <c r="AP139" s="73">
        <f>SUMPRODUCT(-(Bens!$B$4:$B$90=Analítico!$B139),-(Bens!$D$4:$D$90=Analítico!AP$3),(Bens!$G$4:$G$90))</f>
        <v>0</v>
      </c>
      <c r="AQ139" s="73">
        <f>SUMPRODUCT(-(Bens!$B$4:$B$90=Analítico!$B139),-(Bens!$D$4:$D$90=Analítico!AQ$3),(Bens!$G$4:$G$90))</f>
        <v>0</v>
      </c>
      <c r="AR139" s="73">
        <f>SUMPRODUCT(-(Bens!$B$4:$B$90=Analítico!$B139),-(Bens!$D$4:$D$90=Analítico!AR$3),(Bens!$G$4:$G$90))</f>
        <v>0</v>
      </c>
      <c r="AS139" s="73">
        <f>SUMPRODUCT(-(Bens!$B$4:$B$90=Analítico!$B139),-(Bens!$D$4:$D$90=Analítico!AS$3),(Bens!$G$4:$G$90))</f>
        <v>0</v>
      </c>
      <c r="AT139" s="73">
        <f>SUMPRODUCT(-(Bens!$B$4:$B$90=Analítico!$B139),-(Bens!$D$4:$D$90=Analítico!AT$3),(Bens!$G$4:$G$90))</f>
        <v>0</v>
      </c>
      <c r="AU139" s="73">
        <f>SUMPRODUCT(-(Bens!$B$4:$B$90=Analítico!$B139),-(Bens!$D$4:$D$90=Analítico!AU$3),(Bens!$G$4:$G$90))</f>
        <v>0</v>
      </c>
      <c r="AV139" s="73">
        <f>SUMPRODUCT(-(Bens!$B$4:$B$90=Analítico!$B139),-(Bens!$D$4:$D$90=Analítico!AV$3),(Bens!$G$4:$G$90))</f>
        <v>0</v>
      </c>
      <c r="AW139" s="73">
        <f>SUMPRODUCT(-(Bens!$B$4:$B$90=Analítico!$B139),-(Bens!$D$4:$D$90=Analítico!AW$3),(Bens!$G$4:$G$90))</f>
        <v>0</v>
      </c>
      <c r="AX139" s="73">
        <f>SUMPRODUCT(-(Bens!$B$4:$B$90=Analítico!$B139),-(Bens!$D$4:$D$90=Analítico!AX$3),(Bens!$G$4:$G$90))</f>
        <v>0</v>
      </c>
      <c r="AY139" s="73">
        <f>SUMPRODUCT(-(Bens!$B$4:$B$90=Analítico!$B139),-(Bens!$D$4:$D$90=Analítico!AY$3),(Bens!$G$4:$G$90))</f>
        <v>0</v>
      </c>
      <c r="AZ139" s="73">
        <f>SUMPRODUCT(-(Bens!$B$4:$B$90=Analítico!$B139),-(Bens!$D$4:$D$90=Analítico!AZ$3),(Bens!$G$4:$G$90))</f>
        <v>0</v>
      </c>
      <c r="BA139" s="73">
        <f>SUMPRODUCT(-(Bens!$B$4:$B$90=Analítico!$B139),-(Bens!$D$4:$D$90=Analítico!BA$3),(Bens!$G$4:$G$90))</f>
        <v>0</v>
      </c>
      <c r="BB139" s="73">
        <f>SUMPRODUCT(-(Bens!$B$4:$B$90=Analítico!$B139),-(Bens!$D$4:$D$90=Analítico!BB$3),(Bens!$G$4:$G$90))</f>
        <v>0</v>
      </c>
      <c r="BC139" s="73">
        <f>SUMPRODUCT(-(Bens!$B$4:$B$90=Analítico!$B139),-(Bens!$D$4:$D$90=Analítico!BC$3),(Bens!$G$4:$G$90))</f>
        <v>0</v>
      </c>
      <c r="BD139" s="73">
        <f>SUMPRODUCT(-(Bens!$B$4:$B$90=Analítico!$B139),-(Bens!$D$4:$D$90=Analítico!BD$3),(Bens!$G$4:$G$90))</f>
        <v>0</v>
      </c>
      <c r="BE139" s="73">
        <f>SUMPRODUCT(-(Bens!$B$4:$B$90=Analítico!$B139),-(Bens!$D$4:$D$90=Analítico!BE$3),(Bens!$G$4:$G$90))</f>
        <v>0</v>
      </c>
      <c r="BF139" s="73">
        <f>SUMPRODUCT(-(Bens!$B$4:$B$90=Analítico!$B139),-(Bens!$D$4:$D$90=Analítico!BF$3),(Bens!$G$4:$G$90))</f>
        <v>0</v>
      </c>
      <c r="BG139" s="73">
        <f>SUMPRODUCT(-(Bens!$B$4:$B$90=Analítico!$B139),-(Bens!$D$4:$D$90=Analítico!BG$3),(Bens!$G$4:$G$90))</f>
        <v>0</v>
      </c>
      <c r="BH139" s="73">
        <f>SUMPRODUCT(-(Bens!$B$4:$B$90=Analítico!$B139),-(Bens!$D$4:$D$90=Analítico!BH$3),(Bens!$G$4:$G$90))</f>
        <v>0</v>
      </c>
      <c r="BI139" s="73">
        <f>SUMPRODUCT(-(Bens!$B$4:$B$90=Analítico!$B139),-(Bens!$D$4:$D$90=Analítico!BI$3),(Bens!$G$4:$G$90))</f>
        <v>0</v>
      </c>
      <c r="BJ139" s="73">
        <f>SUMPRODUCT(-(Bens!$B$4:$B$90=Analítico!$B139),-(Bens!$D$4:$D$90=Analítico!BJ$3),(Bens!$G$4:$G$90))</f>
        <v>0</v>
      </c>
      <c r="BK139" s="71">
        <f t="shared" si="39"/>
        <v>0</v>
      </c>
      <c r="BL139" s="76">
        <f t="shared" ca="1" si="40"/>
        <v>0</v>
      </c>
    </row>
    <row r="140" spans="1:64" s="49" customFormat="1" ht="23.25" customHeight="1" x14ac:dyDescent="0.2">
      <c r="A140" s="19" t="s">
        <v>345</v>
      </c>
      <c r="B140" s="20" t="s">
        <v>346</v>
      </c>
      <c r="C140" s="73">
        <f>SUMPRODUCT(-(Bens!$B$4:$B$90=Analítico!$B140),-(Bens!$D$4:$D$90=Analítico!C$3),(Bens!$G$4:$G$90))</f>
        <v>0</v>
      </c>
      <c r="D140" s="73">
        <f>SUMPRODUCT(-(Bens!$B$4:$B$90=Analítico!$B140),-(Bens!$D$4:$D$90=Analítico!D$3),(Bens!$G$4:$G$90))</f>
        <v>0</v>
      </c>
      <c r="E140" s="73">
        <f>SUMPRODUCT(-(Bens!$B$4:$B$90=Analítico!$B140),-(Bens!$D$4:$D$90=Analítico!E$3),(Bens!$G$4:$G$90))</f>
        <v>0</v>
      </c>
      <c r="F140" s="73">
        <f>SUMPRODUCT(-(Bens!$B$4:$B$90=Analítico!$B140),-(Bens!$D$4:$D$90=Analítico!F$3),(Bens!$G$4:$G$90))</f>
        <v>0</v>
      </c>
      <c r="G140" s="73">
        <f>SUMPRODUCT(-(Bens!$B$4:$B$90=Analítico!$B140),-(Bens!$D$4:$D$90=Analítico!G$3),(Bens!$G$4:$G$90))</f>
        <v>0</v>
      </c>
      <c r="H140" s="73">
        <f>SUMPRODUCT(-(Bens!$B$4:$B$90=Analítico!$B140),-(Bens!$D$4:$D$90=Analítico!H$3),(Bens!$G$4:$G$90))</f>
        <v>0</v>
      </c>
      <c r="I140" s="73">
        <f>SUMPRODUCT(-(Bens!$B$4:$B$90=Analítico!$B140),-(Bens!$D$4:$D$90=Analítico!I$3),(Bens!$G$4:$G$90))</f>
        <v>0</v>
      </c>
      <c r="J140" s="73">
        <f>SUMPRODUCT(-(Bens!$B$4:$B$90=Analítico!$B140),-(Bens!$D$4:$D$90=Analítico!J$3),(Bens!$G$4:$G$90))</f>
        <v>0</v>
      </c>
      <c r="K140" s="73">
        <f>SUMPRODUCT(-(Bens!$B$4:$B$90=Analítico!$B140),-(Bens!$D$4:$D$90=Analítico!K$3),(Bens!$G$4:$G$90))</f>
        <v>0</v>
      </c>
      <c r="L140" s="73">
        <f>SUMPRODUCT(-(Bens!$B$4:$B$90=Analítico!$B140),-(Bens!$D$4:$D$90=Analítico!L$3),(Bens!$G$4:$G$90))</f>
        <v>0</v>
      </c>
      <c r="M140" s="73">
        <f>SUMPRODUCT(-(Bens!$B$4:$B$90=Analítico!$B140),-(Bens!$D$4:$D$90=Analítico!M$3),(Bens!$G$4:$G$90))</f>
        <v>0</v>
      </c>
      <c r="N140" s="73">
        <f>SUMPRODUCT(-(Bens!$B$4:$B$90=Analítico!$B140),-(Bens!$D$4:$D$90=Analítico!N$3),(Bens!$G$4:$G$90))</f>
        <v>0</v>
      </c>
      <c r="O140" s="73">
        <f>SUMPRODUCT(-(Bens!$B$4:$B$90=Analítico!$B140),-(Bens!$D$4:$D$90=Analítico!O$3),(Bens!$G$4:$G$90))</f>
        <v>0</v>
      </c>
      <c r="P140" s="73">
        <f>SUMPRODUCT(-(Bens!$B$4:$B$90=Analítico!$B140),-(Bens!$D$4:$D$90=Analítico!P$3),(Bens!$G$4:$G$90))</f>
        <v>0</v>
      </c>
      <c r="Q140" s="73">
        <f>SUMPRODUCT(-(Bens!$B$4:$B$90=Analítico!$B140),-(Bens!$D$4:$D$90=Analítico!Q$3),(Bens!$G$4:$G$90))</f>
        <v>200000</v>
      </c>
      <c r="R140" s="73">
        <f>SUMPRODUCT(-(Bens!$B$4:$B$90=Analítico!$B140),-(Bens!$D$4:$D$90=Analítico!R$3),(Bens!$G$4:$G$90))</f>
        <v>0</v>
      </c>
      <c r="S140" s="73">
        <f>SUMPRODUCT(-(Bens!$B$4:$B$90=Analítico!$B140),-(Bens!$D$4:$D$90=Analítico!S$3),(Bens!$G$4:$G$90))</f>
        <v>0</v>
      </c>
      <c r="T140" s="73">
        <f>SUMPRODUCT(-(Bens!$B$4:$B$90=Analítico!$B140),-(Bens!$D$4:$D$90=Analítico!T$3),(Bens!$G$4:$G$90))</f>
        <v>0</v>
      </c>
      <c r="U140" s="73">
        <f>SUMPRODUCT(-(Bens!$B$4:$B$90=Analítico!$B140),-(Bens!$D$4:$D$90=Analítico!U$3),(Bens!$G$4:$G$90))</f>
        <v>0</v>
      </c>
      <c r="V140" s="73">
        <f>SUMPRODUCT(-(Bens!$B$4:$B$90=Analítico!$B140),-(Bens!$D$4:$D$90=Analítico!V$3),(Bens!$G$4:$G$90))</f>
        <v>0</v>
      </c>
      <c r="W140" s="73">
        <f>SUMPRODUCT(-(Bens!$B$4:$B$90=Analítico!$B140),-(Bens!$D$4:$D$90=Analítico!W$3),(Bens!$G$4:$G$90))</f>
        <v>0</v>
      </c>
      <c r="X140" s="73">
        <f>SUMPRODUCT(-(Bens!$B$4:$B$90=Analítico!$B140),-(Bens!$D$4:$D$90=Analítico!X$3),(Bens!$G$4:$G$90))</f>
        <v>0</v>
      </c>
      <c r="Y140" s="73">
        <f>SUMPRODUCT(-(Bens!$B$4:$B$90=Analítico!$B140),-(Bens!$D$4:$D$90=Analítico!Y$3),(Bens!$G$4:$G$90))</f>
        <v>0</v>
      </c>
      <c r="Z140" s="73">
        <f>SUMPRODUCT(-(Bens!$B$4:$B$90=Analítico!$B140),-(Bens!$D$4:$D$90=Analítico!Z$3),(Bens!$G$4:$G$90))</f>
        <v>0</v>
      </c>
      <c r="AA140" s="73">
        <f>SUMPRODUCT(-(Bens!$B$4:$B$90=Analítico!$B140),-(Bens!$D$4:$D$90=Analítico!AA$3),(Bens!$G$4:$G$90))</f>
        <v>0</v>
      </c>
      <c r="AB140" s="73">
        <f>SUMPRODUCT(-(Bens!$B$4:$B$90=Analítico!$B140),-(Bens!$D$4:$D$90=Analítico!AB$3),(Bens!$G$4:$G$90))</f>
        <v>0</v>
      </c>
      <c r="AC140" s="73">
        <f>SUMPRODUCT(-(Bens!$B$4:$B$90=Analítico!$B140),-(Bens!$D$4:$D$90=Analítico!AC$3),(Bens!$G$4:$G$90))</f>
        <v>0</v>
      </c>
      <c r="AD140" s="73">
        <f>SUMPRODUCT(-(Bens!$B$4:$B$90=Analítico!$B140),-(Bens!$D$4:$D$90=Analítico!AD$3),(Bens!$G$4:$G$90))</f>
        <v>0</v>
      </c>
      <c r="AE140" s="73">
        <f>SUMPRODUCT(-(Bens!$B$4:$B$90=Analítico!$B140),-(Bens!$D$4:$D$90=Analítico!AE$3),(Bens!$G$4:$G$90))</f>
        <v>0</v>
      </c>
      <c r="AF140" s="73">
        <f>SUMPRODUCT(-(Bens!$B$4:$B$90=Analítico!$B140),-(Bens!$D$4:$D$90=Analítico!AF$3),(Bens!$G$4:$G$90))</f>
        <v>0</v>
      </c>
      <c r="AG140" s="73">
        <f>SUMPRODUCT(-(Bens!$B$4:$B$90=Analítico!$B140),-(Bens!$D$4:$D$90=Analítico!AG$3),(Bens!$G$4:$G$90))</f>
        <v>0</v>
      </c>
      <c r="AH140" s="73">
        <f>SUMPRODUCT(-(Bens!$B$4:$B$90=Analítico!$B140),-(Bens!$D$4:$D$90=Analítico!AH$3),(Bens!$G$4:$G$90))</f>
        <v>0</v>
      </c>
      <c r="AI140" s="73">
        <f>SUMPRODUCT(-(Bens!$B$4:$B$90=Analítico!$B140),-(Bens!$D$4:$D$90=Analítico!AI$3),(Bens!$G$4:$G$90))</f>
        <v>0</v>
      </c>
      <c r="AJ140" s="73">
        <f>SUMPRODUCT(-(Bens!$B$4:$B$90=Analítico!$B140),-(Bens!$D$4:$D$90=Analítico!AJ$3),(Bens!$G$4:$G$90))</f>
        <v>0</v>
      </c>
      <c r="AK140" s="73">
        <f>SUMPRODUCT(-(Bens!$B$4:$B$90=Analítico!$B140),-(Bens!$D$4:$D$90=Analítico!AK$3),(Bens!$G$4:$G$90))</f>
        <v>0</v>
      </c>
      <c r="AL140" s="73">
        <f>SUMPRODUCT(-(Bens!$B$4:$B$90=Analítico!$B140),-(Bens!$D$4:$D$90=Analítico!AL$3),(Bens!$G$4:$G$90))</f>
        <v>0</v>
      </c>
      <c r="AM140" s="73">
        <f>SUMPRODUCT(-(Bens!$B$4:$B$90=Analítico!$B140),-(Bens!$D$4:$D$90=Analítico!AM$3),(Bens!$G$4:$G$90))</f>
        <v>0</v>
      </c>
      <c r="AN140" s="73">
        <f>SUMPRODUCT(-(Bens!$B$4:$B$90=Analítico!$B140),-(Bens!$D$4:$D$90=Analítico!AN$3),(Bens!$G$4:$G$90))</f>
        <v>0</v>
      </c>
      <c r="AO140" s="73">
        <f>SUMPRODUCT(-(Bens!$B$4:$B$90=Analítico!$B140),-(Bens!$D$4:$D$90=Analítico!AO$3),(Bens!$G$4:$G$90))</f>
        <v>0</v>
      </c>
      <c r="AP140" s="73">
        <f>SUMPRODUCT(-(Bens!$B$4:$B$90=Analítico!$B140),-(Bens!$D$4:$D$90=Analítico!AP$3),(Bens!$G$4:$G$90))</f>
        <v>0</v>
      </c>
      <c r="AQ140" s="73">
        <f>SUMPRODUCT(-(Bens!$B$4:$B$90=Analítico!$B140),-(Bens!$D$4:$D$90=Analítico!AQ$3),(Bens!$G$4:$G$90))</f>
        <v>0</v>
      </c>
      <c r="AR140" s="73">
        <f>SUMPRODUCT(-(Bens!$B$4:$B$90=Analítico!$B140),-(Bens!$D$4:$D$90=Analítico!AR$3),(Bens!$G$4:$G$90))</f>
        <v>0</v>
      </c>
      <c r="AS140" s="73">
        <f>SUMPRODUCT(-(Bens!$B$4:$B$90=Analítico!$B140),-(Bens!$D$4:$D$90=Analítico!AS$3),(Bens!$G$4:$G$90))</f>
        <v>0</v>
      </c>
      <c r="AT140" s="73">
        <f>SUMPRODUCT(-(Bens!$B$4:$B$90=Analítico!$B140),-(Bens!$D$4:$D$90=Analítico!AT$3),(Bens!$G$4:$G$90))</f>
        <v>0</v>
      </c>
      <c r="AU140" s="73">
        <f>SUMPRODUCT(-(Bens!$B$4:$B$90=Analítico!$B140),-(Bens!$D$4:$D$90=Analítico!AU$3),(Bens!$G$4:$G$90))</f>
        <v>0</v>
      </c>
      <c r="AV140" s="73">
        <f>SUMPRODUCT(-(Bens!$B$4:$B$90=Analítico!$B140),-(Bens!$D$4:$D$90=Analítico!AV$3),(Bens!$G$4:$G$90))</f>
        <v>0</v>
      </c>
      <c r="AW140" s="73">
        <f>SUMPRODUCT(-(Bens!$B$4:$B$90=Analítico!$B140),-(Bens!$D$4:$D$90=Analítico!AW$3),(Bens!$G$4:$G$90))</f>
        <v>0</v>
      </c>
      <c r="AX140" s="73">
        <f>SUMPRODUCT(-(Bens!$B$4:$B$90=Analítico!$B140),-(Bens!$D$4:$D$90=Analítico!AX$3),(Bens!$G$4:$G$90))</f>
        <v>0</v>
      </c>
      <c r="AY140" s="73">
        <f>SUMPRODUCT(-(Bens!$B$4:$B$90=Analítico!$B140),-(Bens!$D$4:$D$90=Analítico!AY$3),(Bens!$G$4:$G$90))</f>
        <v>0</v>
      </c>
      <c r="AZ140" s="73">
        <f>SUMPRODUCT(-(Bens!$B$4:$B$90=Analítico!$B140),-(Bens!$D$4:$D$90=Analítico!AZ$3),(Bens!$G$4:$G$90))</f>
        <v>0</v>
      </c>
      <c r="BA140" s="73">
        <f>SUMPRODUCT(-(Bens!$B$4:$B$90=Analítico!$B140),-(Bens!$D$4:$D$90=Analítico!BA$3),(Bens!$G$4:$G$90))</f>
        <v>0</v>
      </c>
      <c r="BB140" s="73">
        <f>SUMPRODUCT(-(Bens!$B$4:$B$90=Analítico!$B140),-(Bens!$D$4:$D$90=Analítico!BB$3),(Bens!$G$4:$G$90))</f>
        <v>0</v>
      </c>
      <c r="BC140" s="73">
        <f>SUMPRODUCT(-(Bens!$B$4:$B$90=Analítico!$B140),-(Bens!$D$4:$D$90=Analítico!BC$3),(Bens!$G$4:$G$90))</f>
        <v>0</v>
      </c>
      <c r="BD140" s="73">
        <f>SUMPRODUCT(-(Bens!$B$4:$B$90=Analítico!$B140),-(Bens!$D$4:$D$90=Analítico!BD$3),(Bens!$G$4:$G$90))</f>
        <v>0</v>
      </c>
      <c r="BE140" s="73">
        <f>SUMPRODUCT(-(Bens!$B$4:$B$90=Analítico!$B140),-(Bens!$D$4:$D$90=Analítico!BE$3),(Bens!$G$4:$G$90))</f>
        <v>0</v>
      </c>
      <c r="BF140" s="73">
        <f>SUMPRODUCT(-(Bens!$B$4:$B$90=Analítico!$B140),-(Bens!$D$4:$D$90=Analítico!BF$3),(Bens!$G$4:$G$90))</f>
        <v>0</v>
      </c>
      <c r="BG140" s="73">
        <f>SUMPRODUCT(-(Bens!$B$4:$B$90=Analítico!$B140),-(Bens!$D$4:$D$90=Analítico!BG$3),(Bens!$G$4:$G$90))</f>
        <v>0</v>
      </c>
      <c r="BH140" s="73">
        <f>SUMPRODUCT(-(Bens!$B$4:$B$90=Analítico!$B140),-(Bens!$D$4:$D$90=Analítico!BH$3),(Bens!$G$4:$G$90))</f>
        <v>0</v>
      </c>
      <c r="BI140" s="73">
        <f>SUMPRODUCT(-(Bens!$B$4:$B$90=Analítico!$B140),-(Bens!$D$4:$D$90=Analítico!BI$3),(Bens!$G$4:$G$90))</f>
        <v>0</v>
      </c>
      <c r="BJ140" s="73">
        <f>SUMPRODUCT(-(Bens!$B$4:$B$90=Analítico!$B140),-(Bens!$D$4:$D$90=Analítico!BJ$3),(Bens!$G$4:$G$90))</f>
        <v>0</v>
      </c>
      <c r="BK140" s="71">
        <f t="shared" si="39"/>
        <v>200000</v>
      </c>
      <c r="BL140" s="76">
        <f t="shared" ca="1" si="40"/>
        <v>5.4551968508505981E-4</v>
      </c>
    </row>
    <row r="141" spans="1:64" s="49" customFormat="1" ht="23.25" customHeight="1" x14ac:dyDescent="0.2">
      <c r="A141" s="19" t="s">
        <v>347</v>
      </c>
      <c r="B141" s="20" t="s">
        <v>348</v>
      </c>
      <c r="C141" s="73">
        <f>SUMPRODUCT(-(Bens!$B$4:$B$90=Analítico!$B141),-(Bens!$D$4:$D$90=Analítico!C$3),(Bens!$G$4:$G$90))</f>
        <v>0</v>
      </c>
      <c r="D141" s="73">
        <f>SUMPRODUCT(-(Bens!$B$4:$B$90=Analítico!$B141),-(Bens!$D$4:$D$90=Analítico!D$3),(Bens!$G$4:$G$90))</f>
        <v>0</v>
      </c>
      <c r="E141" s="73">
        <f>SUMPRODUCT(-(Bens!$B$4:$B$90=Analítico!$B141),-(Bens!$D$4:$D$90=Analítico!E$3),(Bens!$G$4:$G$90))</f>
        <v>0</v>
      </c>
      <c r="F141" s="73">
        <f>SUMPRODUCT(-(Bens!$B$4:$B$90=Analítico!$B141),-(Bens!$D$4:$D$90=Analítico!F$3),(Bens!$G$4:$G$90))</f>
        <v>0</v>
      </c>
      <c r="G141" s="73">
        <f>SUMPRODUCT(-(Bens!$B$4:$B$90=Analítico!$B141),-(Bens!$D$4:$D$90=Analítico!G$3),(Bens!$G$4:$G$90))</f>
        <v>0</v>
      </c>
      <c r="H141" s="73">
        <f>SUMPRODUCT(-(Bens!$B$4:$B$90=Analítico!$B141),-(Bens!$D$4:$D$90=Analítico!H$3),(Bens!$G$4:$G$90))</f>
        <v>0</v>
      </c>
      <c r="I141" s="73">
        <f>SUMPRODUCT(-(Bens!$B$4:$B$90=Analítico!$B141),-(Bens!$D$4:$D$90=Analítico!I$3),(Bens!$G$4:$G$90))</f>
        <v>0</v>
      </c>
      <c r="J141" s="73">
        <f>SUMPRODUCT(-(Bens!$B$4:$B$90=Analítico!$B141),-(Bens!$D$4:$D$90=Analítico!J$3),(Bens!$G$4:$G$90))</f>
        <v>0</v>
      </c>
      <c r="K141" s="73">
        <f>SUMPRODUCT(-(Bens!$B$4:$B$90=Analítico!$B141),-(Bens!$D$4:$D$90=Analítico!K$3),(Bens!$G$4:$G$90))</f>
        <v>0</v>
      </c>
      <c r="L141" s="73">
        <f>SUMPRODUCT(-(Bens!$B$4:$B$90=Analítico!$B141),-(Bens!$D$4:$D$90=Analítico!L$3),(Bens!$G$4:$G$90))</f>
        <v>0</v>
      </c>
      <c r="M141" s="73">
        <f>SUMPRODUCT(-(Bens!$B$4:$B$90=Analítico!$B141),-(Bens!$D$4:$D$90=Analítico!M$3),(Bens!$G$4:$G$90))</f>
        <v>0</v>
      </c>
      <c r="N141" s="73">
        <f>SUMPRODUCT(-(Bens!$B$4:$B$90=Analítico!$B141),-(Bens!$D$4:$D$90=Analítico!N$3),(Bens!$G$4:$G$90))</f>
        <v>0</v>
      </c>
      <c r="O141" s="73">
        <f>SUMPRODUCT(-(Bens!$B$4:$B$90=Analítico!$B141),-(Bens!$D$4:$D$90=Analítico!O$3),(Bens!$G$4:$G$90))</f>
        <v>0</v>
      </c>
      <c r="P141" s="73">
        <f>SUMPRODUCT(-(Bens!$B$4:$B$90=Analítico!$B141),-(Bens!$D$4:$D$90=Analítico!P$3),(Bens!$G$4:$G$90))</f>
        <v>0</v>
      </c>
      <c r="Q141" s="73">
        <f>SUMPRODUCT(-(Bens!$B$4:$B$90=Analítico!$B141),-(Bens!$D$4:$D$90=Analítico!Q$3),(Bens!$G$4:$G$90))</f>
        <v>0</v>
      </c>
      <c r="R141" s="73">
        <f>SUMPRODUCT(-(Bens!$B$4:$B$90=Analítico!$B141),-(Bens!$D$4:$D$90=Analítico!R$3),(Bens!$G$4:$G$90))</f>
        <v>0</v>
      </c>
      <c r="S141" s="73">
        <f>SUMPRODUCT(-(Bens!$B$4:$B$90=Analítico!$B141),-(Bens!$D$4:$D$90=Analítico!S$3),(Bens!$G$4:$G$90))</f>
        <v>0</v>
      </c>
      <c r="T141" s="73">
        <f>SUMPRODUCT(-(Bens!$B$4:$B$90=Analítico!$B141),-(Bens!$D$4:$D$90=Analítico!T$3),(Bens!$G$4:$G$90))</f>
        <v>0</v>
      </c>
      <c r="U141" s="73">
        <f>SUMPRODUCT(-(Bens!$B$4:$B$90=Analítico!$B141),-(Bens!$D$4:$D$90=Analítico!U$3),(Bens!$G$4:$G$90))</f>
        <v>0</v>
      </c>
      <c r="V141" s="73">
        <f>SUMPRODUCT(-(Bens!$B$4:$B$90=Analítico!$B141),-(Bens!$D$4:$D$90=Analítico!V$3),(Bens!$G$4:$G$90))</f>
        <v>0</v>
      </c>
      <c r="W141" s="73">
        <f>SUMPRODUCT(-(Bens!$B$4:$B$90=Analítico!$B141),-(Bens!$D$4:$D$90=Analítico!W$3),(Bens!$G$4:$G$90))</f>
        <v>0</v>
      </c>
      <c r="X141" s="73">
        <f>SUMPRODUCT(-(Bens!$B$4:$B$90=Analítico!$B141),-(Bens!$D$4:$D$90=Analítico!X$3),(Bens!$G$4:$G$90))</f>
        <v>0</v>
      </c>
      <c r="Y141" s="73">
        <f>SUMPRODUCT(-(Bens!$B$4:$B$90=Analítico!$B141),-(Bens!$D$4:$D$90=Analítico!Y$3),(Bens!$G$4:$G$90))</f>
        <v>0</v>
      </c>
      <c r="Z141" s="73">
        <f>SUMPRODUCT(-(Bens!$B$4:$B$90=Analítico!$B141),-(Bens!$D$4:$D$90=Analítico!Z$3),(Bens!$G$4:$G$90))</f>
        <v>0</v>
      </c>
      <c r="AA141" s="73">
        <f>SUMPRODUCT(-(Bens!$B$4:$B$90=Analítico!$B141),-(Bens!$D$4:$D$90=Analítico!AA$3),(Bens!$G$4:$G$90))</f>
        <v>0</v>
      </c>
      <c r="AB141" s="73">
        <f>SUMPRODUCT(-(Bens!$B$4:$B$90=Analítico!$B141),-(Bens!$D$4:$D$90=Analítico!AB$3),(Bens!$G$4:$G$90))</f>
        <v>0</v>
      </c>
      <c r="AC141" s="73">
        <f>SUMPRODUCT(-(Bens!$B$4:$B$90=Analítico!$B141),-(Bens!$D$4:$D$90=Analítico!AC$3),(Bens!$G$4:$G$90))</f>
        <v>0</v>
      </c>
      <c r="AD141" s="73">
        <f>SUMPRODUCT(-(Bens!$B$4:$B$90=Analítico!$B141),-(Bens!$D$4:$D$90=Analítico!AD$3),(Bens!$G$4:$G$90))</f>
        <v>0</v>
      </c>
      <c r="AE141" s="73">
        <f>SUMPRODUCT(-(Bens!$B$4:$B$90=Analítico!$B141),-(Bens!$D$4:$D$90=Analítico!AE$3),(Bens!$G$4:$G$90))</f>
        <v>0</v>
      </c>
      <c r="AF141" s="73">
        <f>SUMPRODUCT(-(Bens!$B$4:$B$90=Analítico!$B141),-(Bens!$D$4:$D$90=Analítico!AF$3),(Bens!$G$4:$G$90))</f>
        <v>0</v>
      </c>
      <c r="AG141" s="73">
        <f>SUMPRODUCT(-(Bens!$B$4:$B$90=Analítico!$B141),-(Bens!$D$4:$D$90=Analítico!AG$3),(Bens!$G$4:$G$90))</f>
        <v>0</v>
      </c>
      <c r="AH141" s="73">
        <f>SUMPRODUCT(-(Bens!$B$4:$B$90=Analítico!$B141),-(Bens!$D$4:$D$90=Analítico!AH$3),(Bens!$G$4:$G$90))</f>
        <v>0</v>
      </c>
      <c r="AI141" s="73">
        <f>SUMPRODUCT(-(Bens!$B$4:$B$90=Analítico!$B141),-(Bens!$D$4:$D$90=Analítico!AI$3),(Bens!$G$4:$G$90))</f>
        <v>0</v>
      </c>
      <c r="AJ141" s="73">
        <f>SUMPRODUCT(-(Bens!$B$4:$B$90=Analítico!$B141),-(Bens!$D$4:$D$90=Analítico!AJ$3),(Bens!$G$4:$G$90))</f>
        <v>0</v>
      </c>
      <c r="AK141" s="73">
        <f>SUMPRODUCT(-(Bens!$B$4:$B$90=Analítico!$B141),-(Bens!$D$4:$D$90=Analítico!AK$3),(Bens!$G$4:$G$90))</f>
        <v>0</v>
      </c>
      <c r="AL141" s="73">
        <f>SUMPRODUCT(-(Bens!$B$4:$B$90=Analítico!$B141),-(Bens!$D$4:$D$90=Analítico!AL$3),(Bens!$G$4:$G$90))</f>
        <v>0</v>
      </c>
      <c r="AM141" s="73">
        <f>SUMPRODUCT(-(Bens!$B$4:$B$90=Analítico!$B141),-(Bens!$D$4:$D$90=Analítico!AM$3),(Bens!$G$4:$G$90))</f>
        <v>0</v>
      </c>
      <c r="AN141" s="73">
        <f>SUMPRODUCT(-(Bens!$B$4:$B$90=Analítico!$B141),-(Bens!$D$4:$D$90=Analítico!AN$3),(Bens!$G$4:$G$90))</f>
        <v>0</v>
      </c>
      <c r="AO141" s="73">
        <f>SUMPRODUCT(-(Bens!$B$4:$B$90=Analítico!$B141),-(Bens!$D$4:$D$90=Analítico!AO$3),(Bens!$G$4:$G$90))</f>
        <v>0</v>
      </c>
      <c r="AP141" s="73">
        <f>SUMPRODUCT(-(Bens!$B$4:$B$90=Analítico!$B141),-(Bens!$D$4:$D$90=Analítico!AP$3),(Bens!$G$4:$G$90))</f>
        <v>0</v>
      </c>
      <c r="AQ141" s="73">
        <f>SUMPRODUCT(-(Bens!$B$4:$B$90=Analítico!$B141),-(Bens!$D$4:$D$90=Analítico!AQ$3),(Bens!$G$4:$G$90))</f>
        <v>0</v>
      </c>
      <c r="AR141" s="73">
        <f>SUMPRODUCT(-(Bens!$B$4:$B$90=Analítico!$B141),-(Bens!$D$4:$D$90=Analítico!AR$3),(Bens!$G$4:$G$90))</f>
        <v>0</v>
      </c>
      <c r="AS141" s="73">
        <f>SUMPRODUCT(-(Bens!$B$4:$B$90=Analítico!$B141),-(Bens!$D$4:$D$90=Analítico!AS$3),(Bens!$G$4:$G$90))</f>
        <v>0</v>
      </c>
      <c r="AT141" s="73">
        <f>SUMPRODUCT(-(Bens!$B$4:$B$90=Analítico!$B141),-(Bens!$D$4:$D$90=Analítico!AT$3),(Bens!$G$4:$G$90))</f>
        <v>0</v>
      </c>
      <c r="AU141" s="73">
        <f>SUMPRODUCT(-(Bens!$B$4:$B$90=Analítico!$B141),-(Bens!$D$4:$D$90=Analítico!AU$3),(Bens!$G$4:$G$90))</f>
        <v>0</v>
      </c>
      <c r="AV141" s="73">
        <f>SUMPRODUCT(-(Bens!$B$4:$B$90=Analítico!$B141),-(Bens!$D$4:$D$90=Analítico!AV$3),(Bens!$G$4:$G$90))</f>
        <v>0</v>
      </c>
      <c r="AW141" s="73">
        <f>SUMPRODUCT(-(Bens!$B$4:$B$90=Analítico!$B141),-(Bens!$D$4:$D$90=Analítico!AW$3),(Bens!$G$4:$G$90))</f>
        <v>0</v>
      </c>
      <c r="AX141" s="73">
        <f>SUMPRODUCT(-(Bens!$B$4:$B$90=Analítico!$B141),-(Bens!$D$4:$D$90=Analítico!AX$3),(Bens!$G$4:$G$90))</f>
        <v>0</v>
      </c>
      <c r="AY141" s="73">
        <f>SUMPRODUCT(-(Bens!$B$4:$B$90=Analítico!$B141),-(Bens!$D$4:$D$90=Analítico!AY$3),(Bens!$G$4:$G$90))</f>
        <v>0</v>
      </c>
      <c r="AZ141" s="73">
        <f>SUMPRODUCT(-(Bens!$B$4:$B$90=Analítico!$B141),-(Bens!$D$4:$D$90=Analítico!AZ$3),(Bens!$G$4:$G$90))</f>
        <v>0</v>
      </c>
      <c r="BA141" s="73">
        <f>SUMPRODUCT(-(Bens!$B$4:$B$90=Analítico!$B141),-(Bens!$D$4:$D$90=Analítico!BA$3),(Bens!$G$4:$G$90))</f>
        <v>0</v>
      </c>
      <c r="BB141" s="73">
        <f>SUMPRODUCT(-(Bens!$B$4:$B$90=Analítico!$B141),-(Bens!$D$4:$D$90=Analítico!BB$3),(Bens!$G$4:$G$90))</f>
        <v>0</v>
      </c>
      <c r="BC141" s="73">
        <f>SUMPRODUCT(-(Bens!$B$4:$B$90=Analítico!$B141),-(Bens!$D$4:$D$90=Analítico!BC$3),(Bens!$G$4:$G$90))</f>
        <v>0</v>
      </c>
      <c r="BD141" s="73">
        <f>SUMPRODUCT(-(Bens!$B$4:$B$90=Analítico!$B141),-(Bens!$D$4:$D$90=Analítico!BD$3),(Bens!$G$4:$G$90))</f>
        <v>0</v>
      </c>
      <c r="BE141" s="73">
        <f>SUMPRODUCT(-(Bens!$B$4:$B$90=Analítico!$B141),-(Bens!$D$4:$D$90=Analítico!BE$3),(Bens!$G$4:$G$90))</f>
        <v>0</v>
      </c>
      <c r="BF141" s="73">
        <f>SUMPRODUCT(-(Bens!$B$4:$B$90=Analítico!$B141),-(Bens!$D$4:$D$90=Analítico!BF$3),(Bens!$G$4:$G$90))</f>
        <v>0</v>
      </c>
      <c r="BG141" s="73">
        <f>SUMPRODUCT(-(Bens!$B$4:$B$90=Analítico!$B141),-(Bens!$D$4:$D$90=Analítico!BG$3),(Bens!$G$4:$G$90))</f>
        <v>0</v>
      </c>
      <c r="BH141" s="73">
        <f>SUMPRODUCT(-(Bens!$B$4:$B$90=Analítico!$B141),-(Bens!$D$4:$D$90=Analítico!BH$3),(Bens!$G$4:$G$90))</f>
        <v>0</v>
      </c>
      <c r="BI141" s="73">
        <f>SUMPRODUCT(-(Bens!$B$4:$B$90=Analítico!$B141),-(Bens!$D$4:$D$90=Analítico!BI$3),(Bens!$G$4:$G$90))</f>
        <v>0</v>
      </c>
      <c r="BJ141" s="73">
        <f>SUMPRODUCT(-(Bens!$B$4:$B$90=Analítico!$B141),-(Bens!$D$4:$D$90=Analítico!BJ$3),(Bens!$G$4:$G$90))</f>
        <v>0</v>
      </c>
      <c r="BK141" s="71">
        <f t="shared" si="39"/>
        <v>0</v>
      </c>
      <c r="BL141" s="76">
        <f t="shared" ca="1" si="40"/>
        <v>0</v>
      </c>
    </row>
    <row r="142" spans="1:64" s="49" customFormat="1" ht="23.25" customHeight="1" x14ac:dyDescent="0.2">
      <c r="A142" s="19" t="s">
        <v>349</v>
      </c>
      <c r="B142" s="20" t="s">
        <v>350</v>
      </c>
      <c r="C142" s="73">
        <f>SUMPRODUCT(-(Bens!$B$4:$B$90=Analítico!$B142),-(Bens!$D$4:$D$90=Analítico!C$3),(Bens!$G$4:$G$90))</f>
        <v>0</v>
      </c>
      <c r="D142" s="73">
        <f>SUMPRODUCT(-(Bens!$B$4:$B$90=Analítico!$B142),-(Bens!$D$4:$D$90=Analítico!D$3),(Bens!$G$4:$G$90))</f>
        <v>0</v>
      </c>
      <c r="E142" s="73">
        <f>SUMPRODUCT(-(Bens!$B$4:$B$90=Analítico!$B142),-(Bens!$D$4:$D$90=Analítico!E$3),(Bens!$G$4:$G$90))</f>
        <v>0</v>
      </c>
      <c r="F142" s="73">
        <f>SUMPRODUCT(-(Bens!$B$4:$B$90=Analítico!$B142),-(Bens!$D$4:$D$90=Analítico!F$3),(Bens!$G$4:$G$90))</f>
        <v>0</v>
      </c>
      <c r="G142" s="73">
        <f>SUMPRODUCT(-(Bens!$B$4:$B$90=Analítico!$B142),-(Bens!$D$4:$D$90=Analítico!G$3),(Bens!$G$4:$G$90))</f>
        <v>0</v>
      </c>
      <c r="H142" s="73">
        <f>SUMPRODUCT(-(Bens!$B$4:$B$90=Analítico!$B142),-(Bens!$D$4:$D$90=Analítico!H$3),(Bens!$G$4:$G$90))</f>
        <v>0</v>
      </c>
      <c r="I142" s="73">
        <f>SUMPRODUCT(-(Bens!$B$4:$B$90=Analítico!$B142),-(Bens!$D$4:$D$90=Analítico!I$3),(Bens!$G$4:$G$90))</f>
        <v>0</v>
      </c>
      <c r="J142" s="73">
        <f>SUMPRODUCT(-(Bens!$B$4:$B$90=Analítico!$B142),-(Bens!$D$4:$D$90=Analítico!J$3),(Bens!$G$4:$G$90))</f>
        <v>0</v>
      </c>
      <c r="K142" s="73">
        <f>SUMPRODUCT(-(Bens!$B$4:$B$90=Analítico!$B142),-(Bens!$D$4:$D$90=Analítico!K$3),(Bens!$G$4:$G$90))</f>
        <v>0</v>
      </c>
      <c r="L142" s="73">
        <f>SUMPRODUCT(-(Bens!$B$4:$B$90=Analítico!$B142),-(Bens!$D$4:$D$90=Analítico!L$3),(Bens!$G$4:$G$90))</f>
        <v>0</v>
      </c>
      <c r="M142" s="73">
        <f>SUMPRODUCT(-(Bens!$B$4:$B$90=Analítico!$B142),-(Bens!$D$4:$D$90=Analítico!M$3),(Bens!$G$4:$G$90))</f>
        <v>0</v>
      </c>
      <c r="N142" s="73">
        <f>SUMPRODUCT(-(Bens!$B$4:$B$90=Analítico!$B142),-(Bens!$D$4:$D$90=Analítico!N$3),(Bens!$G$4:$G$90))</f>
        <v>0</v>
      </c>
      <c r="O142" s="73">
        <f>SUMPRODUCT(-(Bens!$B$4:$B$90=Analítico!$B142),-(Bens!$D$4:$D$90=Analítico!O$3),(Bens!$G$4:$G$90))</f>
        <v>0</v>
      </c>
      <c r="P142" s="73">
        <f>SUMPRODUCT(-(Bens!$B$4:$B$90=Analítico!$B142),-(Bens!$D$4:$D$90=Analítico!P$3),(Bens!$G$4:$G$90))</f>
        <v>0</v>
      </c>
      <c r="Q142" s="73">
        <f>SUMPRODUCT(-(Bens!$B$4:$B$90=Analítico!$B142),-(Bens!$D$4:$D$90=Analítico!Q$3),(Bens!$G$4:$G$90))</f>
        <v>600000</v>
      </c>
      <c r="R142" s="73">
        <f>SUMPRODUCT(-(Bens!$B$4:$B$90=Analítico!$B142),-(Bens!$D$4:$D$90=Analítico!R$3),(Bens!$G$4:$G$90))</f>
        <v>0</v>
      </c>
      <c r="S142" s="73">
        <f>SUMPRODUCT(-(Bens!$B$4:$B$90=Analítico!$B142),-(Bens!$D$4:$D$90=Analítico!S$3),(Bens!$G$4:$G$90))</f>
        <v>0</v>
      </c>
      <c r="T142" s="73">
        <f>SUMPRODUCT(-(Bens!$B$4:$B$90=Analítico!$B142),-(Bens!$D$4:$D$90=Analítico!T$3),(Bens!$G$4:$G$90))</f>
        <v>0</v>
      </c>
      <c r="U142" s="73">
        <f>SUMPRODUCT(-(Bens!$B$4:$B$90=Analítico!$B142),-(Bens!$D$4:$D$90=Analítico!U$3),(Bens!$G$4:$G$90))</f>
        <v>0</v>
      </c>
      <c r="V142" s="73">
        <f>SUMPRODUCT(-(Bens!$B$4:$B$90=Analítico!$B142),-(Bens!$D$4:$D$90=Analítico!V$3),(Bens!$G$4:$G$90))</f>
        <v>0</v>
      </c>
      <c r="W142" s="73">
        <f>SUMPRODUCT(-(Bens!$B$4:$B$90=Analítico!$B142),-(Bens!$D$4:$D$90=Analítico!W$3),(Bens!$G$4:$G$90))</f>
        <v>0</v>
      </c>
      <c r="X142" s="73">
        <f>SUMPRODUCT(-(Bens!$B$4:$B$90=Analítico!$B142),-(Bens!$D$4:$D$90=Analítico!X$3),(Bens!$G$4:$G$90))</f>
        <v>0</v>
      </c>
      <c r="Y142" s="73">
        <f>SUMPRODUCT(-(Bens!$B$4:$B$90=Analítico!$B142),-(Bens!$D$4:$D$90=Analítico!Y$3),(Bens!$G$4:$G$90))</f>
        <v>0</v>
      </c>
      <c r="Z142" s="73">
        <f>SUMPRODUCT(-(Bens!$B$4:$B$90=Analítico!$B142),-(Bens!$D$4:$D$90=Analítico!Z$3),(Bens!$G$4:$G$90))</f>
        <v>0</v>
      </c>
      <c r="AA142" s="73">
        <f>SUMPRODUCT(-(Bens!$B$4:$B$90=Analítico!$B142),-(Bens!$D$4:$D$90=Analítico!AA$3),(Bens!$G$4:$G$90))</f>
        <v>0</v>
      </c>
      <c r="AB142" s="73">
        <f>SUMPRODUCT(-(Bens!$B$4:$B$90=Analítico!$B142),-(Bens!$D$4:$D$90=Analítico!AB$3),(Bens!$G$4:$G$90))</f>
        <v>0</v>
      </c>
      <c r="AC142" s="73">
        <f>SUMPRODUCT(-(Bens!$B$4:$B$90=Analítico!$B142),-(Bens!$D$4:$D$90=Analítico!AC$3),(Bens!$G$4:$G$90))</f>
        <v>0</v>
      </c>
      <c r="AD142" s="73">
        <f>SUMPRODUCT(-(Bens!$B$4:$B$90=Analítico!$B142),-(Bens!$D$4:$D$90=Analítico!AD$3),(Bens!$G$4:$G$90))</f>
        <v>0</v>
      </c>
      <c r="AE142" s="73">
        <f>SUMPRODUCT(-(Bens!$B$4:$B$90=Analítico!$B142),-(Bens!$D$4:$D$90=Analítico!AE$3),(Bens!$G$4:$G$90))</f>
        <v>0</v>
      </c>
      <c r="AF142" s="73">
        <f>SUMPRODUCT(-(Bens!$B$4:$B$90=Analítico!$B142),-(Bens!$D$4:$D$90=Analítico!AF$3),(Bens!$G$4:$G$90))</f>
        <v>0</v>
      </c>
      <c r="AG142" s="73">
        <f>SUMPRODUCT(-(Bens!$B$4:$B$90=Analítico!$B142),-(Bens!$D$4:$D$90=Analítico!AG$3),(Bens!$G$4:$G$90))</f>
        <v>0</v>
      </c>
      <c r="AH142" s="73">
        <f>SUMPRODUCT(-(Bens!$B$4:$B$90=Analítico!$B142),-(Bens!$D$4:$D$90=Analítico!AH$3),(Bens!$G$4:$G$90))</f>
        <v>0</v>
      </c>
      <c r="AI142" s="73">
        <f>SUMPRODUCT(-(Bens!$B$4:$B$90=Analítico!$B142),-(Bens!$D$4:$D$90=Analítico!AI$3),(Bens!$G$4:$G$90))</f>
        <v>0</v>
      </c>
      <c r="AJ142" s="73">
        <f>SUMPRODUCT(-(Bens!$B$4:$B$90=Analítico!$B142),-(Bens!$D$4:$D$90=Analítico!AJ$3),(Bens!$G$4:$G$90))</f>
        <v>0</v>
      </c>
      <c r="AK142" s="73">
        <f>SUMPRODUCT(-(Bens!$B$4:$B$90=Analítico!$B142),-(Bens!$D$4:$D$90=Analítico!AK$3),(Bens!$G$4:$G$90))</f>
        <v>0</v>
      </c>
      <c r="AL142" s="73">
        <f>SUMPRODUCT(-(Bens!$B$4:$B$90=Analítico!$B142),-(Bens!$D$4:$D$90=Analítico!AL$3),(Bens!$G$4:$G$90))</f>
        <v>0</v>
      </c>
      <c r="AM142" s="73">
        <f>SUMPRODUCT(-(Bens!$B$4:$B$90=Analítico!$B142),-(Bens!$D$4:$D$90=Analítico!AM$3),(Bens!$G$4:$G$90))</f>
        <v>0</v>
      </c>
      <c r="AN142" s="73">
        <f>SUMPRODUCT(-(Bens!$B$4:$B$90=Analítico!$B142),-(Bens!$D$4:$D$90=Analítico!AN$3),(Bens!$G$4:$G$90))</f>
        <v>0</v>
      </c>
      <c r="AO142" s="73">
        <f>SUMPRODUCT(-(Bens!$B$4:$B$90=Analítico!$B142),-(Bens!$D$4:$D$90=Analítico!AO$3),(Bens!$G$4:$G$90))</f>
        <v>0</v>
      </c>
      <c r="AP142" s="73">
        <f>SUMPRODUCT(-(Bens!$B$4:$B$90=Analítico!$B142),-(Bens!$D$4:$D$90=Analítico!AP$3),(Bens!$G$4:$G$90))</f>
        <v>0</v>
      </c>
      <c r="AQ142" s="73">
        <f>SUMPRODUCT(-(Bens!$B$4:$B$90=Analítico!$B142),-(Bens!$D$4:$D$90=Analítico!AQ$3),(Bens!$G$4:$G$90))</f>
        <v>0</v>
      </c>
      <c r="AR142" s="73">
        <f>SUMPRODUCT(-(Bens!$B$4:$B$90=Analítico!$B142),-(Bens!$D$4:$D$90=Analítico!AR$3),(Bens!$G$4:$G$90))</f>
        <v>0</v>
      </c>
      <c r="AS142" s="73">
        <f>SUMPRODUCT(-(Bens!$B$4:$B$90=Analítico!$B142),-(Bens!$D$4:$D$90=Analítico!AS$3),(Bens!$G$4:$G$90))</f>
        <v>0</v>
      </c>
      <c r="AT142" s="73">
        <f>SUMPRODUCT(-(Bens!$B$4:$B$90=Analítico!$B142),-(Bens!$D$4:$D$90=Analítico!AT$3),(Bens!$G$4:$G$90))</f>
        <v>0</v>
      </c>
      <c r="AU142" s="73">
        <f>SUMPRODUCT(-(Bens!$B$4:$B$90=Analítico!$B142),-(Bens!$D$4:$D$90=Analítico!AU$3),(Bens!$G$4:$G$90))</f>
        <v>0</v>
      </c>
      <c r="AV142" s="73">
        <f>SUMPRODUCT(-(Bens!$B$4:$B$90=Analítico!$B142),-(Bens!$D$4:$D$90=Analítico!AV$3),(Bens!$G$4:$G$90))</f>
        <v>0</v>
      </c>
      <c r="AW142" s="73">
        <f>SUMPRODUCT(-(Bens!$B$4:$B$90=Analítico!$B142),-(Bens!$D$4:$D$90=Analítico!AW$3),(Bens!$G$4:$G$90))</f>
        <v>0</v>
      </c>
      <c r="AX142" s="73">
        <f>SUMPRODUCT(-(Bens!$B$4:$B$90=Analítico!$B142),-(Bens!$D$4:$D$90=Analítico!AX$3),(Bens!$G$4:$G$90))</f>
        <v>0</v>
      </c>
      <c r="AY142" s="73">
        <f>SUMPRODUCT(-(Bens!$B$4:$B$90=Analítico!$B142),-(Bens!$D$4:$D$90=Analítico!AY$3),(Bens!$G$4:$G$90))</f>
        <v>0</v>
      </c>
      <c r="AZ142" s="73">
        <f>SUMPRODUCT(-(Bens!$B$4:$B$90=Analítico!$B142),-(Bens!$D$4:$D$90=Analítico!AZ$3),(Bens!$G$4:$G$90))</f>
        <v>0</v>
      </c>
      <c r="BA142" s="73">
        <f>SUMPRODUCT(-(Bens!$B$4:$B$90=Analítico!$B142),-(Bens!$D$4:$D$90=Analítico!BA$3),(Bens!$G$4:$G$90))</f>
        <v>0</v>
      </c>
      <c r="BB142" s="73">
        <f>SUMPRODUCT(-(Bens!$B$4:$B$90=Analítico!$B142),-(Bens!$D$4:$D$90=Analítico!BB$3),(Bens!$G$4:$G$90))</f>
        <v>0</v>
      </c>
      <c r="BC142" s="73">
        <f>SUMPRODUCT(-(Bens!$B$4:$B$90=Analítico!$B142),-(Bens!$D$4:$D$90=Analítico!BC$3),(Bens!$G$4:$G$90))</f>
        <v>0</v>
      </c>
      <c r="BD142" s="73">
        <f>SUMPRODUCT(-(Bens!$B$4:$B$90=Analítico!$B142),-(Bens!$D$4:$D$90=Analítico!BD$3),(Bens!$G$4:$G$90))</f>
        <v>0</v>
      </c>
      <c r="BE142" s="73">
        <f>SUMPRODUCT(-(Bens!$B$4:$B$90=Analítico!$B142),-(Bens!$D$4:$D$90=Analítico!BE$3),(Bens!$G$4:$G$90))</f>
        <v>0</v>
      </c>
      <c r="BF142" s="73">
        <f>SUMPRODUCT(-(Bens!$B$4:$B$90=Analítico!$B142),-(Bens!$D$4:$D$90=Analítico!BF$3),(Bens!$G$4:$G$90))</f>
        <v>0</v>
      </c>
      <c r="BG142" s="73">
        <f>SUMPRODUCT(-(Bens!$B$4:$B$90=Analítico!$B142),-(Bens!$D$4:$D$90=Analítico!BG$3),(Bens!$G$4:$G$90))</f>
        <v>0</v>
      </c>
      <c r="BH142" s="73">
        <f>SUMPRODUCT(-(Bens!$B$4:$B$90=Analítico!$B142),-(Bens!$D$4:$D$90=Analítico!BH$3),(Bens!$G$4:$G$90))</f>
        <v>0</v>
      </c>
      <c r="BI142" s="73">
        <f>SUMPRODUCT(-(Bens!$B$4:$B$90=Analítico!$B142),-(Bens!$D$4:$D$90=Analítico!BI$3),(Bens!$G$4:$G$90))</f>
        <v>0</v>
      </c>
      <c r="BJ142" s="73">
        <f>SUMPRODUCT(-(Bens!$B$4:$B$90=Analítico!$B142),-(Bens!$D$4:$D$90=Analítico!BJ$3),(Bens!$G$4:$G$90))</f>
        <v>0</v>
      </c>
      <c r="BK142" s="71">
        <f t="shared" si="39"/>
        <v>600000</v>
      </c>
      <c r="BL142" s="76">
        <f t="shared" ca="1" si="40"/>
        <v>1.6365590552551797E-3</v>
      </c>
    </row>
    <row r="143" spans="1:64" s="49" customFormat="1" ht="23.25" customHeight="1" x14ac:dyDescent="0.2">
      <c r="A143" s="19" t="s">
        <v>351</v>
      </c>
      <c r="B143" s="20" t="s">
        <v>352</v>
      </c>
      <c r="C143" s="73">
        <f>SUMPRODUCT(-(Bens!$B$4:$B$90=Analítico!$B143),-(Bens!$D$4:$D$90=Analítico!C$3),(Bens!$G$4:$G$90))</f>
        <v>0</v>
      </c>
      <c r="D143" s="73">
        <f>SUMPRODUCT(-(Bens!$B$4:$B$90=Analítico!$B143),-(Bens!$D$4:$D$90=Analítico!D$3),(Bens!$G$4:$G$90))</f>
        <v>0</v>
      </c>
      <c r="E143" s="73">
        <f>SUMPRODUCT(-(Bens!$B$4:$B$90=Analítico!$B143),-(Bens!$D$4:$D$90=Analítico!E$3),(Bens!$G$4:$G$90))</f>
        <v>0</v>
      </c>
      <c r="F143" s="73">
        <f>SUMPRODUCT(-(Bens!$B$4:$B$90=Analítico!$B143),-(Bens!$D$4:$D$90=Analítico!F$3),(Bens!$G$4:$G$90))</f>
        <v>0</v>
      </c>
      <c r="G143" s="73">
        <f>SUMPRODUCT(-(Bens!$B$4:$B$90=Analítico!$B143),-(Bens!$D$4:$D$90=Analítico!G$3),(Bens!$G$4:$G$90))</f>
        <v>0</v>
      </c>
      <c r="H143" s="73">
        <f>SUMPRODUCT(-(Bens!$B$4:$B$90=Analítico!$B143),-(Bens!$D$4:$D$90=Analítico!H$3),(Bens!$G$4:$G$90))</f>
        <v>0</v>
      </c>
      <c r="I143" s="73">
        <f>SUMPRODUCT(-(Bens!$B$4:$B$90=Analítico!$B143),-(Bens!$D$4:$D$90=Analítico!I$3),(Bens!$G$4:$G$90))</f>
        <v>0</v>
      </c>
      <c r="J143" s="73">
        <f>SUMPRODUCT(-(Bens!$B$4:$B$90=Analítico!$B143),-(Bens!$D$4:$D$90=Analítico!J$3),(Bens!$G$4:$G$90))</f>
        <v>0</v>
      </c>
      <c r="K143" s="73">
        <f>SUMPRODUCT(-(Bens!$B$4:$B$90=Analítico!$B143),-(Bens!$D$4:$D$90=Analítico!K$3),(Bens!$G$4:$G$90))</f>
        <v>0</v>
      </c>
      <c r="L143" s="73">
        <f>SUMPRODUCT(-(Bens!$B$4:$B$90=Analítico!$B143),-(Bens!$D$4:$D$90=Analítico!L$3),(Bens!$G$4:$G$90))</f>
        <v>0</v>
      </c>
      <c r="M143" s="73">
        <f>SUMPRODUCT(-(Bens!$B$4:$B$90=Analítico!$B143),-(Bens!$D$4:$D$90=Analítico!M$3),(Bens!$G$4:$G$90))</f>
        <v>0</v>
      </c>
      <c r="N143" s="73">
        <f>SUMPRODUCT(-(Bens!$B$4:$B$90=Analítico!$B143),-(Bens!$D$4:$D$90=Analítico!N$3),(Bens!$G$4:$G$90))</f>
        <v>0</v>
      </c>
      <c r="O143" s="73">
        <f>SUMPRODUCT(-(Bens!$B$4:$B$90=Analítico!$B143),-(Bens!$D$4:$D$90=Analítico!O$3),(Bens!$G$4:$G$90))</f>
        <v>0</v>
      </c>
      <c r="P143" s="73">
        <f>SUMPRODUCT(-(Bens!$B$4:$B$90=Analítico!$B143),-(Bens!$D$4:$D$90=Analítico!P$3),(Bens!$G$4:$G$90))</f>
        <v>0</v>
      </c>
      <c r="Q143" s="73">
        <f>SUMPRODUCT(-(Bens!$B$4:$B$90=Analítico!$B143),-(Bens!$D$4:$D$90=Analítico!Q$3),(Bens!$G$4:$G$90))</f>
        <v>0</v>
      </c>
      <c r="R143" s="73">
        <f>SUMPRODUCT(-(Bens!$B$4:$B$90=Analítico!$B143),-(Bens!$D$4:$D$90=Analítico!R$3),(Bens!$G$4:$G$90))</f>
        <v>0</v>
      </c>
      <c r="S143" s="73">
        <f>SUMPRODUCT(-(Bens!$B$4:$B$90=Analítico!$B143),-(Bens!$D$4:$D$90=Analítico!S$3),(Bens!$G$4:$G$90))</f>
        <v>0</v>
      </c>
      <c r="T143" s="73">
        <f>SUMPRODUCT(-(Bens!$B$4:$B$90=Analítico!$B143),-(Bens!$D$4:$D$90=Analítico!T$3),(Bens!$G$4:$G$90))</f>
        <v>0</v>
      </c>
      <c r="U143" s="73">
        <f>SUMPRODUCT(-(Bens!$B$4:$B$90=Analítico!$B143),-(Bens!$D$4:$D$90=Analítico!U$3),(Bens!$G$4:$G$90))</f>
        <v>0</v>
      </c>
      <c r="V143" s="73">
        <f>SUMPRODUCT(-(Bens!$B$4:$B$90=Analítico!$B143),-(Bens!$D$4:$D$90=Analítico!V$3),(Bens!$G$4:$G$90))</f>
        <v>0</v>
      </c>
      <c r="W143" s="73">
        <f>SUMPRODUCT(-(Bens!$B$4:$B$90=Analítico!$B143),-(Bens!$D$4:$D$90=Analítico!W$3),(Bens!$G$4:$G$90))</f>
        <v>0</v>
      </c>
      <c r="X143" s="73">
        <f>SUMPRODUCT(-(Bens!$B$4:$B$90=Analítico!$B143),-(Bens!$D$4:$D$90=Analítico!X$3),(Bens!$G$4:$G$90))</f>
        <v>0</v>
      </c>
      <c r="Y143" s="73">
        <f>SUMPRODUCT(-(Bens!$B$4:$B$90=Analítico!$B143),-(Bens!$D$4:$D$90=Analítico!Y$3),(Bens!$G$4:$G$90))</f>
        <v>0</v>
      </c>
      <c r="Z143" s="73">
        <f>SUMPRODUCT(-(Bens!$B$4:$B$90=Analítico!$B143),-(Bens!$D$4:$D$90=Analítico!Z$3),(Bens!$G$4:$G$90))</f>
        <v>0</v>
      </c>
      <c r="AA143" s="73">
        <f>SUMPRODUCT(-(Bens!$B$4:$B$90=Analítico!$B143),-(Bens!$D$4:$D$90=Analítico!AA$3),(Bens!$G$4:$G$90))</f>
        <v>0</v>
      </c>
      <c r="AB143" s="73">
        <f>SUMPRODUCT(-(Bens!$B$4:$B$90=Analítico!$B143),-(Bens!$D$4:$D$90=Analítico!AB$3),(Bens!$G$4:$G$90))</f>
        <v>0</v>
      </c>
      <c r="AC143" s="73">
        <f>SUMPRODUCT(-(Bens!$B$4:$B$90=Analítico!$B143),-(Bens!$D$4:$D$90=Analítico!AC$3),(Bens!$G$4:$G$90))</f>
        <v>0</v>
      </c>
      <c r="AD143" s="73">
        <f>SUMPRODUCT(-(Bens!$B$4:$B$90=Analítico!$B143),-(Bens!$D$4:$D$90=Analítico!AD$3),(Bens!$G$4:$G$90))</f>
        <v>0</v>
      </c>
      <c r="AE143" s="73">
        <f>SUMPRODUCT(-(Bens!$B$4:$B$90=Analítico!$B143),-(Bens!$D$4:$D$90=Analítico!AE$3),(Bens!$G$4:$G$90))</f>
        <v>0</v>
      </c>
      <c r="AF143" s="73">
        <f>SUMPRODUCT(-(Bens!$B$4:$B$90=Analítico!$B143),-(Bens!$D$4:$D$90=Analítico!AF$3),(Bens!$G$4:$G$90))</f>
        <v>0</v>
      </c>
      <c r="AG143" s="73">
        <f>SUMPRODUCT(-(Bens!$B$4:$B$90=Analítico!$B143),-(Bens!$D$4:$D$90=Analítico!AG$3),(Bens!$G$4:$G$90))</f>
        <v>0</v>
      </c>
      <c r="AH143" s="73">
        <f>SUMPRODUCT(-(Bens!$B$4:$B$90=Analítico!$B143),-(Bens!$D$4:$D$90=Analítico!AH$3),(Bens!$G$4:$G$90))</f>
        <v>0</v>
      </c>
      <c r="AI143" s="73">
        <f>SUMPRODUCT(-(Bens!$B$4:$B$90=Analítico!$B143),-(Bens!$D$4:$D$90=Analítico!AI$3),(Bens!$G$4:$G$90))</f>
        <v>0</v>
      </c>
      <c r="AJ143" s="73">
        <f>SUMPRODUCT(-(Bens!$B$4:$B$90=Analítico!$B143),-(Bens!$D$4:$D$90=Analítico!AJ$3),(Bens!$G$4:$G$90))</f>
        <v>0</v>
      </c>
      <c r="AK143" s="73">
        <f>SUMPRODUCT(-(Bens!$B$4:$B$90=Analítico!$B143),-(Bens!$D$4:$D$90=Analítico!AK$3),(Bens!$G$4:$G$90))</f>
        <v>0</v>
      </c>
      <c r="AL143" s="73">
        <f>SUMPRODUCT(-(Bens!$B$4:$B$90=Analítico!$B143),-(Bens!$D$4:$D$90=Analítico!AL$3),(Bens!$G$4:$G$90))</f>
        <v>0</v>
      </c>
      <c r="AM143" s="73">
        <f>SUMPRODUCT(-(Bens!$B$4:$B$90=Analítico!$B143),-(Bens!$D$4:$D$90=Analítico!AM$3),(Bens!$G$4:$G$90))</f>
        <v>0</v>
      </c>
      <c r="AN143" s="73">
        <f>SUMPRODUCT(-(Bens!$B$4:$B$90=Analítico!$B143),-(Bens!$D$4:$D$90=Analítico!AN$3),(Bens!$G$4:$G$90))</f>
        <v>0</v>
      </c>
      <c r="AO143" s="73">
        <f>SUMPRODUCT(-(Bens!$B$4:$B$90=Analítico!$B143),-(Bens!$D$4:$D$90=Analítico!AO$3),(Bens!$G$4:$G$90))</f>
        <v>0</v>
      </c>
      <c r="AP143" s="73">
        <f>SUMPRODUCT(-(Bens!$B$4:$B$90=Analítico!$B143),-(Bens!$D$4:$D$90=Analítico!AP$3),(Bens!$G$4:$G$90))</f>
        <v>0</v>
      </c>
      <c r="AQ143" s="73">
        <f>SUMPRODUCT(-(Bens!$B$4:$B$90=Analítico!$B143),-(Bens!$D$4:$D$90=Analítico!AQ$3),(Bens!$G$4:$G$90))</f>
        <v>0</v>
      </c>
      <c r="AR143" s="73">
        <f>SUMPRODUCT(-(Bens!$B$4:$B$90=Analítico!$B143),-(Bens!$D$4:$D$90=Analítico!AR$3),(Bens!$G$4:$G$90))</f>
        <v>0</v>
      </c>
      <c r="AS143" s="73">
        <f>SUMPRODUCT(-(Bens!$B$4:$B$90=Analítico!$B143),-(Bens!$D$4:$D$90=Analítico!AS$3),(Bens!$G$4:$G$90))</f>
        <v>0</v>
      </c>
      <c r="AT143" s="73">
        <f>SUMPRODUCT(-(Bens!$B$4:$B$90=Analítico!$B143),-(Bens!$D$4:$D$90=Analítico!AT$3),(Bens!$G$4:$G$90))</f>
        <v>0</v>
      </c>
      <c r="AU143" s="73">
        <f>SUMPRODUCT(-(Bens!$B$4:$B$90=Analítico!$B143),-(Bens!$D$4:$D$90=Analítico!AU$3),(Bens!$G$4:$G$90))</f>
        <v>0</v>
      </c>
      <c r="AV143" s="73">
        <f>SUMPRODUCT(-(Bens!$B$4:$B$90=Analítico!$B143),-(Bens!$D$4:$D$90=Analítico!AV$3),(Bens!$G$4:$G$90))</f>
        <v>0</v>
      </c>
      <c r="AW143" s="73">
        <f>SUMPRODUCT(-(Bens!$B$4:$B$90=Analítico!$B143),-(Bens!$D$4:$D$90=Analítico!AW$3),(Bens!$G$4:$G$90))</f>
        <v>0</v>
      </c>
      <c r="AX143" s="73">
        <f>SUMPRODUCT(-(Bens!$B$4:$B$90=Analítico!$B143),-(Bens!$D$4:$D$90=Analítico!AX$3),(Bens!$G$4:$G$90))</f>
        <v>0</v>
      </c>
      <c r="AY143" s="73">
        <f>SUMPRODUCT(-(Bens!$B$4:$B$90=Analítico!$B143),-(Bens!$D$4:$D$90=Analítico!AY$3),(Bens!$G$4:$G$90))</f>
        <v>0</v>
      </c>
      <c r="AZ143" s="73">
        <f>SUMPRODUCT(-(Bens!$B$4:$B$90=Analítico!$B143),-(Bens!$D$4:$D$90=Analítico!AZ$3),(Bens!$G$4:$G$90))</f>
        <v>0</v>
      </c>
      <c r="BA143" s="73">
        <f>SUMPRODUCT(-(Bens!$B$4:$B$90=Analítico!$B143),-(Bens!$D$4:$D$90=Analítico!BA$3),(Bens!$G$4:$G$90))</f>
        <v>0</v>
      </c>
      <c r="BB143" s="73">
        <f>SUMPRODUCT(-(Bens!$B$4:$B$90=Analítico!$B143),-(Bens!$D$4:$D$90=Analítico!BB$3),(Bens!$G$4:$G$90))</f>
        <v>0</v>
      </c>
      <c r="BC143" s="73">
        <f>SUMPRODUCT(-(Bens!$B$4:$B$90=Analítico!$B143),-(Bens!$D$4:$D$90=Analítico!BC$3),(Bens!$G$4:$G$90))</f>
        <v>0</v>
      </c>
      <c r="BD143" s="73">
        <f>SUMPRODUCT(-(Bens!$B$4:$B$90=Analítico!$B143),-(Bens!$D$4:$D$90=Analítico!BD$3),(Bens!$G$4:$G$90))</f>
        <v>0</v>
      </c>
      <c r="BE143" s="73">
        <f>SUMPRODUCT(-(Bens!$B$4:$B$90=Analítico!$B143),-(Bens!$D$4:$D$90=Analítico!BE$3),(Bens!$G$4:$G$90))</f>
        <v>0</v>
      </c>
      <c r="BF143" s="73">
        <f>SUMPRODUCT(-(Bens!$B$4:$B$90=Analítico!$B143),-(Bens!$D$4:$D$90=Analítico!BF$3),(Bens!$G$4:$G$90))</f>
        <v>0</v>
      </c>
      <c r="BG143" s="73">
        <f>SUMPRODUCT(-(Bens!$B$4:$B$90=Analítico!$B143),-(Bens!$D$4:$D$90=Analítico!BG$3),(Bens!$G$4:$G$90))</f>
        <v>0</v>
      </c>
      <c r="BH143" s="73">
        <f>SUMPRODUCT(-(Bens!$B$4:$B$90=Analítico!$B143),-(Bens!$D$4:$D$90=Analítico!BH$3),(Bens!$G$4:$G$90))</f>
        <v>0</v>
      </c>
      <c r="BI143" s="73">
        <f>SUMPRODUCT(-(Bens!$B$4:$B$90=Analítico!$B143),-(Bens!$D$4:$D$90=Analítico!BI$3),(Bens!$G$4:$G$90))</f>
        <v>0</v>
      </c>
      <c r="BJ143" s="73">
        <f>SUMPRODUCT(-(Bens!$B$4:$B$90=Analítico!$B143),-(Bens!$D$4:$D$90=Analítico!BJ$3),(Bens!$G$4:$G$90))</f>
        <v>0</v>
      </c>
      <c r="BK143" s="71">
        <f t="shared" si="39"/>
        <v>0</v>
      </c>
      <c r="BL143" s="76">
        <f t="shared" ca="1" si="40"/>
        <v>0</v>
      </c>
    </row>
    <row r="144" spans="1:64" s="49" customFormat="1" ht="23.25" customHeight="1" x14ac:dyDescent="0.2">
      <c r="A144" s="19" t="s">
        <v>353</v>
      </c>
      <c r="B144" s="20" t="s">
        <v>354</v>
      </c>
      <c r="C144" s="73">
        <f>SUMPRODUCT(-(Bens!$B$4:$B$90=Analítico!$B144),-(Bens!$D$4:$D$90=Analítico!C$3),(Bens!$G$4:$G$90))</f>
        <v>0</v>
      </c>
      <c r="D144" s="73">
        <f>SUMPRODUCT(-(Bens!$B$4:$B$90=Analítico!$B144),-(Bens!$D$4:$D$90=Analítico!D$3),(Bens!$G$4:$G$90))</f>
        <v>0</v>
      </c>
      <c r="E144" s="73">
        <f>SUMPRODUCT(-(Bens!$B$4:$B$90=Analítico!$B144),-(Bens!$D$4:$D$90=Analítico!E$3),(Bens!$G$4:$G$90))</f>
        <v>0</v>
      </c>
      <c r="F144" s="73">
        <f>SUMPRODUCT(-(Bens!$B$4:$B$90=Analítico!$B144),-(Bens!$D$4:$D$90=Analítico!F$3),(Bens!$G$4:$G$90))</f>
        <v>0</v>
      </c>
      <c r="G144" s="73">
        <f>SUMPRODUCT(-(Bens!$B$4:$B$90=Analítico!$B144),-(Bens!$D$4:$D$90=Analítico!G$3),(Bens!$G$4:$G$90))</f>
        <v>0</v>
      </c>
      <c r="H144" s="73">
        <f>SUMPRODUCT(-(Bens!$B$4:$B$90=Analítico!$B144),-(Bens!$D$4:$D$90=Analítico!H$3),(Bens!$G$4:$G$90))</f>
        <v>0</v>
      </c>
      <c r="I144" s="73">
        <f>SUMPRODUCT(-(Bens!$B$4:$B$90=Analítico!$B144),-(Bens!$D$4:$D$90=Analítico!I$3),(Bens!$G$4:$G$90))</f>
        <v>0</v>
      </c>
      <c r="J144" s="73">
        <f>SUMPRODUCT(-(Bens!$B$4:$B$90=Analítico!$B144),-(Bens!$D$4:$D$90=Analítico!J$3),(Bens!$G$4:$G$90))</f>
        <v>0</v>
      </c>
      <c r="K144" s="73">
        <f>SUMPRODUCT(-(Bens!$B$4:$B$90=Analítico!$B144),-(Bens!$D$4:$D$90=Analítico!K$3),(Bens!$G$4:$G$90))</f>
        <v>0</v>
      </c>
      <c r="L144" s="73">
        <f>SUMPRODUCT(-(Bens!$B$4:$B$90=Analítico!$B144),-(Bens!$D$4:$D$90=Analítico!L$3),(Bens!$G$4:$G$90))</f>
        <v>0</v>
      </c>
      <c r="M144" s="73">
        <f>SUMPRODUCT(-(Bens!$B$4:$B$90=Analítico!$B144),-(Bens!$D$4:$D$90=Analítico!M$3),(Bens!$G$4:$G$90))</f>
        <v>0</v>
      </c>
      <c r="N144" s="73">
        <f>SUMPRODUCT(-(Bens!$B$4:$B$90=Analítico!$B144),-(Bens!$D$4:$D$90=Analítico!N$3),(Bens!$G$4:$G$90))</f>
        <v>0</v>
      </c>
      <c r="O144" s="73">
        <f>SUMPRODUCT(-(Bens!$B$4:$B$90=Analítico!$B144),-(Bens!$D$4:$D$90=Analítico!O$3),(Bens!$G$4:$G$90))</f>
        <v>0</v>
      </c>
      <c r="P144" s="73">
        <f>SUMPRODUCT(-(Bens!$B$4:$B$90=Analítico!$B144),-(Bens!$D$4:$D$90=Analítico!P$3),(Bens!$G$4:$G$90))</f>
        <v>0</v>
      </c>
      <c r="Q144" s="73">
        <f>SUMPRODUCT(-(Bens!$B$4:$B$90=Analítico!$B144),-(Bens!$D$4:$D$90=Analítico!Q$3),(Bens!$G$4:$G$90))</f>
        <v>600000</v>
      </c>
      <c r="R144" s="73">
        <f>SUMPRODUCT(-(Bens!$B$4:$B$90=Analítico!$B144),-(Bens!$D$4:$D$90=Analítico!R$3),(Bens!$G$4:$G$90))</f>
        <v>0</v>
      </c>
      <c r="S144" s="73">
        <f>SUMPRODUCT(-(Bens!$B$4:$B$90=Analítico!$B144),-(Bens!$D$4:$D$90=Analítico!S$3),(Bens!$G$4:$G$90))</f>
        <v>0</v>
      </c>
      <c r="T144" s="73">
        <f>SUMPRODUCT(-(Bens!$B$4:$B$90=Analítico!$B144),-(Bens!$D$4:$D$90=Analítico!T$3),(Bens!$G$4:$G$90))</f>
        <v>0</v>
      </c>
      <c r="U144" s="73">
        <f>SUMPRODUCT(-(Bens!$B$4:$B$90=Analítico!$B144),-(Bens!$D$4:$D$90=Analítico!U$3),(Bens!$G$4:$G$90))</f>
        <v>0</v>
      </c>
      <c r="V144" s="73">
        <f>SUMPRODUCT(-(Bens!$B$4:$B$90=Analítico!$B144),-(Bens!$D$4:$D$90=Analítico!V$3),(Bens!$G$4:$G$90))</f>
        <v>0</v>
      </c>
      <c r="W144" s="73">
        <f>SUMPRODUCT(-(Bens!$B$4:$B$90=Analítico!$B144),-(Bens!$D$4:$D$90=Analítico!W$3),(Bens!$G$4:$G$90))</f>
        <v>0</v>
      </c>
      <c r="X144" s="73">
        <f>SUMPRODUCT(-(Bens!$B$4:$B$90=Analítico!$B144),-(Bens!$D$4:$D$90=Analítico!X$3),(Bens!$G$4:$G$90))</f>
        <v>0</v>
      </c>
      <c r="Y144" s="73">
        <f>SUMPRODUCT(-(Bens!$B$4:$B$90=Analítico!$B144),-(Bens!$D$4:$D$90=Analítico!Y$3),(Bens!$G$4:$G$90))</f>
        <v>0</v>
      </c>
      <c r="Z144" s="73">
        <f>SUMPRODUCT(-(Bens!$B$4:$B$90=Analítico!$B144),-(Bens!$D$4:$D$90=Analítico!Z$3),(Bens!$G$4:$G$90))</f>
        <v>0</v>
      </c>
      <c r="AA144" s="73">
        <f>SUMPRODUCT(-(Bens!$B$4:$B$90=Analítico!$B144),-(Bens!$D$4:$D$90=Analítico!AA$3),(Bens!$G$4:$G$90))</f>
        <v>0</v>
      </c>
      <c r="AB144" s="73">
        <f>SUMPRODUCT(-(Bens!$B$4:$B$90=Analítico!$B144),-(Bens!$D$4:$D$90=Analítico!AB$3),(Bens!$G$4:$G$90))</f>
        <v>0</v>
      </c>
      <c r="AC144" s="73">
        <f>SUMPRODUCT(-(Bens!$B$4:$B$90=Analítico!$B144),-(Bens!$D$4:$D$90=Analítico!AC$3),(Bens!$G$4:$G$90))</f>
        <v>0</v>
      </c>
      <c r="AD144" s="73">
        <f>SUMPRODUCT(-(Bens!$B$4:$B$90=Analítico!$B144),-(Bens!$D$4:$D$90=Analítico!AD$3),(Bens!$G$4:$G$90))</f>
        <v>0</v>
      </c>
      <c r="AE144" s="73">
        <f>SUMPRODUCT(-(Bens!$B$4:$B$90=Analítico!$B144),-(Bens!$D$4:$D$90=Analítico!AE$3),(Bens!$G$4:$G$90))</f>
        <v>0</v>
      </c>
      <c r="AF144" s="73">
        <f>SUMPRODUCT(-(Bens!$B$4:$B$90=Analítico!$B144),-(Bens!$D$4:$D$90=Analítico!AF$3),(Bens!$G$4:$G$90))</f>
        <v>0</v>
      </c>
      <c r="AG144" s="73">
        <f>SUMPRODUCT(-(Bens!$B$4:$B$90=Analítico!$B144),-(Bens!$D$4:$D$90=Analítico!AG$3),(Bens!$G$4:$G$90))</f>
        <v>0</v>
      </c>
      <c r="AH144" s="73">
        <f>SUMPRODUCT(-(Bens!$B$4:$B$90=Analítico!$B144),-(Bens!$D$4:$D$90=Analítico!AH$3),(Bens!$G$4:$G$90))</f>
        <v>0</v>
      </c>
      <c r="AI144" s="73">
        <f>SUMPRODUCT(-(Bens!$B$4:$B$90=Analítico!$B144),-(Bens!$D$4:$D$90=Analítico!AI$3),(Bens!$G$4:$G$90))</f>
        <v>0</v>
      </c>
      <c r="AJ144" s="73">
        <f>SUMPRODUCT(-(Bens!$B$4:$B$90=Analítico!$B144),-(Bens!$D$4:$D$90=Analítico!AJ$3),(Bens!$G$4:$G$90))</f>
        <v>0</v>
      </c>
      <c r="AK144" s="73">
        <f>SUMPRODUCT(-(Bens!$B$4:$B$90=Analítico!$B144),-(Bens!$D$4:$D$90=Analítico!AK$3),(Bens!$G$4:$G$90))</f>
        <v>0</v>
      </c>
      <c r="AL144" s="73">
        <f>SUMPRODUCT(-(Bens!$B$4:$B$90=Analítico!$B144),-(Bens!$D$4:$D$90=Analítico!AL$3),(Bens!$G$4:$G$90))</f>
        <v>0</v>
      </c>
      <c r="AM144" s="73">
        <f>SUMPRODUCT(-(Bens!$B$4:$B$90=Analítico!$B144),-(Bens!$D$4:$D$90=Analítico!AM$3),(Bens!$G$4:$G$90))</f>
        <v>0</v>
      </c>
      <c r="AN144" s="73">
        <f>SUMPRODUCT(-(Bens!$B$4:$B$90=Analítico!$B144),-(Bens!$D$4:$D$90=Analítico!AN$3),(Bens!$G$4:$G$90))</f>
        <v>0</v>
      </c>
      <c r="AO144" s="73">
        <f>SUMPRODUCT(-(Bens!$B$4:$B$90=Analítico!$B144),-(Bens!$D$4:$D$90=Analítico!AO$3),(Bens!$G$4:$G$90))</f>
        <v>0</v>
      </c>
      <c r="AP144" s="73">
        <f>SUMPRODUCT(-(Bens!$B$4:$B$90=Analítico!$B144),-(Bens!$D$4:$D$90=Analítico!AP$3),(Bens!$G$4:$G$90))</f>
        <v>0</v>
      </c>
      <c r="AQ144" s="73">
        <f>SUMPRODUCT(-(Bens!$B$4:$B$90=Analítico!$B144),-(Bens!$D$4:$D$90=Analítico!AQ$3),(Bens!$G$4:$G$90))</f>
        <v>0</v>
      </c>
      <c r="AR144" s="73">
        <f>SUMPRODUCT(-(Bens!$B$4:$B$90=Analítico!$B144),-(Bens!$D$4:$D$90=Analítico!AR$3),(Bens!$G$4:$G$90))</f>
        <v>0</v>
      </c>
      <c r="AS144" s="73">
        <f>SUMPRODUCT(-(Bens!$B$4:$B$90=Analítico!$B144),-(Bens!$D$4:$D$90=Analítico!AS$3),(Bens!$G$4:$G$90))</f>
        <v>0</v>
      </c>
      <c r="AT144" s="73">
        <f>SUMPRODUCT(-(Bens!$B$4:$B$90=Analítico!$B144),-(Bens!$D$4:$D$90=Analítico!AT$3),(Bens!$G$4:$G$90))</f>
        <v>0</v>
      </c>
      <c r="AU144" s="73">
        <f>SUMPRODUCT(-(Bens!$B$4:$B$90=Analítico!$B144),-(Bens!$D$4:$D$90=Analítico!AU$3),(Bens!$G$4:$G$90))</f>
        <v>0</v>
      </c>
      <c r="AV144" s="73">
        <f>SUMPRODUCT(-(Bens!$B$4:$B$90=Analítico!$B144),-(Bens!$D$4:$D$90=Analítico!AV$3),(Bens!$G$4:$G$90))</f>
        <v>0</v>
      </c>
      <c r="AW144" s="73">
        <f>SUMPRODUCT(-(Bens!$B$4:$B$90=Analítico!$B144),-(Bens!$D$4:$D$90=Analítico!AW$3),(Bens!$G$4:$G$90))</f>
        <v>0</v>
      </c>
      <c r="AX144" s="73">
        <f>SUMPRODUCT(-(Bens!$B$4:$B$90=Analítico!$B144),-(Bens!$D$4:$D$90=Analítico!AX$3),(Bens!$G$4:$G$90))</f>
        <v>0</v>
      </c>
      <c r="AY144" s="73">
        <f>SUMPRODUCT(-(Bens!$B$4:$B$90=Analítico!$B144),-(Bens!$D$4:$D$90=Analítico!AY$3),(Bens!$G$4:$G$90))</f>
        <v>0</v>
      </c>
      <c r="AZ144" s="73">
        <f>SUMPRODUCT(-(Bens!$B$4:$B$90=Analítico!$B144),-(Bens!$D$4:$D$90=Analítico!AZ$3),(Bens!$G$4:$G$90))</f>
        <v>0</v>
      </c>
      <c r="BA144" s="73">
        <f>SUMPRODUCT(-(Bens!$B$4:$B$90=Analítico!$B144),-(Bens!$D$4:$D$90=Analítico!BA$3),(Bens!$G$4:$G$90))</f>
        <v>0</v>
      </c>
      <c r="BB144" s="73">
        <f>SUMPRODUCT(-(Bens!$B$4:$B$90=Analítico!$B144),-(Bens!$D$4:$D$90=Analítico!BB$3),(Bens!$G$4:$G$90))</f>
        <v>0</v>
      </c>
      <c r="BC144" s="73">
        <f>SUMPRODUCT(-(Bens!$B$4:$B$90=Analítico!$B144),-(Bens!$D$4:$D$90=Analítico!BC$3),(Bens!$G$4:$G$90))</f>
        <v>0</v>
      </c>
      <c r="BD144" s="73">
        <f>SUMPRODUCT(-(Bens!$B$4:$B$90=Analítico!$B144),-(Bens!$D$4:$D$90=Analítico!BD$3),(Bens!$G$4:$G$90))</f>
        <v>0</v>
      </c>
      <c r="BE144" s="73">
        <f>SUMPRODUCT(-(Bens!$B$4:$B$90=Analítico!$B144),-(Bens!$D$4:$D$90=Analítico!BE$3),(Bens!$G$4:$G$90))</f>
        <v>0</v>
      </c>
      <c r="BF144" s="73">
        <f>SUMPRODUCT(-(Bens!$B$4:$B$90=Analítico!$B144),-(Bens!$D$4:$D$90=Analítico!BF$3),(Bens!$G$4:$G$90))</f>
        <v>0</v>
      </c>
      <c r="BG144" s="73">
        <f>SUMPRODUCT(-(Bens!$B$4:$B$90=Analítico!$B144),-(Bens!$D$4:$D$90=Analítico!BG$3),(Bens!$G$4:$G$90))</f>
        <v>0</v>
      </c>
      <c r="BH144" s="73">
        <f>SUMPRODUCT(-(Bens!$B$4:$B$90=Analítico!$B144),-(Bens!$D$4:$D$90=Analítico!BH$3),(Bens!$G$4:$G$90))</f>
        <v>0</v>
      </c>
      <c r="BI144" s="73">
        <f>SUMPRODUCT(-(Bens!$B$4:$B$90=Analítico!$B144),-(Bens!$D$4:$D$90=Analítico!BI$3),(Bens!$G$4:$G$90))</f>
        <v>0</v>
      </c>
      <c r="BJ144" s="73">
        <f>SUMPRODUCT(-(Bens!$B$4:$B$90=Analítico!$B144),-(Bens!$D$4:$D$90=Analítico!BJ$3),(Bens!$G$4:$G$90))</f>
        <v>0</v>
      </c>
      <c r="BK144" s="71">
        <f t="shared" si="39"/>
        <v>600000</v>
      </c>
      <c r="BL144" s="76">
        <f t="shared" ca="1" si="40"/>
        <v>1.6365590552551797E-3</v>
      </c>
    </row>
    <row r="145" spans="1:64" s="49" customFormat="1" ht="23.25" customHeight="1" x14ac:dyDescent="0.2">
      <c r="A145" s="19" t="s">
        <v>355</v>
      </c>
      <c r="B145" s="20" t="s">
        <v>356</v>
      </c>
      <c r="C145" s="73">
        <f>SUMPRODUCT(-(Bens!$B$4:$B$90=Analítico!$B145),-(Bens!$D$4:$D$90=Analítico!C$3),(Bens!$G$4:$G$90))</f>
        <v>0</v>
      </c>
      <c r="D145" s="73">
        <f>SUMPRODUCT(-(Bens!$B$4:$B$90=Analítico!$B145),-(Bens!$D$4:$D$90=Analítico!D$3),(Bens!$G$4:$G$90))</f>
        <v>0</v>
      </c>
      <c r="E145" s="73">
        <f>SUMPRODUCT(-(Bens!$B$4:$B$90=Analítico!$B145),-(Bens!$D$4:$D$90=Analítico!E$3),(Bens!$G$4:$G$90))</f>
        <v>0</v>
      </c>
      <c r="F145" s="73">
        <f>SUMPRODUCT(-(Bens!$B$4:$B$90=Analítico!$B145),-(Bens!$D$4:$D$90=Analítico!F$3),(Bens!$G$4:$G$90))</f>
        <v>0</v>
      </c>
      <c r="G145" s="73">
        <f>SUMPRODUCT(-(Bens!$B$4:$B$90=Analítico!$B145),-(Bens!$D$4:$D$90=Analítico!G$3),(Bens!$G$4:$G$90))</f>
        <v>0</v>
      </c>
      <c r="H145" s="73">
        <f>SUMPRODUCT(-(Bens!$B$4:$B$90=Analítico!$B145),-(Bens!$D$4:$D$90=Analítico!H$3),(Bens!$G$4:$G$90))</f>
        <v>0</v>
      </c>
      <c r="I145" s="73">
        <f>SUMPRODUCT(-(Bens!$B$4:$B$90=Analítico!$B145),-(Bens!$D$4:$D$90=Analítico!I$3),(Bens!$G$4:$G$90))</f>
        <v>0</v>
      </c>
      <c r="J145" s="73">
        <f>SUMPRODUCT(-(Bens!$B$4:$B$90=Analítico!$B145),-(Bens!$D$4:$D$90=Analítico!J$3),(Bens!$G$4:$G$90))</f>
        <v>0</v>
      </c>
      <c r="K145" s="73">
        <f>SUMPRODUCT(-(Bens!$B$4:$B$90=Analítico!$B145),-(Bens!$D$4:$D$90=Analítico!K$3),(Bens!$G$4:$G$90))</f>
        <v>0</v>
      </c>
      <c r="L145" s="73">
        <f>SUMPRODUCT(-(Bens!$B$4:$B$90=Analítico!$B145),-(Bens!$D$4:$D$90=Analítico!L$3),(Bens!$G$4:$G$90))</f>
        <v>0</v>
      </c>
      <c r="M145" s="73">
        <f>SUMPRODUCT(-(Bens!$B$4:$B$90=Analítico!$B145),-(Bens!$D$4:$D$90=Analítico!M$3),(Bens!$G$4:$G$90))</f>
        <v>0</v>
      </c>
      <c r="N145" s="73">
        <f>SUMPRODUCT(-(Bens!$B$4:$B$90=Analítico!$B145),-(Bens!$D$4:$D$90=Analítico!N$3),(Bens!$G$4:$G$90))</f>
        <v>0</v>
      </c>
      <c r="O145" s="73">
        <f>SUMPRODUCT(-(Bens!$B$4:$B$90=Analítico!$B145),-(Bens!$D$4:$D$90=Analítico!O$3),(Bens!$G$4:$G$90))</f>
        <v>1500000</v>
      </c>
      <c r="P145" s="73">
        <f>SUMPRODUCT(-(Bens!$B$4:$B$90=Analítico!$B145),-(Bens!$D$4:$D$90=Analítico!P$3),(Bens!$G$4:$G$90))</f>
        <v>0</v>
      </c>
      <c r="Q145" s="73">
        <f>SUMPRODUCT(-(Bens!$B$4:$B$90=Analítico!$B145),-(Bens!$D$4:$D$90=Analítico!Q$3),(Bens!$G$4:$G$90))</f>
        <v>0</v>
      </c>
      <c r="R145" s="73">
        <f>SUMPRODUCT(-(Bens!$B$4:$B$90=Analítico!$B145),-(Bens!$D$4:$D$90=Analítico!R$3),(Bens!$G$4:$G$90))</f>
        <v>0</v>
      </c>
      <c r="S145" s="73">
        <f>SUMPRODUCT(-(Bens!$B$4:$B$90=Analítico!$B145),-(Bens!$D$4:$D$90=Analítico!S$3),(Bens!$G$4:$G$90))</f>
        <v>0</v>
      </c>
      <c r="T145" s="73">
        <f>SUMPRODUCT(-(Bens!$B$4:$B$90=Analítico!$B145),-(Bens!$D$4:$D$90=Analítico!T$3),(Bens!$G$4:$G$90))</f>
        <v>0</v>
      </c>
      <c r="U145" s="73">
        <f>SUMPRODUCT(-(Bens!$B$4:$B$90=Analítico!$B145),-(Bens!$D$4:$D$90=Analítico!U$3),(Bens!$G$4:$G$90))</f>
        <v>0</v>
      </c>
      <c r="V145" s="73">
        <f>SUMPRODUCT(-(Bens!$B$4:$B$90=Analítico!$B145),-(Bens!$D$4:$D$90=Analítico!V$3),(Bens!$G$4:$G$90))</f>
        <v>0</v>
      </c>
      <c r="W145" s="73">
        <f>SUMPRODUCT(-(Bens!$B$4:$B$90=Analítico!$B145),-(Bens!$D$4:$D$90=Analítico!W$3),(Bens!$G$4:$G$90))</f>
        <v>0</v>
      </c>
      <c r="X145" s="73">
        <f>SUMPRODUCT(-(Bens!$B$4:$B$90=Analítico!$B145),-(Bens!$D$4:$D$90=Analítico!X$3),(Bens!$G$4:$G$90))</f>
        <v>0</v>
      </c>
      <c r="Y145" s="73">
        <f>SUMPRODUCT(-(Bens!$B$4:$B$90=Analítico!$B145),-(Bens!$D$4:$D$90=Analítico!Y$3),(Bens!$G$4:$G$90))</f>
        <v>0</v>
      </c>
      <c r="Z145" s="73">
        <f>SUMPRODUCT(-(Bens!$B$4:$B$90=Analítico!$B145),-(Bens!$D$4:$D$90=Analítico!Z$3),(Bens!$G$4:$G$90))</f>
        <v>0</v>
      </c>
      <c r="AA145" s="73">
        <f>SUMPRODUCT(-(Bens!$B$4:$B$90=Analítico!$B145),-(Bens!$D$4:$D$90=Analítico!AA$3),(Bens!$G$4:$G$90))</f>
        <v>0</v>
      </c>
      <c r="AB145" s="73">
        <f>SUMPRODUCT(-(Bens!$B$4:$B$90=Analítico!$B145),-(Bens!$D$4:$D$90=Analítico!AB$3),(Bens!$G$4:$G$90))</f>
        <v>0</v>
      </c>
      <c r="AC145" s="73">
        <f>SUMPRODUCT(-(Bens!$B$4:$B$90=Analítico!$B145),-(Bens!$D$4:$D$90=Analítico!AC$3),(Bens!$G$4:$G$90))</f>
        <v>0</v>
      </c>
      <c r="AD145" s="73">
        <f>SUMPRODUCT(-(Bens!$B$4:$B$90=Analítico!$B145),-(Bens!$D$4:$D$90=Analítico!AD$3),(Bens!$G$4:$G$90))</f>
        <v>0</v>
      </c>
      <c r="AE145" s="73">
        <f>SUMPRODUCT(-(Bens!$B$4:$B$90=Analítico!$B145),-(Bens!$D$4:$D$90=Analítico!AE$3),(Bens!$G$4:$G$90))</f>
        <v>0</v>
      </c>
      <c r="AF145" s="73">
        <f>SUMPRODUCT(-(Bens!$B$4:$B$90=Analítico!$B145),-(Bens!$D$4:$D$90=Analítico!AF$3),(Bens!$G$4:$G$90))</f>
        <v>0</v>
      </c>
      <c r="AG145" s="73">
        <f>SUMPRODUCT(-(Bens!$B$4:$B$90=Analítico!$B145),-(Bens!$D$4:$D$90=Analítico!AG$3),(Bens!$G$4:$G$90))</f>
        <v>0</v>
      </c>
      <c r="AH145" s="73">
        <f>SUMPRODUCT(-(Bens!$B$4:$B$90=Analítico!$B145),-(Bens!$D$4:$D$90=Analítico!AH$3),(Bens!$G$4:$G$90))</f>
        <v>0</v>
      </c>
      <c r="AI145" s="73">
        <f>SUMPRODUCT(-(Bens!$B$4:$B$90=Analítico!$B145),-(Bens!$D$4:$D$90=Analítico!AI$3),(Bens!$G$4:$G$90))</f>
        <v>0</v>
      </c>
      <c r="AJ145" s="73">
        <f>SUMPRODUCT(-(Bens!$B$4:$B$90=Analítico!$B145),-(Bens!$D$4:$D$90=Analítico!AJ$3),(Bens!$G$4:$G$90))</f>
        <v>0</v>
      </c>
      <c r="AK145" s="73">
        <f>SUMPRODUCT(-(Bens!$B$4:$B$90=Analítico!$B145),-(Bens!$D$4:$D$90=Analítico!AK$3),(Bens!$G$4:$G$90))</f>
        <v>0</v>
      </c>
      <c r="AL145" s="73">
        <f>SUMPRODUCT(-(Bens!$B$4:$B$90=Analítico!$B145),-(Bens!$D$4:$D$90=Analítico!AL$3),(Bens!$G$4:$G$90))</f>
        <v>0</v>
      </c>
      <c r="AM145" s="73">
        <f>SUMPRODUCT(-(Bens!$B$4:$B$90=Analítico!$B145),-(Bens!$D$4:$D$90=Analítico!AM$3),(Bens!$G$4:$G$90))</f>
        <v>0</v>
      </c>
      <c r="AN145" s="73">
        <f>SUMPRODUCT(-(Bens!$B$4:$B$90=Analítico!$B145),-(Bens!$D$4:$D$90=Analítico!AN$3),(Bens!$G$4:$G$90))</f>
        <v>0</v>
      </c>
      <c r="AO145" s="73">
        <f>SUMPRODUCT(-(Bens!$B$4:$B$90=Analítico!$B145),-(Bens!$D$4:$D$90=Analítico!AO$3),(Bens!$G$4:$G$90))</f>
        <v>0</v>
      </c>
      <c r="AP145" s="73">
        <f>SUMPRODUCT(-(Bens!$B$4:$B$90=Analítico!$B145),-(Bens!$D$4:$D$90=Analítico!AP$3),(Bens!$G$4:$G$90))</f>
        <v>0</v>
      </c>
      <c r="AQ145" s="73">
        <f>SUMPRODUCT(-(Bens!$B$4:$B$90=Analítico!$B145),-(Bens!$D$4:$D$90=Analítico!AQ$3),(Bens!$G$4:$G$90))</f>
        <v>0</v>
      </c>
      <c r="AR145" s="73">
        <f>SUMPRODUCT(-(Bens!$B$4:$B$90=Analítico!$B145),-(Bens!$D$4:$D$90=Analítico!AR$3),(Bens!$G$4:$G$90))</f>
        <v>0</v>
      </c>
      <c r="AS145" s="73">
        <f>SUMPRODUCT(-(Bens!$B$4:$B$90=Analítico!$B145),-(Bens!$D$4:$D$90=Analítico!AS$3),(Bens!$G$4:$G$90))</f>
        <v>0</v>
      </c>
      <c r="AT145" s="73">
        <f>SUMPRODUCT(-(Bens!$B$4:$B$90=Analítico!$B145),-(Bens!$D$4:$D$90=Analítico!AT$3),(Bens!$G$4:$G$90))</f>
        <v>0</v>
      </c>
      <c r="AU145" s="73">
        <f>SUMPRODUCT(-(Bens!$B$4:$B$90=Analítico!$B145),-(Bens!$D$4:$D$90=Analítico!AU$3),(Bens!$G$4:$G$90))</f>
        <v>0</v>
      </c>
      <c r="AV145" s="73">
        <f>SUMPRODUCT(-(Bens!$B$4:$B$90=Analítico!$B145),-(Bens!$D$4:$D$90=Analítico!AV$3),(Bens!$G$4:$G$90))</f>
        <v>0</v>
      </c>
      <c r="AW145" s="73">
        <f>SUMPRODUCT(-(Bens!$B$4:$B$90=Analítico!$B145),-(Bens!$D$4:$D$90=Analítico!AW$3),(Bens!$G$4:$G$90))</f>
        <v>0</v>
      </c>
      <c r="AX145" s="73">
        <f>SUMPRODUCT(-(Bens!$B$4:$B$90=Analítico!$B145),-(Bens!$D$4:$D$90=Analítico!AX$3),(Bens!$G$4:$G$90))</f>
        <v>0</v>
      </c>
      <c r="AY145" s="73">
        <f>SUMPRODUCT(-(Bens!$B$4:$B$90=Analítico!$B145),-(Bens!$D$4:$D$90=Analítico!AY$3),(Bens!$G$4:$G$90))</f>
        <v>0</v>
      </c>
      <c r="AZ145" s="73">
        <f>SUMPRODUCT(-(Bens!$B$4:$B$90=Analítico!$B145),-(Bens!$D$4:$D$90=Analítico!AZ$3),(Bens!$G$4:$G$90))</f>
        <v>0</v>
      </c>
      <c r="BA145" s="73">
        <f>SUMPRODUCT(-(Bens!$B$4:$B$90=Analítico!$B145),-(Bens!$D$4:$D$90=Analítico!BA$3),(Bens!$G$4:$G$90))</f>
        <v>0</v>
      </c>
      <c r="BB145" s="73">
        <f>SUMPRODUCT(-(Bens!$B$4:$B$90=Analítico!$B145),-(Bens!$D$4:$D$90=Analítico!BB$3),(Bens!$G$4:$G$90))</f>
        <v>0</v>
      </c>
      <c r="BC145" s="73">
        <f>SUMPRODUCT(-(Bens!$B$4:$B$90=Analítico!$B145),-(Bens!$D$4:$D$90=Analítico!BC$3),(Bens!$G$4:$G$90))</f>
        <v>0</v>
      </c>
      <c r="BD145" s="73">
        <f>SUMPRODUCT(-(Bens!$B$4:$B$90=Analítico!$B145),-(Bens!$D$4:$D$90=Analítico!BD$3),(Bens!$G$4:$G$90))</f>
        <v>0</v>
      </c>
      <c r="BE145" s="73">
        <f>SUMPRODUCT(-(Bens!$B$4:$B$90=Analítico!$B145),-(Bens!$D$4:$D$90=Analítico!BE$3),(Bens!$G$4:$G$90))</f>
        <v>0</v>
      </c>
      <c r="BF145" s="73">
        <f>SUMPRODUCT(-(Bens!$B$4:$B$90=Analítico!$B145),-(Bens!$D$4:$D$90=Analítico!BF$3),(Bens!$G$4:$G$90))</f>
        <v>0</v>
      </c>
      <c r="BG145" s="73">
        <f>SUMPRODUCT(-(Bens!$B$4:$B$90=Analítico!$B145),-(Bens!$D$4:$D$90=Analítico!BG$3),(Bens!$G$4:$G$90))</f>
        <v>0</v>
      </c>
      <c r="BH145" s="73">
        <f>SUMPRODUCT(-(Bens!$B$4:$B$90=Analítico!$B145),-(Bens!$D$4:$D$90=Analítico!BH$3),(Bens!$G$4:$G$90))</f>
        <v>0</v>
      </c>
      <c r="BI145" s="73">
        <f>SUMPRODUCT(-(Bens!$B$4:$B$90=Analítico!$B145),-(Bens!$D$4:$D$90=Analítico!BI$3),(Bens!$G$4:$G$90))</f>
        <v>0</v>
      </c>
      <c r="BJ145" s="73">
        <f>SUMPRODUCT(-(Bens!$B$4:$B$90=Analítico!$B145),-(Bens!$D$4:$D$90=Analítico!BJ$3),(Bens!$G$4:$G$90))</f>
        <v>0</v>
      </c>
      <c r="BK145" s="71">
        <f t="shared" si="39"/>
        <v>1500000</v>
      </c>
      <c r="BL145" s="76">
        <f t="shared" ca="1" si="40"/>
        <v>4.0913976381379488E-3</v>
      </c>
    </row>
    <row r="146" spans="1:64" s="49" customFormat="1" ht="23.25" customHeight="1" x14ac:dyDescent="0.2">
      <c r="A146" s="19" t="s">
        <v>357</v>
      </c>
      <c r="B146" s="20" t="s">
        <v>358</v>
      </c>
      <c r="C146" s="73">
        <f>SUMPRODUCT(-(Bens!$B$4:$B$90=Analítico!$B146),-(Bens!$D$4:$D$90=Analítico!C$3),(Bens!$G$4:$G$90))</f>
        <v>0</v>
      </c>
      <c r="D146" s="73">
        <f>SUMPRODUCT(-(Bens!$B$4:$B$90=Analítico!$B146),-(Bens!$D$4:$D$90=Analítico!D$3),(Bens!$G$4:$G$90))</f>
        <v>0</v>
      </c>
      <c r="E146" s="73">
        <f>SUMPRODUCT(-(Bens!$B$4:$B$90=Analítico!$B146),-(Bens!$D$4:$D$90=Analítico!E$3),(Bens!$G$4:$G$90))</f>
        <v>0</v>
      </c>
      <c r="F146" s="73">
        <f>SUMPRODUCT(-(Bens!$B$4:$B$90=Analítico!$B146),-(Bens!$D$4:$D$90=Analítico!F$3),(Bens!$G$4:$G$90))</f>
        <v>0</v>
      </c>
      <c r="G146" s="73">
        <f>SUMPRODUCT(-(Bens!$B$4:$B$90=Analítico!$B146),-(Bens!$D$4:$D$90=Analítico!G$3),(Bens!$G$4:$G$90))</f>
        <v>0</v>
      </c>
      <c r="H146" s="73">
        <f>SUMPRODUCT(-(Bens!$B$4:$B$90=Analítico!$B146),-(Bens!$D$4:$D$90=Analítico!H$3),(Bens!$G$4:$G$90))</f>
        <v>0</v>
      </c>
      <c r="I146" s="73">
        <f>SUMPRODUCT(-(Bens!$B$4:$B$90=Analítico!$B146),-(Bens!$D$4:$D$90=Analítico!I$3),(Bens!$G$4:$G$90))</f>
        <v>0</v>
      </c>
      <c r="J146" s="73">
        <f>SUMPRODUCT(-(Bens!$B$4:$B$90=Analítico!$B146),-(Bens!$D$4:$D$90=Analítico!J$3),(Bens!$G$4:$G$90))</f>
        <v>0</v>
      </c>
      <c r="K146" s="73">
        <f>SUMPRODUCT(-(Bens!$B$4:$B$90=Analítico!$B146),-(Bens!$D$4:$D$90=Analítico!K$3),(Bens!$G$4:$G$90))</f>
        <v>0</v>
      </c>
      <c r="L146" s="73">
        <f>SUMPRODUCT(-(Bens!$B$4:$B$90=Analítico!$B146),-(Bens!$D$4:$D$90=Analítico!L$3),(Bens!$G$4:$G$90))</f>
        <v>0</v>
      </c>
      <c r="M146" s="73">
        <f>SUMPRODUCT(-(Bens!$B$4:$B$90=Analítico!$B146),-(Bens!$D$4:$D$90=Analítico!M$3),(Bens!$G$4:$G$90))</f>
        <v>0</v>
      </c>
      <c r="N146" s="73">
        <f>SUMPRODUCT(-(Bens!$B$4:$B$90=Analítico!$B146),-(Bens!$D$4:$D$90=Analítico!N$3),(Bens!$G$4:$G$90))</f>
        <v>0</v>
      </c>
      <c r="O146" s="73">
        <f>SUMPRODUCT(-(Bens!$B$4:$B$90=Analítico!$B146),-(Bens!$D$4:$D$90=Analítico!O$3),(Bens!$G$4:$G$90))</f>
        <v>0</v>
      </c>
      <c r="P146" s="73">
        <f>SUMPRODUCT(-(Bens!$B$4:$B$90=Analítico!$B146),-(Bens!$D$4:$D$90=Analítico!P$3),(Bens!$G$4:$G$90))</f>
        <v>0</v>
      </c>
      <c r="Q146" s="73">
        <f>SUMPRODUCT(-(Bens!$B$4:$B$90=Analítico!$B146),-(Bens!$D$4:$D$90=Analítico!Q$3),(Bens!$G$4:$G$90))</f>
        <v>0</v>
      </c>
      <c r="R146" s="73">
        <f>SUMPRODUCT(-(Bens!$B$4:$B$90=Analítico!$B146),-(Bens!$D$4:$D$90=Analítico!R$3),(Bens!$G$4:$G$90))</f>
        <v>0</v>
      </c>
      <c r="S146" s="73">
        <f>SUMPRODUCT(-(Bens!$B$4:$B$90=Analítico!$B146),-(Bens!$D$4:$D$90=Analítico!S$3),(Bens!$G$4:$G$90))</f>
        <v>0</v>
      </c>
      <c r="T146" s="73">
        <f>SUMPRODUCT(-(Bens!$B$4:$B$90=Analítico!$B146),-(Bens!$D$4:$D$90=Analítico!T$3),(Bens!$G$4:$G$90))</f>
        <v>0</v>
      </c>
      <c r="U146" s="73">
        <f>SUMPRODUCT(-(Bens!$B$4:$B$90=Analítico!$B146),-(Bens!$D$4:$D$90=Analítico!U$3),(Bens!$G$4:$G$90))</f>
        <v>0</v>
      </c>
      <c r="V146" s="73">
        <f>SUMPRODUCT(-(Bens!$B$4:$B$90=Analítico!$B146),-(Bens!$D$4:$D$90=Analítico!V$3),(Bens!$G$4:$G$90))</f>
        <v>0</v>
      </c>
      <c r="W146" s="73">
        <f>SUMPRODUCT(-(Bens!$B$4:$B$90=Analítico!$B146),-(Bens!$D$4:$D$90=Analítico!W$3),(Bens!$G$4:$G$90))</f>
        <v>0</v>
      </c>
      <c r="X146" s="73">
        <f>SUMPRODUCT(-(Bens!$B$4:$B$90=Analítico!$B146),-(Bens!$D$4:$D$90=Analítico!X$3),(Bens!$G$4:$G$90))</f>
        <v>0</v>
      </c>
      <c r="Y146" s="73">
        <f>SUMPRODUCT(-(Bens!$B$4:$B$90=Analítico!$B146),-(Bens!$D$4:$D$90=Analítico!Y$3),(Bens!$G$4:$G$90))</f>
        <v>0</v>
      </c>
      <c r="Z146" s="73">
        <f>SUMPRODUCT(-(Bens!$B$4:$B$90=Analítico!$B146),-(Bens!$D$4:$D$90=Analítico!Z$3),(Bens!$G$4:$G$90))</f>
        <v>0</v>
      </c>
      <c r="AA146" s="73">
        <f>SUMPRODUCT(-(Bens!$B$4:$B$90=Analítico!$B146),-(Bens!$D$4:$D$90=Analítico!AA$3),(Bens!$G$4:$G$90))</f>
        <v>0</v>
      </c>
      <c r="AB146" s="73">
        <f>SUMPRODUCT(-(Bens!$B$4:$B$90=Analítico!$B146),-(Bens!$D$4:$D$90=Analítico!AB$3),(Bens!$G$4:$G$90))</f>
        <v>0</v>
      </c>
      <c r="AC146" s="73">
        <f>SUMPRODUCT(-(Bens!$B$4:$B$90=Analítico!$B146),-(Bens!$D$4:$D$90=Analítico!AC$3),(Bens!$G$4:$G$90))</f>
        <v>0</v>
      </c>
      <c r="AD146" s="73">
        <f>SUMPRODUCT(-(Bens!$B$4:$B$90=Analítico!$B146),-(Bens!$D$4:$D$90=Analítico!AD$3),(Bens!$G$4:$G$90))</f>
        <v>0</v>
      </c>
      <c r="AE146" s="73">
        <f>SUMPRODUCT(-(Bens!$B$4:$B$90=Analítico!$B146),-(Bens!$D$4:$D$90=Analítico!AE$3),(Bens!$G$4:$G$90))</f>
        <v>0</v>
      </c>
      <c r="AF146" s="73">
        <f>SUMPRODUCT(-(Bens!$B$4:$B$90=Analítico!$B146),-(Bens!$D$4:$D$90=Analítico!AF$3),(Bens!$G$4:$G$90))</f>
        <v>0</v>
      </c>
      <c r="AG146" s="73">
        <f>SUMPRODUCT(-(Bens!$B$4:$B$90=Analítico!$B146),-(Bens!$D$4:$D$90=Analítico!AG$3),(Bens!$G$4:$G$90))</f>
        <v>0</v>
      </c>
      <c r="AH146" s="73">
        <f>SUMPRODUCT(-(Bens!$B$4:$B$90=Analítico!$B146),-(Bens!$D$4:$D$90=Analítico!AH$3),(Bens!$G$4:$G$90))</f>
        <v>0</v>
      </c>
      <c r="AI146" s="73">
        <f>SUMPRODUCT(-(Bens!$B$4:$B$90=Analítico!$B146),-(Bens!$D$4:$D$90=Analítico!AI$3),(Bens!$G$4:$G$90))</f>
        <v>0</v>
      </c>
      <c r="AJ146" s="73">
        <f>SUMPRODUCT(-(Bens!$B$4:$B$90=Analítico!$B146),-(Bens!$D$4:$D$90=Analítico!AJ$3),(Bens!$G$4:$G$90))</f>
        <v>0</v>
      </c>
      <c r="AK146" s="73">
        <f>SUMPRODUCT(-(Bens!$B$4:$B$90=Analítico!$B146),-(Bens!$D$4:$D$90=Analítico!AK$3),(Bens!$G$4:$G$90))</f>
        <v>0</v>
      </c>
      <c r="AL146" s="73">
        <f>SUMPRODUCT(-(Bens!$B$4:$B$90=Analítico!$B146),-(Bens!$D$4:$D$90=Analítico!AL$3),(Bens!$G$4:$G$90))</f>
        <v>0</v>
      </c>
      <c r="AM146" s="73">
        <f>SUMPRODUCT(-(Bens!$B$4:$B$90=Analítico!$B146),-(Bens!$D$4:$D$90=Analítico!AM$3),(Bens!$G$4:$G$90))</f>
        <v>0</v>
      </c>
      <c r="AN146" s="73">
        <f>SUMPRODUCT(-(Bens!$B$4:$B$90=Analítico!$B146),-(Bens!$D$4:$D$90=Analítico!AN$3),(Bens!$G$4:$G$90))</f>
        <v>0</v>
      </c>
      <c r="AO146" s="73">
        <f>SUMPRODUCT(-(Bens!$B$4:$B$90=Analítico!$B146),-(Bens!$D$4:$D$90=Analítico!AO$3),(Bens!$G$4:$G$90))</f>
        <v>0</v>
      </c>
      <c r="AP146" s="73">
        <f>SUMPRODUCT(-(Bens!$B$4:$B$90=Analítico!$B146),-(Bens!$D$4:$D$90=Analítico!AP$3),(Bens!$G$4:$G$90))</f>
        <v>0</v>
      </c>
      <c r="AQ146" s="73">
        <f>SUMPRODUCT(-(Bens!$B$4:$B$90=Analítico!$B146),-(Bens!$D$4:$D$90=Analítico!AQ$3),(Bens!$G$4:$G$90))</f>
        <v>0</v>
      </c>
      <c r="AR146" s="73">
        <f>SUMPRODUCT(-(Bens!$B$4:$B$90=Analítico!$B146),-(Bens!$D$4:$D$90=Analítico!AR$3),(Bens!$G$4:$G$90))</f>
        <v>0</v>
      </c>
      <c r="AS146" s="73">
        <f>SUMPRODUCT(-(Bens!$B$4:$B$90=Analítico!$B146),-(Bens!$D$4:$D$90=Analítico!AS$3),(Bens!$G$4:$G$90))</f>
        <v>0</v>
      </c>
      <c r="AT146" s="73">
        <f>SUMPRODUCT(-(Bens!$B$4:$B$90=Analítico!$B146),-(Bens!$D$4:$D$90=Analítico!AT$3),(Bens!$G$4:$G$90))</f>
        <v>0</v>
      </c>
      <c r="AU146" s="73">
        <f>SUMPRODUCT(-(Bens!$B$4:$B$90=Analítico!$B146),-(Bens!$D$4:$D$90=Analítico!AU$3),(Bens!$G$4:$G$90))</f>
        <v>0</v>
      </c>
      <c r="AV146" s="73">
        <f>SUMPRODUCT(-(Bens!$B$4:$B$90=Analítico!$B146),-(Bens!$D$4:$D$90=Analítico!AV$3),(Bens!$G$4:$G$90))</f>
        <v>0</v>
      </c>
      <c r="AW146" s="73">
        <f>SUMPRODUCT(-(Bens!$B$4:$B$90=Analítico!$B146),-(Bens!$D$4:$D$90=Analítico!AW$3),(Bens!$G$4:$G$90))</f>
        <v>0</v>
      </c>
      <c r="AX146" s="73">
        <f>SUMPRODUCT(-(Bens!$B$4:$B$90=Analítico!$B146),-(Bens!$D$4:$D$90=Analítico!AX$3),(Bens!$G$4:$G$90))</f>
        <v>0</v>
      </c>
      <c r="AY146" s="73">
        <f>SUMPRODUCT(-(Bens!$B$4:$B$90=Analítico!$B146),-(Bens!$D$4:$D$90=Analítico!AY$3),(Bens!$G$4:$G$90))</f>
        <v>0</v>
      </c>
      <c r="AZ146" s="73">
        <f>SUMPRODUCT(-(Bens!$B$4:$B$90=Analítico!$B146),-(Bens!$D$4:$D$90=Analítico!AZ$3),(Bens!$G$4:$G$90))</f>
        <v>0</v>
      </c>
      <c r="BA146" s="73">
        <f>SUMPRODUCT(-(Bens!$B$4:$B$90=Analítico!$B146),-(Bens!$D$4:$D$90=Analítico!BA$3),(Bens!$G$4:$G$90))</f>
        <v>0</v>
      </c>
      <c r="BB146" s="73">
        <f>SUMPRODUCT(-(Bens!$B$4:$B$90=Analítico!$B146),-(Bens!$D$4:$D$90=Analítico!BB$3),(Bens!$G$4:$G$90))</f>
        <v>0</v>
      </c>
      <c r="BC146" s="73">
        <f>SUMPRODUCT(-(Bens!$B$4:$B$90=Analítico!$B146),-(Bens!$D$4:$D$90=Analítico!BC$3),(Bens!$G$4:$G$90))</f>
        <v>0</v>
      </c>
      <c r="BD146" s="73">
        <f>SUMPRODUCT(-(Bens!$B$4:$B$90=Analítico!$B146),-(Bens!$D$4:$D$90=Analítico!BD$3),(Bens!$G$4:$G$90))</f>
        <v>0</v>
      </c>
      <c r="BE146" s="73">
        <f>SUMPRODUCT(-(Bens!$B$4:$B$90=Analítico!$B146),-(Bens!$D$4:$D$90=Analítico!BE$3),(Bens!$G$4:$G$90))</f>
        <v>0</v>
      </c>
      <c r="BF146" s="73">
        <f>SUMPRODUCT(-(Bens!$B$4:$B$90=Analítico!$B146),-(Bens!$D$4:$D$90=Analítico!BF$3),(Bens!$G$4:$G$90))</f>
        <v>0</v>
      </c>
      <c r="BG146" s="73">
        <f>SUMPRODUCT(-(Bens!$B$4:$B$90=Analítico!$B146),-(Bens!$D$4:$D$90=Analítico!BG$3),(Bens!$G$4:$G$90))</f>
        <v>0</v>
      </c>
      <c r="BH146" s="73">
        <f>SUMPRODUCT(-(Bens!$B$4:$B$90=Analítico!$B146),-(Bens!$D$4:$D$90=Analítico!BH$3),(Bens!$G$4:$G$90))</f>
        <v>0</v>
      </c>
      <c r="BI146" s="73">
        <f>SUMPRODUCT(-(Bens!$B$4:$B$90=Analítico!$B146),-(Bens!$D$4:$D$90=Analítico!BI$3),(Bens!$G$4:$G$90))</f>
        <v>0</v>
      </c>
      <c r="BJ146" s="73">
        <f>SUMPRODUCT(-(Bens!$B$4:$B$90=Analítico!$B146),-(Bens!$D$4:$D$90=Analítico!BJ$3),(Bens!$G$4:$G$90))</f>
        <v>0</v>
      </c>
      <c r="BK146" s="71">
        <f t="shared" si="39"/>
        <v>0</v>
      </c>
      <c r="BL146" s="76">
        <f t="shared" ca="1" si="40"/>
        <v>0</v>
      </c>
    </row>
    <row r="147" spans="1:64" s="49" customFormat="1" ht="23.25" customHeight="1" x14ac:dyDescent="0.2">
      <c r="A147" s="19" t="s">
        <v>359</v>
      </c>
      <c r="B147" s="20" t="s">
        <v>360</v>
      </c>
      <c r="C147" s="73">
        <f>SUMPRODUCT(-(Bens!$B$4:$B$90=Analítico!$B147),-(Bens!$D$4:$D$90=Analítico!C$3),(Bens!$G$4:$G$90))</f>
        <v>0</v>
      </c>
      <c r="D147" s="73">
        <f>SUMPRODUCT(-(Bens!$B$4:$B$90=Analítico!$B147),-(Bens!$D$4:$D$90=Analítico!D$3),(Bens!$G$4:$G$90))</f>
        <v>0</v>
      </c>
      <c r="E147" s="73">
        <f>SUMPRODUCT(-(Bens!$B$4:$B$90=Analítico!$B147),-(Bens!$D$4:$D$90=Analítico!E$3),(Bens!$G$4:$G$90))</f>
        <v>0</v>
      </c>
      <c r="F147" s="73">
        <f>SUMPRODUCT(-(Bens!$B$4:$B$90=Analítico!$B147),-(Bens!$D$4:$D$90=Analítico!F$3),(Bens!$G$4:$G$90))</f>
        <v>0</v>
      </c>
      <c r="G147" s="73">
        <f>SUMPRODUCT(-(Bens!$B$4:$B$90=Analítico!$B147),-(Bens!$D$4:$D$90=Analítico!G$3),(Bens!$G$4:$G$90))</f>
        <v>0</v>
      </c>
      <c r="H147" s="73">
        <f>SUMPRODUCT(-(Bens!$B$4:$B$90=Analítico!$B147),-(Bens!$D$4:$D$90=Analítico!H$3),(Bens!$G$4:$G$90))</f>
        <v>0</v>
      </c>
      <c r="I147" s="73">
        <f>SUMPRODUCT(-(Bens!$B$4:$B$90=Analítico!$B147),-(Bens!$D$4:$D$90=Analítico!I$3),(Bens!$G$4:$G$90))</f>
        <v>0</v>
      </c>
      <c r="J147" s="73">
        <f>SUMPRODUCT(-(Bens!$B$4:$B$90=Analítico!$B147),-(Bens!$D$4:$D$90=Analítico!J$3),(Bens!$G$4:$G$90))</f>
        <v>0</v>
      </c>
      <c r="K147" s="73">
        <f>SUMPRODUCT(-(Bens!$B$4:$B$90=Analítico!$B147),-(Bens!$D$4:$D$90=Analítico!K$3),(Bens!$G$4:$G$90))</f>
        <v>0</v>
      </c>
      <c r="L147" s="73">
        <f>SUMPRODUCT(-(Bens!$B$4:$B$90=Analítico!$B147),-(Bens!$D$4:$D$90=Analítico!L$3),(Bens!$G$4:$G$90))</f>
        <v>0</v>
      </c>
      <c r="M147" s="73">
        <f>SUMPRODUCT(-(Bens!$B$4:$B$90=Analítico!$B147),-(Bens!$D$4:$D$90=Analítico!M$3),(Bens!$G$4:$G$90))</f>
        <v>0</v>
      </c>
      <c r="N147" s="73">
        <f>SUMPRODUCT(-(Bens!$B$4:$B$90=Analítico!$B147),-(Bens!$D$4:$D$90=Analítico!N$3),(Bens!$G$4:$G$90))</f>
        <v>0</v>
      </c>
      <c r="O147" s="73">
        <f>SUMPRODUCT(-(Bens!$B$4:$B$90=Analítico!$B147),-(Bens!$D$4:$D$90=Analítico!O$3),(Bens!$G$4:$G$90))</f>
        <v>0</v>
      </c>
      <c r="P147" s="73">
        <f>SUMPRODUCT(-(Bens!$B$4:$B$90=Analítico!$B147),-(Bens!$D$4:$D$90=Analítico!P$3),(Bens!$G$4:$G$90))</f>
        <v>0</v>
      </c>
      <c r="Q147" s="73">
        <f>SUMPRODUCT(-(Bens!$B$4:$B$90=Analítico!$B147),-(Bens!$D$4:$D$90=Analítico!Q$3),(Bens!$G$4:$G$90))</f>
        <v>0</v>
      </c>
      <c r="R147" s="73">
        <f>SUMPRODUCT(-(Bens!$B$4:$B$90=Analítico!$B147),-(Bens!$D$4:$D$90=Analítico!R$3),(Bens!$G$4:$G$90))</f>
        <v>0</v>
      </c>
      <c r="S147" s="73">
        <f>SUMPRODUCT(-(Bens!$B$4:$B$90=Analítico!$B147),-(Bens!$D$4:$D$90=Analítico!S$3),(Bens!$G$4:$G$90))</f>
        <v>0</v>
      </c>
      <c r="T147" s="73">
        <f>SUMPRODUCT(-(Bens!$B$4:$B$90=Analítico!$B147),-(Bens!$D$4:$D$90=Analítico!T$3),(Bens!$G$4:$G$90))</f>
        <v>0</v>
      </c>
      <c r="U147" s="73">
        <f>SUMPRODUCT(-(Bens!$B$4:$B$90=Analítico!$B147),-(Bens!$D$4:$D$90=Analítico!U$3),(Bens!$G$4:$G$90))</f>
        <v>0</v>
      </c>
      <c r="V147" s="73">
        <f>SUMPRODUCT(-(Bens!$B$4:$B$90=Analítico!$B147),-(Bens!$D$4:$D$90=Analítico!V$3),(Bens!$G$4:$G$90))</f>
        <v>0</v>
      </c>
      <c r="W147" s="73">
        <f>SUMPRODUCT(-(Bens!$B$4:$B$90=Analítico!$B147),-(Bens!$D$4:$D$90=Analítico!W$3),(Bens!$G$4:$G$90))</f>
        <v>0</v>
      </c>
      <c r="X147" s="73">
        <f>SUMPRODUCT(-(Bens!$B$4:$B$90=Analítico!$B147),-(Bens!$D$4:$D$90=Analítico!X$3),(Bens!$G$4:$G$90))</f>
        <v>0</v>
      </c>
      <c r="Y147" s="73">
        <f>SUMPRODUCT(-(Bens!$B$4:$B$90=Analítico!$B147),-(Bens!$D$4:$D$90=Analítico!Y$3),(Bens!$G$4:$G$90))</f>
        <v>0</v>
      </c>
      <c r="Z147" s="73">
        <f>SUMPRODUCT(-(Bens!$B$4:$B$90=Analítico!$B147),-(Bens!$D$4:$D$90=Analítico!Z$3),(Bens!$G$4:$G$90))</f>
        <v>0</v>
      </c>
      <c r="AA147" s="73">
        <f>SUMPRODUCT(-(Bens!$B$4:$B$90=Analítico!$B147),-(Bens!$D$4:$D$90=Analítico!AA$3),(Bens!$G$4:$G$90))</f>
        <v>0</v>
      </c>
      <c r="AB147" s="73">
        <f>SUMPRODUCT(-(Bens!$B$4:$B$90=Analítico!$B147),-(Bens!$D$4:$D$90=Analítico!AB$3),(Bens!$G$4:$G$90))</f>
        <v>0</v>
      </c>
      <c r="AC147" s="73">
        <f>SUMPRODUCT(-(Bens!$B$4:$B$90=Analítico!$B147),-(Bens!$D$4:$D$90=Analítico!AC$3),(Bens!$G$4:$G$90))</f>
        <v>0</v>
      </c>
      <c r="AD147" s="73">
        <f>SUMPRODUCT(-(Bens!$B$4:$B$90=Analítico!$B147),-(Bens!$D$4:$D$90=Analítico!AD$3),(Bens!$G$4:$G$90))</f>
        <v>0</v>
      </c>
      <c r="AE147" s="73">
        <f>SUMPRODUCT(-(Bens!$B$4:$B$90=Analítico!$B147),-(Bens!$D$4:$D$90=Analítico!AE$3),(Bens!$G$4:$G$90))</f>
        <v>0</v>
      </c>
      <c r="AF147" s="73">
        <f>SUMPRODUCT(-(Bens!$B$4:$B$90=Analítico!$B147),-(Bens!$D$4:$D$90=Analítico!AF$3),(Bens!$G$4:$G$90))</f>
        <v>0</v>
      </c>
      <c r="AG147" s="73">
        <f>SUMPRODUCT(-(Bens!$B$4:$B$90=Analítico!$B147),-(Bens!$D$4:$D$90=Analítico!AG$3),(Bens!$G$4:$G$90))</f>
        <v>0</v>
      </c>
      <c r="AH147" s="73">
        <f>SUMPRODUCT(-(Bens!$B$4:$B$90=Analítico!$B147),-(Bens!$D$4:$D$90=Analítico!AH$3),(Bens!$G$4:$G$90))</f>
        <v>0</v>
      </c>
      <c r="AI147" s="73">
        <f>SUMPRODUCT(-(Bens!$B$4:$B$90=Analítico!$B147),-(Bens!$D$4:$D$90=Analítico!AI$3),(Bens!$G$4:$G$90))</f>
        <v>0</v>
      </c>
      <c r="AJ147" s="73">
        <f>SUMPRODUCT(-(Bens!$B$4:$B$90=Analítico!$B147),-(Bens!$D$4:$D$90=Analítico!AJ$3),(Bens!$G$4:$G$90))</f>
        <v>0</v>
      </c>
      <c r="AK147" s="73">
        <f>SUMPRODUCT(-(Bens!$B$4:$B$90=Analítico!$B147),-(Bens!$D$4:$D$90=Analítico!AK$3),(Bens!$G$4:$G$90))</f>
        <v>0</v>
      </c>
      <c r="AL147" s="73">
        <f>SUMPRODUCT(-(Bens!$B$4:$B$90=Analítico!$B147),-(Bens!$D$4:$D$90=Analítico!AL$3),(Bens!$G$4:$G$90))</f>
        <v>0</v>
      </c>
      <c r="AM147" s="73">
        <f>SUMPRODUCT(-(Bens!$B$4:$B$90=Analítico!$B147),-(Bens!$D$4:$D$90=Analítico!AM$3),(Bens!$G$4:$G$90))</f>
        <v>0</v>
      </c>
      <c r="AN147" s="73">
        <f>SUMPRODUCT(-(Bens!$B$4:$B$90=Analítico!$B147),-(Bens!$D$4:$D$90=Analítico!AN$3),(Bens!$G$4:$G$90))</f>
        <v>0</v>
      </c>
      <c r="AO147" s="73">
        <f>SUMPRODUCT(-(Bens!$B$4:$B$90=Analítico!$B147),-(Bens!$D$4:$D$90=Analítico!AO$3),(Bens!$G$4:$G$90))</f>
        <v>0</v>
      </c>
      <c r="AP147" s="73">
        <f>SUMPRODUCT(-(Bens!$B$4:$B$90=Analítico!$B147),-(Bens!$D$4:$D$90=Analítico!AP$3),(Bens!$G$4:$G$90))</f>
        <v>0</v>
      </c>
      <c r="AQ147" s="73">
        <f>SUMPRODUCT(-(Bens!$B$4:$B$90=Analítico!$B147),-(Bens!$D$4:$D$90=Analítico!AQ$3),(Bens!$G$4:$G$90))</f>
        <v>0</v>
      </c>
      <c r="AR147" s="73">
        <f>SUMPRODUCT(-(Bens!$B$4:$B$90=Analítico!$B147),-(Bens!$D$4:$D$90=Analítico!AR$3),(Bens!$G$4:$G$90))</f>
        <v>0</v>
      </c>
      <c r="AS147" s="73">
        <f>SUMPRODUCT(-(Bens!$B$4:$B$90=Analítico!$B147),-(Bens!$D$4:$D$90=Analítico!AS$3),(Bens!$G$4:$G$90))</f>
        <v>0</v>
      </c>
      <c r="AT147" s="73">
        <f>SUMPRODUCT(-(Bens!$B$4:$B$90=Analítico!$B147),-(Bens!$D$4:$D$90=Analítico!AT$3),(Bens!$G$4:$G$90))</f>
        <v>0</v>
      </c>
      <c r="AU147" s="73">
        <f>SUMPRODUCT(-(Bens!$B$4:$B$90=Analítico!$B147),-(Bens!$D$4:$D$90=Analítico!AU$3),(Bens!$G$4:$G$90))</f>
        <v>0</v>
      </c>
      <c r="AV147" s="73">
        <f>SUMPRODUCT(-(Bens!$B$4:$B$90=Analítico!$B147),-(Bens!$D$4:$D$90=Analítico!AV$3),(Bens!$G$4:$G$90))</f>
        <v>0</v>
      </c>
      <c r="AW147" s="73">
        <f>SUMPRODUCT(-(Bens!$B$4:$B$90=Analítico!$B147),-(Bens!$D$4:$D$90=Analítico!AW$3),(Bens!$G$4:$G$90))</f>
        <v>0</v>
      </c>
      <c r="AX147" s="73">
        <f>SUMPRODUCT(-(Bens!$B$4:$B$90=Analítico!$B147),-(Bens!$D$4:$D$90=Analítico!AX$3),(Bens!$G$4:$G$90))</f>
        <v>0</v>
      </c>
      <c r="AY147" s="73">
        <f>SUMPRODUCT(-(Bens!$B$4:$B$90=Analítico!$B147),-(Bens!$D$4:$D$90=Analítico!AY$3),(Bens!$G$4:$G$90))</f>
        <v>0</v>
      </c>
      <c r="AZ147" s="73">
        <f>SUMPRODUCT(-(Bens!$B$4:$B$90=Analítico!$B147),-(Bens!$D$4:$D$90=Analítico!AZ$3),(Bens!$G$4:$G$90))</f>
        <v>0</v>
      </c>
      <c r="BA147" s="73">
        <f>SUMPRODUCT(-(Bens!$B$4:$B$90=Analítico!$B147),-(Bens!$D$4:$D$90=Analítico!BA$3),(Bens!$G$4:$G$90))</f>
        <v>0</v>
      </c>
      <c r="BB147" s="73">
        <f>SUMPRODUCT(-(Bens!$B$4:$B$90=Analítico!$B147),-(Bens!$D$4:$D$90=Analítico!BB$3),(Bens!$G$4:$G$90))</f>
        <v>0</v>
      </c>
      <c r="BC147" s="73">
        <f>SUMPRODUCT(-(Bens!$B$4:$B$90=Analítico!$B147),-(Bens!$D$4:$D$90=Analítico!BC$3),(Bens!$G$4:$G$90))</f>
        <v>0</v>
      </c>
      <c r="BD147" s="73">
        <f>SUMPRODUCT(-(Bens!$B$4:$B$90=Analítico!$B147),-(Bens!$D$4:$D$90=Analítico!BD$3),(Bens!$G$4:$G$90))</f>
        <v>0</v>
      </c>
      <c r="BE147" s="73">
        <f>SUMPRODUCT(-(Bens!$B$4:$B$90=Analítico!$B147),-(Bens!$D$4:$D$90=Analítico!BE$3),(Bens!$G$4:$G$90))</f>
        <v>0</v>
      </c>
      <c r="BF147" s="73">
        <f>SUMPRODUCT(-(Bens!$B$4:$B$90=Analítico!$B147),-(Bens!$D$4:$D$90=Analítico!BF$3),(Bens!$G$4:$G$90))</f>
        <v>0</v>
      </c>
      <c r="BG147" s="73">
        <f>SUMPRODUCT(-(Bens!$B$4:$B$90=Analítico!$B147),-(Bens!$D$4:$D$90=Analítico!BG$3),(Bens!$G$4:$G$90))</f>
        <v>0</v>
      </c>
      <c r="BH147" s="73">
        <f>SUMPRODUCT(-(Bens!$B$4:$B$90=Analítico!$B147),-(Bens!$D$4:$D$90=Analítico!BH$3),(Bens!$G$4:$G$90))</f>
        <v>0</v>
      </c>
      <c r="BI147" s="73">
        <f>SUMPRODUCT(-(Bens!$B$4:$B$90=Analítico!$B147),-(Bens!$D$4:$D$90=Analítico!BI$3),(Bens!$G$4:$G$90))</f>
        <v>0</v>
      </c>
      <c r="BJ147" s="73">
        <f>SUMPRODUCT(-(Bens!$B$4:$B$90=Analítico!$B147),-(Bens!$D$4:$D$90=Analítico!BJ$3),(Bens!$G$4:$G$90))</f>
        <v>0</v>
      </c>
      <c r="BK147" s="71">
        <f t="shared" si="39"/>
        <v>0</v>
      </c>
      <c r="BL147" s="76">
        <f t="shared" ca="1" si="40"/>
        <v>0</v>
      </c>
    </row>
    <row r="148" spans="1:64" s="49" customFormat="1" ht="23.25" customHeight="1" x14ac:dyDescent="0.2">
      <c r="A148" s="19" t="s">
        <v>361</v>
      </c>
      <c r="B148" s="20" t="s">
        <v>362</v>
      </c>
      <c r="C148" s="73">
        <f>SUMPRODUCT(-(Bens!$B$4:$B$90=Analítico!$B148),-(Bens!$D$4:$D$90=Analítico!C$3),(Bens!$G$4:$G$90))</f>
        <v>0</v>
      </c>
      <c r="D148" s="73">
        <f>SUMPRODUCT(-(Bens!$B$4:$B$90=Analítico!$B148),-(Bens!$D$4:$D$90=Analítico!D$3),(Bens!$G$4:$G$90))</f>
        <v>0</v>
      </c>
      <c r="E148" s="73">
        <f>SUMPRODUCT(-(Bens!$B$4:$B$90=Analítico!$B148),-(Bens!$D$4:$D$90=Analítico!E$3),(Bens!$G$4:$G$90))</f>
        <v>0</v>
      </c>
      <c r="F148" s="73">
        <f>SUMPRODUCT(-(Bens!$B$4:$B$90=Analítico!$B148),-(Bens!$D$4:$D$90=Analítico!F$3),(Bens!$G$4:$G$90))</f>
        <v>0</v>
      </c>
      <c r="G148" s="73">
        <f>SUMPRODUCT(-(Bens!$B$4:$B$90=Analítico!$B148),-(Bens!$D$4:$D$90=Analítico!G$3),(Bens!$G$4:$G$90))</f>
        <v>0</v>
      </c>
      <c r="H148" s="73">
        <f>SUMPRODUCT(-(Bens!$B$4:$B$90=Analítico!$B148),-(Bens!$D$4:$D$90=Analítico!H$3),(Bens!$G$4:$G$90))</f>
        <v>0</v>
      </c>
      <c r="I148" s="73">
        <f>SUMPRODUCT(-(Bens!$B$4:$B$90=Analítico!$B148),-(Bens!$D$4:$D$90=Analítico!I$3),(Bens!$G$4:$G$90))</f>
        <v>0</v>
      </c>
      <c r="J148" s="73">
        <f>SUMPRODUCT(-(Bens!$B$4:$B$90=Analítico!$B148),-(Bens!$D$4:$D$90=Analítico!J$3),(Bens!$G$4:$G$90))</f>
        <v>0</v>
      </c>
      <c r="K148" s="73">
        <f>SUMPRODUCT(-(Bens!$B$4:$B$90=Analítico!$B148),-(Bens!$D$4:$D$90=Analítico!K$3),(Bens!$G$4:$G$90))</f>
        <v>0</v>
      </c>
      <c r="L148" s="73">
        <f>SUMPRODUCT(-(Bens!$B$4:$B$90=Analítico!$B148),-(Bens!$D$4:$D$90=Analítico!L$3),(Bens!$G$4:$G$90))</f>
        <v>0</v>
      </c>
      <c r="M148" s="73">
        <f>SUMPRODUCT(-(Bens!$B$4:$B$90=Analítico!$B148),-(Bens!$D$4:$D$90=Analítico!M$3),(Bens!$G$4:$G$90))</f>
        <v>0</v>
      </c>
      <c r="N148" s="73">
        <f>SUMPRODUCT(-(Bens!$B$4:$B$90=Analítico!$B148),-(Bens!$D$4:$D$90=Analítico!N$3),(Bens!$G$4:$G$90))</f>
        <v>0</v>
      </c>
      <c r="O148" s="73">
        <f>SUMPRODUCT(-(Bens!$B$4:$B$90=Analítico!$B148),-(Bens!$D$4:$D$90=Analítico!O$3),(Bens!$G$4:$G$90))</f>
        <v>0</v>
      </c>
      <c r="P148" s="73">
        <f>SUMPRODUCT(-(Bens!$B$4:$B$90=Analítico!$B148),-(Bens!$D$4:$D$90=Analítico!P$3),(Bens!$G$4:$G$90))</f>
        <v>0</v>
      </c>
      <c r="Q148" s="73">
        <f>SUMPRODUCT(-(Bens!$B$4:$B$90=Analítico!$B148),-(Bens!$D$4:$D$90=Analítico!Q$3),(Bens!$G$4:$G$90))</f>
        <v>0</v>
      </c>
      <c r="R148" s="73">
        <f>SUMPRODUCT(-(Bens!$B$4:$B$90=Analítico!$B148),-(Bens!$D$4:$D$90=Analítico!R$3),(Bens!$G$4:$G$90))</f>
        <v>0</v>
      </c>
      <c r="S148" s="73">
        <f>SUMPRODUCT(-(Bens!$B$4:$B$90=Analítico!$B148),-(Bens!$D$4:$D$90=Analítico!S$3),(Bens!$G$4:$G$90))</f>
        <v>0</v>
      </c>
      <c r="T148" s="73">
        <f>SUMPRODUCT(-(Bens!$B$4:$B$90=Analítico!$B148),-(Bens!$D$4:$D$90=Analítico!T$3),(Bens!$G$4:$G$90))</f>
        <v>0</v>
      </c>
      <c r="U148" s="73">
        <f>SUMPRODUCT(-(Bens!$B$4:$B$90=Analítico!$B148),-(Bens!$D$4:$D$90=Analítico!U$3),(Bens!$G$4:$G$90))</f>
        <v>0</v>
      </c>
      <c r="V148" s="73">
        <f>SUMPRODUCT(-(Bens!$B$4:$B$90=Analítico!$B148),-(Bens!$D$4:$D$90=Analítico!V$3),(Bens!$G$4:$G$90))</f>
        <v>0</v>
      </c>
      <c r="W148" s="73">
        <f>SUMPRODUCT(-(Bens!$B$4:$B$90=Analítico!$B148),-(Bens!$D$4:$D$90=Analítico!W$3),(Bens!$G$4:$G$90))</f>
        <v>0</v>
      </c>
      <c r="X148" s="73">
        <f>SUMPRODUCT(-(Bens!$B$4:$B$90=Analítico!$B148),-(Bens!$D$4:$D$90=Analítico!X$3),(Bens!$G$4:$G$90))</f>
        <v>0</v>
      </c>
      <c r="Y148" s="73">
        <f>SUMPRODUCT(-(Bens!$B$4:$B$90=Analítico!$B148),-(Bens!$D$4:$D$90=Analítico!Y$3),(Bens!$G$4:$G$90))</f>
        <v>0</v>
      </c>
      <c r="Z148" s="73">
        <f>SUMPRODUCT(-(Bens!$B$4:$B$90=Analítico!$B148),-(Bens!$D$4:$D$90=Analítico!Z$3),(Bens!$G$4:$G$90))</f>
        <v>0</v>
      </c>
      <c r="AA148" s="73">
        <f>SUMPRODUCT(-(Bens!$B$4:$B$90=Analítico!$B148),-(Bens!$D$4:$D$90=Analítico!AA$3),(Bens!$G$4:$G$90))</f>
        <v>0</v>
      </c>
      <c r="AB148" s="73">
        <f>SUMPRODUCT(-(Bens!$B$4:$B$90=Analítico!$B148),-(Bens!$D$4:$D$90=Analítico!AB$3),(Bens!$G$4:$G$90))</f>
        <v>0</v>
      </c>
      <c r="AC148" s="73">
        <f>SUMPRODUCT(-(Bens!$B$4:$B$90=Analítico!$B148),-(Bens!$D$4:$D$90=Analítico!AC$3),(Bens!$G$4:$G$90))</f>
        <v>0</v>
      </c>
      <c r="AD148" s="73">
        <f>SUMPRODUCT(-(Bens!$B$4:$B$90=Analítico!$B148),-(Bens!$D$4:$D$90=Analítico!AD$3),(Bens!$G$4:$G$90))</f>
        <v>0</v>
      </c>
      <c r="AE148" s="73">
        <f>SUMPRODUCT(-(Bens!$B$4:$B$90=Analítico!$B148),-(Bens!$D$4:$D$90=Analítico!AE$3),(Bens!$G$4:$G$90))</f>
        <v>0</v>
      </c>
      <c r="AF148" s="73">
        <f>SUMPRODUCT(-(Bens!$B$4:$B$90=Analítico!$B148),-(Bens!$D$4:$D$90=Analítico!AF$3),(Bens!$G$4:$G$90))</f>
        <v>0</v>
      </c>
      <c r="AG148" s="73">
        <f>SUMPRODUCT(-(Bens!$B$4:$B$90=Analítico!$B148),-(Bens!$D$4:$D$90=Analítico!AG$3),(Bens!$G$4:$G$90))</f>
        <v>0</v>
      </c>
      <c r="AH148" s="73">
        <f>SUMPRODUCT(-(Bens!$B$4:$B$90=Analítico!$B148),-(Bens!$D$4:$D$90=Analítico!AH$3),(Bens!$G$4:$G$90))</f>
        <v>0</v>
      </c>
      <c r="AI148" s="73">
        <f>SUMPRODUCT(-(Bens!$B$4:$B$90=Analítico!$B148),-(Bens!$D$4:$D$90=Analítico!AI$3),(Bens!$G$4:$G$90))</f>
        <v>0</v>
      </c>
      <c r="AJ148" s="73">
        <f>SUMPRODUCT(-(Bens!$B$4:$B$90=Analítico!$B148),-(Bens!$D$4:$D$90=Analítico!AJ$3),(Bens!$G$4:$G$90))</f>
        <v>0</v>
      </c>
      <c r="AK148" s="73">
        <f>SUMPRODUCT(-(Bens!$B$4:$B$90=Analítico!$B148),-(Bens!$D$4:$D$90=Analítico!AK$3),(Bens!$G$4:$G$90))</f>
        <v>0</v>
      </c>
      <c r="AL148" s="73">
        <f>SUMPRODUCT(-(Bens!$B$4:$B$90=Analítico!$B148),-(Bens!$D$4:$D$90=Analítico!AL$3),(Bens!$G$4:$G$90))</f>
        <v>0</v>
      </c>
      <c r="AM148" s="73">
        <f>SUMPRODUCT(-(Bens!$B$4:$B$90=Analítico!$B148),-(Bens!$D$4:$D$90=Analítico!AM$3),(Bens!$G$4:$G$90))</f>
        <v>0</v>
      </c>
      <c r="AN148" s="73">
        <f>SUMPRODUCT(-(Bens!$B$4:$B$90=Analítico!$B148),-(Bens!$D$4:$D$90=Analítico!AN$3),(Bens!$G$4:$G$90))</f>
        <v>0</v>
      </c>
      <c r="AO148" s="73">
        <f>SUMPRODUCT(-(Bens!$B$4:$B$90=Analítico!$B148),-(Bens!$D$4:$D$90=Analítico!AO$3),(Bens!$G$4:$G$90))</f>
        <v>0</v>
      </c>
      <c r="AP148" s="73">
        <f>SUMPRODUCT(-(Bens!$B$4:$B$90=Analítico!$B148),-(Bens!$D$4:$D$90=Analítico!AP$3),(Bens!$G$4:$G$90))</f>
        <v>0</v>
      </c>
      <c r="AQ148" s="73">
        <f>SUMPRODUCT(-(Bens!$B$4:$B$90=Analítico!$B148),-(Bens!$D$4:$D$90=Analítico!AQ$3),(Bens!$G$4:$G$90))</f>
        <v>0</v>
      </c>
      <c r="AR148" s="73">
        <f>SUMPRODUCT(-(Bens!$B$4:$B$90=Analítico!$B148),-(Bens!$D$4:$D$90=Analítico!AR$3),(Bens!$G$4:$G$90))</f>
        <v>0</v>
      </c>
      <c r="AS148" s="73">
        <f>SUMPRODUCT(-(Bens!$B$4:$B$90=Analítico!$B148),-(Bens!$D$4:$D$90=Analítico!AS$3),(Bens!$G$4:$G$90))</f>
        <v>0</v>
      </c>
      <c r="AT148" s="73">
        <f>SUMPRODUCT(-(Bens!$B$4:$B$90=Analítico!$B148),-(Bens!$D$4:$D$90=Analítico!AT$3),(Bens!$G$4:$G$90))</f>
        <v>0</v>
      </c>
      <c r="AU148" s="73">
        <f>SUMPRODUCT(-(Bens!$B$4:$B$90=Analítico!$B148),-(Bens!$D$4:$D$90=Analítico!AU$3),(Bens!$G$4:$G$90))</f>
        <v>0</v>
      </c>
      <c r="AV148" s="73">
        <f>SUMPRODUCT(-(Bens!$B$4:$B$90=Analítico!$B148),-(Bens!$D$4:$D$90=Analítico!AV$3),(Bens!$G$4:$G$90))</f>
        <v>0</v>
      </c>
      <c r="AW148" s="73">
        <f>SUMPRODUCT(-(Bens!$B$4:$B$90=Analítico!$B148),-(Bens!$D$4:$D$90=Analítico!AW$3),(Bens!$G$4:$G$90))</f>
        <v>0</v>
      </c>
      <c r="AX148" s="73">
        <f>SUMPRODUCT(-(Bens!$B$4:$B$90=Analítico!$B148),-(Bens!$D$4:$D$90=Analítico!AX$3),(Bens!$G$4:$G$90))</f>
        <v>0</v>
      </c>
      <c r="AY148" s="73">
        <f>SUMPRODUCT(-(Bens!$B$4:$B$90=Analítico!$B148),-(Bens!$D$4:$D$90=Analítico!AY$3),(Bens!$G$4:$G$90))</f>
        <v>0</v>
      </c>
      <c r="AZ148" s="73">
        <f>SUMPRODUCT(-(Bens!$B$4:$B$90=Analítico!$B148),-(Bens!$D$4:$D$90=Analítico!AZ$3),(Bens!$G$4:$G$90))</f>
        <v>0</v>
      </c>
      <c r="BA148" s="73">
        <f>SUMPRODUCT(-(Bens!$B$4:$B$90=Analítico!$B148),-(Bens!$D$4:$D$90=Analítico!BA$3),(Bens!$G$4:$G$90))</f>
        <v>0</v>
      </c>
      <c r="BB148" s="73">
        <f>SUMPRODUCT(-(Bens!$B$4:$B$90=Analítico!$B148),-(Bens!$D$4:$D$90=Analítico!BB$3),(Bens!$G$4:$G$90))</f>
        <v>0</v>
      </c>
      <c r="BC148" s="73">
        <f>SUMPRODUCT(-(Bens!$B$4:$B$90=Analítico!$B148),-(Bens!$D$4:$D$90=Analítico!BC$3),(Bens!$G$4:$G$90))</f>
        <v>0</v>
      </c>
      <c r="BD148" s="73">
        <f>SUMPRODUCT(-(Bens!$B$4:$B$90=Analítico!$B148),-(Bens!$D$4:$D$90=Analítico!BD$3),(Bens!$G$4:$G$90))</f>
        <v>0</v>
      </c>
      <c r="BE148" s="73">
        <f>SUMPRODUCT(-(Bens!$B$4:$B$90=Analítico!$B148),-(Bens!$D$4:$D$90=Analítico!BE$3),(Bens!$G$4:$G$90))</f>
        <v>0</v>
      </c>
      <c r="BF148" s="73">
        <f>SUMPRODUCT(-(Bens!$B$4:$B$90=Analítico!$B148),-(Bens!$D$4:$D$90=Analítico!BF$3),(Bens!$G$4:$G$90))</f>
        <v>0</v>
      </c>
      <c r="BG148" s="73">
        <f>SUMPRODUCT(-(Bens!$B$4:$B$90=Analítico!$B148),-(Bens!$D$4:$D$90=Analítico!BG$3),(Bens!$G$4:$G$90))</f>
        <v>0</v>
      </c>
      <c r="BH148" s="73">
        <f>SUMPRODUCT(-(Bens!$B$4:$B$90=Analítico!$B148),-(Bens!$D$4:$D$90=Analítico!BH$3),(Bens!$G$4:$G$90))</f>
        <v>0</v>
      </c>
      <c r="BI148" s="73">
        <f>SUMPRODUCT(-(Bens!$B$4:$B$90=Analítico!$B148),-(Bens!$D$4:$D$90=Analítico!BI$3),(Bens!$G$4:$G$90))</f>
        <v>0</v>
      </c>
      <c r="BJ148" s="73">
        <f>SUMPRODUCT(-(Bens!$B$4:$B$90=Analítico!$B148),-(Bens!$D$4:$D$90=Analítico!BJ$3),(Bens!$G$4:$G$90))</f>
        <v>0</v>
      </c>
      <c r="BK148" s="71">
        <f t="shared" si="39"/>
        <v>0</v>
      </c>
      <c r="BL148" s="76">
        <f t="shared" ca="1" si="40"/>
        <v>0</v>
      </c>
    </row>
    <row r="149" spans="1:64" s="49" customFormat="1" ht="23.25" customHeight="1" x14ac:dyDescent="0.2">
      <c r="A149" s="19" t="s">
        <v>363</v>
      </c>
      <c r="B149" s="20" t="s">
        <v>364</v>
      </c>
      <c r="C149" s="73">
        <f>SUMPRODUCT(-(Bens!$B$4:$B$90=Analítico!$B149),-(Bens!$D$4:$D$90=Analítico!C$3),(Bens!$G$4:$G$90))</f>
        <v>0</v>
      </c>
      <c r="D149" s="73">
        <f>SUMPRODUCT(-(Bens!$B$4:$B$90=Analítico!$B149),-(Bens!$D$4:$D$90=Analítico!D$3),(Bens!$G$4:$G$90))</f>
        <v>0</v>
      </c>
      <c r="E149" s="73">
        <f>SUMPRODUCT(-(Bens!$B$4:$B$90=Analítico!$B149),-(Bens!$D$4:$D$90=Analítico!E$3),(Bens!$G$4:$G$90))</f>
        <v>0</v>
      </c>
      <c r="F149" s="73">
        <f>SUMPRODUCT(-(Bens!$B$4:$B$90=Analítico!$B149),-(Bens!$D$4:$D$90=Analítico!F$3),(Bens!$G$4:$G$90))</f>
        <v>0</v>
      </c>
      <c r="G149" s="73">
        <f>SUMPRODUCT(-(Bens!$B$4:$B$90=Analítico!$B149),-(Bens!$D$4:$D$90=Analítico!G$3),(Bens!$G$4:$G$90))</f>
        <v>0</v>
      </c>
      <c r="H149" s="73">
        <f>SUMPRODUCT(-(Bens!$B$4:$B$90=Analítico!$B149),-(Bens!$D$4:$D$90=Analítico!H$3),(Bens!$G$4:$G$90))</f>
        <v>0</v>
      </c>
      <c r="I149" s="73">
        <f>SUMPRODUCT(-(Bens!$B$4:$B$90=Analítico!$B149),-(Bens!$D$4:$D$90=Analítico!I$3),(Bens!$G$4:$G$90))</f>
        <v>0</v>
      </c>
      <c r="J149" s="73">
        <f>SUMPRODUCT(-(Bens!$B$4:$B$90=Analítico!$B149),-(Bens!$D$4:$D$90=Analítico!J$3),(Bens!$G$4:$G$90))</f>
        <v>0</v>
      </c>
      <c r="K149" s="73">
        <f>SUMPRODUCT(-(Bens!$B$4:$B$90=Analítico!$B149),-(Bens!$D$4:$D$90=Analítico!K$3),(Bens!$G$4:$G$90))</f>
        <v>0</v>
      </c>
      <c r="L149" s="73">
        <f>SUMPRODUCT(-(Bens!$B$4:$B$90=Analítico!$B149),-(Bens!$D$4:$D$90=Analítico!L$3),(Bens!$G$4:$G$90))</f>
        <v>0</v>
      </c>
      <c r="M149" s="73">
        <f>SUMPRODUCT(-(Bens!$B$4:$B$90=Analítico!$B149),-(Bens!$D$4:$D$90=Analítico!M$3),(Bens!$G$4:$G$90))</f>
        <v>0</v>
      </c>
      <c r="N149" s="73">
        <f>SUMPRODUCT(-(Bens!$B$4:$B$90=Analítico!$B149),-(Bens!$D$4:$D$90=Analítico!N$3),(Bens!$G$4:$G$90))</f>
        <v>0</v>
      </c>
      <c r="O149" s="73">
        <f>SUMPRODUCT(-(Bens!$B$4:$B$90=Analítico!$B149),-(Bens!$D$4:$D$90=Analítico!O$3),(Bens!$G$4:$G$90))</f>
        <v>0</v>
      </c>
      <c r="P149" s="73">
        <f>SUMPRODUCT(-(Bens!$B$4:$B$90=Analítico!$B149),-(Bens!$D$4:$D$90=Analítico!P$3),(Bens!$G$4:$G$90))</f>
        <v>0</v>
      </c>
      <c r="Q149" s="73">
        <f>SUMPRODUCT(-(Bens!$B$4:$B$90=Analítico!$B149),-(Bens!$D$4:$D$90=Analítico!Q$3),(Bens!$G$4:$G$90))</f>
        <v>0</v>
      </c>
      <c r="R149" s="73">
        <f>SUMPRODUCT(-(Bens!$B$4:$B$90=Analítico!$B149),-(Bens!$D$4:$D$90=Analítico!R$3),(Bens!$G$4:$G$90))</f>
        <v>0</v>
      </c>
      <c r="S149" s="73">
        <f>SUMPRODUCT(-(Bens!$B$4:$B$90=Analítico!$B149),-(Bens!$D$4:$D$90=Analítico!S$3),(Bens!$G$4:$G$90))</f>
        <v>0</v>
      </c>
      <c r="T149" s="73">
        <f>SUMPRODUCT(-(Bens!$B$4:$B$90=Analítico!$B149),-(Bens!$D$4:$D$90=Analítico!T$3),(Bens!$G$4:$G$90))</f>
        <v>0</v>
      </c>
      <c r="U149" s="73">
        <f>SUMPRODUCT(-(Bens!$B$4:$B$90=Analítico!$B149),-(Bens!$D$4:$D$90=Analítico!U$3),(Bens!$G$4:$G$90))</f>
        <v>0</v>
      </c>
      <c r="V149" s="73">
        <f>SUMPRODUCT(-(Bens!$B$4:$B$90=Analítico!$B149),-(Bens!$D$4:$D$90=Analítico!V$3),(Bens!$G$4:$G$90))</f>
        <v>0</v>
      </c>
      <c r="W149" s="73">
        <f>SUMPRODUCT(-(Bens!$B$4:$B$90=Analítico!$B149),-(Bens!$D$4:$D$90=Analítico!W$3),(Bens!$G$4:$G$90))</f>
        <v>0</v>
      </c>
      <c r="X149" s="73">
        <f>SUMPRODUCT(-(Bens!$B$4:$B$90=Analítico!$B149),-(Bens!$D$4:$D$90=Analítico!X$3),(Bens!$G$4:$G$90))</f>
        <v>0</v>
      </c>
      <c r="Y149" s="73">
        <f>SUMPRODUCT(-(Bens!$B$4:$B$90=Analítico!$B149),-(Bens!$D$4:$D$90=Analítico!Y$3),(Bens!$G$4:$G$90))</f>
        <v>0</v>
      </c>
      <c r="Z149" s="73">
        <f>SUMPRODUCT(-(Bens!$B$4:$B$90=Analítico!$B149),-(Bens!$D$4:$D$90=Analítico!Z$3),(Bens!$G$4:$G$90))</f>
        <v>0</v>
      </c>
      <c r="AA149" s="73">
        <f>SUMPRODUCT(-(Bens!$B$4:$B$90=Analítico!$B149),-(Bens!$D$4:$D$90=Analítico!AA$3),(Bens!$G$4:$G$90))</f>
        <v>0</v>
      </c>
      <c r="AB149" s="73">
        <f>SUMPRODUCT(-(Bens!$B$4:$B$90=Analítico!$B149),-(Bens!$D$4:$D$90=Analítico!AB$3),(Bens!$G$4:$G$90))</f>
        <v>0</v>
      </c>
      <c r="AC149" s="73">
        <f>SUMPRODUCT(-(Bens!$B$4:$B$90=Analítico!$B149),-(Bens!$D$4:$D$90=Analítico!AC$3),(Bens!$G$4:$G$90))</f>
        <v>0</v>
      </c>
      <c r="AD149" s="73">
        <f>SUMPRODUCT(-(Bens!$B$4:$B$90=Analítico!$B149),-(Bens!$D$4:$D$90=Analítico!AD$3),(Bens!$G$4:$G$90))</f>
        <v>0</v>
      </c>
      <c r="AE149" s="73">
        <f>SUMPRODUCT(-(Bens!$B$4:$B$90=Analítico!$B149),-(Bens!$D$4:$D$90=Analítico!AE$3),(Bens!$G$4:$G$90))</f>
        <v>0</v>
      </c>
      <c r="AF149" s="73">
        <f>SUMPRODUCT(-(Bens!$B$4:$B$90=Analítico!$B149),-(Bens!$D$4:$D$90=Analítico!AF$3),(Bens!$G$4:$G$90))</f>
        <v>0</v>
      </c>
      <c r="AG149" s="73">
        <f>SUMPRODUCT(-(Bens!$B$4:$B$90=Analítico!$B149),-(Bens!$D$4:$D$90=Analítico!AG$3),(Bens!$G$4:$G$90))</f>
        <v>0</v>
      </c>
      <c r="AH149" s="73">
        <f>SUMPRODUCT(-(Bens!$B$4:$B$90=Analítico!$B149),-(Bens!$D$4:$D$90=Analítico!AH$3),(Bens!$G$4:$G$90))</f>
        <v>0</v>
      </c>
      <c r="AI149" s="73">
        <f>SUMPRODUCT(-(Bens!$B$4:$B$90=Analítico!$B149),-(Bens!$D$4:$D$90=Analítico!AI$3),(Bens!$G$4:$G$90))</f>
        <v>0</v>
      </c>
      <c r="AJ149" s="73">
        <f>SUMPRODUCT(-(Bens!$B$4:$B$90=Analítico!$B149),-(Bens!$D$4:$D$90=Analítico!AJ$3),(Bens!$G$4:$G$90))</f>
        <v>0</v>
      </c>
      <c r="AK149" s="73">
        <f>SUMPRODUCT(-(Bens!$B$4:$B$90=Analítico!$B149),-(Bens!$D$4:$D$90=Analítico!AK$3),(Bens!$G$4:$G$90))</f>
        <v>0</v>
      </c>
      <c r="AL149" s="73">
        <f>SUMPRODUCT(-(Bens!$B$4:$B$90=Analítico!$B149),-(Bens!$D$4:$D$90=Analítico!AL$3),(Bens!$G$4:$G$90))</f>
        <v>0</v>
      </c>
      <c r="AM149" s="73">
        <f>SUMPRODUCT(-(Bens!$B$4:$B$90=Analítico!$B149),-(Bens!$D$4:$D$90=Analítico!AM$3),(Bens!$G$4:$G$90))</f>
        <v>0</v>
      </c>
      <c r="AN149" s="73">
        <f>SUMPRODUCT(-(Bens!$B$4:$B$90=Analítico!$B149),-(Bens!$D$4:$D$90=Analítico!AN$3),(Bens!$G$4:$G$90))</f>
        <v>0</v>
      </c>
      <c r="AO149" s="73">
        <f>SUMPRODUCT(-(Bens!$B$4:$B$90=Analítico!$B149),-(Bens!$D$4:$D$90=Analítico!AO$3),(Bens!$G$4:$G$90))</f>
        <v>0</v>
      </c>
      <c r="AP149" s="73">
        <f>SUMPRODUCT(-(Bens!$B$4:$B$90=Analítico!$B149),-(Bens!$D$4:$D$90=Analítico!AP$3),(Bens!$G$4:$G$90))</f>
        <v>0</v>
      </c>
      <c r="AQ149" s="73">
        <f>SUMPRODUCT(-(Bens!$B$4:$B$90=Analítico!$B149),-(Bens!$D$4:$D$90=Analítico!AQ$3),(Bens!$G$4:$G$90))</f>
        <v>0</v>
      </c>
      <c r="AR149" s="73">
        <f>SUMPRODUCT(-(Bens!$B$4:$B$90=Analítico!$B149),-(Bens!$D$4:$D$90=Analítico!AR$3),(Bens!$G$4:$G$90))</f>
        <v>0</v>
      </c>
      <c r="AS149" s="73">
        <f>SUMPRODUCT(-(Bens!$B$4:$B$90=Analítico!$B149),-(Bens!$D$4:$D$90=Analítico!AS$3),(Bens!$G$4:$G$90))</f>
        <v>0</v>
      </c>
      <c r="AT149" s="73">
        <f>SUMPRODUCT(-(Bens!$B$4:$B$90=Analítico!$B149),-(Bens!$D$4:$D$90=Analítico!AT$3),(Bens!$G$4:$G$90))</f>
        <v>0</v>
      </c>
      <c r="AU149" s="73">
        <f>SUMPRODUCT(-(Bens!$B$4:$B$90=Analítico!$B149),-(Bens!$D$4:$D$90=Analítico!AU$3),(Bens!$G$4:$G$90))</f>
        <v>0</v>
      </c>
      <c r="AV149" s="73">
        <f>SUMPRODUCT(-(Bens!$B$4:$B$90=Analítico!$B149),-(Bens!$D$4:$D$90=Analítico!AV$3),(Bens!$G$4:$G$90))</f>
        <v>0</v>
      </c>
      <c r="AW149" s="73">
        <f>SUMPRODUCT(-(Bens!$B$4:$B$90=Analítico!$B149),-(Bens!$D$4:$D$90=Analítico!AW$3),(Bens!$G$4:$G$90))</f>
        <v>0</v>
      </c>
      <c r="AX149" s="73">
        <f>SUMPRODUCT(-(Bens!$B$4:$B$90=Analítico!$B149),-(Bens!$D$4:$D$90=Analítico!AX$3),(Bens!$G$4:$G$90))</f>
        <v>0</v>
      </c>
      <c r="AY149" s="73">
        <f>SUMPRODUCT(-(Bens!$B$4:$B$90=Analítico!$B149),-(Bens!$D$4:$D$90=Analítico!AY$3),(Bens!$G$4:$G$90))</f>
        <v>0</v>
      </c>
      <c r="AZ149" s="73">
        <f>SUMPRODUCT(-(Bens!$B$4:$B$90=Analítico!$B149),-(Bens!$D$4:$D$90=Analítico!AZ$3),(Bens!$G$4:$G$90))</f>
        <v>0</v>
      </c>
      <c r="BA149" s="73">
        <f>SUMPRODUCT(-(Bens!$B$4:$B$90=Analítico!$B149),-(Bens!$D$4:$D$90=Analítico!BA$3),(Bens!$G$4:$G$90))</f>
        <v>0</v>
      </c>
      <c r="BB149" s="73">
        <f>SUMPRODUCT(-(Bens!$B$4:$B$90=Analítico!$B149),-(Bens!$D$4:$D$90=Analítico!BB$3),(Bens!$G$4:$G$90))</f>
        <v>0</v>
      </c>
      <c r="BC149" s="73">
        <f>SUMPRODUCT(-(Bens!$B$4:$B$90=Analítico!$B149),-(Bens!$D$4:$D$90=Analítico!BC$3),(Bens!$G$4:$G$90))</f>
        <v>0</v>
      </c>
      <c r="BD149" s="73">
        <f>SUMPRODUCT(-(Bens!$B$4:$B$90=Analítico!$B149),-(Bens!$D$4:$D$90=Analítico!BD$3),(Bens!$G$4:$G$90))</f>
        <v>0</v>
      </c>
      <c r="BE149" s="73">
        <f>SUMPRODUCT(-(Bens!$B$4:$B$90=Analítico!$B149),-(Bens!$D$4:$D$90=Analítico!BE$3),(Bens!$G$4:$G$90))</f>
        <v>0</v>
      </c>
      <c r="BF149" s="73">
        <f>SUMPRODUCT(-(Bens!$B$4:$B$90=Analítico!$B149),-(Bens!$D$4:$D$90=Analítico!BF$3),(Bens!$G$4:$G$90))</f>
        <v>0</v>
      </c>
      <c r="BG149" s="73">
        <f>SUMPRODUCT(-(Bens!$B$4:$B$90=Analítico!$B149),-(Bens!$D$4:$D$90=Analítico!BG$3),(Bens!$G$4:$G$90))</f>
        <v>0</v>
      </c>
      <c r="BH149" s="73">
        <f>SUMPRODUCT(-(Bens!$B$4:$B$90=Analítico!$B149),-(Bens!$D$4:$D$90=Analítico!BH$3),(Bens!$G$4:$G$90))</f>
        <v>0</v>
      </c>
      <c r="BI149" s="73">
        <f>SUMPRODUCT(-(Bens!$B$4:$B$90=Analítico!$B149),-(Bens!$D$4:$D$90=Analítico!BI$3),(Bens!$G$4:$G$90))</f>
        <v>0</v>
      </c>
      <c r="BJ149" s="73">
        <f>SUMPRODUCT(-(Bens!$B$4:$B$90=Analítico!$B149),-(Bens!$D$4:$D$90=Analítico!BJ$3),(Bens!$G$4:$G$90))</f>
        <v>0</v>
      </c>
      <c r="BK149" s="71">
        <f t="shared" si="39"/>
        <v>0</v>
      </c>
      <c r="BL149" s="76">
        <f t="shared" ca="1" si="40"/>
        <v>0</v>
      </c>
    </row>
    <row r="150" spans="1:64" s="49" customFormat="1" ht="23.25" customHeight="1" x14ac:dyDescent="0.2">
      <c r="A150" s="19" t="s">
        <v>365</v>
      </c>
      <c r="B150" s="20" t="s">
        <v>366</v>
      </c>
      <c r="C150" s="73">
        <f>SUMPRODUCT(-(Bens!$B$4:$B$90=Analítico!$B150),-(Bens!$D$4:$D$90=Analítico!C$3),(Bens!$G$4:$G$90))</f>
        <v>0</v>
      </c>
      <c r="D150" s="73">
        <f>SUMPRODUCT(-(Bens!$B$4:$B$90=Analítico!$B150),-(Bens!$D$4:$D$90=Analítico!D$3),(Bens!$G$4:$G$90))</f>
        <v>0</v>
      </c>
      <c r="E150" s="73">
        <f>SUMPRODUCT(-(Bens!$B$4:$B$90=Analítico!$B150),-(Bens!$D$4:$D$90=Analítico!E$3),(Bens!$G$4:$G$90))</f>
        <v>0</v>
      </c>
      <c r="F150" s="73">
        <f>SUMPRODUCT(-(Bens!$B$4:$B$90=Analítico!$B150),-(Bens!$D$4:$D$90=Analítico!F$3),(Bens!$G$4:$G$90))</f>
        <v>0</v>
      </c>
      <c r="G150" s="73">
        <f>SUMPRODUCT(-(Bens!$B$4:$B$90=Analítico!$B150),-(Bens!$D$4:$D$90=Analítico!G$3),(Bens!$G$4:$G$90))</f>
        <v>0</v>
      </c>
      <c r="H150" s="73">
        <f>SUMPRODUCT(-(Bens!$B$4:$B$90=Analítico!$B150),-(Bens!$D$4:$D$90=Analítico!H$3),(Bens!$G$4:$G$90))</f>
        <v>0</v>
      </c>
      <c r="I150" s="73">
        <f>SUMPRODUCT(-(Bens!$B$4:$B$90=Analítico!$B150),-(Bens!$D$4:$D$90=Analítico!I$3),(Bens!$G$4:$G$90))</f>
        <v>0</v>
      </c>
      <c r="J150" s="73">
        <f>SUMPRODUCT(-(Bens!$B$4:$B$90=Analítico!$B150),-(Bens!$D$4:$D$90=Analítico!J$3),(Bens!$G$4:$G$90))</f>
        <v>0</v>
      </c>
      <c r="K150" s="73">
        <f>SUMPRODUCT(-(Bens!$B$4:$B$90=Analítico!$B150),-(Bens!$D$4:$D$90=Analítico!K$3),(Bens!$G$4:$G$90))</f>
        <v>0</v>
      </c>
      <c r="L150" s="73">
        <f>SUMPRODUCT(-(Bens!$B$4:$B$90=Analítico!$B150),-(Bens!$D$4:$D$90=Analítico!L$3),(Bens!$G$4:$G$90))</f>
        <v>0</v>
      </c>
      <c r="M150" s="73">
        <f>SUMPRODUCT(-(Bens!$B$4:$B$90=Analítico!$B150),-(Bens!$D$4:$D$90=Analítico!M$3),(Bens!$G$4:$G$90))</f>
        <v>0</v>
      </c>
      <c r="N150" s="73">
        <f>SUMPRODUCT(-(Bens!$B$4:$B$90=Analítico!$B150),-(Bens!$D$4:$D$90=Analítico!N$3),(Bens!$G$4:$G$90))</f>
        <v>0</v>
      </c>
      <c r="O150" s="73">
        <f>SUMPRODUCT(-(Bens!$B$4:$B$90=Analítico!$B150),-(Bens!$D$4:$D$90=Analítico!O$3),(Bens!$G$4:$G$90))</f>
        <v>0</v>
      </c>
      <c r="P150" s="73">
        <f>SUMPRODUCT(-(Bens!$B$4:$B$90=Analítico!$B150),-(Bens!$D$4:$D$90=Analítico!P$3),(Bens!$G$4:$G$90))</f>
        <v>0</v>
      </c>
      <c r="Q150" s="73">
        <f>SUMPRODUCT(-(Bens!$B$4:$B$90=Analítico!$B150),-(Bens!$D$4:$D$90=Analítico!Q$3),(Bens!$G$4:$G$90))</f>
        <v>0</v>
      </c>
      <c r="R150" s="73">
        <f>SUMPRODUCT(-(Bens!$B$4:$B$90=Analítico!$B150),-(Bens!$D$4:$D$90=Analítico!R$3),(Bens!$G$4:$G$90))</f>
        <v>0</v>
      </c>
      <c r="S150" s="73">
        <f>SUMPRODUCT(-(Bens!$B$4:$B$90=Analítico!$B150),-(Bens!$D$4:$D$90=Analítico!S$3),(Bens!$G$4:$G$90))</f>
        <v>0</v>
      </c>
      <c r="T150" s="73">
        <f>SUMPRODUCT(-(Bens!$B$4:$B$90=Analítico!$B150),-(Bens!$D$4:$D$90=Analítico!T$3),(Bens!$G$4:$G$90))</f>
        <v>0</v>
      </c>
      <c r="U150" s="73">
        <f>SUMPRODUCT(-(Bens!$B$4:$B$90=Analítico!$B150),-(Bens!$D$4:$D$90=Analítico!U$3),(Bens!$G$4:$G$90))</f>
        <v>0</v>
      </c>
      <c r="V150" s="73">
        <f>SUMPRODUCT(-(Bens!$B$4:$B$90=Analítico!$B150),-(Bens!$D$4:$D$90=Analítico!V$3),(Bens!$G$4:$G$90))</f>
        <v>0</v>
      </c>
      <c r="W150" s="73">
        <f>SUMPRODUCT(-(Bens!$B$4:$B$90=Analítico!$B150),-(Bens!$D$4:$D$90=Analítico!W$3),(Bens!$G$4:$G$90))</f>
        <v>0</v>
      </c>
      <c r="X150" s="73">
        <f>SUMPRODUCT(-(Bens!$B$4:$B$90=Analítico!$B150),-(Bens!$D$4:$D$90=Analítico!X$3),(Bens!$G$4:$G$90))</f>
        <v>0</v>
      </c>
      <c r="Y150" s="73">
        <f>SUMPRODUCT(-(Bens!$B$4:$B$90=Analítico!$B150),-(Bens!$D$4:$D$90=Analítico!Y$3),(Bens!$G$4:$G$90))</f>
        <v>0</v>
      </c>
      <c r="Z150" s="73">
        <f>SUMPRODUCT(-(Bens!$B$4:$B$90=Analítico!$B150),-(Bens!$D$4:$D$90=Analítico!Z$3),(Bens!$G$4:$G$90))</f>
        <v>0</v>
      </c>
      <c r="AA150" s="73">
        <f>SUMPRODUCT(-(Bens!$B$4:$B$90=Analítico!$B150),-(Bens!$D$4:$D$90=Analítico!AA$3),(Bens!$G$4:$G$90))</f>
        <v>0</v>
      </c>
      <c r="AB150" s="73">
        <f>SUMPRODUCT(-(Bens!$B$4:$B$90=Analítico!$B150),-(Bens!$D$4:$D$90=Analítico!AB$3),(Bens!$G$4:$G$90))</f>
        <v>0</v>
      </c>
      <c r="AC150" s="73">
        <f>SUMPRODUCT(-(Bens!$B$4:$B$90=Analítico!$B150),-(Bens!$D$4:$D$90=Analítico!AC$3),(Bens!$G$4:$G$90))</f>
        <v>0</v>
      </c>
      <c r="AD150" s="73">
        <f>SUMPRODUCT(-(Bens!$B$4:$B$90=Analítico!$B150),-(Bens!$D$4:$D$90=Analítico!AD$3),(Bens!$G$4:$G$90))</f>
        <v>0</v>
      </c>
      <c r="AE150" s="73">
        <f>SUMPRODUCT(-(Bens!$B$4:$B$90=Analítico!$B150),-(Bens!$D$4:$D$90=Analítico!AE$3),(Bens!$G$4:$G$90))</f>
        <v>0</v>
      </c>
      <c r="AF150" s="73">
        <f>SUMPRODUCT(-(Bens!$B$4:$B$90=Analítico!$B150),-(Bens!$D$4:$D$90=Analítico!AF$3),(Bens!$G$4:$G$90))</f>
        <v>0</v>
      </c>
      <c r="AG150" s="73">
        <f>SUMPRODUCT(-(Bens!$B$4:$B$90=Analítico!$B150),-(Bens!$D$4:$D$90=Analítico!AG$3),(Bens!$G$4:$G$90))</f>
        <v>0</v>
      </c>
      <c r="AH150" s="73">
        <f>SUMPRODUCT(-(Bens!$B$4:$B$90=Analítico!$B150),-(Bens!$D$4:$D$90=Analítico!AH$3),(Bens!$G$4:$G$90))</f>
        <v>0</v>
      </c>
      <c r="AI150" s="73">
        <f>SUMPRODUCT(-(Bens!$B$4:$B$90=Analítico!$B150),-(Bens!$D$4:$D$90=Analítico!AI$3),(Bens!$G$4:$G$90))</f>
        <v>0</v>
      </c>
      <c r="AJ150" s="73">
        <f>SUMPRODUCT(-(Bens!$B$4:$B$90=Analítico!$B150),-(Bens!$D$4:$D$90=Analítico!AJ$3),(Bens!$G$4:$G$90))</f>
        <v>0</v>
      </c>
      <c r="AK150" s="73">
        <f>SUMPRODUCT(-(Bens!$B$4:$B$90=Analítico!$B150),-(Bens!$D$4:$D$90=Analítico!AK$3),(Bens!$G$4:$G$90))</f>
        <v>0</v>
      </c>
      <c r="AL150" s="73">
        <f>SUMPRODUCT(-(Bens!$B$4:$B$90=Analítico!$B150),-(Bens!$D$4:$D$90=Analítico!AL$3),(Bens!$G$4:$G$90))</f>
        <v>0</v>
      </c>
      <c r="AM150" s="73">
        <f>SUMPRODUCT(-(Bens!$B$4:$B$90=Analítico!$B150),-(Bens!$D$4:$D$90=Analítico!AM$3),(Bens!$G$4:$G$90))</f>
        <v>0</v>
      </c>
      <c r="AN150" s="73">
        <f>SUMPRODUCT(-(Bens!$B$4:$B$90=Analítico!$B150),-(Bens!$D$4:$D$90=Analítico!AN$3),(Bens!$G$4:$G$90))</f>
        <v>0</v>
      </c>
      <c r="AO150" s="73">
        <f>SUMPRODUCT(-(Bens!$B$4:$B$90=Analítico!$B150),-(Bens!$D$4:$D$90=Analítico!AO$3),(Bens!$G$4:$G$90))</f>
        <v>0</v>
      </c>
      <c r="AP150" s="73">
        <f>SUMPRODUCT(-(Bens!$B$4:$B$90=Analítico!$B150),-(Bens!$D$4:$D$90=Analítico!AP$3),(Bens!$G$4:$G$90))</f>
        <v>0</v>
      </c>
      <c r="AQ150" s="73">
        <f>SUMPRODUCT(-(Bens!$B$4:$B$90=Analítico!$B150),-(Bens!$D$4:$D$90=Analítico!AQ$3),(Bens!$G$4:$G$90))</f>
        <v>0</v>
      </c>
      <c r="AR150" s="73">
        <f>SUMPRODUCT(-(Bens!$B$4:$B$90=Analítico!$B150),-(Bens!$D$4:$D$90=Analítico!AR$3),(Bens!$G$4:$G$90))</f>
        <v>0</v>
      </c>
      <c r="AS150" s="73">
        <f>SUMPRODUCT(-(Bens!$B$4:$B$90=Analítico!$B150),-(Bens!$D$4:$D$90=Analítico!AS$3),(Bens!$G$4:$G$90))</f>
        <v>0</v>
      </c>
      <c r="AT150" s="73">
        <f>SUMPRODUCT(-(Bens!$B$4:$B$90=Analítico!$B150),-(Bens!$D$4:$D$90=Analítico!AT$3),(Bens!$G$4:$G$90))</f>
        <v>0</v>
      </c>
      <c r="AU150" s="73">
        <f>SUMPRODUCT(-(Bens!$B$4:$B$90=Analítico!$B150),-(Bens!$D$4:$D$90=Analítico!AU$3),(Bens!$G$4:$G$90))</f>
        <v>0</v>
      </c>
      <c r="AV150" s="73">
        <f>SUMPRODUCT(-(Bens!$B$4:$B$90=Analítico!$B150),-(Bens!$D$4:$D$90=Analítico!AV$3),(Bens!$G$4:$G$90))</f>
        <v>0</v>
      </c>
      <c r="AW150" s="73">
        <f>SUMPRODUCT(-(Bens!$B$4:$B$90=Analítico!$B150),-(Bens!$D$4:$D$90=Analítico!AW$3),(Bens!$G$4:$G$90))</f>
        <v>0</v>
      </c>
      <c r="AX150" s="73">
        <f>SUMPRODUCT(-(Bens!$B$4:$B$90=Analítico!$B150),-(Bens!$D$4:$D$90=Analítico!AX$3),(Bens!$G$4:$G$90))</f>
        <v>0</v>
      </c>
      <c r="AY150" s="73">
        <f>SUMPRODUCT(-(Bens!$B$4:$B$90=Analítico!$B150),-(Bens!$D$4:$D$90=Analítico!AY$3),(Bens!$G$4:$G$90))</f>
        <v>0</v>
      </c>
      <c r="AZ150" s="73">
        <f>SUMPRODUCT(-(Bens!$B$4:$B$90=Analítico!$B150),-(Bens!$D$4:$D$90=Analítico!AZ$3),(Bens!$G$4:$G$90))</f>
        <v>0</v>
      </c>
      <c r="BA150" s="73">
        <f>SUMPRODUCT(-(Bens!$B$4:$B$90=Analítico!$B150),-(Bens!$D$4:$D$90=Analítico!BA$3),(Bens!$G$4:$G$90))</f>
        <v>0</v>
      </c>
      <c r="BB150" s="73">
        <f>SUMPRODUCT(-(Bens!$B$4:$B$90=Analítico!$B150),-(Bens!$D$4:$D$90=Analítico!BB$3),(Bens!$G$4:$G$90))</f>
        <v>0</v>
      </c>
      <c r="BC150" s="73">
        <f>SUMPRODUCT(-(Bens!$B$4:$B$90=Analítico!$B150),-(Bens!$D$4:$D$90=Analítico!BC$3),(Bens!$G$4:$G$90))</f>
        <v>0</v>
      </c>
      <c r="BD150" s="73">
        <f>SUMPRODUCT(-(Bens!$B$4:$B$90=Analítico!$B150),-(Bens!$D$4:$D$90=Analítico!BD$3),(Bens!$G$4:$G$90))</f>
        <v>0</v>
      </c>
      <c r="BE150" s="73">
        <f>SUMPRODUCT(-(Bens!$B$4:$B$90=Analítico!$B150),-(Bens!$D$4:$D$90=Analítico!BE$3),(Bens!$G$4:$G$90))</f>
        <v>0</v>
      </c>
      <c r="BF150" s="73">
        <f>SUMPRODUCT(-(Bens!$B$4:$B$90=Analítico!$B150),-(Bens!$D$4:$D$90=Analítico!BF$3),(Bens!$G$4:$G$90))</f>
        <v>0</v>
      </c>
      <c r="BG150" s="73">
        <f>SUMPRODUCT(-(Bens!$B$4:$B$90=Analítico!$B150),-(Bens!$D$4:$D$90=Analítico!BG$3),(Bens!$G$4:$G$90))</f>
        <v>0</v>
      </c>
      <c r="BH150" s="73">
        <f>SUMPRODUCT(-(Bens!$B$4:$B$90=Analítico!$B150),-(Bens!$D$4:$D$90=Analítico!BH$3),(Bens!$G$4:$G$90))</f>
        <v>0</v>
      </c>
      <c r="BI150" s="73">
        <f>SUMPRODUCT(-(Bens!$B$4:$B$90=Analítico!$B150),-(Bens!$D$4:$D$90=Analítico!BI$3),(Bens!$G$4:$G$90))</f>
        <v>0</v>
      </c>
      <c r="BJ150" s="73">
        <f>SUMPRODUCT(-(Bens!$B$4:$B$90=Analítico!$B150),-(Bens!$D$4:$D$90=Analítico!BJ$3),(Bens!$G$4:$G$90))</f>
        <v>0</v>
      </c>
      <c r="BK150" s="71">
        <f t="shared" ref="BK150" si="41">SUM(C150:BJ150)</f>
        <v>0</v>
      </c>
      <c r="BL150" s="76">
        <f t="shared" ref="BL150" ca="1" si="42">IF($BK$155=0,0,BK150/$BK$155)</f>
        <v>0</v>
      </c>
    </row>
    <row r="151" spans="1:64" s="49" customFormat="1" ht="23.25" customHeight="1" x14ac:dyDescent="0.2">
      <c r="A151" s="19" t="s">
        <v>367</v>
      </c>
      <c r="B151" s="21" t="s">
        <v>368</v>
      </c>
      <c r="C151" s="73">
        <f>SUMPRODUCT(-(Bens!$B$4:$B$90=Analítico!$B151),-(Bens!$D$4:$D$90=Analítico!C$3),(Bens!$G$4:$G$90))</f>
        <v>0</v>
      </c>
      <c r="D151" s="73">
        <f>SUMPRODUCT(-(Bens!$B$4:$B$90=Analítico!$B151),-(Bens!$D$4:$D$90=Analítico!D$3),(Bens!$G$4:$G$90))</f>
        <v>0</v>
      </c>
      <c r="E151" s="73">
        <f>SUMPRODUCT(-(Bens!$B$4:$B$90=Analítico!$B151),-(Bens!$D$4:$D$90=Analítico!E$3),(Bens!$G$4:$G$90))</f>
        <v>0</v>
      </c>
      <c r="F151" s="73">
        <f>SUMPRODUCT(-(Bens!$B$4:$B$90=Analítico!$B151),-(Bens!$D$4:$D$90=Analítico!F$3),(Bens!$G$4:$G$90))</f>
        <v>0</v>
      </c>
      <c r="G151" s="73">
        <f>SUMPRODUCT(-(Bens!$B$4:$B$90=Analítico!$B151),-(Bens!$D$4:$D$90=Analítico!G$3),(Bens!$G$4:$G$90))</f>
        <v>0</v>
      </c>
      <c r="H151" s="73">
        <f>SUMPRODUCT(-(Bens!$B$4:$B$90=Analítico!$B151),-(Bens!$D$4:$D$90=Analítico!H$3),(Bens!$G$4:$G$90))</f>
        <v>0</v>
      </c>
      <c r="I151" s="73">
        <f>SUMPRODUCT(-(Bens!$B$4:$B$90=Analítico!$B151),-(Bens!$D$4:$D$90=Analítico!I$3),(Bens!$G$4:$G$90))</f>
        <v>0</v>
      </c>
      <c r="J151" s="73">
        <f>SUMPRODUCT(-(Bens!$B$4:$B$90=Analítico!$B151),-(Bens!$D$4:$D$90=Analítico!J$3),(Bens!$G$4:$G$90))</f>
        <v>0</v>
      </c>
      <c r="K151" s="73">
        <f>SUMPRODUCT(-(Bens!$B$4:$B$90=Analítico!$B151),-(Bens!$D$4:$D$90=Analítico!K$3),(Bens!$G$4:$G$90))</f>
        <v>0</v>
      </c>
      <c r="L151" s="73">
        <f>SUMPRODUCT(-(Bens!$B$4:$B$90=Analítico!$B151),-(Bens!$D$4:$D$90=Analítico!L$3),(Bens!$G$4:$G$90))</f>
        <v>0</v>
      </c>
      <c r="M151" s="73">
        <f>SUMPRODUCT(-(Bens!$B$4:$B$90=Analítico!$B151),-(Bens!$D$4:$D$90=Analítico!M$3),(Bens!$G$4:$G$90))</f>
        <v>0</v>
      </c>
      <c r="N151" s="73">
        <f>SUMPRODUCT(-(Bens!$B$4:$B$90=Analítico!$B151),-(Bens!$D$4:$D$90=Analítico!N$3),(Bens!$G$4:$G$90))</f>
        <v>0</v>
      </c>
      <c r="O151" s="73">
        <f>SUMPRODUCT(-(Bens!$B$4:$B$90=Analítico!$B151),-(Bens!$D$4:$D$90=Analítico!O$3),(Bens!$G$4:$G$90))</f>
        <v>0</v>
      </c>
      <c r="P151" s="73">
        <f>SUMPRODUCT(-(Bens!$B$4:$B$90=Analítico!$B151),-(Bens!$D$4:$D$90=Analítico!P$3),(Bens!$G$4:$G$90))</f>
        <v>0</v>
      </c>
      <c r="Q151" s="73">
        <f>SUMPRODUCT(-(Bens!$B$4:$B$90=Analítico!$B151),-(Bens!$D$4:$D$90=Analítico!Q$3),(Bens!$G$4:$G$90))</f>
        <v>0</v>
      </c>
      <c r="R151" s="73">
        <f>SUMPRODUCT(-(Bens!$B$4:$B$90=Analítico!$B151),-(Bens!$D$4:$D$90=Analítico!R$3),(Bens!$G$4:$G$90))</f>
        <v>0</v>
      </c>
      <c r="S151" s="73">
        <f>SUMPRODUCT(-(Bens!$B$4:$B$90=Analítico!$B151),-(Bens!$D$4:$D$90=Analítico!S$3),(Bens!$G$4:$G$90))</f>
        <v>0</v>
      </c>
      <c r="T151" s="73">
        <f>SUMPRODUCT(-(Bens!$B$4:$B$90=Analítico!$B151),-(Bens!$D$4:$D$90=Analítico!T$3),(Bens!$G$4:$G$90))</f>
        <v>0</v>
      </c>
      <c r="U151" s="73">
        <f>SUMPRODUCT(-(Bens!$B$4:$B$90=Analítico!$B151),-(Bens!$D$4:$D$90=Analítico!U$3),(Bens!$G$4:$G$90))</f>
        <v>0</v>
      </c>
      <c r="V151" s="73">
        <f>SUMPRODUCT(-(Bens!$B$4:$B$90=Analítico!$B151),-(Bens!$D$4:$D$90=Analítico!V$3),(Bens!$G$4:$G$90))</f>
        <v>0</v>
      </c>
      <c r="W151" s="73">
        <f>SUMPRODUCT(-(Bens!$B$4:$B$90=Analítico!$B151),-(Bens!$D$4:$D$90=Analítico!W$3),(Bens!$G$4:$G$90))</f>
        <v>0</v>
      </c>
      <c r="X151" s="73">
        <f>SUMPRODUCT(-(Bens!$B$4:$B$90=Analítico!$B151),-(Bens!$D$4:$D$90=Analítico!X$3),(Bens!$G$4:$G$90))</f>
        <v>0</v>
      </c>
      <c r="Y151" s="73">
        <f>SUMPRODUCT(-(Bens!$B$4:$B$90=Analítico!$B151),-(Bens!$D$4:$D$90=Analítico!Y$3),(Bens!$G$4:$G$90))</f>
        <v>0</v>
      </c>
      <c r="Z151" s="73">
        <f>SUMPRODUCT(-(Bens!$B$4:$B$90=Analítico!$B151),-(Bens!$D$4:$D$90=Analítico!Z$3),(Bens!$G$4:$G$90))</f>
        <v>0</v>
      </c>
      <c r="AA151" s="73">
        <f>SUMPRODUCT(-(Bens!$B$4:$B$90=Analítico!$B151),-(Bens!$D$4:$D$90=Analítico!AA$3),(Bens!$G$4:$G$90))</f>
        <v>0</v>
      </c>
      <c r="AB151" s="73">
        <f>SUMPRODUCT(-(Bens!$B$4:$B$90=Analítico!$B151),-(Bens!$D$4:$D$90=Analítico!AB$3),(Bens!$G$4:$G$90))</f>
        <v>0</v>
      </c>
      <c r="AC151" s="73">
        <f>SUMPRODUCT(-(Bens!$B$4:$B$90=Analítico!$B151),-(Bens!$D$4:$D$90=Analítico!AC$3),(Bens!$G$4:$G$90))</f>
        <v>0</v>
      </c>
      <c r="AD151" s="73">
        <f>SUMPRODUCT(-(Bens!$B$4:$B$90=Analítico!$B151),-(Bens!$D$4:$D$90=Analítico!AD$3),(Bens!$G$4:$G$90))</f>
        <v>0</v>
      </c>
      <c r="AE151" s="73">
        <f>SUMPRODUCT(-(Bens!$B$4:$B$90=Analítico!$B151),-(Bens!$D$4:$D$90=Analítico!AE$3),(Bens!$G$4:$G$90))</f>
        <v>0</v>
      </c>
      <c r="AF151" s="73">
        <f>SUMPRODUCT(-(Bens!$B$4:$B$90=Analítico!$B151),-(Bens!$D$4:$D$90=Analítico!AF$3),(Bens!$G$4:$G$90))</f>
        <v>0</v>
      </c>
      <c r="AG151" s="73">
        <f>SUMPRODUCT(-(Bens!$B$4:$B$90=Analítico!$B151),-(Bens!$D$4:$D$90=Analítico!AG$3),(Bens!$G$4:$G$90))</f>
        <v>0</v>
      </c>
      <c r="AH151" s="73">
        <f>SUMPRODUCT(-(Bens!$B$4:$B$90=Analítico!$B151),-(Bens!$D$4:$D$90=Analítico!AH$3),(Bens!$G$4:$G$90))</f>
        <v>0</v>
      </c>
      <c r="AI151" s="73">
        <f>SUMPRODUCT(-(Bens!$B$4:$B$90=Analítico!$B151),-(Bens!$D$4:$D$90=Analítico!AI$3),(Bens!$G$4:$G$90))</f>
        <v>0</v>
      </c>
      <c r="AJ151" s="73">
        <f>SUMPRODUCT(-(Bens!$B$4:$B$90=Analítico!$B151),-(Bens!$D$4:$D$90=Analítico!AJ$3),(Bens!$G$4:$G$90))</f>
        <v>0</v>
      </c>
      <c r="AK151" s="73">
        <f>SUMPRODUCT(-(Bens!$B$4:$B$90=Analítico!$B151),-(Bens!$D$4:$D$90=Analítico!AK$3),(Bens!$G$4:$G$90))</f>
        <v>0</v>
      </c>
      <c r="AL151" s="73">
        <f>SUMPRODUCT(-(Bens!$B$4:$B$90=Analítico!$B151),-(Bens!$D$4:$D$90=Analítico!AL$3),(Bens!$G$4:$G$90))</f>
        <v>0</v>
      </c>
      <c r="AM151" s="73">
        <f>SUMPRODUCT(-(Bens!$B$4:$B$90=Analítico!$B151),-(Bens!$D$4:$D$90=Analítico!AM$3),(Bens!$G$4:$G$90))</f>
        <v>0</v>
      </c>
      <c r="AN151" s="73">
        <f>SUMPRODUCT(-(Bens!$B$4:$B$90=Analítico!$B151),-(Bens!$D$4:$D$90=Analítico!AN$3),(Bens!$G$4:$G$90))</f>
        <v>0</v>
      </c>
      <c r="AO151" s="73">
        <f>SUMPRODUCT(-(Bens!$B$4:$B$90=Analítico!$B151),-(Bens!$D$4:$D$90=Analítico!AO$3),(Bens!$G$4:$G$90))</f>
        <v>0</v>
      </c>
      <c r="AP151" s="73">
        <f>SUMPRODUCT(-(Bens!$B$4:$B$90=Analítico!$B151),-(Bens!$D$4:$D$90=Analítico!AP$3),(Bens!$G$4:$G$90))</f>
        <v>0</v>
      </c>
      <c r="AQ151" s="73">
        <f>SUMPRODUCT(-(Bens!$B$4:$B$90=Analítico!$B151),-(Bens!$D$4:$D$90=Analítico!AQ$3),(Bens!$G$4:$G$90))</f>
        <v>0</v>
      </c>
      <c r="AR151" s="73">
        <f>SUMPRODUCT(-(Bens!$B$4:$B$90=Analítico!$B151),-(Bens!$D$4:$D$90=Analítico!AR$3),(Bens!$G$4:$G$90))</f>
        <v>0</v>
      </c>
      <c r="AS151" s="73">
        <f>SUMPRODUCT(-(Bens!$B$4:$B$90=Analítico!$B151),-(Bens!$D$4:$D$90=Analítico!AS$3),(Bens!$G$4:$G$90))</f>
        <v>0</v>
      </c>
      <c r="AT151" s="73">
        <f>SUMPRODUCT(-(Bens!$B$4:$B$90=Analítico!$B151),-(Bens!$D$4:$D$90=Analítico!AT$3),(Bens!$G$4:$G$90))</f>
        <v>0</v>
      </c>
      <c r="AU151" s="73">
        <f>SUMPRODUCT(-(Bens!$B$4:$B$90=Analítico!$B151),-(Bens!$D$4:$D$90=Analítico!AU$3),(Bens!$G$4:$G$90))</f>
        <v>0</v>
      </c>
      <c r="AV151" s="73">
        <f>SUMPRODUCT(-(Bens!$B$4:$B$90=Analítico!$B151),-(Bens!$D$4:$D$90=Analítico!AV$3),(Bens!$G$4:$G$90))</f>
        <v>0</v>
      </c>
      <c r="AW151" s="73">
        <f>SUMPRODUCT(-(Bens!$B$4:$B$90=Analítico!$B151),-(Bens!$D$4:$D$90=Analítico!AW$3),(Bens!$G$4:$G$90))</f>
        <v>0</v>
      </c>
      <c r="AX151" s="73">
        <f>SUMPRODUCT(-(Bens!$B$4:$B$90=Analítico!$B151),-(Bens!$D$4:$D$90=Analítico!AX$3),(Bens!$G$4:$G$90))</f>
        <v>0</v>
      </c>
      <c r="AY151" s="73">
        <f>SUMPRODUCT(-(Bens!$B$4:$B$90=Analítico!$B151),-(Bens!$D$4:$D$90=Analítico!AY$3),(Bens!$G$4:$G$90))</f>
        <v>0</v>
      </c>
      <c r="AZ151" s="73">
        <f>SUMPRODUCT(-(Bens!$B$4:$B$90=Analítico!$B151),-(Bens!$D$4:$D$90=Analítico!AZ$3),(Bens!$G$4:$G$90))</f>
        <v>0</v>
      </c>
      <c r="BA151" s="73">
        <f>SUMPRODUCT(-(Bens!$B$4:$B$90=Analítico!$B151),-(Bens!$D$4:$D$90=Analítico!BA$3),(Bens!$G$4:$G$90))</f>
        <v>0</v>
      </c>
      <c r="BB151" s="73">
        <f>SUMPRODUCT(-(Bens!$B$4:$B$90=Analítico!$B151),-(Bens!$D$4:$D$90=Analítico!BB$3),(Bens!$G$4:$G$90))</f>
        <v>0</v>
      </c>
      <c r="BC151" s="73">
        <f>SUMPRODUCT(-(Bens!$B$4:$B$90=Analítico!$B151),-(Bens!$D$4:$D$90=Analítico!BC$3),(Bens!$G$4:$G$90))</f>
        <v>0</v>
      </c>
      <c r="BD151" s="73">
        <f>SUMPRODUCT(-(Bens!$B$4:$B$90=Analítico!$B151),-(Bens!$D$4:$D$90=Analítico!BD$3),(Bens!$G$4:$G$90))</f>
        <v>0</v>
      </c>
      <c r="BE151" s="73">
        <f>SUMPRODUCT(-(Bens!$B$4:$B$90=Analítico!$B151),-(Bens!$D$4:$D$90=Analítico!BE$3),(Bens!$G$4:$G$90))</f>
        <v>0</v>
      </c>
      <c r="BF151" s="73">
        <f>SUMPRODUCT(-(Bens!$B$4:$B$90=Analítico!$B151),-(Bens!$D$4:$D$90=Analítico!BF$3),(Bens!$G$4:$G$90))</f>
        <v>0</v>
      </c>
      <c r="BG151" s="73">
        <f>SUMPRODUCT(-(Bens!$B$4:$B$90=Analítico!$B151),-(Bens!$D$4:$D$90=Analítico!BG$3),(Bens!$G$4:$G$90))</f>
        <v>0</v>
      </c>
      <c r="BH151" s="73">
        <f>SUMPRODUCT(-(Bens!$B$4:$B$90=Analítico!$B151),-(Bens!$D$4:$D$90=Analítico!BH$3),(Bens!$G$4:$G$90))</f>
        <v>0</v>
      </c>
      <c r="BI151" s="73">
        <f>SUMPRODUCT(-(Bens!$B$4:$B$90=Analítico!$B151),-(Bens!$D$4:$D$90=Analítico!BI$3),(Bens!$G$4:$G$90))</f>
        <v>0</v>
      </c>
      <c r="BJ151" s="73">
        <f>SUMPRODUCT(-(Bens!$B$4:$B$90=Analítico!$B151),-(Bens!$D$4:$D$90=Analítico!BJ$3),(Bens!$G$4:$G$90))</f>
        <v>0</v>
      </c>
      <c r="BK151" s="71">
        <f t="shared" si="39"/>
        <v>0</v>
      </c>
      <c r="BL151" s="76">
        <f ca="1">IF($BK$155=0,0,BK151/$BK$155)</f>
        <v>0</v>
      </c>
    </row>
    <row r="152" spans="1:64" s="49" customFormat="1" ht="23.25" customHeight="1" thickBot="1" x14ac:dyDescent="0.25">
      <c r="A152" s="301"/>
      <c r="B152" s="300" t="s">
        <v>369</v>
      </c>
      <c r="C152" s="302">
        <f t="shared" ref="C152:BK152" si="43">SUBTOTAL(109,C138:C151)</f>
        <v>0</v>
      </c>
      <c r="D152" s="302">
        <f t="shared" si="43"/>
        <v>0</v>
      </c>
      <c r="E152" s="302">
        <f t="shared" si="43"/>
        <v>0</v>
      </c>
      <c r="F152" s="302">
        <f t="shared" si="43"/>
        <v>0</v>
      </c>
      <c r="G152" s="302">
        <f t="shared" si="43"/>
        <v>0</v>
      </c>
      <c r="H152" s="302">
        <f t="shared" si="43"/>
        <v>0</v>
      </c>
      <c r="I152" s="302">
        <f t="shared" si="43"/>
        <v>0</v>
      </c>
      <c r="J152" s="302">
        <f t="shared" si="43"/>
        <v>0</v>
      </c>
      <c r="K152" s="302">
        <f t="shared" si="43"/>
        <v>0</v>
      </c>
      <c r="L152" s="302">
        <f t="shared" si="43"/>
        <v>0</v>
      </c>
      <c r="M152" s="302">
        <f t="shared" si="43"/>
        <v>0</v>
      </c>
      <c r="N152" s="302">
        <f t="shared" si="43"/>
        <v>0</v>
      </c>
      <c r="O152" s="302">
        <f t="shared" si="43"/>
        <v>1500000</v>
      </c>
      <c r="P152" s="302">
        <f t="shared" si="43"/>
        <v>0</v>
      </c>
      <c r="Q152" s="302">
        <f t="shared" si="43"/>
        <v>1680000</v>
      </c>
      <c r="R152" s="302">
        <f t="shared" si="43"/>
        <v>0</v>
      </c>
      <c r="S152" s="302">
        <f t="shared" si="43"/>
        <v>0</v>
      </c>
      <c r="T152" s="302">
        <f t="shared" si="43"/>
        <v>0</v>
      </c>
      <c r="U152" s="302">
        <f t="shared" si="43"/>
        <v>0</v>
      </c>
      <c r="V152" s="302">
        <f t="shared" si="43"/>
        <v>0</v>
      </c>
      <c r="W152" s="302">
        <f t="shared" si="43"/>
        <v>0</v>
      </c>
      <c r="X152" s="302">
        <f t="shared" si="43"/>
        <v>0</v>
      </c>
      <c r="Y152" s="302">
        <f t="shared" si="43"/>
        <v>0</v>
      </c>
      <c r="Z152" s="302">
        <f t="shared" ref="Z152:AK152" si="44">SUBTOTAL(109,Z138:Z151)</f>
        <v>0</v>
      </c>
      <c r="AA152" s="302">
        <f t="shared" si="44"/>
        <v>0</v>
      </c>
      <c r="AB152" s="302">
        <f t="shared" si="44"/>
        <v>0</v>
      </c>
      <c r="AC152" s="302">
        <f t="shared" si="44"/>
        <v>0</v>
      </c>
      <c r="AD152" s="302">
        <f t="shared" si="44"/>
        <v>0</v>
      </c>
      <c r="AE152" s="302">
        <f t="shared" si="44"/>
        <v>0</v>
      </c>
      <c r="AF152" s="302">
        <f t="shared" si="44"/>
        <v>0</v>
      </c>
      <c r="AG152" s="302">
        <f t="shared" si="44"/>
        <v>0</v>
      </c>
      <c r="AH152" s="302">
        <f t="shared" si="44"/>
        <v>0</v>
      </c>
      <c r="AI152" s="302">
        <f t="shared" si="44"/>
        <v>0</v>
      </c>
      <c r="AJ152" s="302">
        <f t="shared" si="44"/>
        <v>0</v>
      </c>
      <c r="AK152" s="302">
        <f t="shared" si="44"/>
        <v>0</v>
      </c>
      <c r="AL152" s="302">
        <f t="shared" ref="AL152:AS152" si="45">SUBTOTAL(109,AL138:AL151)</f>
        <v>0</v>
      </c>
      <c r="AM152" s="302">
        <f t="shared" si="45"/>
        <v>0</v>
      </c>
      <c r="AN152" s="302">
        <f t="shared" si="45"/>
        <v>0</v>
      </c>
      <c r="AO152" s="302">
        <f t="shared" si="45"/>
        <v>0</v>
      </c>
      <c r="AP152" s="302">
        <f t="shared" si="45"/>
        <v>0</v>
      </c>
      <c r="AQ152" s="302">
        <f t="shared" si="45"/>
        <v>0</v>
      </c>
      <c r="AR152" s="302">
        <f t="shared" si="45"/>
        <v>0</v>
      </c>
      <c r="AS152" s="302">
        <f t="shared" si="45"/>
        <v>0</v>
      </c>
      <c r="AT152" s="302">
        <f t="shared" ref="AT152:BJ152" si="46">SUBTOTAL(109,AT138:AT151)</f>
        <v>0</v>
      </c>
      <c r="AU152" s="302">
        <f t="shared" si="46"/>
        <v>0</v>
      </c>
      <c r="AV152" s="302">
        <f t="shared" si="46"/>
        <v>0</v>
      </c>
      <c r="AW152" s="302">
        <f t="shared" si="46"/>
        <v>0</v>
      </c>
      <c r="AX152" s="302">
        <f t="shared" si="46"/>
        <v>0</v>
      </c>
      <c r="AY152" s="302">
        <f t="shared" si="46"/>
        <v>0</v>
      </c>
      <c r="AZ152" s="302">
        <f t="shared" si="46"/>
        <v>0</v>
      </c>
      <c r="BA152" s="302">
        <f t="shared" si="46"/>
        <v>0</v>
      </c>
      <c r="BB152" s="302">
        <f t="shared" si="46"/>
        <v>0</v>
      </c>
      <c r="BC152" s="302">
        <f t="shared" si="46"/>
        <v>0</v>
      </c>
      <c r="BD152" s="302">
        <f t="shared" si="46"/>
        <v>0</v>
      </c>
      <c r="BE152" s="302">
        <f t="shared" si="46"/>
        <v>0</v>
      </c>
      <c r="BF152" s="302">
        <f t="shared" si="46"/>
        <v>0</v>
      </c>
      <c r="BG152" s="302">
        <f t="shared" si="46"/>
        <v>0</v>
      </c>
      <c r="BH152" s="302">
        <f t="shared" si="46"/>
        <v>0</v>
      </c>
      <c r="BI152" s="302">
        <f t="shared" si="46"/>
        <v>0</v>
      </c>
      <c r="BJ152" s="302">
        <f t="shared" si="46"/>
        <v>0</v>
      </c>
      <c r="BK152" s="302">
        <f t="shared" si="43"/>
        <v>3180000</v>
      </c>
      <c r="BL152" s="303">
        <f ca="1">IF($BK$155=0,0,BK152/$BK$155)</f>
        <v>8.6737629928524511E-3</v>
      </c>
    </row>
    <row r="153" spans="1:64" s="49" customFormat="1" ht="23.25" customHeight="1" thickBot="1" x14ac:dyDescent="0.25">
      <c r="A153" s="266" t="s">
        <v>94</v>
      </c>
      <c r="B153" s="267" t="s">
        <v>95</v>
      </c>
      <c r="C153" s="269">
        <v>0</v>
      </c>
      <c r="D153" s="269">
        <v>0</v>
      </c>
      <c r="E153" s="269">
        <v>0</v>
      </c>
      <c r="F153" s="269">
        <v>0</v>
      </c>
      <c r="G153" s="269">
        <v>0</v>
      </c>
      <c r="H153" s="269">
        <v>0</v>
      </c>
      <c r="I153" s="269">
        <v>0</v>
      </c>
      <c r="J153" s="269">
        <v>0</v>
      </c>
      <c r="K153" s="269">
        <v>0</v>
      </c>
      <c r="L153" s="269">
        <v>0</v>
      </c>
      <c r="M153" s="269">
        <v>0</v>
      </c>
      <c r="N153" s="269">
        <v>0</v>
      </c>
      <c r="O153" s="269">
        <v>0</v>
      </c>
      <c r="P153" s="269">
        <v>0</v>
      </c>
      <c r="Q153" s="269">
        <v>0</v>
      </c>
      <c r="R153" s="269">
        <v>0</v>
      </c>
      <c r="S153" s="269">
        <v>0</v>
      </c>
      <c r="T153" s="269">
        <v>0</v>
      </c>
      <c r="U153" s="269">
        <v>0</v>
      </c>
      <c r="V153" s="269">
        <v>0</v>
      </c>
      <c r="W153" s="269">
        <v>0</v>
      </c>
      <c r="X153" s="269">
        <v>0</v>
      </c>
      <c r="Y153" s="269">
        <v>0</v>
      </c>
      <c r="Z153" s="269">
        <v>0</v>
      </c>
      <c r="AA153" s="269">
        <v>0</v>
      </c>
      <c r="AB153" s="269">
        <v>0</v>
      </c>
      <c r="AC153" s="269">
        <v>0</v>
      </c>
      <c r="AD153" s="269">
        <v>0</v>
      </c>
      <c r="AE153" s="269">
        <v>0</v>
      </c>
      <c r="AF153" s="269">
        <v>0</v>
      </c>
      <c r="AG153" s="269">
        <v>0</v>
      </c>
      <c r="AH153" s="269">
        <v>0</v>
      </c>
      <c r="AI153" s="269">
        <v>0</v>
      </c>
      <c r="AJ153" s="269">
        <v>0</v>
      </c>
      <c r="AK153" s="269">
        <v>0</v>
      </c>
      <c r="AL153" s="269">
        <v>0</v>
      </c>
      <c r="AM153" s="269">
        <v>0</v>
      </c>
      <c r="AN153" s="269">
        <v>0</v>
      </c>
      <c r="AO153" s="269">
        <v>0</v>
      </c>
      <c r="AP153" s="269">
        <v>0</v>
      </c>
      <c r="AQ153" s="269">
        <v>0</v>
      </c>
      <c r="AR153" s="269">
        <v>0</v>
      </c>
      <c r="AS153" s="269">
        <v>0</v>
      </c>
      <c r="AT153" s="269">
        <v>0</v>
      </c>
      <c r="AU153" s="269">
        <v>0</v>
      </c>
      <c r="AV153" s="269">
        <v>0</v>
      </c>
      <c r="AW153" s="269">
        <v>0</v>
      </c>
      <c r="AX153" s="269">
        <v>0</v>
      </c>
      <c r="AY153" s="269">
        <v>0</v>
      </c>
      <c r="AZ153" s="269">
        <v>0</v>
      </c>
      <c r="BA153" s="269">
        <v>0</v>
      </c>
      <c r="BB153" s="269">
        <v>0</v>
      </c>
      <c r="BC153" s="269">
        <v>0</v>
      </c>
      <c r="BD153" s="269">
        <v>0</v>
      </c>
      <c r="BE153" s="269">
        <v>0</v>
      </c>
      <c r="BF153" s="269">
        <v>0</v>
      </c>
      <c r="BG153" s="269">
        <v>0</v>
      </c>
      <c r="BH153" s="269">
        <v>0</v>
      </c>
      <c r="BI153" s="269">
        <v>0</v>
      </c>
      <c r="BJ153" s="269">
        <v>0</v>
      </c>
      <c r="BK153" s="270">
        <f>SUM(C153:BJ153)</f>
        <v>0</v>
      </c>
      <c r="BL153" s="271">
        <f t="shared" ref="BL153" ca="1" si="47">IF($BK$155=0,0,BK153/$BK$155)</f>
        <v>0</v>
      </c>
    </row>
    <row r="154" spans="1:64" s="49" customFormat="1" ht="23.25" customHeight="1" thickBot="1" x14ac:dyDescent="0.25">
      <c r="A154" s="266" t="s">
        <v>96</v>
      </c>
      <c r="B154" s="267" t="s">
        <v>97</v>
      </c>
      <c r="C154" s="269"/>
      <c r="D154" s="269"/>
      <c r="E154" s="269"/>
      <c r="F154" s="269"/>
      <c r="G154" s="269"/>
      <c r="H154" s="269"/>
      <c r="I154" s="269"/>
      <c r="J154" s="269"/>
      <c r="K154" s="269"/>
      <c r="L154" s="269"/>
      <c r="M154" s="269"/>
      <c r="N154" s="269"/>
      <c r="O154" s="269"/>
      <c r="P154" s="269"/>
      <c r="Q154" s="269"/>
      <c r="R154" s="269"/>
      <c r="S154" s="269"/>
      <c r="T154" s="269"/>
      <c r="U154" s="269"/>
      <c r="V154" s="269"/>
      <c r="W154" s="269"/>
      <c r="X154" s="269"/>
      <c r="Y154" s="269"/>
      <c r="Z154" s="269"/>
      <c r="AA154" s="269"/>
      <c r="AB154" s="269"/>
      <c r="AC154" s="269"/>
      <c r="AD154" s="269"/>
      <c r="AE154" s="269"/>
      <c r="AF154" s="269"/>
      <c r="AG154" s="269"/>
      <c r="AH154" s="269"/>
      <c r="AI154" s="269"/>
      <c r="AJ154" s="269"/>
      <c r="AK154" s="269"/>
      <c r="AL154" s="269"/>
      <c r="AM154" s="269"/>
      <c r="AN154" s="269"/>
      <c r="AO154" s="269"/>
      <c r="AP154" s="269"/>
      <c r="AQ154" s="269"/>
      <c r="AR154" s="269"/>
      <c r="AS154" s="269"/>
      <c r="AT154" s="269"/>
      <c r="AU154" s="269"/>
      <c r="AV154" s="269"/>
      <c r="AW154" s="269"/>
      <c r="AX154" s="269"/>
      <c r="AY154" s="269"/>
      <c r="AZ154" s="269"/>
      <c r="BA154" s="269"/>
      <c r="BB154" s="269"/>
      <c r="BC154" s="269"/>
      <c r="BD154" s="269"/>
      <c r="BE154" s="269"/>
      <c r="BF154" s="269"/>
      <c r="BG154" s="269"/>
      <c r="BH154" s="269"/>
      <c r="BI154" s="269"/>
      <c r="BJ154" s="269"/>
      <c r="BK154" s="270">
        <f>Desmobilização!H204</f>
        <v>807000</v>
      </c>
      <c r="BL154" s="271">
        <f t="shared" ref="BL154" ca="1" si="48">IF($BK$155=0,0,BK154/$BK$155)</f>
        <v>2.2011719293182166E-3</v>
      </c>
    </row>
    <row r="155" spans="1:64" s="49" customFormat="1" ht="23.25" customHeight="1" thickBot="1" x14ac:dyDescent="0.25">
      <c r="A155" s="391" t="s">
        <v>370</v>
      </c>
      <c r="B155" s="391"/>
      <c r="C155" s="278">
        <f t="shared" ref="C155:AH155" ca="1" si="49">SUBTOTAL(109,C20:C154)</f>
        <v>10986452.551815376</v>
      </c>
      <c r="D155" s="278">
        <f t="shared" ca="1" si="49"/>
        <v>9581452.5518153757</v>
      </c>
      <c r="E155" s="278">
        <f t="shared" ca="1" si="49"/>
        <v>9781452.5518153757</v>
      </c>
      <c r="F155" s="278">
        <f t="shared" ca="1" si="49"/>
        <v>9991452.5518153757</v>
      </c>
      <c r="G155" s="278">
        <f t="shared" ca="1" si="49"/>
        <v>10581452.551815376</v>
      </c>
      <c r="H155" s="278">
        <f t="shared" ca="1" si="49"/>
        <v>10301452.551815376</v>
      </c>
      <c r="I155" s="278">
        <f t="shared" ca="1" si="49"/>
        <v>9581452.5518153757</v>
      </c>
      <c r="J155" s="278">
        <f t="shared" ca="1" si="49"/>
        <v>9581452.5518153757</v>
      </c>
      <c r="K155" s="278">
        <f t="shared" ca="1" si="49"/>
        <v>9581452.5518153757</v>
      </c>
      <c r="L155" s="278">
        <f t="shared" ca="1" si="49"/>
        <v>9581452.5518153757</v>
      </c>
      <c r="M155" s="278">
        <f t="shared" ca="1" si="49"/>
        <v>9581452.5518153757</v>
      </c>
      <c r="N155" s="278">
        <f t="shared" ca="1" si="49"/>
        <v>9646452.5518153757</v>
      </c>
      <c r="O155" s="278">
        <f t="shared" ca="1" si="49"/>
        <v>12917052.358412316</v>
      </c>
      <c r="P155" s="278">
        <f t="shared" ca="1" si="49"/>
        <v>10286052.358412316</v>
      </c>
      <c r="Q155" s="278">
        <f t="shared" ca="1" si="49"/>
        <v>14466052.358412316</v>
      </c>
      <c r="R155" s="278">
        <f t="shared" ca="1" si="49"/>
        <v>10336052.358412316</v>
      </c>
      <c r="S155" s="278">
        <f t="shared" ca="1" si="49"/>
        <v>9586052.3584123161</v>
      </c>
      <c r="T155" s="278">
        <f t="shared" ca="1" si="49"/>
        <v>9886052.3584123161</v>
      </c>
      <c r="U155" s="278">
        <f t="shared" ca="1" si="49"/>
        <v>9586052.3584123161</v>
      </c>
      <c r="V155" s="278">
        <f t="shared" ca="1" si="49"/>
        <v>9586052.3584123161</v>
      </c>
      <c r="W155" s="278">
        <f t="shared" ca="1" si="49"/>
        <v>9586052.3584123161</v>
      </c>
      <c r="X155" s="278">
        <f t="shared" ca="1" si="49"/>
        <v>9586052.3584123161</v>
      </c>
      <c r="Y155" s="278">
        <f t="shared" ca="1" si="49"/>
        <v>9586052.3584123161</v>
      </c>
      <c r="Z155" s="278">
        <f t="shared" ca="1" si="49"/>
        <v>9666052.3584123161</v>
      </c>
      <c r="AA155" s="278">
        <f t="shared" ca="1" si="49"/>
        <v>12031985.388787225</v>
      </c>
      <c r="AB155" s="278">
        <f t="shared" ca="1" si="49"/>
        <v>9917985.3887872249</v>
      </c>
      <c r="AC155" s="278">
        <f t="shared" ca="1" si="49"/>
        <v>9917985.3887872249</v>
      </c>
      <c r="AD155" s="278">
        <f t="shared" ca="1" si="49"/>
        <v>10317985.388787225</v>
      </c>
      <c r="AE155" s="278">
        <f t="shared" ca="1" si="49"/>
        <v>9917985.3887872249</v>
      </c>
      <c r="AF155" s="278">
        <f t="shared" ca="1" si="49"/>
        <v>10267985.388787225</v>
      </c>
      <c r="AG155" s="278">
        <f t="shared" ca="1" si="49"/>
        <v>9917985.3887872249</v>
      </c>
      <c r="AH155" s="278">
        <f t="shared" ca="1" si="49"/>
        <v>9917985.3887872249</v>
      </c>
      <c r="AI155" s="278">
        <f t="shared" ref="AI155:BK155" ca="1" si="50">SUBTOTAL(109,AI20:AI154)</f>
        <v>9917985.3887872249</v>
      </c>
      <c r="AJ155" s="278">
        <f t="shared" ca="1" si="50"/>
        <v>9917985.3887872249</v>
      </c>
      <c r="AK155" s="278">
        <f t="shared" ca="1" si="50"/>
        <v>9917985.3887872249</v>
      </c>
      <c r="AL155" s="278">
        <f t="shared" ca="1" si="50"/>
        <v>10002985.388787225</v>
      </c>
      <c r="AM155" s="278">
        <f t="shared" ca="1" si="50"/>
        <v>0</v>
      </c>
      <c r="AN155" s="278">
        <f t="shared" ca="1" si="50"/>
        <v>0</v>
      </c>
      <c r="AO155" s="278">
        <f t="shared" ca="1" si="50"/>
        <v>0</v>
      </c>
      <c r="AP155" s="278">
        <f t="shared" ca="1" si="50"/>
        <v>0</v>
      </c>
      <c r="AQ155" s="278">
        <f t="shared" ca="1" si="50"/>
        <v>0</v>
      </c>
      <c r="AR155" s="278">
        <f t="shared" ca="1" si="50"/>
        <v>0</v>
      </c>
      <c r="AS155" s="278">
        <f t="shared" ca="1" si="50"/>
        <v>0</v>
      </c>
      <c r="AT155" s="278">
        <f t="shared" ca="1" si="50"/>
        <v>0</v>
      </c>
      <c r="AU155" s="278">
        <f t="shared" ca="1" si="50"/>
        <v>0</v>
      </c>
      <c r="AV155" s="278">
        <f t="shared" ca="1" si="50"/>
        <v>0</v>
      </c>
      <c r="AW155" s="278">
        <f t="shared" ca="1" si="50"/>
        <v>0</v>
      </c>
      <c r="AX155" s="278">
        <f t="shared" ca="1" si="50"/>
        <v>0</v>
      </c>
      <c r="AY155" s="278">
        <f t="shared" ca="1" si="50"/>
        <v>0</v>
      </c>
      <c r="AZ155" s="278">
        <f t="shared" ca="1" si="50"/>
        <v>0</v>
      </c>
      <c r="BA155" s="278">
        <f t="shared" ca="1" si="50"/>
        <v>0</v>
      </c>
      <c r="BB155" s="278">
        <f t="shared" ca="1" si="50"/>
        <v>0</v>
      </c>
      <c r="BC155" s="278">
        <f t="shared" ca="1" si="50"/>
        <v>0</v>
      </c>
      <c r="BD155" s="278">
        <f t="shared" ca="1" si="50"/>
        <v>0</v>
      </c>
      <c r="BE155" s="278">
        <f t="shared" ca="1" si="50"/>
        <v>0</v>
      </c>
      <c r="BF155" s="278">
        <f t="shared" ca="1" si="50"/>
        <v>0</v>
      </c>
      <c r="BG155" s="278">
        <f t="shared" ca="1" si="50"/>
        <v>0</v>
      </c>
      <c r="BH155" s="278">
        <f t="shared" ca="1" si="50"/>
        <v>0</v>
      </c>
      <c r="BI155" s="278">
        <f t="shared" ca="1" si="50"/>
        <v>0</v>
      </c>
      <c r="BJ155" s="278">
        <f t="shared" ca="1" si="50"/>
        <v>0</v>
      </c>
      <c r="BK155" s="278">
        <f t="shared" ca="1" si="50"/>
        <v>366622883.58817905</v>
      </c>
      <c r="BL155" s="238">
        <f ca="1">IF($BK$155=0,0,BK155/$BK$155)</f>
        <v>1</v>
      </c>
    </row>
    <row r="156" spans="1:64" s="49" customForma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126"/>
    </row>
    <row r="157" spans="1:64" s="49" customFormat="1" x14ac:dyDescent="0.2">
      <c r="A157" s="3"/>
      <c r="B157" s="3"/>
      <c r="C157" s="3"/>
      <c r="BL157" s="127"/>
    </row>
    <row r="158" spans="1:64" s="49" customFormat="1" x14ac:dyDescent="0.2">
      <c r="A158" s="3"/>
      <c r="B158" s="3"/>
      <c r="C158" s="3"/>
      <c r="BL158" s="127"/>
    </row>
    <row r="159" spans="1:64" s="49" customFormat="1" x14ac:dyDescent="0.2">
      <c r="A159" s="3"/>
      <c r="B159" s="3"/>
      <c r="C159" s="3"/>
      <c r="BL159" s="127"/>
    </row>
    <row r="160" spans="1:64" s="49" customFormat="1" x14ac:dyDescent="0.2">
      <c r="A160" s="3"/>
      <c r="B160" s="3"/>
      <c r="C160" s="3"/>
      <c r="BL160" s="127"/>
    </row>
    <row r="161" spans="1:64" s="49" customFormat="1" x14ac:dyDescent="0.2">
      <c r="A161" s="3"/>
      <c r="B161" s="3"/>
      <c r="C161" s="3"/>
      <c r="BL161" s="127"/>
    </row>
    <row r="162" spans="1:64" s="49" customFormat="1" x14ac:dyDescent="0.2">
      <c r="A162" s="3"/>
      <c r="B162" s="3"/>
      <c r="C162" s="3"/>
      <c r="BL162" s="127"/>
    </row>
  </sheetData>
  <sheetProtection formatColumns="0" formatRows="0"/>
  <dataConsolidate/>
  <mergeCells count="6">
    <mergeCell ref="AA2:BJ2"/>
    <mergeCell ref="O1:Z1"/>
    <mergeCell ref="C1:N1"/>
    <mergeCell ref="A155:B155"/>
    <mergeCell ref="C2:N2"/>
    <mergeCell ref="O2:Z2"/>
  </mergeCells>
  <phoneticPr fontId="15" type="noConversion"/>
  <pageMargins left="0.19685039370078741" right="0.19685039370078741" top="0.59055118110236227" bottom="0.59055118110236227" header="0" footer="0"/>
  <pageSetup paperSize="9" scale="63" fitToWidth="3" fitToHeight="4" orientation="landscape" r:id="rId1"/>
  <headerFooter>
    <oddFooter>Página &amp;P de &amp;N</oddFooter>
  </headerFooter>
  <colBreaks count="4" manualBreakCount="4">
    <brk id="14" max="131" man="1"/>
    <brk id="26" max="131" man="1"/>
    <brk id="38" max="132" man="1"/>
    <brk id="50" max="132" man="1"/>
  </colBreaks>
  <ignoredErrors>
    <ignoredError sqref="C44 BK60:BL119 C20:BJ26 C30:BJ31 C34:BJ38 C40:I40 C45:BJ45 C48:BJ56 D7:BJ7 C41 AM40:BJ40" unlockedFormula="1"/>
    <ignoredError sqref="C39:I39" formula="1"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tabColor theme="3" tint="-0.249977111117893"/>
    <pageSetUpPr fitToPage="1"/>
  </sheetPr>
  <dimension ref="A1:AD531"/>
  <sheetViews>
    <sheetView zoomScaleNormal="100" zoomScaleSheetLayoutView="80" workbookViewId="0">
      <pane xSplit="5" ySplit="5" topLeftCell="F218" activePane="bottomRight" state="frozen"/>
      <selection pane="topRight" activeCell="F4" sqref="F4:F6"/>
      <selection pane="bottomLeft" activeCell="F4" sqref="F4:F6"/>
      <selection pane="bottomRight" activeCell="B228" sqref="B228"/>
    </sheetView>
  </sheetViews>
  <sheetFormatPr defaultColWidth="17" defaultRowHeight="30" customHeight="1" x14ac:dyDescent="0.2"/>
  <cols>
    <col min="1" max="1" width="4.42578125" style="3" bestFit="1" customWidth="1"/>
    <col min="2" max="2" width="29.85546875" style="3" customWidth="1"/>
    <col min="3" max="3" width="5.85546875" style="3" customWidth="1"/>
    <col min="4" max="4" width="12.85546875" style="3" customWidth="1"/>
    <col min="5" max="5" width="13" style="3" bestFit="1" customWidth="1"/>
    <col min="6" max="11" width="10.28515625" style="3" customWidth="1"/>
    <col min="12" max="12" width="12.5703125" style="3" customWidth="1"/>
    <col min="13" max="19" width="10.85546875" style="3" customWidth="1"/>
    <col min="20" max="20" width="10.42578125" style="3" customWidth="1"/>
    <col min="21" max="21" width="11.28515625" style="3" customWidth="1"/>
    <col min="22" max="22" width="11.42578125" style="4" customWidth="1"/>
    <col min="23" max="23" width="13.28515625" style="3" customWidth="1"/>
    <col min="24" max="24" width="10" style="4" customWidth="1"/>
    <col min="25" max="25" width="10" style="3" customWidth="1"/>
    <col min="26" max="26" width="10" style="4" customWidth="1"/>
    <col min="27" max="28" width="10" style="3" customWidth="1"/>
    <col min="29" max="30" width="11.7109375" style="3" customWidth="1"/>
    <col min="31" max="16384" width="17" style="3"/>
  </cols>
  <sheetData>
    <row r="1" spans="1:30" s="49" customFormat="1" ht="31.5" customHeight="1" x14ac:dyDescent="0.2">
      <c r="A1" s="385" t="str">
        <f>Capa!A1</f>
        <v>Memória de Cálculo
Contrato de Gestão nº 008/2021 celebrado entre a SEJUSP e o Instituto Elo</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row>
    <row r="2" spans="1:30" s="49" customFormat="1" ht="18" customHeight="1" x14ac:dyDescent="0.2">
      <c r="A2" s="394" t="s">
        <v>371</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row>
    <row r="3" spans="1:30" s="49" customFormat="1" ht="17.25" customHeight="1" x14ac:dyDescent="0.2">
      <c r="A3" s="394" t="s">
        <v>372</v>
      </c>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row>
    <row r="4" spans="1:30" s="50" customFormat="1" ht="30" customHeight="1" x14ac:dyDescent="0.2">
      <c r="A4" s="331"/>
      <c r="B4" s="331"/>
      <c r="C4" s="331"/>
      <c r="D4" s="331"/>
      <c r="E4" s="331"/>
      <c r="F4" s="392" t="s">
        <v>86</v>
      </c>
      <c r="G4" s="392"/>
      <c r="H4" s="392"/>
      <c r="I4" s="392"/>
      <c r="J4" s="392"/>
      <c r="K4" s="392"/>
      <c r="L4" s="392"/>
      <c r="M4" s="392"/>
      <c r="N4" s="392"/>
      <c r="O4" s="392"/>
      <c r="P4" s="392"/>
      <c r="Q4" s="392"/>
      <c r="R4" s="392"/>
      <c r="S4" s="392"/>
      <c r="T4" s="392"/>
      <c r="U4" s="392"/>
      <c r="V4" s="392" t="s">
        <v>88</v>
      </c>
      <c r="W4" s="392"/>
      <c r="X4" s="392"/>
      <c r="Y4" s="392"/>
      <c r="Z4" s="392"/>
      <c r="AA4" s="392"/>
      <c r="AB4" s="392"/>
      <c r="AC4" s="392"/>
      <c r="AD4" s="392" t="s">
        <v>373</v>
      </c>
    </row>
    <row r="5" spans="1:30" s="50" customFormat="1" ht="38.25" customHeight="1" x14ac:dyDescent="0.2">
      <c r="A5" s="332" t="s">
        <v>31</v>
      </c>
      <c r="B5" s="332" t="s">
        <v>374</v>
      </c>
      <c r="C5" s="332" t="s">
        <v>375</v>
      </c>
      <c r="D5" s="332" t="s">
        <v>376</v>
      </c>
      <c r="E5" s="332" t="s">
        <v>82</v>
      </c>
      <c r="F5" s="332" t="s">
        <v>145</v>
      </c>
      <c r="G5" s="332" t="s">
        <v>147</v>
      </c>
      <c r="H5" s="332" t="s">
        <v>149</v>
      </c>
      <c r="I5" s="332" t="s">
        <v>151</v>
      </c>
      <c r="J5" s="332" t="s">
        <v>153</v>
      </c>
      <c r="K5" s="332" t="s">
        <v>155</v>
      </c>
      <c r="L5" s="332" t="s">
        <v>157</v>
      </c>
      <c r="M5" s="332" t="s">
        <v>159</v>
      </c>
      <c r="N5" s="332" t="s">
        <v>125</v>
      </c>
      <c r="O5" s="306" t="s">
        <v>127</v>
      </c>
      <c r="P5" s="306" t="s">
        <v>129</v>
      </c>
      <c r="Q5" s="306" t="s">
        <v>131</v>
      </c>
      <c r="R5" s="332" t="s">
        <v>133</v>
      </c>
      <c r="S5" s="306" t="s">
        <v>377</v>
      </c>
      <c r="T5" s="332" t="s">
        <v>167</v>
      </c>
      <c r="U5" s="332" t="s">
        <v>60</v>
      </c>
      <c r="V5" s="306" t="s">
        <v>170</v>
      </c>
      <c r="W5" s="306" t="s">
        <v>172</v>
      </c>
      <c r="X5" s="306" t="s">
        <v>174</v>
      </c>
      <c r="Y5" s="306" t="s">
        <v>176</v>
      </c>
      <c r="Z5" s="306" t="s">
        <v>178</v>
      </c>
      <c r="AA5" s="306" t="s">
        <v>182</v>
      </c>
      <c r="AB5" s="306" t="s">
        <v>186</v>
      </c>
      <c r="AC5" s="332" t="s">
        <v>60</v>
      </c>
      <c r="AD5" s="393"/>
    </row>
    <row r="6" spans="1:30" s="49" customFormat="1" ht="22.5" x14ac:dyDescent="0.2">
      <c r="A6" s="94">
        <v>1</v>
      </c>
      <c r="B6" s="36" t="s">
        <v>378</v>
      </c>
      <c r="C6" s="148">
        <v>1</v>
      </c>
      <c r="D6" s="57">
        <v>8626.8483514359996</v>
      </c>
      <c r="E6" s="79">
        <f>C6*D6</f>
        <v>8626.8483514359996</v>
      </c>
      <c r="F6" s="80">
        <f t="shared" ref="F6:F69" si="0">(E6+J6+L6+K6+N6+R6+O6+S6+P6+Q6+T6)*4.5%</f>
        <v>463.69309888968496</v>
      </c>
      <c r="G6" s="47"/>
      <c r="H6" s="47">
        <f>(E6+J6+L6+K6+M6+N6+O6+P6+Q6+R6+S6+T6)*8%</f>
        <v>853.09944808644889</v>
      </c>
      <c r="I6" s="47">
        <f>H6*40%</f>
        <v>341.2397792345796</v>
      </c>
      <c r="J6" s="47">
        <f t="shared" ref="J6:J69" si="1">(E6+N6+O6+P6+Q6+R6+S6+T6)/12</f>
        <v>718.9040292863333</v>
      </c>
      <c r="K6" s="47">
        <f>(E6+N6+O6+P6+Q6+R6+S6+T6)/12</f>
        <v>718.9040292863333</v>
      </c>
      <c r="L6" s="47">
        <f>J6/3</f>
        <v>239.63467642877777</v>
      </c>
      <c r="M6" s="47">
        <f>(E6+N6+O6+P6+Q6+R6+S6+T6)/12/2</f>
        <v>359.45201464316665</v>
      </c>
      <c r="N6" s="80">
        <v>0</v>
      </c>
      <c r="O6" s="47"/>
      <c r="P6" s="47"/>
      <c r="Q6" s="47"/>
      <c r="R6" s="47"/>
      <c r="S6" s="136"/>
      <c r="T6" s="47">
        <v>0</v>
      </c>
      <c r="U6" s="81">
        <f t="shared" ref="U6:U9" si="2">SUM(F6:T6)</f>
        <v>3694.9270758553248</v>
      </c>
      <c r="V6" s="47"/>
      <c r="W6" s="47"/>
      <c r="X6" s="47">
        <f>360*C6</f>
        <v>360</v>
      </c>
      <c r="Y6" s="47">
        <f t="shared" ref="Y6:Y69" si="3">(9.8*C6)</f>
        <v>9.8000000000000007</v>
      </c>
      <c r="Z6" s="47">
        <f>(C6*21)</f>
        <v>21</v>
      </c>
      <c r="AA6" s="47">
        <f t="shared" ref="AA6:AA69" si="4">(C6*29)</f>
        <v>29</v>
      </c>
      <c r="AB6" s="47">
        <f t="shared" ref="AB6:AB69" si="5">(C6*19)</f>
        <v>19</v>
      </c>
      <c r="AC6" s="71">
        <f>SUM(V6:AB6)</f>
        <v>438.8</v>
      </c>
      <c r="AD6" s="118">
        <f t="shared" ref="AD6:AD9" si="6">E6+U6+AC6</f>
        <v>12760.575427291324</v>
      </c>
    </row>
    <row r="7" spans="1:30" s="49" customFormat="1" ht="12.75" x14ac:dyDescent="0.2">
      <c r="A7" s="94">
        <v>2</v>
      </c>
      <c r="B7" s="36" t="s">
        <v>379</v>
      </c>
      <c r="C7" s="148">
        <v>1</v>
      </c>
      <c r="D7" s="57">
        <v>4664.5671649779988</v>
      </c>
      <c r="E7" s="79">
        <f t="shared" ref="E7:E9" si="7">C7*D7</f>
        <v>4664.5671649779988</v>
      </c>
      <c r="F7" s="80">
        <f t="shared" si="0"/>
        <v>250.72048511756742</v>
      </c>
      <c r="G7" s="47"/>
      <c r="H7" s="47">
        <f t="shared" ref="H7:H70" si="8">(E7+J7+L7+K7+M7+N7+O7+P7+Q7+R7+S7+T7)*8%</f>
        <v>461.27386409226881</v>
      </c>
      <c r="I7" s="47">
        <f t="shared" ref="I7:I70" si="9">H7*40%</f>
        <v>184.50954563690755</v>
      </c>
      <c r="J7" s="47">
        <f t="shared" si="1"/>
        <v>388.71393041483321</v>
      </c>
      <c r="K7" s="47">
        <f t="shared" ref="K7:K70" si="10">(E7+N7+O7+P7+Q7+R7+S7+T7)/12</f>
        <v>388.71393041483321</v>
      </c>
      <c r="L7" s="47">
        <f t="shared" ref="L7:L70" si="11">J7/3</f>
        <v>129.57131013827774</v>
      </c>
      <c r="M7" s="47">
        <f t="shared" ref="M7:M70" si="12">(E7+N7+O7+P7+Q7+R7+S7+T7)/12/2</f>
        <v>194.35696520741661</v>
      </c>
      <c r="N7" s="80">
        <v>0</v>
      </c>
      <c r="O7" s="47"/>
      <c r="P7" s="47"/>
      <c r="Q7" s="47"/>
      <c r="R7" s="47"/>
      <c r="S7" s="136"/>
      <c r="T7" s="47">
        <v>0</v>
      </c>
      <c r="U7" s="81">
        <f t="shared" si="2"/>
        <v>1997.8600310221045</v>
      </c>
      <c r="V7" s="47">
        <f t="shared" ref="V7:V69" si="13">(370*C7)-(E7*6%)</f>
        <v>90.125970101320092</v>
      </c>
      <c r="W7" s="47"/>
      <c r="X7" s="47">
        <f t="shared" ref="X7:X70" si="14">360*C7</f>
        <v>360</v>
      </c>
      <c r="Y7" s="47">
        <f t="shared" si="3"/>
        <v>9.8000000000000007</v>
      </c>
      <c r="Z7" s="47">
        <f t="shared" ref="Z7:Z70" si="15">(C7*21)</f>
        <v>21</v>
      </c>
      <c r="AA7" s="47">
        <f t="shared" si="4"/>
        <v>29</v>
      </c>
      <c r="AB7" s="47">
        <f t="shared" si="5"/>
        <v>19</v>
      </c>
      <c r="AC7" s="71">
        <f t="shared" ref="AC7:AC9" si="16">SUM(V7:AB7)</f>
        <v>528.9259701013201</v>
      </c>
      <c r="AD7" s="118">
        <f t="shared" si="6"/>
        <v>7191.3531661014231</v>
      </c>
    </row>
    <row r="8" spans="1:30" s="49" customFormat="1" ht="22.5" x14ac:dyDescent="0.2">
      <c r="A8" s="94">
        <v>3</v>
      </c>
      <c r="B8" s="36" t="s">
        <v>380</v>
      </c>
      <c r="C8" s="148">
        <v>1</v>
      </c>
      <c r="D8" s="57">
        <v>6971.8487432299989</v>
      </c>
      <c r="E8" s="79">
        <f t="shared" si="7"/>
        <v>6971.8487432299989</v>
      </c>
      <c r="F8" s="80">
        <f t="shared" si="0"/>
        <v>374.73686994861242</v>
      </c>
      <c r="G8" s="47"/>
      <c r="H8" s="47">
        <f t="shared" si="8"/>
        <v>689.43837571941094</v>
      </c>
      <c r="I8" s="47">
        <f t="shared" si="9"/>
        <v>275.77535028776441</v>
      </c>
      <c r="J8" s="47">
        <f t="shared" si="1"/>
        <v>580.98739526916654</v>
      </c>
      <c r="K8" s="47">
        <f t="shared" si="10"/>
        <v>580.98739526916654</v>
      </c>
      <c r="L8" s="47">
        <f t="shared" si="11"/>
        <v>193.66246508972219</v>
      </c>
      <c r="M8" s="47">
        <f t="shared" si="12"/>
        <v>290.49369763458327</v>
      </c>
      <c r="N8" s="80">
        <v>0</v>
      </c>
      <c r="O8" s="47"/>
      <c r="P8" s="47"/>
      <c r="Q8" s="47"/>
      <c r="R8" s="47"/>
      <c r="S8" s="136"/>
      <c r="T8" s="47">
        <v>0</v>
      </c>
      <c r="U8" s="81">
        <f t="shared" si="2"/>
        <v>2986.0815492184261</v>
      </c>
      <c r="V8" s="47"/>
      <c r="W8" s="47"/>
      <c r="X8" s="47">
        <f t="shared" si="14"/>
        <v>360</v>
      </c>
      <c r="Y8" s="47">
        <f t="shared" si="3"/>
        <v>9.8000000000000007</v>
      </c>
      <c r="Z8" s="47">
        <f t="shared" si="15"/>
        <v>21</v>
      </c>
      <c r="AA8" s="47">
        <f t="shared" si="4"/>
        <v>29</v>
      </c>
      <c r="AB8" s="47">
        <f t="shared" si="5"/>
        <v>19</v>
      </c>
      <c r="AC8" s="71">
        <f t="shared" si="16"/>
        <v>438.8</v>
      </c>
      <c r="AD8" s="118">
        <f t="shared" si="6"/>
        <v>10396.730292448425</v>
      </c>
    </row>
    <row r="9" spans="1:30" s="49" customFormat="1" ht="12.75" x14ac:dyDescent="0.2">
      <c r="A9" s="94">
        <v>4</v>
      </c>
      <c r="B9" s="36" t="s">
        <v>381</v>
      </c>
      <c r="C9" s="148">
        <v>2</v>
      </c>
      <c r="D9" s="57">
        <v>3432.9771878639999</v>
      </c>
      <c r="E9" s="79">
        <f t="shared" si="7"/>
        <v>6865.9543757279998</v>
      </c>
      <c r="F9" s="80">
        <f t="shared" si="0"/>
        <v>369.04504769537999</v>
      </c>
      <c r="G9" s="47"/>
      <c r="H9" s="47">
        <f t="shared" si="8"/>
        <v>678.96659937754669</v>
      </c>
      <c r="I9" s="47">
        <f t="shared" si="9"/>
        <v>271.58663975101871</v>
      </c>
      <c r="J9" s="47">
        <f t="shared" si="1"/>
        <v>572.16286464400002</v>
      </c>
      <c r="K9" s="47">
        <f t="shared" si="10"/>
        <v>572.16286464400002</v>
      </c>
      <c r="L9" s="47">
        <f t="shared" si="11"/>
        <v>190.72095488133334</v>
      </c>
      <c r="M9" s="47">
        <f t="shared" si="12"/>
        <v>286.08143232200001</v>
      </c>
      <c r="N9" s="80">
        <v>0</v>
      </c>
      <c r="O9" s="47"/>
      <c r="P9" s="47"/>
      <c r="Q9" s="47"/>
      <c r="R9" s="47"/>
      <c r="S9" s="136"/>
      <c r="T9" s="47">
        <v>0</v>
      </c>
      <c r="U9" s="81">
        <f t="shared" si="2"/>
        <v>2940.7264033152792</v>
      </c>
      <c r="V9" s="47">
        <f t="shared" si="13"/>
        <v>328.04273745632003</v>
      </c>
      <c r="W9" s="47"/>
      <c r="X9" s="47">
        <f t="shared" si="14"/>
        <v>720</v>
      </c>
      <c r="Y9" s="47">
        <f t="shared" si="3"/>
        <v>19.600000000000001</v>
      </c>
      <c r="Z9" s="47">
        <f t="shared" si="15"/>
        <v>42</v>
      </c>
      <c r="AA9" s="47">
        <f t="shared" si="4"/>
        <v>58</v>
      </c>
      <c r="AB9" s="47">
        <f t="shared" si="5"/>
        <v>38</v>
      </c>
      <c r="AC9" s="71">
        <f t="shared" si="16"/>
        <v>1205.64273745632</v>
      </c>
      <c r="AD9" s="118">
        <f t="shared" si="6"/>
        <v>11012.3235164996</v>
      </c>
    </row>
    <row r="10" spans="1:30" s="49" customFormat="1" ht="12.75" x14ac:dyDescent="0.2">
      <c r="A10" s="94">
        <v>5</v>
      </c>
      <c r="B10" s="36" t="s">
        <v>382</v>
      </c>
      <c r="C10" s="148">
        <v>3</v>
      </c>
      <c r="D10" s="57">
        <v>3432.9771878639999</v>
      </c>
      <c r="E10" s="79">
        <f t="shared" ref="E10" si="17">C10*D10</f>
        <v>10298.931563591999</v>
      </c>
      <c r="F10" s="80">
        <f t="shared" si="0"/>
        <v>553.56757154307002</v>
      </c>
      <c r="G10" s="47"/>
      <c r="H10" s="47">
        <f t="shared" si="8"/>
        <v>1018.4498990663201</v>
      </c>
      <c r="I10" s="47">
        <f t="shared" si="9"/>
        <v>407.37995962652803</v>
      </c>
      <c r="J10" s="47">
        <f t="shared" si="1"/>
        <v>858.24429696599998</v>
      </c>
      <c r="K10" s="47">
        <f t="shared" si="10"/>
        <v>858.24429696599998</v>
      </c>
      <c r="L10" s="47">
        <f t="shared" si="11"/>
        <v>286.08143232200001</v>
      </c>
      <c r="M10" s="47">
        <f t="shared" si="12"/>
        <v>429.12214848299999</v>
      </c>
      <c r="N10" s="80">
        <v>0</v>
      </c>
      <c r="O10" s="47"/>
      <c r="P10" s="47"/>
      <c r="Q10" s="47"/>
      <c r="R10" s="47"/>
      <c r="S10" s="136"/>
      <c r="T10" s="47">
        <v>0</v>
      </c>
      <c r="U10" s="81">
        <f t="shared" ref="U10" si="18">SUM(F10:T10)</f>
        <v>4411.0896049729181</v>
      </c>
      <c r="V10" s="47">
        <f t="shared" si="13"/>
        <v>492.06410618448001</v>
      </c>
      <c r="W10" s="47"/>
      <c r="X10" s="47">
        <f t="shared" si="14"/>
        <v>1080</v>
      </c>
      <c r="Y10" s="47">
        <f t="shared" si="3"/>
        <v>29.400000000000002</v>
      </c>
      <c r="Z10" s="47">
        <f t="shared" si="15"/>
        <v>63</v>
      </c>
      <c r="AA10" s="47">
        <f t="shared" si="4"/>
        <v>87</v>
      </c>
      <c r="AB10" s="47">
        <f t="shared" si="5"/>
        <v>57</v>
      </c>
      <c r="AC10" s="71">
        <f t="shared" ref="AC10" si="19">SUM(V10:AB10)</f>
        <v>1808.46410618448</v>
      </c>
      <c r="AD10" s="118">
        <f t="shared" ref="AD10" si="20">E10+U10+AC10</f>
        <v>16518.485274749397</v>
      </c>
    </row>
    <row r="11" spans="1:30" s="49" customFormat="1" ht="12.75" x14ac:dyDescent="0.2">
      <c r="A11" s="94">
        <v>6</v>
      </c>
      <c r="B11" s="358" t="s">
        <v>383</v>
      </c>
      <c r="C11" s="148">
        <v>1</v>
      </c>
      <c r="D11" s="57">
        <v>3432.9771878639999</v>
      </c>
      <c r="E11" s="79">
        <f t="shared" ref="E11:E42" si="21">C11*D11</f>
        <v>3432.9771878639999</v>
      </c>
      <c r="F11" s="80">
        <f t="shared" si="0"/>
        <v>184.52252384769</v>
      </c>
      <c r="G11" s="47"/>
      <c r="H11" s="47">
        <f t="shared" si="8"/>
        <v>339.48329968877334</v>
      </c>
      <c r="I11" s="47">
        <f t="shared" si="9"/>
        <v>135.79331987550935</v>
      </c>
      <c r="J11" s="47">
        <f t="shared" si="1"/>
        <v>286.08143232200001</v>
      </c>
      <c r="K11" s="47">
        <f t="shared" si="10"/>
        <v>286.08143232200001</v>
      </c>
      <c r="L11" s="47">
        <f t="shared" si="11"/>
        <v>95.360477440666671</v>
      </c>
      <c r="M11" s="47">
        <f t="shared" si="12"/>
        <v>143.04071616100001</v>
      </c>
      <c r="N11" s="80">
        <v>0</v>
      </c>
      <c r="O11" s="47"/>
      <c r="P11" s="47"/>
      <c r="Q11" s="47"/>
      <c r="R11" s="47"/>
      <c r="S11" s="136"/>
      <c r="T11" s="47">
        <v>0</v>
      </c>
      <c r="U11" s="81">
        <f t="shared" ref="U11:U74" si="22">SUM(F11:T11)</f>
        <v>1470.3632016576396</v>
      </c>
      <c r="V11" s="47">
        <f t="shared" si="13"/>
        <v>164.02136872816001</v>
      </c>
      <c r="W11" s="47"/>
      <c r="X11" s="47">
        <f t="shared" si="14"/>
        <v>360</v>
      </c>
      <c r="Y11" s="47">
        <f t="shared" si="3"/>
        <v>9.8000000000000007</v>
      </c>
      <c r="Z11" s="47">
        <f t="shared" si="15"/>
        <v>21</v>
      </c>
      <c r="AA11" s="47">
        <f t="shared" si="4"/>
        <v>29</v>
      </c>
      <c r="AB11" s="47">
        <f t="shared" si="5"/>
        <v>19</v>
      </c>
      <c r="AC11" s="71">
        <f t="shared" ref="AC11:AC74" si="23">SUM(V11:AB11)</f>
        <v>602.82136872816</v>
      </c>
      <c r="AD11" s="118">
        <f t="shared" ref="AD11:AD74" si="24">E11+U11+AC11</f>
        <v>5506.1617582498002</v>
      </c>
    </row>
    <row r="12" spans="1:30" s="49" customFormat="1" ht="12.75" x14ac:dyDescent="0.2">
      <c r="A12" s="94">
        <v>7</v>
      </c>
      <c r="B12" s="358" t="s">
        <v>384</v>
      </c>
      <c r="C12" s="148">
        <v>2</v>
      </c>
      <c r="D12" s="57">
        <v>3432.9771878639999</v>
      </c>
      <c r="E12" s="79">
        <f t="shared" si="21"/>
        <v>6865.9543757279998</v>
      </c>
      <c r="F12" s="80">
        <f t="shared" si="0"/>
        <v>369.04504769537999</v>
      </c>
      <c r="G12" s="47"/>
      <c r="H12" s="47">
        <f t="shared" si="8"/>
        <v>678.96659937754669</v>
      </c>
      <c r="I12" s="47">
        <f t="shared" si="9"/>
        <v>271.58663975101871</v>
      </c>
      <c r="J12" s="47">
        <f t="shared" si="1"/>
        <v>572.16286464400002</v>
      </c>
      <c r="K12" s="47">
        <f t="shared" si="10"/>
        <v>572.16286464400002</v>
      </c>
      <c r="L12" s="47">
        <f t="shared" si="11"/>
        <v>190.72095488133334</v>
      </c>
      <c r="M12" s="47">
        <f t="shared" si="12"/>
        <v>286.08143232200001</v>
      </c>
      <c r="N12" s="80">
        <v>0</v>
      </c>
      <c r="O12" s="47"/>
      <c r="P12" s="47"/>
      <c r="Q12" s="47"/>
      <c r="R12" s="47"/>
      <c r="S12" s="136"/>
      <c r="T12" s="47">
        <v>0</v>
      </c>
      <c r="U12" s="81">
        <f t="shared" si="22"/>
        <v>2940.7264033152792</v>
      </c>
      <c r="V12" s="47">
        <f t="shared" si="13"/>
        <v>328.04273745632003</v>
      </c>
      <c r="W12" s="47"/>
      <c r="X12" s="47">
        <f t="shared" si="14"/>
        <v>720</v>
      </c>
      <c r="Y12" s="47">
        <f t="shared" si="3"/>
        <v>19.600000000000001</v>
      </c>
      <c r="Z12" s="47">
        <f t="shared" si="15"/>
        <v>42</v>
      </c>
      <c r="AA12" s="47">
        <f t="shared" si="4"/>
        <v>58</v>
      </c>
      <c r="AB12" s="47">
        <f t="shared" si="5"/>
        <v>38</v>
      </c>
      <c r="AC12" s="71">
        <f t="shared" si="23"/>
        <v>1205.64273745632</v>
      </c>
      <c r="AD12" s="118">
        <f t="shared" si="24"/>
        <v>11012.3235164996</v>
      </c>
    </row>
    <row r="13" spans="1:30" s="49" customFormat="1" ht="12.75" x14ac:dyDescent="0.2">
      <c r="A13" s="94">
        <v>8</v>
      </c>
      <c r="B13" s="36" t="s">
        <v>385</v>
      </c>
      <c r="C13" s="46">
        <v>2</v>
      </c>
      <c r="D13" s="57">
        <v>3432.9771878639999</v>
      </c>
      <c r="E13" s="79">
        <f t="shared" si="21"/>
        <v>6865.9543757279998</v>
      </c>
      <c r="F13" s="80">
        <f t="shared" si="0"/>
        <v>369.04504769537999</v>
      </c>
      <c r="G13" s="47"/>
      <c r="H13" s="47">
        <f t="shared" si="8"/>
        <v>678.96659937754669</v>
      </c>
      <c r="I13" s="47">
        <f t="shared" si="9"/>
        <v>271.58663975101871</v>
      </c>
      <c r="J13" s="47">
        <f t="shared" si="1"/>
        <v>572.16286464400002</v>
      </c>
      <c r="K13" s="47">
        <f t="shared" si="10"/>
        <v>572.16286464400002</v>
      </c>
      <c r="L13" s="47">
        <f t="shared" si="11"/>
        <v>190.72095488133334</v>
      </c>
      <c r="M13" s="47">
        <f t="shared" si="12"/>
        <v>286.08143232200001</v>
      </c>
      <c r="N13" s="80">
        <v>0</v>
      </c>
      <c r="O13" s="47"/>
      <c r="P13" s="47"/>
      <c r="Q13" s="47"/>
      <c r="R13" s="47"/>
      <c r="S13" s="136"/>
      <c r="T13" s="47">
        <v>0</v>
      </c>
      <c r="U13" s="81">
        <f t="shared" si="22"/>
        <v>2940.7264033152792</v>
      </c>
      <c r="V13" s="47">
        <f t="shared" si="13"/>
        <v>328.04273745632003</v>
      </c>
      <c r="W13" s="47"/>
      <c r="X13" s="47">
        <f t="shared" si="14"/>
        <v>720</v>
      </c>
      <c r="Y13" s="47">
        <f t="shared" si="3"/>
        <v>19.600000000000001</v>
      </c>
      <c r="Z13" s="47">
        <f t="shared" si="15"/>
        <v>42</v>
      </c>
      <c r="AA13" s="47">
        <f t="shared" si="4"/>
        <v>58</v>
      </c>
      <c r="AB13" s="47">
        <f t="shared" si="5"/>
        <v>38</v>
      </c>
      <c r="AC13" s="71">
        <f t="shared" si="23"/>
        <v>1205.64273745632</v>
      </c>
      <c r="AD13" s="118">
        <f t="shared" si="24"/>
        <v>11012.3235164996</v>
      </c>
    </row>
    <row r="14" spans="1:30" s="49" customFormat="1" ht="12.75" x14ac:dyDescent="0.2">
      <c r="A14" s="94">
        <v>9</v>
      </c>
      <c r="B14" s="36" t="s">
        <v>386</v>
      </c>
      <c r="C14" s="46">
        <v>1</v>
      </c>
      <c r="D14" s="57">
        <v>3432.9771878639999</v>
      </c>
      <c r="E14" s="79">
        <f t="shared" si="21"/>
        <v>3432.9771878639999</v>
      </c>
      <c r="F14" s="80">
        <f t="shared" si="0"/>
        <v>184.52252384769</v>
      </c>
      <c r="G14" s="47"/>
      <c r="H14" s="47">
        <f t="shared" si="8"/>
        <v>339.48329968877334</v>
      </c>
      <c r="I14" s="47">
        <f t="shared" si="9"/>
        <v>135.79331987550935</v>
      </c>
      <c r="J14" s="47">
        <f t="shared" si="1"/>
        <v>286.08143232200001</v>
      </c>
      <c r="K14" s="47">
        <f t="shared" si="10"/>
        <v>286.08143232200001</v>
      </c>
      <c r="L14" s="47">
        <f t="shared" si="11"/>
        <v>95.360477440666671</v>
      </c>
      <c r="M14" s="47">
        <f t="shared" si="12"/>
        <v>143.04071616100001</v>
      </c>
      <c r="N14" s="80">
        <v>0</v>
      </c>
      <c r="O14" s="47"/>
      <c r="P14" s="47"/>
      <c r="Q14" s="47"/>
      <c r="R14" s="47"/>
      <c r="S14" s="136"/>
      <c r="T14" s="47">
        <v>0</v>
      </c>
      <c r="U14" s="81">
        <f t="shared" si="22"/>
        <v>1470.3632016576396</v>
      </c>
      <c r="V14" s="47">
        <f t="shared" si="13"/>
        <v>164.02136872816001</v>
      </c>
      <c r="W14" s="47"/>
      <c r="X14" s="47">
        <f t="shared" si="14"/>
        <v>360</v>
      </c>
      <c r="Y14" s="47">
        <f t="shared" si="3"/>
        <v>9.8000000000000007</v>
      </c>
      <c r="Z14" s="47">
        <f t="shared" si="15"/>
        <v>21</v>
      </c>
      <c r="AA14" s="47">
        <f t="shared" si="4"/>
        <v>29</v>
      </c>
      <c r="AB14" s="47">
        <f t="shared" si="5"/>
        <v>19</v>
      </c>
      <c r="AC14" s="71">
        <f t="shared" si="23"/>
        <v>602.82136872816</v>
      </c>
      <c r="AD14" s="118">
        <f t="shared" si="24"/>
        <v>5506.1617582498002</v>
      </c>
    </row>
    <row r="15" spans="1:30" s="49" customFormat="1" ht="12.75" x14ac:dyDescent="0.2">
      <c r="A15" s="94">
        <v>10</v>
      </c>
      <c r="B15" s="36" t="s">
        <v>387</v>
      </c>
      <c r="C15" s="46">
        <v>10</v>
      </c>
      <c r="D15" s="57">
        <v>1954.7239466999999</v>
      </c>
      <c r="E15" s="79">
        <f t="shared" si="21"/>
        <v>19547.239466999999</v>
      </c>
      <c r="F15" s="80">
        <f t="shared" si="0"/>
        <v>1365.863357756625</v>
      </c>
      <c r="G15" s="47"/>
      <c r="H15" s="47">
        <f t="shared" si="8"/>
        <v>2512.9062292576668</v>
      </c>
      <c r="I15" s="47">
        <f t="shared" si="9"/>
        <v>1005.1624917030667</v>
      </c>
      <c r="J15" s="47">
        <f t="shared" si="1"/>
        <v>2117.6176089249998</v>
      </c>
      <c r="K15" s="47">
        <f t="shared" si="10"/>
        <v>2117.6176089249998</v>
      </c>
      <c r="L15" s="47">
        <f t="shared" si="11"/>
        <v>705.87253630833322</v>
      </c>
      <c r="M15" s="47">
        <f t="shared" si="12"/>
        <v>1058.8088044624999</v>
      </c>
      <c r="N15" s="80">
        <v>0</v>
      </c>
      <c r="O15" s="47"/>
      <c r="P15" s="47"/>
      <c r="Q15" s="47"/>
      <c r="R15" s="47">
        <f>E15*30%</f>
        <v>5864.1718400999998</v>
      </c>
      <c r="S15" s="136"/>
      <c r="T15" s="47">
        <v>0</v>
      </c>
      <c r="U15" s="81">
        <f t="shared" si="22"/>
        <v>16748.020477438193</v>
      </c>
      <c r="V15" s="47">
        <f t="shared" si="13"/>
        <v>2527.1656319800004</v>
      </c>
      <c r="W15" s="47"/>
      <c r="X15" s="47">
        <f t="shared" si="14"/>
        <v>3600</v>
      </c>
      <c r="Y15" s="47">
        <f t="shared" si="3"/>
        <v>98</v>
      </c>
      <c r="Z15" s="47">
        <f t="shared" si="15"/>
        <v>210</v>
      </c>
      <c r="AA15" s="47">
        <f t="shared" si="4"/>
        <v>290</v>
      </c>
      <c r="AB15" s="47">
        <f t="shared" si="5"/>
        <v>190</v>
      </c>
      <c r="AC15" s="71">
        <f t="shared" si="23"/>
        <v>6915.1656319800004</v>
      </c>
      <c r="AD15" s="118">
        <f t="shared" si="24"/>
        <v>43210.425576418194</v>
      </c>
    </row>
    <row r="16" spans="1:30" s="49" customFormat="1" ht="12.75" x14ac:dyDescent="0.2">
      <c r="A16" s="94">
        <v>11</v>
      </c>
      <c r="B16" s="36" t="s">
        <v>388</v>
      </c>
      <c r="C16" s="46">
        <v>4</v>
      </c>
      <c r="D16" s="57">
        <v>1954.7239466999999</v>
      </c>
      <c r="E16" s="79">
        <f t="shared" si="21"/>
        <v>7818.8957867999998</v>
      </c>
      <c r="F16" s="80">
        <f t="shared" si="0"/>
        <v>420.26564854049991</v>
      </c>
      <c r="G16" s="47"/>
      <c r="H16" s="47">
        <f t="shared" si="8"/>
        <v>773.20191669466658</v>
      </c>
      <c r="I16" s="47">
        <f t="shared" si="9"/>
        <v>309.28076667786667</v>
      </c>
      <c r="J16" s="47">
        <f t="shared" si="1"/>
        <v>651.57464889999994</v>
      </c>
      <c r="K16" s="47">
        <f t="shared" si="10"/>
        <v>651.57464889999994</v>
      </c>
      <c r="L16" s="47">
        <f t="shared" si="11"/>
        <v>217.19154963333332</v>
      </c>
      <c r="M16" s="47">
        <f t="shared" si="12"/>
        <v>325.78732444999997</v>
      </c>
      <c r="N16" s="80">
        <v>0</v>
      </c>
      <c r="O16" s="47"/>
      <c r="P16" s="47"/>
      <c r="Q16" s="47"/>
      <c r="R16" s="47"/>
      <c r="S16" s="136"/>
      <c r="T16" s="47">
        <v>0</v>
      </c>
      <c r="U16" s="81">
        <f t="shared" si="22"/>
        <v>3348.8765037963663</v>
      </c>
      <c r="V16" s="47">
        <f t="shared" si="13"/>
        <v>1010.8662527920001</v>
      </c>
      <c r="W16" s="47"/>
      <c r="X16" s="47">
        <f t="shared" si="14"/>
        <v>1440</v>
      </c>
      <c r="Y16" s="47">
        <f t="shared" si="3"/>
        <v>39.200000000000003</v>
      </c>
      <c r="Z16" s="47">
        <f t="shared" si="15"/>
        <v>84</v>
      </c>
      <c r="AA16" s="47">
        <f t="shared" si="4"/>
        <v>116</v>
      </c>
      <c r="AB16" s="47">
        <f t="shared" si="5"/>
        <v>76</v>
      </c>
      <c r="AC16" s="71">
        <f t="shared" si="23"/>
        <v>2766.0662527919999</v>
      </c>
      <c r="AD16" s="118">
        <f t="shared" si="24"/>
        <v>13933.838543388365</v>
      </c>
    </row>
    <row r="17" spans="1:30" s="49" customFormat="1" ht="12.75" x14ac:dyDescent="0.2">
      <c r="A17" s="94">
        <v>12</v>
      </c>
      <c r="B17" s="358" t="s">
        <v>389</v>
      </c>
      <c r="C17" s="46">
        <v>2</v>
      </c>
      <c r="D17" s="57">
        <v>1604</v>
      </c>
      <c r="E17" s="79">
        <f t="shared" si="21"/>
        <v>3208</v>
      </c>
      <c r="F17" s="80">
        <f t="shared" si="0"/>
        <v>172.43</v>
      </c>
      <c r="G17" s="47"/>
      <c r="H17" s="47">
        <f t="shared" si="8"/>
        <v>317.23555555555561</v>
      </c>
      <c r="I17" s="47">
        <f t="shared" si="9"/>
        <v>126.89422222222225</v>
      </c>
      <c r="J17" s="47">
        <f t="shared" si="1"/>
        <v>267.33333333333331</v>
      </c>
      <c r="K17" s="47">
        <f t="shared" si="10"/>
        <v>267.33333333333331</v>
      </c>
      <c r="L17" s="47">
        <f t="shared" si="11"/>
        <v>89.1111111111111</v>
      </c>
      <c r="M17" s="47">
        <f t="shared" si="12"/>
        <v>133.66666666666666</v>
      </c>
      <c r="N17" s="80">
        <v>0</v>
      </c>
      <c r="O17" s="47"/>
      <c r="P17" s="47"/>
      <c r="Q17" s="47"/>
      <c r="R17" s="47"/>
      <c r="S17" s="136"/>
      <c r="T17" s="47">
        <v>0</v>
      </c>
      <c r="U17" s="81">
        <f t="shared" si="22"/>
        <v>1374.0042222222223</v>
      </c>
      <c r="V17" s="47">
        <f t="shared" si="13"/>
        <v>547.52</v>
      </c>
      <c r="W17" s="47"/>
      <c r="X17" s="47">
        <f t="shared" si="14"/>
        <v>720</v>
      </c>
      <c r="Y17" s="47">
        <f t="shared" si="3"/>
        <v>19.600000000000001</v>
      </c>
      <c r="Z17" s="47">
        <f t="shared" si="15"/>
        <v>42</v>
      </c>
      <c r="AA17" s="47">
        <f t="shared" si="4"/>
        <v>58</v>
      </c>
      <c r="AB17" s="47">
        <f t="shared" si="5"/>
        <v>38</v>
      </c>
      <c r="AC17" s="71">
        <f t="shared" si="23"/>
        <v>1425.12</v>
      </c>
      <c r="AD17" s="118">
        <f t="shared" si="24"/>
        <v>6007.1242222222218</v>
      </c>
    </row>
    <row r="18" spans="1:30" s="49" customFormat="1" ht="12.75" x14ac:dyDescent="0.2">
      <c r="A18" s="94">
        <v>13</v>
      </c>
      <c r="B18" s="358" t="s">
        <v>390</v>
      </c>
      <c r="C18" s="46">
        <v>3</v>
      </c>
      <c r="D18" s="57">
        <v>2216.5886211419997</v>
      </c>
      <c r="E18" s="79">
        <f t="shared" si="21"/>
        <v>6649.7658634259988</v>
      </c>
      <c r="F18" s="80">
        <f t="shared" si="0"/>
        <v>357.42491515914742</v>
      </c>
      <c r="G18" s="47"/>
      <c r="H18" s="47">
        <f t="shared" si="8"/>
        <v>657.58795760545979</v>
      </c>
      <c r="I18" s="47">
        <f t="shared" si="9"/>
        <v>263.03518304218392</v>
      </c>
      <c r="J18" s="47">
        <f t="shared" si="1"/>
        <v>554.14715528549993</v>
      </c>
      <c r="K18" s="47">
        <f t="shared" si="10"/>
        <v>554.14715528549993</v>
      </c>
      <c r="L18" s="47">
        <f t="shared" si="11"/>
        <v>184.71571842849997</v>
      </c>
      <c r="M18" s="47">
        <f t="shared" si="12"/>
        <v>277.07357764274997</v>
      </c>
      <c r="N18" s="80">
        <v>0</v>
      </c>
      <c r="O18" s="47"/>
      <c r="P18" s="47"/>
      <c r="Q18" s="47"/>
      <c r="R18" s="47"/>
      <c r="S18" s="136"/>
      <c r="T18" s="47">
        <v>0</v>
      </c>
      <c r="U18" s="81">
        <f t="shared" si="22"/>
        <v>2848.1316624490414</v>
      </c>
      <c r="V18" s="47">
        <f t="shared" si="13"/>
        <v>711.01404819444008</v>
      </c>
      <c r="W18" s="47">
        <v>0</v>
      </c>
      <c r="X18" s="47">
        <f t="shared" si="14"/>
        <v>1080</v>
      </c>
      <c r="Y18" s="47">
        <f t="shared" si="3"/>
        <v>29.400000000000002</v>
      </c>
      <c r="Z18" s="47">
        <f t="shared" si="15"/>
        <v>63</v>
      </c>
      <c r="AA18" s="47">
        <f t="shared" si="4"/>
        <v>87</v>
      </c>
      <c r="AB18" s="47">
        <f t="shared" si="5"/>
        <v>57</v>
      </c>
      <c r="AC18" s="71">
        <f t="shared" si="23"/>
        <v>2027.4140481944401</v>
      </c>
      <c r="AD18" s="118">
        <f t="shared" si="24"/>
        <v>11525.311574069479</v>
      </c>
    </row>
    <row r="19" spans="1:30" s="49" customFormat="1" ht="12.75" x14ac:dyDescent="0.2">
      <c r="A19" s="94">
        <v>14</v>
      </c>
      <c r="B19" s="358" t="s">
        <v>578</v>
      </c>
      <c r="C19" s="46">
        <v>1</v>
      </c>
      <c r="D19" s="57">
        <v>6971.8487432299989</v>
      </c>
      <c r="E19" s="79">
        <f t="shared" si="21"/>
        <v>6971.8487432299989</v>
      </c>
      <c r="F19" s="80">
        <f t="shared" si="0"/>
        <v>374.73686994861242</v>
      </c>
      <c r="G19" s="47"/>
      <c r="H19" s="47">
        <f t="shared" si="8"/>
        <v>689.43837571941094</v>
      </c>
      <c r="I19" s="47">
        <f t="shared" si="9"/>
        <v>275.77535028776441</v>
      </c>
      <c r="J19" s="47">
        <f t="shared" si="1"/>
        <v>580.98739526916654</v>
      </c>
      <c r="K19" s="47">
        <f t="shared" si="10"/>
        <v>580.98739526916654</v>
      </c>
      <c r="L19" s="47">
        <f t="shared" si="11"/>
        <v>193.66246508972219</v>
      </c>
      <c r="M19" s="47">
        <f t="shared" si="12"/>
        <v>290.49369763458327</v>
      </c>
      <c r="N19" s="80">
        <v>0</v>
      </c>
      <c r="O19" s="47"/>
      <c r="P19" s="47"/>
      <c r="Q19" s="47"/>
      <c r="R19" s="47"/>
      <c r="S19" s="136"/>
      <c r="T19" s="47">
        <v>0</v>
      </c>
      <c r="U19" s="81">
        <f t="shared" si="22"/>
        <v>2986.0815492184261</v>
      </c>
      <c r="V19" s="47"/>
      <c r="W19" s="47">
        <v>0</v>
      </c>
      <c r="X19" s="47">
        <f t="shared" si="14"/>
        <v>360</v>
      </c>
      <c r="Y19" s="47">
        <f t="shared" si="3"/>
        <v>9.8000000000000007</v>
      </c>
      <c r="Z19" s="47">
        <f t="shared" si="15"/>
        <v>21</v>
      </c>
      <c r="AA19" s="47">
        <f t="shared" si="4"/>
        <v>29</v>
      </c>
      <c r="AB19" s="47">
        <f t="shared" si="5"/>
        <v>19</v>
      </c>
      <c r="AC19" s="71">
        <f t="shared" si="23"/>
        <v>438.8</v>
      </c>
      <c r="AD19" s="118">
        <f t="shared" si="24"/>
        <v>10396.730292448425</v>
      </c>
    </row>
    <row r="20" spans="1:30" s="49" customFormat="1" ht="12.75" x14ac:dyDescent="0.2">
      <c r="A20" s="94">
        <v>15</v>
      </c>
      <c r="B20" s="36" t="s">
        <v>391</v>
      </c>
      <c r="C20" s="46">
        <v>46</v>
      </c>
      <c r="D20" s="57">
        <v>2475.9907000000003</v>
      </c>
      <c r="E20" s="79">
        <f t="shared" si="21"/>
        <v>113895.57220000001</v>
      </c>
      <c r="F20" s="80">
        <f t="shared" si="0"/>
        <v>8906.5470863655009</v>
      </c>
      <c r="G20" s="47"/>
      <c r="H20" s="47">
        <f t="shared" si="8"/>
        <v>16386.205492228004</v>
      </c>
      <c r="I20" s="47">
        <f t="shared" si="9"/>
        <v>6554.482196891202</v>
      </c>
      <c r="J20" s="47">
        <f t="shared" si="1"/>
        <v>13808.600133900001</v>
      </c>
      <c r="K20" s="47">
        <f t="shared" si="10"/>
        <v>13808.600133900001</v>
      </c>
      <c r="L20" s="47">
        <f t="shared" si="11"/>
        <v>4602.8667113000001</v>
      </c>
      <c r="M20" s="47">
        <f t="shared" si="12"/>
        <v>6904.3000669500007</v>
      </c>
      <c r="N20" s="80">
        <v>0</v>
      </c>
      <c r="O20" s="47"/>
      <c r="P20" s="47">
        <f>(D20/200*24*2)*(C20/2)</f>
        <v>13667.468664000002</v>
      </c>
      <c r="Q20" s="47">
        <f>(D20/200*2*24)/20*4*C20/2</f>
        <v>2733.4937328000001</v>
      </c>
      <c r="R20" s="47">
        <f>E20*30%</f>
        <v>34168.67166</v>
      </c>
      <c r="S20" s="136">
        <f>(D20*0.1)*5</f>
        <v>1237.9953500000001</v>
      </c>
      <c r="T20" s="47">
        <v>0</v>
      </c>
      <c r="U20" s="81">
        <f t="shared" si="22"/>
        <v>122779.2312283347</v>
      </c>
      <c r="V20" s="47">
        <f t="shared" si="13"/>
        <v>10186.265668</v>
      </c>
      <c r="W20" s="47">
        <v>0</v>
      </c>
      <c r="X20" s="47">
        <f t="shared" si="14"/>
        <v>16560</v>
      </c>
      <c r="Y20" s="47">
        <f t="shared" si="3"/>
        <v>450.8</v>
      </c>
      <c r="Z20" s="47">
        <f t="shared" si="15"/>
        <v>966</v>
      </c>
      <c r="AA20" s="47">
        <f t="shared" si="4"/>
        <v>1334</v>
      </c>
      <c r="AB20" s="47">
        <f t="shared" si="5"/>
        <v>874</v>
      </c>
      <c r="AC20" s="71">
        <f t="shared" si="23"/>
        <v>30371.065667999999</v>
      </c>
      <c r="AD20" s="118">
        <f t="shared" si="24"/>
        <v>267045.86909633473</v>
      </c>
    </row>
    <row r="21" spans="1:30" s="49" customFormat="1" ht="12.75" x14ac:dyDescent="0.2">
      <c r="A21" s="94">
        <v>16</v>
      </c>
      <c r="B21" s="36" t="s">
        <v>391</v>
      </c>
      <c r="C21" s="46">
        <v>26</v>
      </c>
      <c r="D21" s="57">
        <v>2475.9907000000003</v>
      </c>
      <c r="E21" s="79">
        <f t="shared" si="21"/>
        <v>64375.758200000011</v>
      </c>
      <c r="F21" s="80">
        <f t="shared" si="0"/>
        <v>5514.1573618446428</v>
      </c>
      <c r="G21" s="47"/>
      <c r="H21" s="47">
        <f t="shared" si="8"/>
        <v>10144.90966830332</v>
      </c>
      <c r="I21" s="47">
        <f t="shared" si="9"/>
        <v>4057.9638673213285</v>
      </c>
      <c r="J21" s="47">
        <f t="shared" si="1"/>
        <v>8549.0811811544845</v>
      </c>
      <c r="K21" s="47">
        <f t="shared" si="10"/>
        <v>8549.0811811544845</v>
      </c>
      <c r="L21" s="47">
        <f t="shared" si="11"/>
        <v>2849.693727051495</v>
      </c>
      <c r="M21" s="47">
        <f t="shared" si="12"/>
        <v>4274.5405905772423</v>
      </c>
      <c r="N21" s="80">
        <f>(E21/220)*(137.13)*(20%)</f>
        <v>8025.3161108781833</v>
      </c>
      <c r="O21" s="47">
        <f>(N21/25)*5</f>
        <v>1605.0632221756368</v>
      </c>
      <c r="P21" s="47">
        <f>(D21/200*24*2)*(C21/2)</f>
        <v>7725.0909840000013</v>
      </c>
      <c r="Q21" s="47">
        <f>(D21/200*2*24)/20*4*C21/2</f>
        <v>1545.0181968000002</v>
      </c>
      <c r="R21" s="47">
        <f>E21*30%</f>
        <v>19312.727460000002</v>
      </c>
      <c r="S21" s="136"/>
      <c r="T21" s="47">
        <v>0</v>
      </c>
      <c r="U21" s="81">
        <f t="shared" si="22"/>
        <v>82152.64355126083</v>
      </c>
      <c r="V21" s="47">
        <f t="shared" si="13"/>
        <v>5757.4545079999989</v>
      </c>
      <c r="W21" s="47">
        <v>0</v>
      </c>
      <c r="X21" s="47">
        <f t="shared" si="14"/>
        <v>9360</v>
      </c>
      <c r="Y21" s="47">
        <f t="shared" si="3"/>
        <v>254.8</v>
      </c>
      <c r="Z21" s="47">
        <f t="shared" si="15"/>
        <v>546</v>
      </c>
      <c r="AA21" s="47">
        <f t="shared" si="4"/>
        <v>754</v>
      </c>
      <c r="AB21" s="47">
        <f t="shared" si="5"/>
        <v>494</v>
      </c>
      <c r="AC21" s="71">
        <f t="shared" si="23"/>
        <v>17166.254507999998</v>
      </c>
      <c r="AD21" s="118">
        <f t="shared" si="24"/>
        <v>163694.65625926084</v>
      </c>
    </row>
    <row r="22" spans="1:30" s="49" customFormat="1" ht="12.75" x14ac:dyDescent="0.2">
      <c r="A22" s="94">
        <v>17</v>
      </c>
      <c r="B22" s="36" t="s">
        <v>392</v>
      </c>
      <c r="C22" s="46">
        <v>2</v>
      </c>
      <c r="D22" s="57">
        <v>4195.9728999999998</v>
      </c>
      <c r="E22" s="79">
        <f t="shared" si="21"/>
        <v>8391.9457999999995</v>
      </c>
      <c r="F22" s="80">
        <f t="shared" si="0"/>
        <v>451.06708674999993</v>
      </c>
      <c r="G22" s="47"/>
      <c r="H22" s="47">
        <f t="shared" si="8"/>
        <v>829.87019577777767</v>
      </c>
      <c r="I22" s="47">
        <f t="shared" si="9"/>
        <v>331.94807831111109</v>
      </c>
      <c r="J22" s="47">
        <f t="shared" si="1"/>
        <v>699.32881666666663</v>
      </c>
      <c r="K22" s="47">
        <f t="shared" si="10"/>
        <v>699.32881666666663</v>
      </c>
      <c r="L22" s="47">
        <f t="shared" si="11"/>
        <v>233.10960555555553</v>
      </c>
      <c r="M22" s="47">
        <f t="shared" si="12"/>
        <v>349.66440833333331</v>
      </c>
      <c r="N22" s="80">
        <v>0</v>
      </c>
      <c r="O22" s="47"/>
      <c r="P22" s="47"/>
      <c r="Q22" s="47"/>
      <c r="R22" s="47"/>
      <c r="S22" s="136"/>
      <c r="T22" s="47">
        <v>0</v>
      </c>
      <c r="U22" s="81">
        <f t="shared" si="22"/>
        <v>3594.3170080611108</v>
      </c>
      <c r="V22" s="47">
        <f t="shared" si="13"/>
        <v>236.48325200000005</v>
      </c>
      <c r="W22" s="47">
        <v>0</v>
      </c>
      <c r="X22" s="47">
        <f t="shared" si="14"/>
        <v>720</v>
      </c>
      <c r="Y22" s="47">
        <f t="shared" si="3"/>
        <v>19.600000000000001</v>
      </c>
      <c r="Z22" s="47">
        <f t="shared" si="15"/>
        <v>42</v>
      </c>
      <c r="AA22" s="47">
        <f t="shared" si="4"/>
        <v>58</v>
      </c>
      <c r="AB22" s="47">
        <f t="shared" si="5"/>
        <v>38</v>
      </c>
      <c r="AC22" s="71">
        <f t="shared" si="23"/>
        <v>1114.0832519999999</v>
      </c>
      <c r="AD22" s="118">
        <f t="shared" si="24"/>
        <v>13100.346060061111</v>
      </c>
    </row>
    <row r="23" spans="1:30" s="49" customFormat="1" ht="12.75" x14ac:dyDescent="0.2">
      <c r="A23" s="94">
        <v>18</v>
      </c>
      <c r="B23" s="36" t="s">
        <v>393</v>
      </c>
      <c r="C23" s="46">
        <v>2</v>
      </c>
      <c r="D23" s="57">
        <v>5372.2025000000003</v>
      </c>
      <c r="E23" s="79">
        <f t="shared" si="21"/>
        <v>10744.405000000001</v>
      </c>
      <c r="F23" s="80">
        <f t="shared" si="0"/>
        <v>660.67346344999999</v>
      </c>
      <c r="G23" s="47"/>
      <c r="H23" s="47">
        <f t="shared" si="8"/>
        <v>1215.5025994222224</v>
      </c>
      <c r="I23" s="47">
        <f t="shared" si="9"/>
        <v>486.20103976888896</v>
      </c>
      <c r="J23" s="47">
        <f t="shared" si="1"/>
        <v>1024.2999433333334</v>
      </c>
      <c r="K23" s="47">
        <f t="shared" si="10"/>
        <v>1024.2999433333334</v>
      </c>
      <c r="L23" s="47">
        <f t="shared" si="11"/>
        <v>341.43331444444448</v>
      </c>
      <c r="M23" s="47">
        <f t="shared" si="12"/>
        <v>512.14997166666672</v>
      </c>
      <c r="N23" s="80">
        <v>0</v>
      </c>
      <c r="O23" s="47"/>
      <c r="P23" s="47">
        <f>(D23/200*24*2)</f>
        <v>1289.3286000000001</v>
      </c>
      <c r="Q23" s="47">
        <f>(D23/200*2*24)/20*4</f>
        <v>257.86572000000001</v>
      </c>
      <c r="R23" s="47"/>
      <c r="S23" s="136"/>
      <c r="T23" s="47">
        <v>0</v>
      </c>
      <c r="U23" s="81">
        <f t="shared" si="22"/>
        <v>6811.754595418889</v>
      </c>
      <c r="V23" s="47">
        <f t="shared" si="13"/>
        <v>95.335699999999974</v>
      </c>
      <c r="W23" s="47">
        <v>0</v>
      </c>
      <c r="X23" s="47">
        <f t="shared" si="14"/>
        <v>720</v>
      </c>
      <c r="Y23" s="47">
        <f t="shared" si="3"/>
        <v>19.600000000000001</v>
      </c>
      <c r="Z23" s="47">
        <f t="shared" si="15"/>
        <v>42</v>
      </c>
      <c r="AA23" s="47">
        <f t="shared" si="4"/>
        <v>58</v>
      </c>
      <c r="AB23" s="47">
        <f t="shared" si="5"/>
        <v>38</v>
      </c>
      <c r="AC23" s="71">
        <f t="shared" si="23"/>
        <v>972.9357</v>
      </c>
      <c r="AD23" s="118">
        <f t="shared" si="24"/>
        <v>18529.095295418891</v>
      </c>
    </row>
    <row r="24" spans="1:30" s="49" customFormat="1" ht="12.75" x14ac:dyDescent="0.2">
      <c r="A24" s="94">
        <v>19</v>
      </c>
      <c r="B24" s="36" t="s">
        <v>394</v>
      </c>
      <c r="C24" s="46">
        <v>3</v>
      </c>
      <c r="D24" s="57">
        <v>3760.5471000000002</v>
      </c>
      <c r="E24" s="79">
        <f t="shared" si="21"/>
        <v>11281.641300000001</v>
      </c>
      <c r="F24" s="80">
        <f t="shared" si="0"/>
        <v>688.85701777800011</v>
      </c>
      <c r="G24" s="47"/>
      <c r="H24" s="47">
        <f t="shared" si="8"/>
        <v>1267.3545133280002</v>
      </c>
      <c r="I24" s="47">
        <f t="shared" si="9"/>
        <v>506.9418053312001</v>
      </c>
      <c r="J24" s="47">
        <f t="shared" si="1"/>
        <v>1067.9953764000002</v>
      </c>
      <c r="K24" s="47">
        <f t="shared" si="10"/>
        <v>1067.9953764000002</v>
      </c>
      <c r="L24" s="47">
        <f t="shared" si="11"/>
        <v>355.99845880000004</v>
      </c>
      <c r="M24" s="47">
        <f t="shared" si="12"/>
        <v>533.99768820000008</v>
      </c>
      <c r="N24" s="80">
        <v>0</v>
      </c>
      <c r="O24" s="47"/>
      <c r="P24" s="47">
        <f>(D24/200*24*2)*(C24/2)</f>
        <v>1353.7969560000001</v>
      </c>
      <c r="Q24" s="47">
        <f>(D24/200*2*24)/20*4</f>
        <v>180.50626080000001</v>
      </c>
      <c r="R24" s="47"/>
      <c r="S24" s="136"/>
      <c r="T24" s="47">
        <v>0</v>
      </c>
      <c r="U24" s="81">
        <f t="shared" si="22"/>
        <v>7023.4434530372009</v>
      </c>
      <c r="V24" s="47">
        <f t="shared" si="13"/>
        <v>433.10152199999993</v>
      </c>
      <c r="W24" s="47">
        <v>0</v>
      </c>
      <c r="X24" s="47">
        <f t="shared" si="14"/>
        <v>1080</v>
      </c>
      <c r="Y24" s="47">
        <f t="shared" si="3"/>
        <v>29.400000000000002</v>
      </c>
      <c r="Z24" s="47">
        <f t="shared" si="15"/>
        <v>63</v>
      </c>
      <c r="AA24" s="47">
        <f t="shared" si="4"/>
        <v>87</v>
      </c>
      <c r="AB24" s="47">
        <f t="shared" si="5"/>
        <v>57</v>
      </c>
      <c r="AC24" s="71">
        <f t="shared" si="23"/>
        <v>1749.501522</v>
      </c>
      <c r="AD24" s="118">
        <f t="shared" si="24"/>
        <v>20054.5862750372</v>
      </c>
    </row>
    <row r="25" spans="1:30" s="49" customFormat="1" ht="12.75" x14ac:dyDescent="0.2">
      <c r="A25" s="94">
        <v>20</v>
      </c>
      <c r="B25" s="36" t="s">
        <v>395</v>
      </c>
      <c r="C25" s="46">
        <v>4</v>
      </c>
      <c r="D25" s="57">
        <v>1759.2515520300001</v>
      </c>
      <c r="E25" s="79">
        <f t="shared" si="21"/>
        <v>7037.0062081200003</v>
      </c>
      <c r="F25" s="80">
        <f t="shared" si="0"/>
        <v>462.05548921651757</v>
      </c>
      <c r="G25" s="47"/>
      <c r="H25" s="47">
        <f t="shared" si="8"/>
        <v>850.08658481178429</v>
      </c>
      <c r="I25" s="47">
        <f t="shared" si="9"/>
        <v>340.03463392471372</v>
      </c>
      <c r="J25" s="47">
        <f t="shared" si="1"/>
        <v>716.36509956049247</v>
      </c>
      <c r="K25" s="47">
        <f t="shared" si="10"/>
        <v>716.36509956049247</v>
      </c>
      <c r="L25" s="47">
        <f t="shared" si="11"/>
        <v>238.78836652016415</v>
      </c>
      <c r="M25" s="47">
        <f t="shared" si="12"/>
        <v>358.18254978024623</v>
      </c>
      <c r="N25" s="80">
        <f>(E25/220)*(137.13)*(20%)</f>
        <v>877.25878301772343</v>
      </c>
      <c r="O25" s="47">
        <f>(N25/25)*5</f>
        <v>175.45175660354471</v>
      </c>
      <c r="P25" s="47">
        <f>(D25/200*24*2)</f>
        <v>422.22037248720005</v>
      </c>
      <c r="Q25" s="47">
        <f>(D25/200*2*24)/20*4</f>
        <v>84.444074497440013</v>
      </c>
      <c r="R25" s="47"/>
      <c r="S25" s="136"/>
      <c r="T25" s="47">
        <v>0</v>
      </c>
      <c r="U25" s="81">
        <f t="shared" si="22"/>
        <v>5241.2528099803185</v>
      </c>
      <c r="V25" s="47">
        <f t="shared" si="13"/>
        <v>1057.7796275128001</v>
      </c>
      <c r="W25" s="47">
        <v>0</v>
      </c>
      <c r="X25" s="47">
        <f t="shared" si="14"/>
        <v>1440</v>
      </c>
      <c r="Y25" s="47">
        <f t="shared" si="3"/>
        <v>39.200000000000003</v>
      </c>
      <c r="Z25" s="47">
        <f t="shared" si="15"/>
        <v>84</v>
      </c>
      <c r="AA25" s="47">
        <f t="shared" si="4"/>
        <v>116</v>
      </c>
      <c r="AB25" s="47">
        <f t="shared" si="5"/>
        <v>76</v>
      </c>
      <c r="AC25" s="71">
        <f t="shared" si="23"/>
        <v>2812.9796275128001</v>
      </c>
      <c r="AD25" s="118">
        <f t="shared" si="24"/>
        <v>15091.238645613117</v>
      </c>
    </row>
    <row r="26" spans="1:30" s="49" customFormat="1" ht="22.5" x14ac:dyDescent="0.2">
      <c r="A26" s="94">
        <v>21</v>
      </c>
      <c r="B26" s="36" t="s">
        <v>396</v>
      </c>
      <c r="C26" s="46">
        <v>1</v>
      </c>
      <c r="D26" s="57">
        <v>8626.8483514359996</v>
      </c>
      <c r="E26" s="79">
        <f t="shared" si="21"/>
        <v>8626.8483514359996</v>
      </c>
      <c r="F26" s="80">
        <f t="shared" ref="F26" si="25">(E26+J26+L26+K26+N26+R26+O26+S26+P26+Q26+T26)*4.5%</f>
        <v>463.69309888968496</v>
      </c>
      <c r="G26" s="47"/>
      <c r="H26" s="47">
        <f>(E26+J26+L26+K26+M26+N26+O26+P26+Q26+R26+S26+T26)*8%</f>
        <v>853.09944808644889</v>
      </c>
      <c r="I26" s="47">
        <f>H26*40%</f>
        <v>341.2397792345796</v>
      </c>
      <c r="J26" s="47">
        <f t="shared" ref="J26" si="26">(E26+N26+O26+P26+Q26+R26+S26+T26)/12</f>
        <v>718.9040292863333</v>
      </c>
      <c r="K26" s="47">
        <f>(E26+N26+O26+P26+Q26+R26+S26+T26)/12</f>
        <v>718.9040292863333</v>
      </c>
      <c r="L26" s="47">
        <f>J26/3</f>
        <v>239.63467642877777</v>
      </c>
      <c r="M26" s="47">
        <f>(E26+N26+O26+P26+Q26+R26+S26+T26)/12/2</f>
        <v>359.45201464316665</v>
      </c>
      <c r="N26" s="80">
        <v>0</v>
      </c>
      <c r="O26" s="47"/>
      <c r="P26" s="47"/>
      <c r="Q26" s="47"/>
      <c r="R26" s="47"/>
      <c r="S26" s="136"/>
      <c r="T26" s="47">
        <v>0</v>
      </c>
      <c r="U26" s="81">
        <f t="shared" si="22"/>
        <v>3694.9270758553248</v>
      </c>
      <c r="V26" s="47"/>
      <c r="W26" s="47">
        <v>0</v>
      </c>
      <c r="X26" s="47">
        <f t="shared" si="14"/>
        <v>360</v>
      </c>
      <c r="Y26" s="47">
        <f t="shared" si="3"/>
        <v>9.8000000000000007</v>
      </c>
      <c r="Z26" s="47">
        <f t="shared" si="15"/>
        <v>21</v>
      </c>
      <c r="AA26" s="47">
        <f t="shared" si="4"/>
        <v>29</v>
      </c>
      <c r="AB26" s="47">
        <f t="shared" si="5"/>
        <v>19</v>
      </c>
      <c r="AC26" s="71">
        <f t="shared" si="23"/>
        <v>438.8</v>
      </c>
      <c r="AD26" s="118">
        <f t="shared" si="24"/>
        <v>12760.575427291324</v>
      </c>
    </row>
    <row r="27" spans="1:30" s="49" customFormat="1" ht="12.75" x14ac:dyDescent="0.2">
      <c r="A27" s="94">
        <v>22</v>
      </c>
      <c r="B27" s="36" t="s">
        <v>397</v>
      </c>
      <c r="C27" s="46">
        <v>1</v>
      </c>
      <c r="D27" s="57">
        <v>4664.5671649779988</v>
      </c>
      <c r="E27" s="79">
        <f t="shared" si="21"/>
        <v>4664.5671649779988</v>
      </c>
      <c r="F27" s="80">
        <f t="shared" si="0"/>
        <v>250.72048511756742</v>
      </c>
      <c r="G27" s="47"/>
      <c r="H27" s="47">
        <f t="shared" si="8"/>
        <v>461.27386409226881</v>
      </c>
      <c r="I27" s="47">
        <f t="shared" si="9"/>
        <v>184.50954563690755</v>
      </c>
      <c r="J27" s="47">
        <f t="shared" si="1"/>
        <v>388.71393041483321</v>
      </c>
      <c r="K27" s="47">
        <f t="shared" si="10"/>
        <v>388.71393041483321</v>
      </c>
      <c r="L27" s="47">
        <f t="shared" si="11"/>
        <v>129.57131013827774</v>
      </c>
      <c r="M27" s="47">
        <f t="shared" si="12"/>
        <v>194.35696520741661</v>
      </c>
      <c r="N27" s="80">
        <v>0</v>
      </c>
      <c r="O27" s="47"/>
      <c r="P27" s="47"/>
      <c r="Q27" s="47"/>
      <c r="R27" s="47"/>
      <c r="S27" s="136"/>
      <c r="T27" s="47">
        <v>0</v>
      </c>
      <c r="U27" s="81">
        <f t="shared" si="22"/>
        <v>1997.8600310221045</v>
      </c>
      <c r="V27" s="47">
        <f t="shared" si="13"/>
        <v>90.125970101320092</v>
      </c>
      <c r="W27" s="47">
        <v>0</v>
      </c>
      <c r="X27" s="47">
        <f t="shared" si="14"/>
        <v>360</v>
      </c>
      <c r="Y27" s="47">
        <f t="shared" si="3"/>
        <v>9.8000000000000007</v>
      </c>
      <c r="Z27" s="47">
        <f t="shared" si="15"/>
        <v>21</v>
      </c>
      <c r="AA27" s="47">
        <f t="shared" si="4"/>
        <v>29</v>
      </c>
      <c r="AB27" s="47">
        <f t="shared" si="5"/>
        <v>19</v>
      </c>
      <c r="AC27" s="71">
        <f t="shared" si="23"/>
        <v>528.9259701013201</v>
      </c>
      <c r="AD27" s="118">
        <f t="shared" si="24"/>
        <v>7191.3531661014231</v>
      </c>
    </row>
    <row r="28" spans="1:30" s="49" customFormat="1" ht="12.75" x14ac:dyDescent="0.2">
      <c r="A28" s="94">
        <v>23</v>
      </c>
      <c r="B28" s="36" t="s">
        <v>398</v>
      </c>
      <c r="C28" s="46">
        <v>1</v>
      </c>
      <c r="D28" s="57">
        <v>6971.8487432299989</v>
      </c>
      <c r="E28" s="79">
        <f t="shared" si="21"/>
        <v>6971.8487432299989</v>
      </c>
      <c r="F28" s="80">
        <f t="shared" si="0"/>
        <v>374.73686994861242</v>
      </c>
      <c r="G28" s="47"/>
      <c r="H28" s="47">
        <f t="shared" si="8"/>
        <v>689.43837571941094</v>
      </c>
      <c r="I28" s="47">
        <f t="shared" si="9"/>
        <v>275.77535028776441</v>
      </c>
      <c r="J28" s="47">
        <f t="shared" si="1"/>
        <v>580.98739526916654</v>
      </c>
      <c r="K28" s="47">
        <f t="shared" si="10"/>
        <v>580.98739526916654</v>
      </c>
      <c r="L28" s="47">
        <f t="shared" si="11"/>
        <v>193.66246508972219</v>
      </c>
      <c r="M28" s="47">
        <f t="shared" si="12"/>
        <v>290.49369763458327</v>
      </c>
      <c r="N28" s="80">
        <v>0</v>
      </c>
      <c r="O28" s="47"/>
      <c r="P28" s="47"/>
      <c r="Q28" s="47"/>
      <c r="R28" s="47"/>
      <c r="S28" s="136"/>
      <c r="T28" s="47">
        <v>0</v>
      </c>
      <c r="U28" s="81">
        <f t="shared" si="22"/>
        <v>2986.0815492184261</v>
      </c>
      <c r="V28" s="47"/>
      <c r="W28" s="47">
        <v>0</v>
      </c>
      <c r="X28" s="47">
        <f t="shared" si="14"/>
        <v>360</v>
      </c>
      <c r="Y28" s="47">
        <f t="shared" si="3"/>
        <v>9.8000000000000007</v>
      </c>
      <c r="Z28" s="47">
        <f t="shared" si="15"/>
        <v>21</v>
      </c>
      <c r="AA28" s="47">
        <f t="shared" si="4"/>
        <v>29</v>
      </c>
      <c r="AB28" s="47">
        <f t="shared" si="5"/>
        <v>19</v>
      </c>
      <c r="AC28" s="71">
        <f t="shared" si="23"/>
        <v>438.8</v>
      </c>
      <c r="AD28" s="118">
        <f t="shared" si="24"/>
        <v>10396.730292448425</v>
      </c>
    </row>
    <row r="29" spans="1:30" s="49" customFormat="1" ht="12.75" x14ac:dyDescent="0.2">
      <c r="A29" s="94">
        <v>24</v>
      </c>
      <c r="B29" s="36" t="s">
        <v>381</v>
      </c>
      <c r="C29" s="46">
        <v>1</v>
      </c>
      <c r="D29" s="57">
        <v>3432.9771878639999</v>
      </c>
      <c r="E29" s="79">
        <f t="shared" si="21"/>
        <v>3432.9771878639999</v>
      </c>
      <c r="F29" s="80">
        <f t="shared" si="0"/>
        <v>184.52252384769</v>
      </c>
      <c r="G29" s="47"/>
      <c r="H29" s="47">
        <f t="shared" si="8"/>
        <v>339.48329968877334</v>
      </c>
      <c r="I29" s="47">
        <f t="shared" si="9"/>
        <v>135.79331987550935</v>
      </c>
      <c r="J29" s="47">
        <f t="shared" si="1"/>
        <v>286.08143232200001</v>
      </c>
      <c r="K29" s="47">
        <f t="shared" si="10"/>
        <v>286.08143232200001</v>
      </c>
      <c r="L29" s="47">
        <f t="shared" si="11"/>
        <v>95.360477440666671</v>
      </c>
      <c r="M29" s="47">
        <f t="shared" si="12"/>
        <v>143.04071616100001</v>
      </c>
      <c r="N29" s="80">
        <v>0</v>
      </c>
      <c r="O29" s="47"/>
      <c r="P29" s="47"/>
      <c r="Q29" s="47"/>
      <c r="R29" s="47"/>
      <c r="S29" s="136"/>
      <c r="T29" s="47">
        <v>0</v>
      </c>
      <c r="U29" s="81">
        <f t="shared" si="22"/>
        <v>1470.3632016576396</v>
      </c>
      <c r="V29" s="47"/>
      <c r="W29" s="47">
        <v>0</v>
      </c>
      <c r="X29" s="47">
        <f t="shared" si="14"/>
        <v>360</v>
      </c>
      <c r="Y29" s="47">
        <f t="shared" si="3"/>
        <v>9.8000000000000007</v>
      </c>
      <c r="Z29" s="47">
        <f t="shared" si="15"/>
        <v>21</v>
      </c>
      <c r="AA29" s="47">
        <f t="shared" si="4"/>
        <v>29</v>
      </c>
      <c r="AB29" s="47">
        <f t="shared" si="5"/>
        <v>19</v>
      </c>
      <c r="AC29" s="71">
        <f t="shared" si="23"/>
        <v>438.8</v>
      </c>
      <c r="AD29" s="118">
        <f t="shared" si="24"/>
        <v>5342.1403895216399</v>
      </c>
    </row>
    <row r="30" spans="1:30" s="49" customFormat="1" ht="12.75" x14ac:dyDescent="0.2">
      <c r="A30" s="94">
        <v>25</v>
      </c>
      <c r="B30" s="36" t="s">
        <v>382</v>
      </c>
      <c r="C30" s="46">
        <v>2</v>
      </c>
      <c r="D30" s="57">
        <v>3432.9771878639999</v>
      </c>
      <c r="E30" s="79">
        <f t="shared" si="21"/>
        <v>6865.9543757279998</v>
      </c>
      <c r="F30" s="80">
        <f t="shared" si="0"/>
        <v>369.04504769537999</v>
      </c>
      <c r="G30" s="47"/>
      <c r="H30" s="47">
        <f t="shared" si="8"/>
        <v>678.96659937754669</v>
      </c>
      <c r="I30" s="47">
        <f t="shared" si="9"/>
        <v>271.58663975101871</v>
      </c>
      <c r="J30" s="47">
        <f t="shared" si="1"/>
        <v>572.16286464400002</v>
      </c>
      <c r="K30" s="47">
        <f t="shared" si="10"/>
        <v>572.16286464400002</v>
      </c>
      <c r="L30" s="47">
        <f t="shared" si="11"/>
        <v>190.72095488133334</v>
      </c>
      <c r="M30" s="47">
        <f t="shared" si="12"/>
        <v>286.08143232200001</v>
      </c>
      <c r="N30" s="80">
        <v>0</v>
      </c>
      <c r="O30" s="47"/>
      <c r="P30" s="47"/>
      <c r="Q30" s="47"/>
      <c r="R30" s="47"/>
      <c r="S30" s="136"/>
      <c r="T30" s="47">
        <v>0</v>
      </c>
      <c r="U30" s="81">
        <f t="shared" si="22"/>
        <v>2940.7264033152792</v>
      </c>
      <c r="V30" s="47">
        <f t="shared" si="13"/>
        <v>328.04273745632003</v>
      </c>
      <c r="W30" s="47">
        <v>0</v>
      </c>
      <c r="X30" s="47">
        <f t="shared" si="14"/>
        <v>720</v>
      </c>
      <c r="Y30" s="47">
        <f t="shared" si="3"/>
        <v>19.600000000000001</v>
      </c>
      <c r="Z30" s="47">
        <f t="shared" si="15"/>
        <v>42</v>
      </c>
      <c r="AA30" s="47">
        <f t="shared" si="4"/>
        <v>58</v>
      </c>
      <c r="AB30" s="47">
        <f t="shared" si="5"/>
        <v>38</v>
      </c>
      <c r="AC30" s="71">
        <f t="shared" si="23"/>
        <v>1205.64273745632</v>
      </c>
      <c r="AD30" s="118">
        <f t="shared" si="24"/>
        <v>11012.3235164996</v>
      </c>
    </row>
    <row r="31" spans="1:30" s="49" customFormat="1" ht="12.75" x14ac:dyDescent="0.2">
      <c r="A31" s="94">
        <v>26</v>
      </c>
      <c r="B31" s="36" t="s">
        <v>383</v>
      </c>
      <c r="C31" s="46">
        <v>1</v>
      </c>
      <c r="D31" s="57">
        <v>3432.9771878639999</v>
      </c>
      <c r="E31" s="79">
        <f t="shared" si="21"/>
        <v>3432.9771878639999</v>
      </c>
      <c r="F31" s="80">
        <f t="shared" si="0"/>
        <v>184.52252384769</v>
      </c>
      <c r="G31" s="47"/>
      <c r="H31" s="47">
        <f t="shared" si="8"/>
        <v>339.48329968877334</v>
      </c>
      <c r="I31" s="47">
        <f t="shared" si="9"/>
        <v>135.79331987550935</v>
      </c>
      <c r="J31" s="47">
        <f t="shared" si="1"/>
        <v>286.08143232200001</v>
      </c>
      <c r="K31" s="47">
        <f t="shared" si="10"/>
        <v>286.08143232200001</v>
      </c>
      <c r="L31" s="47">
        <f t="shared" si="11"/>
        <v>95.360477440666671</v>
      </c>
      <c r="M31" s="47">
        <f t="shared" si="12"/>
        <v>143.04071616100001</v>
      </c>
      <c r="N31" s="80"/>
      <c r="O31" s="47"/>
      <c r="P31" s="47"/>
      <c r="Q31" s="47"/>
      <c r="R31" s="47"/>
      <c r="S31" s="136"/>
      <c r="T31" s="47">
        <v>0</v>
      </c>
      <c r="U31" s="81">
        <f t="shared" si="22"/>
        <v>1470.3632016576396</v>
      </c>
      <c r="V31" s="47">
        <f t="shared" si="13"/>
        <v>164.02136872816001</v>
      </c>
      <c r="W31" s="47">
        <v>0</v>
      </c>
      <c r="X31" s="47">
        <f t="shared" si="14"/>
        <v>360</v>
      </c>
      <c r="Y31" s="47">
        <f t="shared" si="3"/>
        <v>9.8000000000000007</v>
      </c>
      <c r="Z31" s="47">
        <f t="shared" si="15"/>
        <v>21</v>
      </c>
      <c r="AA31" s="47">
        <f t="shared" si="4"/>
        <v>29</v>
      </c>
      <c r="AB31" s="47">
        <f t="shared" si="5"/>
        <v>19</v>
      </c>
      <c r="AC31" s="71">
        <f t="shared" si="23"/>
        <v>602.82136872816</v>
      </c>
      <c r="AD31" s="118">
        <f t="shared" si="24"/>
        <v>5506.1617582498002</v>
      </c>
    </row>
    <row r="32" spans="1:30" s="49" customFormat="1" ht="12.75" x14ac:dyDescent="0.2">
      <c r="A32" s="94">
        <v>27</v>
      </c>
      <c r="B32" s="36" t="s">
        <v>384</v>
      </c>
      <c r="C32" s="46">
        <v>2</v>
      </c>
      <c r="D32" s="57">
        <v>3432.9771878639999</v>
      </c>
      <c r="E32" s="79">
        <f t="shared" si="21"/>
        <v>6865.9543757279998</v>
      </c>
      <c r="F32" s="80">
        <f t="shared" si="0"/>
        <v>369.04504769537999</v>
      </c>
      <c r="G32" s="47"/>
      <c r="H32" s="47">
        <f t="shared" si="8"/>
        <v>678.96659937754669</v>
      </c>
      <c r="I32" s="47">
        <f t="shared" si="9"/>
        <v>271.58663975101871</v>
      </c>
      <c r="J32" s="47">
        <f t="shared" si="1"/>
        <v>572.16286464400002</v>
      </c>
      <c r="K32" s="47">
        <f t="shared" si="10"/>
        <v>572.16286464400002</v>
      </c>
      <c r="L32" s="47">
        <f t="shared" si="11"/>
        <v>190.72095488133334</v>
      </c>
      <c r="M32" s="47">
        <f t="shared" si="12"/>
        <v>286.08143232200001</v>
      </c>
      <c r="N32" s="80">
        <v>0</v>
      </c>
      <c r="O32" s="47"/>
      <c r="P32" s="47"/>
      <c r="Q32" s="47"/>
      <c r="R32" s="47"/>
      <c r="S32" s="136"/>
      <c r="T32" s="47">
        <v>0</v>
      </c>
      <c r="U32" s="81">
        <f t="shared" si="22"/>
        <v>2940.7264033152792</v>
      </c>
      <c r="V32" s="47">
        <f t="shared" si="13"/>
        <v>328.04273745632003</v>
      </c>
      <c r="W32" s="47">
        <v>0</v>
      </c>
      <c r="X32" s="47">
        <f t="shared" si="14"/>
        <v>720</v>
      </c>
      <c r="Y32" s="47">
        <f t="shared" si="3"/>
        <v>19.600000000000001</v>
      </c>
      <c r="Z32" s="47">
        <f t="shared" si="15"/>
        <v>42</v>
      </c>
      <c r="AA32" s="47">
        <f t="shared" si="4"/>
        <v>58</v>
      </c>
      <c r="AB32" s="47">
        <f t="shared" si="5"/>
        <v>38</v>
      </c>
      <c r="AC32" s="71">
        <f t="shared" si="23"/>
        <v>1205.64273745632</v>
      </c>
      <c r="AD32" s="118">
        <f t="shared" si="24"/>
        <v>11012.3235164996</v>
      </c>
    </row>
    <row r="33" spans="1:30" s="49" customFormat="1" ht="12.75" x14ac:dyDescent="0.2">
      <c r="A33" s="94">
        <v>28</v>
      </c>
      <c r="B33" s="36" t="s">
        <v>385</v>
      </c>
      <c r="C33" s="46">
        <v>1</v>
      </c>
      <c r="D33" s="57">
        <v>3432.9771878639999</v>
      </c>
      <c r="E33" s="79">
        <f t="shared" si="21"/>
        <v>3432.9771878639999</v>
      </c>
      <c r="F33" s="80">
        <f t="shared" si="0"/>
        <v>184.52252384769</v>
      </c>
      <c r="G33" s="47"/>
      <c r="H33" s="47">
        <f t="shared" si="8"/>
        <v>339.48329968877334</v>
      </c>
      <c r="I33" s="47">
        <f t="shared" si="9"/>
        <v>135.79331987550935</v>
      </c>
      <c r="J33" s="47">
        <f t="shared" si="1"/>
        <v>286.08143232200001</v>
      </c>
      <c r="K33" s="47">
        <f t="shared" si="10"/>
        <v>286.08143232200001</v>
      </c>
      <c r="L33" s="47">
        <f t="shared" si="11"/>
        <v>95.360477440666671</v>
      </c>
      <c r="M33" s="47">
        <f t="shared" si="12"/>
        <v>143.04071616100001</v>
      </c>
      <c r="N33" s="80">
        <v>0</v>
      </c>
      <c r="O33" s="47"/>
      <c r="P33" s="47"/>
      <c r="Q33" s="47"/>
      <c r="R33" s="47"/>
      <c r="S33" s="136"/>
      <c r="T33" s="47">
        <v>0</v>
      </c>
      <c r="U33" s="81">
        <f t="shared" si="22"/>
        <v>1470.3632016576396</v>
      </c>
      <c r="V33" s="47">
        <f t="shared" si="13"/>
        <v>164.02136872816001</v>
      </c>
      <c r="W33" s="47">
        <v>0</v>
      </c>
      <c r="X33" s="47">
        <f t="shared" si="14"/>
        <v>360</v>
      </c>
      <c r="Y33" s="47">
        <f t="shared" si="3"/>
        <v>9.8000000000000007</v>
      </c>
      <c r="Z33" s="47">
        <f t="shared" si="15"/>
        <v>21</v>
      </c>
      <c r="AA33" s="47">
        <f t="shared" si="4"/>
        <v>29</v>
      </c>
      <c r="AB33" s="47">
        <f t="shared" si="5"/>
        <v>19</v>
      </c>
      <c r="AC33" s="71">
        <f t="shared" si="23"/>
        <v>602.82136872816</v>
      </c>
      <c r="AD33" s="118">
        <f t="shared" si="24"/>
        <v>5506.1617582498002</v>
      </c>
    </row>
    <row r="34" spans="1:30" s="49" customFormat="1" ht="12.75" x14ac:dyDescent="0.2">
      <c r="A34" s="94">
        <v>29</v>
      </c>
      <c r="B34" s="36" t="s">
        <v>386</v>
      </c>
      <c r="C34" s="46">
        <v>1</v>
      </c>
      <c r="D34" s="57">
        <v>3432.9771878639999</v>
      </c>
      <c r="E34" s="79">
        <f t="shared" si="21"/>
        <v>3432.9771878639999</v>
      </c>
      <c r="F34" s="80">
        <f t="shared" si="0"/>
        <v>184.52252384769</v>
      </c>
      <c r="G34" s="47"/>
      <c r="H34" s="47">
        <f t="shared" si="8"/>
        <v>339.48329968877334</v>
      </c>
      <c r="I34" s="47">
        <f t="shared" si="9"/>
        <v>135.79331987550935</v>
      </c>
      <c r="J34" s="47">
        <f t="shared" si="1"/>
        <v>286.08143232200001</v>
      </c>
      <c r="K34" s="47">
        <f t="shared" si="10"/>
        <v>286.08143232200001</v>
      </c>
      <c r="L34" s="47">
        <f t="shared" si="11"/>
        <v>95.360477440666671</v>
      </c>
      <c r="M34" s="47">
        <f t="shared" si="12"/>
        <v>143.04071616100001</v>
      </c>
      <c r="N34" s="80">
        <v>0</v>
      </c>
      <c r="O34" s="47"/>
      <c r="P34" s="47"/>
      <c r="Q34" s="47"/>
      <c r="R34" s="47"/>
      <c r="S34" s="136"/>
      <c r="T34" s="47">
        <v>0</v>
      </c>
      <c r="U34" s="81">
        <f t="shared" si="22"/>
        <v>1470.3632016576396</v>
      </c>
      <c r="V34" s="47">
        <f t="shared" si="13"/>
        <v>164.02136872816001</v>
      </c>
      <c r="W34" s="47">
        <v>0</v>
      </c>
      <c r="X34" s="47">
        <f t="shared" si="14"/>
        <v>360</v>
      </c>
      <c r="Y34" s="47">
        <f t="shared" si="3"/>
        <v>9.8000000000000007</v>
      </c>
      <c r="Z34" s="47">
        <f t="shared" si="15"/>
        <v>21</v>
      </c>
      <c r="AA34" s="47">
        <f t="shared" si="4"/>
        <v>29</v>
      </c>
      <c r="AB34" s="47">
        <f t="shared" si="5"/>
        <v>19</v>
      </c>
      <c r="AC34" s="71">
        <f t="shared" si="23"/>
        <v>602.82136872816</v>
      </c>
      <c r="AD34" s="118">
        <f t="shared" si="24"/>
        <v>5506.1617582498002</v>
      </c>
    </row>
    <row r="35" spans="1:30" s="49" customFormat="1" ht="12.75" x14ac:dyDescent="0.2">
      <c r="A35" s="94">
        <v>30</v>
      </c>
      <c r="B35" s="36" t="s">
        <v>387</v>
      </c>
      <c r="C35" s="46">
        <v>6</v>
      </c>
      <c r="D35" s="57">
        <v>1954.7239466999999</v>
      </c>
      <c r="E35" s="79">
        <f t="shared" si="21"/>
        <v>11728.3436802</v>
      </c>
      <c r="F35" s="80">
        <f t="shared" si="0"/>
        <v>819.51801465397489</v>
      </c>
      <c r="G35" s="47"/>
      <c r="H35" s="47">
        <f t="shared" si="8"/>
        <v>1507.7437375545999</v>
      </c>
      <c r="I35" s="47">
        <f t="shared" si="9"/>
        <v>603.09749502184002</v>
      </c>
      <c r="J35" s="47">
        <f t="shared" si="1"/>
        <v>1270.5705653550001</v>
      </c>
      <c r="K35" s="47">
        <f t="shared" si="10"/>
        <v>1270.5705653550001</v>
      </c>
      <c r="L35" s="47">
        <f t="shared" si="11"/>
        <v>423.52352178500001</v>
      </c>
      <c r="M35" s="47">
        <f t="shared" si="12"/>
        <v>635.28528267750005</v>
      </c>
      <c r="N35" s="80"/>
      <c r="O35" s="47"/>
      <c r="P35" s="47"/>
      <c r="Q35" s="47"/>
      <c r="R35" s="47">
        <f>E35*30%</f>
        <v>3518.5031040599997</v>
      </c>
      <c r="S35" s="136"/>
      <c r="T35" s="47">
        <v>0</v>
      </c>
      <c r="U35" s="81">
        <f t="shared" si="22"/>
        <v>10048.812286462915</v>
      </c>
      <c r="V35" s="47">
        <f t="shared" si="13"/>
        <v>1516.2993791880001</v>
      </c>
      <c r="W35" s="47">
        <v>0</v>
      </c>
      <c r="X35" s="47">
        <f t="shared" si="14"/>
        <v>2160</v>
      </c>
      <c r="Y35" s="47">
        <f t="shared" si="3"/>
        <v>58.800000000000004</v>
      </c>
      <c r="Z35" s="47">
        <f t="shared" si="15"/>
        <v>126</v>
      </c>
      <c r="AA35" s="47">
        <f t="shared" si="4"/>
        <v>174</v>
      </c>
      <c r="AB35" s="47">
        <f t="shared" si="5"/>
        <v>114</v>
      </c>
      <c r="AC35" s="71">
        <f t="shared" si="23"/>
        <v>4149.0993791880001</v>
      </c>
      <c r="AD35" s="118">
        <f t="shared" si="24"/>
        <v>25926.255345850914</v>
      </c>
    </row>
    <row r="36" spans="1:30" s="49" customFormat="1" ht="12.75" x14ac:dyDescent="0.2">
      <c r="A36" s="94">
        <v>31</v>
      </c>
      <c r="B36" s="358" t="s">
        <v>388</v>
      </c>
      <c r="C36" s="46">
        <v>2</v>
      </c>
      <c r="D36" s="57">
        <v>1954.7239466999999</v>
      </c>
      <c r="E36" s="79">
        <f t="shared" si="21"/>
        <v>3909.4478933999999</v>
      </c>
      <c r="F36" s="80">
        <f t="shared" si="0"/>
        <v>210.13282427024996</v>
      </c>
      <c r="G36" s="47"/>
      <c r="H36" s="47">
        <f t="shared" si="8"/>
        <v>386.60095834733329</v>
      </c>
      <c r="I36" s="47">
        <f t="shared" si="9"/>
        <v>154.64038333893333</v>
      </c>
      <c r="J36" s="47">
        <f t="shared" si="1"/>
        <v>325.78732444999997</v>
      </c>
      <c r="K36" s="47">
        <f t="shared" si="10"/>
        <v>325.78732444999997</v>
      </c>
      <c r="L36" s="47">
        <f t="shared" si="11"/>
        <v>108.59577481666666</v>
      </c>
      <c r="M36" s="47">
        <f t="shared" si="12"/>
        <v>162.89366222499999</v>
      </c>
      <c r="N36" s="80">
        <v>0</v>
      </c>
      <c r="O36" s="47"/>
      <c r="P36" s="47"/>
      <c r="Q36" s="47"/>
      <c r="R36" s="47"/>
      <c r="S36" s="136"/>
      <c r="T36" s="47">
        <v>0</v>
      </c>
      <c r="U36" s="81">
        <f t="shared" si="22"/>
        <v>1674.4382518981831</v>
      </c>
      <c r="V36" s="47">
        <f t="shared" si="13"/>
        <v>505.43312639600003</v>
      </c>
      <c r="W36" s="47">
        <v>0</v>
      </c>
      <c r="X36" s="47">
        <f t="shared" si="14"/>
        <v>720</v>
      </c>
      <c r="Y36" s="47">
        <f t="shared" si="3"/>
        <v>19.600000000000001</v>
      </c>
      <c r="Z36" s="47">
        <f t="shared" si="15"/>
        <v>42</v>
      </c>
      <c r="AA36" s="47">
        <f t="shared" si="4"/>
        <v>58</v>
      </c>
      <c r="AB36" s="47">
        <f t="shared" si="5"/>
        <v>38</v>
      </c>
      <c r="AC36" s="71">
        <f t="shared" si="23"/>
        <v>1383.0331263959999</v>
      </c>
      <c r="AD36" s="118">
        <f t="shared" si="24"/>
        <v>6966.9192716941825</v>
      </c>
    </row>
    <row r="37" spans="1:30" s="49" customFormat="1" ht="12.75" x14ac:dyDescent="0.2">
      <c r="A37" s="94">
        <v>32</v>
      </c>
      <c r="B37" s="358" t="s">
        <v>389</v>
      </c>
      <c r="C37" s="46">
        <v>2</v>
      </c>
      <c r="D37" s="57">
        <v>1604</v>
      </c>
      <c r="E37" s="79">
        <f t="shared" si="21"/>
        <v>3208</v>
      </c>
      <c r="F37" s="80">
        <f t="shared" si="0"/>
        <v>172.43</v>
      </c>
      <c r="G37" s="47"/>
      <c r="H37" s="47">
        <f t="shared" si="8"/>
        <v>317.23555555555561</v>
      </c>
      <c r="I37" s="47">
        <f t="shared" si="9"/>
        <v>126.89422222222225</v>
      </c>
      <c r="J37" s="47">
        <f t="shared" si="1"/>
        <v>267.33333333333331</v>
      </c>
      <c r="K37" s="47">
        <f t="shared" si="10"/>
        <v>267.33333333333331</v>
      </c>
      <c r="L37" s="47">
        <f t="shared" si="11"/>
        <v>89.1111111111111</v>
      </c>
      <c r="M37" s="47">
        <f t="shared" si="12"/>
        <v>133.66666666666666</v>
      </c>
      <c r="N37" s="80">
        <v>0</v>
      </c>
      <c r="O37" s="47"/>
      <c r="P37" s="47"/>
      <c r="Q37" s="47"/>
      <c r="R37" s="47"/>
      <c r="S37" s="136"/>
      <c r="T37" s="47">
        <v>0</v>
      </c>
      <c r="U37" s="81">
        <f t="shared" si="22"/>
        <v>1374.0042222222223</v>
      </c>
      <c r="V37" s="47">
        <f t="shared" si="13"/>
        <v>547.52</v>
      </c>
      <c r="W37" s="47">
        <v>0</v>
      </c>
      <c r="X37" s="47">
        <f t="shared" si="14"/>
        <v>720</v>
      </c>
      <c r="Y37" s="47">
        <f t="shared" si="3"/>
        <v>19.600000000000001</v>
      </c>
      <c r="Z37" s="47">
        <f t="shared" si="15"/>
        <v>42</v>
      </c>
      <c r="AA37" s="47">
        <f t="shared" si="4"/>
        <v>58</v>
      </c>
      <c r="AB37" s="47">
        <f t="shared" si="5"/>
        <v>38</v>
      </c>
      <c r="AC37" s="71">
        <f t="shared" si="23"/>
        <v>1425.12</v>
      </c>
      <c r="AD37" s="118">
        <f t="shared" si="24"/>
        <v>6007.1242222222218</v>
      </c>
    </row>
    <row r="38" spans="1:30" s="49" customFormat="1" ht="12.75" x14ac:dyDescent="0.2">
      <c r="A38" s="94">
        <v>33</v>
      </c>
      <c r="B38" s="358" t="s">
        <v>390</v>
      </c>
      <c r="C38" s="46">
        <v>2</v>
      </c>
      <c r="D38" s="57">
        <v>2216.5886211419997</v>
      </c>
      <c r="E38" s="79">
        <f t="shared" si="21"/>
        <v>4433.1772422839995</v>
      </c>
      <c r="F38" s="80">
        <f t="shared" si="0"/>
        <v>238.28327677276502</v>
      </c>
      <c r="G38" s="47"/>
      <c r="H38" s="47">
        <f t="shared" si="8"/>
        <v>438.39197173697335</v>
      </c>
      <c r="I38" s="47">
        <f t="shared" si="9"/>
        <v>175.35678869478934</v>
      </c>
      <c r="J38" s="47">
        <f t="shared" si="1"/>
        <v>369.43143685699994</v>
      </c>
      <c r="K38" s="47">
        <f t="shared" si="10"/>
        <v>369.43143685699994</v>
      </c>
      <c r="L38" s="47">
        <f t="shared" si="11"/>
        <v>123.14381228566664</v>
      </c>
      <c r="M38" s="47">
        <f t="shared" si="12"/>
        <v>184.71571842849997</v>
      </c>
      <c r="N38" s="80">
        <v>0</v>
      </c>
      <c r="O38" s="47"/>
      <c r="P38" s="47"/>
      <c r="Q38" s="47"/>
      <c r="R38" s="47"/>
      <c r="S38" s="136"/>
      <c r="T38" s="47">
        <v>0</v>
      </c>
      <c r="U38" s="81">
        <f t="shared" si="22"/>
        <v>1898.7544416326941</v>
      </c>
      <c r="V38" s="47">
        <f t="shared" si="13"/>
        <v>474.00936546296003</v>
      </c>
      <c r="W38" s="47">
        <v>0</v>
      </c>
      <c r="X38" s="47">
        <f t="shared" si="14"/>
        <v>720</v>
      </c>
      <c r="Y38" s="47">
        <f t="shared" si="3"/>
        <v>19.600000000000001</v>
      </c>
      <c r="Z38" s="47">
        <f t="shared" si="15"/>
        <v>42</v>
      </c>
      <c r="AA38" s="47">
        <f t="shared" si="4"/>
        <v>58</v>
      </c>
      <c r="AB38" s="47">
        <f t="shared" si="5"/>
        <v>38</v>
      </c>
      <c r="AC38" s="71">
        <f t="shared" si="23"/>
        <v>1351.6093654629599</v>
      </c>
      <c r="AD38" s="118">
        <f t="shared" si="24"/>
        <v>7683.5410493796535</v>
      </c>
    </row>
    <row r="39" spans="1:30" s="49" customFormat="1" ht="12.75" x14ac:dyDescent="0.2">
      <c r="A39" s="94">
        <v>34</v>
      </c>
      <c r="B39" s="36" t="s">
        <v>578</v>
      </c>
      <c r="C39" s="46">
        <v>1</v>
      </c>
      <c r="D39" s="57">
        <v>6971.8487432299989</v>
      </c>
      <c r="E39" s="79">
        <f t="shared" si="21"/>
        <v>6971.8487432299989</v>
      </c>
      <c r="F39" s="80">
        <f t="shared" si="0"/>
        <v>374.73686994861242</v>
      </c>
      <c r="G39" s="47"/>
      <c r="H39" s="47">
        <f t="shared" si="8"/>
        <v>689.43837571941094</v>
      </c>
      <c r="I39" s="47">
        <f t="shared" si="9"/>
        <v>275.77535028776441</v>
      </c>
      <c r="J39" s="47">
        <f t="shared" si="1"/>
        <v>580.98739526916654</v>
      </c>
      <c r="K39" s="47">
        <f t="shared" si="10"/>
        <v>580.98739526916654</v>
      </c>
      <c r="L39" s="47">
        <f t="shared" si="11"/>
        <v>193.66246508972219</v>
      </c>
      <c r="M39" s="47">
        <f t="shared" si="12"/>
        <v>290.49369763458327</v>
      </c>
      <c r="N39" s="80">
        <v>0</v>
      </c>
      <c r="O39" s="47"/>
      <c r="P39" s="47"/>
      <c r="Q39" s="47"/>
      <c r="R39" s="47"/>
      <c r="S39" s="136"/>
      <c r="T39" s="47">
        <v>0</v>
      </c>
      <c r="U39" s="81">
        <f t="shared" si="22"/>
        <v>2986.0815492184261</v>
      </c>
      <c r="V39" s="47"/>
      <c r="W39" s="47">
        <v>0</v>
      </c>
      <c r="X39" s="47">
        <f t="shared" si="14"/>
        <v>360</v>
      </c>
      <c r="Y39" s="47">
        <f t="shared" si="3"/>
        <v>9.8000000000000007</v>
      </c>
      <c r="Z39" s="47">
        <f t="shared" si="15"/>
        <v>21</v>
      </c>
      <c r="AA39" s="47">
        <f t="shared" si="4"/>
        <v>29</v>
      </c>
      <c r="AB39" s="47">
        <f t="shared" si="5"/>
        <v>19</v>
      </c>
      <c r="AC39" s="71">
        <f t="shared" si="23"/>
        <v>438.8</v>
      </c>
      <c r="AD39" s="118">
        <f t="shared" si="24"/>
        <v>10396.730292448425</v>
      </c>
    </row>
    <row r="40" spans="1:30" s="49" customFormat="1" ht="12.75" x14ac:dyDescent="0.2">
      <c r="A40" s="94">
        <v>35</v>
      </c>
      <c r="B40" s="36" t="s">
        <v>391</v>
      </c>
      <c r="C40" s="46">
        <v>27</v>
      </c>
      <c r="D40" s="57">
        <v>2475.9907000000003</v>
      </c>
      <c r="E40" s="79">
        <f t="shared" si="21"/>
        <v>66851.748900000006</v>
      </c>
      <c r="F40" s="80">
        <f t="shared" si="0"/>
        <v>5255.2407409360003</v>
      </c>
      <c r="G40" s="47"/>
      <c r="H40" s="47">
        <f t="shared" si="8"/>
        <v>9668.5566086471117</v>
      </c>
      <c r="I40" s="47">
        <f t="shared" si="9"/>
        <v>3867.422643458845</v>
      </c>
      <c r="J40" s="47">
        <f t="shared" si="1"/>
        <v>8147.6600634666675</v>
      </c>
      <c r="K40" s="47">
        <f t="shared" si="10"/>
        <v>8147.6600634666675</v>
      </c>
      <c r="L40" s="47">
        <f t="shared" si="11"/>
        <v>2715.8866878222225</v>
      </c>
      <c r="M40" s="47">
        <f t="shared" si="12"/>
        <v>4073.8300317333337</v>
      </c>
      <c r="N40" s="80">
        <v>0</v>
      </c>
      <c r="O40" s="47"/>
      <c r="P40" s="47">
        <f t="shared" ref="P40:P45" si="27">(D40/200*24*2)*(C40/2)</f>
        <v>8022.2098680000008</v>
      </c>
      <c r="Q40" s="47">
        <f t="shared" ref="Q40:Q45" si="28">(D40/200*2*24)/20*4*C40/2</f>
        <v>1604.4419736000002</v>
      </c>
      <c r="R40" s="47">
        <f>E40*30%</f>
        <v>20055.524670000003</v>
      </c>
      <c r="S40" s="136">
        <f>(D40*0.1)*5</f>
        <v>1237.9953500000001</v>
      </c>
      <c r="T40" s="47">
        <v>0</v>
      </c>
      <c r="U40" s="81">
        <f t="shared" si="22"/>
        <v>72796.428701130848</v>
      </c>
      <c r="V40" s="47">
        <f t="shared" si="13"/>
        <v>5978.8950659999991</v>
      </c>
      <c r="W40" s="47">
        <v>0</v>
      </c>
      <c r="X40" s="47">
        <f t="shared" si="14"/>
        <v>9720</v>
      </c>
      <c r="Y40" s="47">
        <f t="shared" si="3"/>
        <v>264.60000000000002</v>
      </c>
      <c r="Z40" s="47">
        <f t="shared" si="15"/>
        <v>567</v>
      </c>
      <c r="AA40" s="47">
        <f t="shared" si="4"/>
        <v>783</v>
      </c>
      <c r="AB40" s="47">
        <f t="shared" si="5"/>
        <v>513</v>
      </c>
      <c r="AC40" s="71">
        <f t="shared" si="23"/>
        <v>17826.495065999999</v>
      </c>
      <c r="AD40" s="118">
        <f t="shared" si="24"/>
        <v>157474.67266713086</v>
      </c>
    </row>
    <row r="41" spans="1:30" s="49" customFormat="1" ht="12.75" x14ac:dyDescent="0.2">
      <c r="A41" s="94">
        <v>36</v>
      </c>
      <c r="B41" s="36" t="s">
        <v>391</v>
      </c>
      <c r="C41" s="46">
        <v>18</v>
      </c>
      <c r="D41" s="57">
        <v>2475.9907000000003</v>
      </c>
      <c r="E41" s="79">
        <f t="shared" si="21"/>
        <v>44567.832600000009</v>
      </c>
      <c r="F41" s="80">
        <f t="shared" si="0"/>
        <v>3817.4935582001372</v>
      </c>
      <c r="G41" s="47"/>
      <c r="H41" s="47">
        <f t="shared" si="8"/>
        <v>7023.3990011330698</v>
      </c>
      <c r="I41" s="47">
        <f t="shared" si="9"/>
        <v>2809.3596004532283</v>
      </c>
      <c r="J41" s="47">
        <f t="shared" si="1"/>
        <v>5918.5946638761825</v>
      </c>
      <c r="K41" s="47">
        <f t="shared" si="10"/>
        <v>5918.5946638761825</v>
      </c>
      <c r="L41" s="47">
        <f t="shared" si="11"/>
        <v>1972.8648879587274</v>
      </c>
      <c r="M41" s="47">
        <f t="shared" si="12"/>
        <v>2959.2973319380912</v>
      </c>
      <c r="N41" s="80">
        <f>(E41/220)*(137.13)*(20%)</f>
        <v>5555.9880767618197</v>
      </c>
      <c r="O41" s="47">
        <f>(N41/25)*5</f>
        <v>1111.197615352364</v>
      </c>
      <c r="P41" s="47">
        <f t="shared" si="27"/>
        <v>5348.1399120000005</v>
      </c>
      <c r="Q41" s="47">
        <f t="shared" si="28"/>
        <v>1069.6279824000001</v>
      </c>
      <c r="R41" s="47">
        <f>E41*30%</f>
        <v>13370.349780000002</v>
      </c>
      <c r="S41" s="136"/>
      <c r="T41" s="47">
        <v>0</v>
      </c>
      <c r="U41" s="81">
        <f t="shared" si="22"/>
        <v>56874.907073949806</v>
      </c>
      <c r="V41" s="47">
        <f t="shared" si="13"/>
        <v>3985.9300439999997</v>
      </c>
      <c r="W41" s="47">
        <v>0</v>
      </c>
      <c r="X41" s="47">
        <f t="shared" si="14"/>
        <v>6480</v>
      </c>
      <c r="Y41" s="47">
        <f t="shared" si="3"/>
        <v>176.4</v>
      </c>
      <c r="Z41" s="47">
        <f t="shared" si="15"/>
        <v>378</v>
      </c>
      <c r="AA41" s="47">
        <f t="shared" si="4"/>
        <v>522</v>
      </c>
      <c r="AB41" s="47">
        <f t="shared" si="5"/>
        <v>342</v>
      </c>
      <c r="AC41" s="71">
        <f t="shared" si="23"/>
        <v>11884.330044</v>
      </c>
      <c r="AD41" s="118">
        <f t="shared" si="24"/>
        <v>113327.06971794981</v>
      </c>
    </row>
    <row r="42" spans="1:30" s="49" customFormat="1" ht="12.75" x14ac:dyDescent="0.2">
      <c r="A42" s="94">
        <v>37</v>
      </c>
      <c r="B42" s="36" t="s">
        <v>399</v>
      </c>
      <c r="C42" s="46">
        <v>2</v>
      </c>
      <c r="D42" s="57">
        <v>4195.9728999999998</v>
      </c>
      <c r="E42" s="79">
        <f t="shared" si="21"/>
        <v>8391.9457999999995</v>
      </c>
      <c r="F42" s="80">
        <f t="shared" si="0"/>
        <v>451.06708674999993</v>
      </c>
      <c r="G42" s="47"/>
      <c r="H42" s="47">
        <f t="shared" si="8"/>
        <v>829.87019577777767</v>
      </c>
      <c r="I42" s="47">
        <f t="shared" si="9"/>
        <v>331.94807831111109</v>
      </c>
      <c r="J42" s="47">
        <f t="shared" si="1"/>
        <v>699.32881666666663</v>
      </c>
      <c r="K42" s="47">
        <f t="shared" si="10"/>
        <v>699.32881666666663</v>
      </c>
      <c r="L42" s="47">
        <f t="shared" si="11"/>
        <v>233.10960555555553</v>
      </c>
      <c r="M42" s="47">
        <f t="shared" si="12"/>
        <v>349.66440833333331</v>
      </c>
      <c r="N42" s="80">
        <v>0</v>
      </c>
      <c r="O42" s="47"/>
      <c r="P42" s="47"/>
      <c r="Q42" s="47"/>
      <c r="R42" s="47"/>
      <c r="S42" s="136"/>
      <c r="T42" s="47">
        <v>0</v>
      </c>
      <c r="U42" s="81">
        <f t="shared" si="22"/>
        <v>3594.3170080611108</v>
      </c>
      <c r="V42" s="47">
        <f t="shared" si="13"/>
        <v>236.48325200000005</v>
      </c>
      <c r="W42" s="47">
        <v>0</v>
      </c>
      <c r="X42" s="47">
        <f t="shared" si="14"/>
        <v>720</v>
      </c>
      <c r="Y42" s="47">
        <f t="shared" si="3"/>
        <v>19.600000000000001</v>
      </c>
      <c r="Z42" s="47">
        <f t="shared" si="15"/>
        <v>42</v>
      </c>
      <c r="AA42" s="47">
        <f t="shared" si="4"/>
        <v>58</v>
      </c>
      <c r="AB42" s="47">
        <f t="shared" si="5"/>
        <v>38</v>
      </c>
      <c r="AC42" s="71">
        <f t="shared" si="23"/>
        <v>1114.0832519999999</v>
      </c>
      <c r="AD42" s="118">
        <f t="shared" si="24"/>
        <v>13100.346060061111</v>
      </c>
    </row>
    <row r="43" spans="1:30" s="49" customFormat="1" ht="12.75" x14ac:dyDescent="0.2">
      <c r="A43" s="94">
        <v>38</v>
      </c>
      <c r="B43" s="36" t="s">
        <v>393</v>
      </c>
      <c r="C43" s="46">
        <v>1</v>
      </c>
      <c r="D43" s="57">
        <v>5372.2025000000003</v>
      </c>
      <c r="E43" s="79">
        <f t="shared" ref="E43:E72" si="29">C43*D43</f>
        <v>5372.2025000000003</v>
      </c>
      <c r="F43" s="80">
        <f t="shared" si="0"/>
        <v>330.33673172499999</v>
      </c>
      <c r="G43" s="47"/>
      <c r="H43" s="47">
        <f t="shared" si="8"/>
        <v>607.75129971111119</v>
      </c>
      <c r="I43" s="47">
        <f t="shared" si="9"/>
        <v>243.10051988444448</v>
      </c>
      <c r="J43" s="47">
        <f t="shared" si="1"/>
        <v>512.14997166666672</v>
      </c>
      <c r="K43" s="47">
        <f t="shared" si="10"/>
        <v>512.14997166666672</v>
      </c>
      <c r="L43" s="47">
        <f t="shared" si="11"/>
        <v>170.71665722222224</v>
      </c>
      <c r="M43" s="47">
        <f t="shared" si="12"/>
        <v>256.07498583333336</v>
      </c>
      <c r="N43" s="80">
        <v>0</v>
      </c>
      <c r="O43" s="47"/>
      <c r="P43" s="47">
        <f t="shared" si="27"/>
        <v>644.66430000000003</v>
      </c>
      <c r="Q43" s="47">
        <f t="shared" si="28"/>
        <v>128.93286000000001</v>
      </c>
      <c r="R43" s="47"/>
      <c r="S43" s="136"/>
      <c r="T43" s="47">
        <v>0</v>
      </c>
      <c r="U43" s="81">
        <f t="shared" si="22"/>
        <v>3405.8772977094445</v>
      </c>
      <c r="V43" s="47">
        <f t="shared" si="13"/>
        <v>47.667849999999987</v>
      </c>
      <c r="W43" s="47">
        <v>0</v>
      </c>
      <c r="X43" s="47">
        <f t="shared" si="14"/>
        <v>360</v>
      </c>
      <c r="Y43" s="47">
        <f t="shared" si="3"/>
        <v>9.8000000000000007</v>
      </c>
      <c r="Z43" s="47">
        <f t="shared" si="15"/>
        <v>21</v>
      </c>
      <c r="AA43" s="47">
        <f t="shared" si="4"/>
        <v>29</v>
      </c>
      <c r="AB43" s="47">
        <f t="shared" si="5"/>
        <v>19</v>
      </c>
      <c r="AC43" s="71">
        <f t="shared" si="23"/>
        <v>486.46785</v>
      </c>
      <c r="AD43" s="118">
        <f t="shared" si="24"/>
        <v>9264.5476477094453</v>
      </c>
    </row>
    <row r="44" spans="1:30" s="49" customFormat="1" ht="12.75" x14ac:dyDescent="0.2">
      <c r="A44" s="94">
        <v>39</v>
      </c>
      <c r="B44" s="36" t="s">
        <v>394</v>
      </c>
      <c r="C44" s="46">
        <v>1</v>
      </c>
      <c r="D44" s="57">
        <v>3760.5471000000002</v>
      </c>
      <c r="E44" s="79">
        <f t="shared" si="29"/>
        <v>3760.5471000000002</v>
      </c>
      <c r="F44" s="80">
        <f t="shared" si="0"/>
        <v>231.23604117900004</v>
      </c>
      <c r="G44" s="47"/>
      <c r="H44" s="47">
        <f t="shared" si="8"/>
        <v>425.42651503733339</v>
      </c>
      <c r="I44" s="47">
        <f t="shared" si="9"/>
        <v>170.17060601493336</v>
      </c>
      <c r="J44" s="47">
        <f t="shared" si="1"/>
        <v>358.5054902</v>
      </c>
      <c r="K44" s="47">
        <f t="shared" si="10"/>
        <v>358.5054902</v>
      </c>
      <c r="L44" s="47">
        <f t="shared" si="11"/>
        <v>119.50183006666667</v>
      </c>
      <c r="M44" s="47">
        <f t="shared" si="12"/>
        <v>179.2527451</v>
      </c>
      <c r="N44" s="80">
        <v>0</v>
      </c>
      <c r="O44" s="47"/>
      <c r="P44" s="47">
        <f t="shared" si="27"/>
        <v>451.26565200000005</v>
      </c>
      <c r="Q44" s="47">
        <f t="shared" si="28"/>
        <v>90.253130400000003</v>
      </c>
      <c r="R44" s="47"/>
      <c r="S44" s="136"/>
      <c r="T44" s="47">
        <v>0</v>
      </c>
      <c r="U44" s="81">
        <f t="shared" si="22"/>
        <v>2384.1175001979332</v>
      </c>
      <c r="V44" s="47">
        <f t="shared" si="13"/>
        <v>144.36717400000001</v>
      </c>
      <c r="W44" s="47">
        <v>0</v>
      </c>
      <c r="X44" s="47">
        <f t="shared" si="14"/>
        <v>360</v>
      </c>
      <c r="Y44" s="47">
        <f t="shared" si="3"/>
        <v>9.8000000000000007</v>
      </c>
      <c r="Z44" s="47">
        <f t="shared" si="15"/>
        <v>21</v>
      </c>
      <c r="AA44" s="47">
        <f t="shared" si="4"/>
        <v>29</v>
      </c>
      <c r="AB44" s="47">
        <f t="shared" si="5"/>
        <v>19</v>
      </c>
      <c r="AC44" s="71">
        <f t="shared" si="23"/>
        <v>583.16717399999993</v>
      </c>
      <c r="AD44" s="118">
        <f t="shared" si="24"/>
        <v>6727.8317741979336</v>
      </c>
    </row>
    <row r="45" spans="1:30" s="49" customFormat="1" ht="12.75" x14ac:dyDescent="0.2">
      <c r="A45" s="94">
        <v>40</v>
      </c>
      <c r="B45" s="36" t="s">
        <v>395</v>
      </c>
      <c r="C45" s="46">
        <v>4</v>
      </c>
      <c r="D45" s="57">
        <v>1759.2515520300001</v>
      </c>
      <c r="E45" s="79">
        <f t="shared" si="29"/>
        <v>7037.0062081200003</v>
      </c>
      <c r="F45" s="80">
        <f t="shared" si="0"/>
        <v>489.2887032419419</v>
      </c>
      <c r="G45" s="47"/>
      <c r="H45" s="47">
        <f t="shared" si="8"/>
        <v>900.19006901359853</v>
      </c>
      <c r="I45" s="47">
        <f t="shared" si="9"/>
        <v>360.07602760543944</v>
      </c>
      <c r="J45" s="47">
        <f t="shared" si="1"/>
        <v>758.58713680921244</v>
      </c>
      <c r="K45" s="47">
        <f t="shared" si="10"/>
        <v>758.58713680921244</v>
      </c>
      <c r="L45" s="47">
        <f t="shared" si="11"/>
        <v>252.86237893640416</v>
      </c>
      <c r="M45" s="47">
        <f t="shared" si="12"/>
        <v>379.29356840460622</v>
      </c>
      <c r="N45" s="80">
        <f>(E45/220)*(137.13)*(20%)</f>
        <v>877.25878301772343</v>
      </c>
      <c r="O45" s="47">
        <f>(N45/25)*5</f>
        <v>175.45175660354471</v>
      </c>
      <c r="P45" s="47">
        <f t="shared" si="27"/>
        <v>844.4407449744001</v>
      </c>
      <c r="Q45" s="47">
        <f t="shared" si="28"/>
        <v>168.88814899488003</v>
      </c>
      <c r="R45" s="47"/>
      <c r="S45" s="136"/>
      <c r="T45" s="47">
        <v>0</v>
      </c>
      <c r="U45" s="81">
        <f t="shared" si="22"/>
        <v>5964.9244544109633</v>
      </c>
      <c r="V45" s="47">
        <f t="shared" si="13"/>
        <v>1057.7796275128001</v>
      </c>
      <c r="W45" s="47">
        <v>0</v>
      </c>
      <c r="X45" s="47">
        <f t="shared" si="14"/>
        <v>1440</v>
      </c>
      <c r="Y45" s="47">
        <f t="shared" si="3"/>
        <v>39.200000000000003</v>
      </c>
      <c r="Z45" s="47">
        <f t="shared" si="15"/>
        <v>84</v>
      </c>
      <c r="AA45" s="47">
        <f t="shared" si="4"/>
        <v>116</v>
      </c>
      <c r="AB45" s="47">
        <f t="shared" si="5"/>
        <v>76</v>
      </c>
      <c r="AC45" s="71">
        <f t="shared" si="23"/>
        <v>2812.9796275128001</v>
      </c>
      <c r="AD45" s="118">
        <f t="shared" si="24"/>
        <v>15814.910290043765</v>
      </c>
    </row>
    <row r="46" spans="1:30" s="49" customFormat="1" ht="22.5" x14ac:dyDescent="0.2">
      <c r="A46" s="94">
        <v>41</v>
      </c>
      <c r="B46" s="36" t="s">
        <v>400</v>
      </c>
      <c r="C46" s="46">
        <v>1</v>
      </c>
      <c r="D46" s="57">
        <v>8626.8483514359996</v>
      </c>
      <c r="E46" s="79">
        <f t="shared" si="29"/>
        <v>8626.8483514359996</v>
      </c>
      <c r="F46" s="80">
        <f t="shared" ref="F46" si="30">(E46+J46+L46+K46+N46+R46+O46+S46+P46+Q46+T46)*4.5%</f>
        <v>463.69309888968496</v>
      </c>
      <c r="G46" s="47"/>
      <c r="H46" s="47">
        <f>(E46+J46+L46+K46+M46+N46+O46+P46+Q46+R46+S46+T46)*8%</f>
        <v>853.09944808644889</v>
      </c>
      <c r="I46" s="47">
        <f>H46*40%</f>
        <v>341.2397792345796</v>
      </c>
      <c r="J46" s="47">
        <f t="shared" ref="J46" si="31">(E46+N46+O46+P46+Q46+R46+S46+T46)/12</f>
        <v>718.9040292863333</v>
      </c>
      <c r="K46" s="47">
        <f>(E46+N46+O46+P46+Q46+R46+S46+T46)/12</f>
        <v>718.9040292863333</v>
      </c>
      <c r="L46" s="47">
        <f>J46/3</f>
        <v>239.63467642877777</v>
      </c>
      <c r="M46" s="47">
        <f>(E46+N46+O46+P46+Q46+R46+S46+T46)/12/2</f>
        <v>359.45201464316665</v>
      </c>
      <c r="N46" s="80">
        <v>0</v>
      </c>
      <c r="O46" s="47"/>
      <c r="P46" s="47"/>
      <c r="Q46" s="47"/>
      <c r="R46" s="47"/>
      <c r="S46" s="136"/>
      <c r="T46" s="47">
        <v>0</v>
      </c>
      <c r="U46" s="81">
        <f t="shared" si="22"/>
        <v>3694.9270758553248</v>
      </c>
      <c r="V46" s="47"/>
      <c r="W46" s="47">
        <v>0</v>
      </c>
      <c r="X46" s="47">
        <f t="shared" si="14"/>
        <v>360</v>
      </c>
      <c r="Y46" s="47">
        <f t="shared" si="3"/>
        <v>9.8000000000000007</v>
      </c>
      <c r="Z46" s="47">
        <f t="shared" si="15"/>
        <v>21</v>
      </c>
      <c r="AA46" s="47">
        <f t="shared" si="4"/>
        <v>29</v>
      </c>
      <c r="AB46" s="47">
        <f t="shared" si="5"/>
        <v>19</v>
      </c>
      <c r="AC46" s="71">
        <f t="shared" si="23"/>
        <v>438.8</v>
      </c>
      <c r="AD46" s="118">
        <f t="shared" si="24"/>
        <v>12760.575427291324</v>
      </c>
    </row>
    <row r="47" spans="1:30" s="49" customFormat="1" ht="22.5" x14ac:dyDescent="0.2">
      <c r="A47" s="94">
        <v>42</v>
      </c>
      <c r="B47" s="36" t="s">
        <v>401</v>
      </c>
      <c r="C47" s="46">
        <v>1</v>
      </c>
      <c r="D47" s="57">
        <v>4664.5671649779988</v>
      </c>
      <c r="E47" s="79">
        <f t="shared" si="29"/>
        <v>4664.5671649779988</v>
      </c>
      <c r="F47" s="80">
        <f t="shared" si="0"/>
        <v>250.72048511756742</v>
      </c>
      <c r="G47" s="47"/>
      <c r="H47" s="47">
        <f t="shared" si="8"/>
        <v>461.27386409226881</v>
      </c>
      <c r="I47" s="47">
        <f t="shared" si="9"/>
        <v>184.50954563690755</v>
      </c>
      <c r="J47" s="47">
        <f t="shared" si="1"/>
        <v>388.71393041483321</v>
      </c>
      <c r="K47" s="47">
        <f t="shared" si="10"/>
        <v>388.71393041483321</v>
      </c>
      <c r="L47" s="47">
        <f t="shared" si="11"/>
        <v>129.57131013827774</v>
      </c>
      <c r="M47" s="47">
        <f t="shared" si="12"/>
        <v>194.35696520741661</v>
      </c>
      <c r="N47" s="80">
        <v>0</v>
      </c>
      <c r="O47" s="47"/>
      <c r="P47" s="47"/>
      <c r="Q47" s="47"/>
      <c r="R47" s="47"/>
      <c r="S47" s="136"/>
      <c r="T47" s="47">
        <v>0</v>
      </c>
      <c r="U47" s="81">
        <f t="shared" si="22"/>
        <v>1997.8600310221045</v>
      </c>
      <c r="V47" s="47">
        <f t="shared" si="13"/>
        <v>90.125970101320092</v>
      </c>
      <c r="W47" s="47">
        <v>0</v>
      </c>
      <c r="X47" s="47">
        <f t="shared" si="14"/>
        <v>360</v>
      </c>
      <c r="Y47" s="47">
        <f t="shared" si="3"/>
        <v>9.8000000000000007</v>
      </c>
      <c r="Z47" s="47">
        <f t="shared" si="15"/>
        <v>21</v>
      </c>
      <c r="AA47" s="47">
        <f t="shared" si="4"/>
        <v>29</v>
      </c>
      <c r="AB47" s="47">
        <f t="shared" si="5"/>
        <v>19</v>
      </c>
      <c r="AC47" s="71">
        <f t="shared" si="23"/>
        <v>528.9259701013201</v>
      </c>
      <c r="AD47" s="118">
        <f t="shared" si="24"/>
        <v>7191.3531661014231</v>
      </c>
    </row>
    <row r="48" spans="1:30" s="49" customFormat="1" ht="22.5" x14ac:dyDescent="0.2">
      <c r="A48" s="94">
        <v>43</v>
      </c>
      <c r="B48" s="36" t="s">
        <v>402</v>
      </c>
      <c r="C48" s="46">
        <v>1</v>
      </c>
      <c r="D48" s="57">
        <v>6971.8487432299989</v>
      </c>
      <c r="E48" s="79">
        <f t="shared" si="29"/>
        <v>6971.8487432299989</v>
      </c>
      <c r="F48" s="80">
        <f t="shared" si="0"/>
        <v>374.73686994861242</v>
      </c>
      <c r="G48" s="47"/>
      <c r="H48" s="47">
        <f t="shared" si="8"/>
        <v>689.43837571941094</v>
      </c>
      <c r="I48" s="47">
        <f t="shared" si="9"/>
        <v>275.77535028776441</v>
      </c>
      <c r="J48" s="47">
        <f t="shared" si="1"/>
        <v>580.98739526916654</v>
      </c>
      <c r="K48" s="47">
        <f t="shared" si="10"/>
        <v>580.98739526916654</v>
      </c>
      <c r="L48" s="47">
        <f t="shared" si="11"/>
        <v>193.66246508972219</v>
      </c>
      <c r="M48" s="47">
        <f t="shared" si="12"/>
        <v>290.49369763458327</v>
      </c>
      <c r="N48" s="80">
        <v>0</v>
      </c>
      <c r="O48" s="47"/>
      <c r="P48" s="47"/>
      <c r="Q48" s="47"/>
      <c r="R48" s="47"/>
      <c r="S48" s="136"/>
      <c r="T48" s="47">
        <v>0</v>
      </c>
      <c r="U48" s="81">
        <f t="shared" si="22"/>
        <v>2986.0815492184261</v>
      </c>
      <c r="V48" s="47"/>
      <c r="W48" s="47">
        <v>0</v>
      </c>
      <c r="X48" s="47">
        <f t="shared" si="14"/>
        <v>360</v>
      </c>
      <c r="Y48" s="47">
        <f t="shared" si="3"/>
        <v>9.8000000000000007</v>
      </c>
      <c r="Z48" s="47">
        <f t="shared" si="15"/>
        <v>21</v>
      </c>
      <c r="AA48" s="47">
        <f t="shared" si="4"/>
        <v>29</v>
      </c>
      <c r="AB48" s="47">
        <f t="shared" si="5"/>
        <v>19</v>
      </c>
      <c r="AC48" s="71">
        <f t="shared" si="23"/>
        <v>438.8</v>
      </c>
      <c r="AD48" s="118">
        <f t="shared" si="24"/>
        <v>10396.730292448425</v>
      </c>
    </row>
    <row r="49" spans="1:30" s="49" customFormat="1" ht="12.75" x14ac:dyDescent="0.2">
      <c r="A49" s="94">
        <v>44</v>
      </c>
      <c r="B49" s="36" t="s">
        <v>381</v>
      </c>
      <c r="C49" s="46">
        <v>2</v>
      </c>
      <c r="D49" s="57">
        <v>3432.9771878639999</v>
      </c>
      <c r="E49" s="79">
        <f t="shared" si="29"/>
        <v>6865.9543757279998</v>
      </c>
      <c r="F49" s="80">
        <f t="shared" si="0"/>
        <v>369.04504769537999</v>
      </c>
      <c r="G49" s="47"/>
      <c r="H49" s="47">
        <f t="shared" si="8"/>
        <v>678.96659937754669</v>
      </c>
      <c r="I49" s="47">
        <f t="shared" si="9"/>
        <v>271.58663975101871</v>
      </c>
      <c r="J49" s="47">
        <f t="shared" si="1"/>
        <v>572.16286464400002</v>
      </c>
      <c r="K49" s="47">
        <f t="shared" si="10"/>
        <v>572.16286464400002</v>
      </c>
      <c r="L49" s="47">
        <f t="shared" si="11"/>
        <v>190.72095488133334</v>
      </c>
      <c r="M49" s="47">
        <f t="shared" si="12"/>
        <v>286.08143232200001</v>
      </c>
      <c r="N49" s="80">
        <v>0</v>
      </c>
      <c r="O49" s="47"/>
      <c r="P49" s="47"/>
      <c r="Q49" s="47"/>
      <c r="R49" s="47"/>
      <c r="S49" s="136"/>
      <c r="T49" s="47">
        <v>0</v>
      </c>
      <c r="U49" s="81">
        <f t="shared" si="22"/>
        <v>2940.7264033152792</v>
      </c>
      <c r="V49" s="47">
        <f t="shared" si="13"/>
        <v>328.04273745632003</v>
      </c>
      <c r="W49" s="47">
        <v>0</v>
      </c>
      <c r="X49" s="47">
        <f t="shared" si="14"/>
        <v>720</v>
      </c>
      <c r="Y49" s="47">
        <f t="shared" si="3"/>
        <v>19.600000000000001</v>
      </c>
      <c r="Z49" s="47">
        <f t="shared" si="15"/>
        <v>42</v>
      </c>
      <c r="AA49" s="47">
        <f t="shared" si="4"/>
        <v>58</v>
      </c>
      <c r="AB49" s="47">
        <f t="shared" si="5"/>
        <v>38</v>
      </c>
      <c r="AC49" s="71">
        <f t="shared" si="23"/>
        <v>1205.64273745632</v>
      </c>
      <c r="AD49" s="118">
        <f t="shared" si="24"/>
        <v>11012.3235164996</v>
      </c>
    </row>
    <row r="50" spans="1:30" s="49" customFormat="1" ht="12.75" x14ac:dyDescent="0.2">
      <c r="A50" s="94">
        <v>45</v>
      </c>
      <c r="B50" s="36" t="s">
        <v>382</v>
      </c>
      <c r="C50" s="46">
        <v>3</v>
      </c>
      <c r="D50" s="57">
        <v>3432.9771878639999</v>
      </c>
      <c r="E50" s="79">
        <f t="shared" si="29"/>
        <v>10298.931563591999</v>
      </c>
      <c r="F50" s="80">
        <f t="shared" si="0"/>
        <v>553.56757154307002</v>
      </c>
      <c r="G50" s="47"/>
      <c r="H50" s="47">
        <f t="shared" si="8"/>
        <v>1018.4498990663201</v>
      </c>
      <c r="I50" s="47">
        <f t="shared" si="9"/>
        <v>407.37995962652803</v>
      </c>
      <c r="J50" s="47">
        <f t="shared" si="1"/>
        <v>858.24429696599998</v>
      </c>
      <c r="K50" s="47">
        <f t="shared" si="10"/>
        <v>858.24429696599998</v>
      </c>
      <c r="L50" s="47">
        <f t="shared" si="11"/>
        <v>286.08143232200001</v>
      </c>
      <c r="M50" s="47">
        <f t="shared" si="12"/>
        <v>429.12214848299999</v>
      </c>
      <c r="N50" s="80"/>
      <c r="O50" s="47"/>
      <c r="P50" s="47"/>
      <c r="Q50" s="47"/>
      <c r="R50" s="47"/>
      <c r="S50" s="136"/>
      <c r="T50" s="47">
        <v>0</v>
      </c>
      <c r="U50" s="81">
        <f t="shared" si="22"/>
        <v>4411.0896049729181</v>
      </c>
      <c r="V50" s="47">
        <f t="shared" si="13"/>
        <v>492.06410618448001</v>
      </c>
      <c r="W50" s="47">
        <v>0</v>
      </c>
      <c r="X50" s="47">
        <f t="shared" si="14"/>
        <v>1080</v>
      </c>
      <c r="Y50" s="47">
        <f t="shared" si="3"/>
        <v>29.400000000000002</v>
      </c>
      <c r="Z50" s="47">
        <f t="shared" si="15"/>
        <v>63</v>
      </c>
      <c r="AA50" s="47">
        <f t="shared" si="4"/>
        <v>87</v>
      </c>
      <c r="AB50" s="47">
        <f t="shared" si="5"/>
        <v>57</v>
      </c>
      <c r="AC50" s="71">
        <f t="shared" si="23"/>
        <v>1808.46410618448</v>
      </c>
      <c r="AD50" s="118">
        <f t="shared" si="24"/>
        <v>16518.485274749397</v>
      </c>
    </row>
    <row r="51" spans="1:30" s="49" customFormat="1" ht="12.75" x14ac:dyDescent="0.2">
      <c r="A51" s="94">
        <v>46</v>
      </c>
      <c r="B51" s="36" t="s">
        <v>383</v>
      </c>
      <c r="C51" s="46">
        <v>1</v>
      </c>
      <c r="D51" s="57">
        <v>3432.9771878639999</v>
      </c>
      <c r="E51" s="79">
        <f t="shared" si="29"/>
        <v>3432.9771878639999</v>
      </c>
      <c r="F51" s="80">
        <f t="shared" si="0"/>
        <v>184.52252384769</v>
      </c>
      <c r="G51" s="47"/>
      <c r="H51" s="47">
        <f t="shared" si="8"/>
        <v>339.48329968877334</v>
      </c>
      <c r="I51" s="47">
        <f t="shared" si="9"/>
        <v>135.79331987550935</v>
      </c>
      <c r="J51" s="47">
        <f t="shared" si="1"/>
        <v>286.08143232200001</v>
      </c>
      <c r="K51" s="47">
        <f t="shared" si="10"/>
        <v>286.08143232200001</v>
      </c>
      <c r="L51" s="47">
        <f t="shared" si="11"/>
        <v>95.360477440666671</v>
      </c>
      <c r="M51" s="47">
        <f t="shared" si="12"/>
        <v>143.04071616100001</v>
      </c>
      <c r="N51" s="80">
        <v>0</v>
      </c>
      <c r="O51" s="47"/>
      <c r="P51" s="47"/>
      <c r="Q51" s="47"/>
      <c r="R51" s="47"/>
      <c r="S51" s="136"/>
      <c r="T51" s="47">
        <v>0</v>
      </c>
      <c r="U51" s="81">
        <f t="shared" si="22"/>
        <v>1470.3632016576396</v>
      </c>
      <c r="V51" s="47">
        <f t="shared" si="13"/>
        <v>164.02136872816001</v>
      </c>
      <c r="W51" s="47">
        <v>0</v>
      </c>
      <c r="X51" s="47">
        <f t="shared" si="14"/>
        <v>360</v>
      </c>
      <c r="Y51" s="47">
        <f t="shared" si="3"/>
        <v>9.8000000000000007</v>
      </c>
      <c r="Z51" s="47">
        <f t="shared" si="15"/>
        <v>21</v>
      </c>
      <c r="AA51" s="47">
        <f t="shared" si="4"/>
        <v>29</v>
      </c>
      <c r="AB51" s="47">
        <f t="shared" si="5"/>
        <v>19</v>
      </c>
      <c r="AC51" s="71">
        <f t="shared" si="23"/>
        <v>602.82136872816</v>
      </c>
      <c r="AD51" s="118">
        <f t="shared" si="24"/>
        <v>5506.1617582498002</v>
      </c>
    </row>
    <row r="52" spans="1:30" s="49" customFormat="1" ht="12.75" x14ac:dyDescent="0.2">
      <c r="A52" s="94">
        <v>47</v>
      </c>
      <c r="B52" s="36" t="s">
        <v>384</v>
      </c>
      <c r="C52" s="46">
        <v>2</v>
      </c>
      <c r="D52" s="57">
        <v>3432.9771878639999</v>
      </c>
      <c r="E52" s="79">
        <f t="shared" si="29"/>
        <v>6865.9543757279998</v>
      </c>
      <c r="F52" s="80">
        <f t="shared" si="0"/>
        <v>369.04504769537999</v>
      </c>
      <c r="G52" s="47"/>
      <c r="H52" s="47">
        <f t="shared" si="8"/>
        <v>678.96659937754669</v>
      </c>
      <c r="I52" s="47">
        <f t="shared" si="9"/>
        <v>271.58663975101871</v>
      </c>
      <c r="J52" s="47">
        <f t="shared" si="1"/>
        <v>572.16286464400002</v>
      </c>
      <c r="K52" s="47">
        <f t="shared" si="10"/>
        <v>572.16286464400002</v>
      </c>
      <c r="L52" s="47">
        <f t="shared" si="11"/>
        <v>190.72095488133334</v>
      </c>
      <c r="M52" s="47">
        <f t="shared" si="12"/>
        <v>286.08143232200001</v>
      </c>
      <c r="N52" s="80">
        <v>0</v>
      </c>
      <c r="O52" s="47"/>
      <c r="P52" s="47"/>
      <c r="Q52" s="47"/>
      <c r="R52" s="47"/>
      <c r="S52" s="136"/>
      <c r="T52" s="47">
        <v>0</v>
      </c>
      <c r="U52" s="81">
        <f t="shared" si="22"/>
        <v>2940.7264033152792</v>
      </c>
      <c r="V52" s="47">
        <f t="shared" si="13"/>
        <v>328.04273745632003</v>
      </c>
      <c r="W52" s="47">
        <v>0</v>
      </c>
      <c r="X52" s="47">
        <f t="shared" si="14"/>
        <v>720</v>
      </c>
      <c r="Y52" s="47">
        <f t="shared" si="3"/>
        <v>19.600000000000001</v>
      </c>
      <c r="Z52" s="47">
        <f t="shared" si="15"/>
        <v>42</v>
      </c>
      <c r="AA52" s="47">
        <f t="shared" si="4"/>
        <v>58</v>
      </c>
      <c r="AB52" s="47">
        <f t="shared" si="5"/>
        <v>38</v>
      </c>
      <c r="AC52" s="71">
        <f t="shared" si="23"/>
        <v>1205.64273745632</v>
      </c>
      <c r="AD52" s="118">
        <f t="shared" si="24"/>
        <v>11012.3235164996</v>
      </c>
    </row>
    <row r="53" spans="1:30" s="49" customFormat="1" ht="12.75" x14ac:dyDescent="0.2">
      <c r="A53" s="94">
        <v>48</v>
      </c>
      <c r="B53" s="36" t="s">
        <v>385</v>
      </c>
      <c r="C53" s="46">
        <v>2</v>
      </c>
      <c r="D53" s="57">
        <v>3432.9771878639999</v>
      </c>
      <c r="E53" s="79">
        <f t="shared" si="29"/>
        <v>6865.9543757279998</v>
      </c>
      <c r="F53" s="80">
        <f t="shared" si="0"/>
        <v>369.04504769537999</v>
      </c>
      <c r="G53" s="47"/>
      <c r="H53" s="47">
        <f t="shared" si="8"/>
        <v>678.96659937754669</v>
      </c>
      <c r="I53" s="47">
        <f t="shared" si="9"/>
        <v>271.58663975101871</v>
      </c>
      <c r="J53" s="47">
        <f t="shared" si="1"/>
        <v>572.16286464400002</v>
      </c>
      <c r="K53" s="47">
        <f t="shared" si="10"/>
        <v>572.16286464400002</v>
      </c>
      <c r="L53" s="47">
        <f t="shared" si="11"/>
        <v>190.72095488133334</v>
      </c>
      <c r="M53" s="47">
        <f t="shared" si="12"/>
        <v>286.08143232200001</v>
      </c>
      <c r="N53" s="80">
        <v>0</v>
      </c>
      <c r="O53" s="47"/>
      <c r="P53" s="47"/>
      <c r="Q53" s="47"/>
      <c r="R53" s="47"/>
      <c r="S53" s="136"/>
      <c r="T53" s="47">
        <v>0</v>
      </c>
      <c r="U53" s="81">
        <f t="shared" si="22"/>
        <v>2940.7264033152792</v>
      </c>
      <c r="V53" s="47">
        <f t="shared" si="13"/>
        <v>328.04273745632003</v>
      </c>
      <c r="W53" s="47">
        <v>0</v>
      </c>
      <c r="X53" s="47">
        <f t="shared" si="14"/>
        <v>720</v>
      </c>
      <c r="Y53" s="47">
        <f t="shared" si="3"/>
        <v>19.600000000000001</v>
      </c>
      <c r="Z53" s="47">
        <f t="shared" si="15"/>
        <v>42</v>
      </c>
      <c r="AA53" s="47">
        <f t="shared" si="4"/>
        <v>58</v>
      </c>
      <c r="AB53" s="47">
        <f t="shared" si="5"/>
        <v>38</v>
      </c>
      <c r="AC53" s="71">
        <f t="shared" si="23"/>
        <v>1205.64273745632</v>
      </c>
      <c r="AD53" s="118">
        <f t="shared" si="24"/>
        <v>11012.3235164996</v>
      </c>
    </row>
    <row r="54" spans="1:30" s="49" customFormat="1" ht="12.75" x14ac:dyDescent="0.2">
      <c r="A54" s="94">
        <v>49</v>
      </c>
      <c r="B54" s="36" t="s">
        <v>386</v>
      </c>
      <c r="C54" s="46">
        <v>1</v>
      </c>
      <c r="D54" s="57">
        <v>3432.9771878639999</v>
      </c>
      <c r="E54" s="79">
        <f t="shared" si="29"/>
        <v>3432.9771878639999</v>
      </c>
      <c r="F54" s="80">
        <f t="shared" si="0"/>
        <v>184.52252384769</v>
      </c>
      <c r="G54" s="47"/>
      <c r="H54" s="47">
        <f t="shared" si="8"/>
        <v>339.48329968877334</v>
      </c>
      <c r="I54" s="47">
        <f t="shared" si="9"/>
        <v>135.79331987550935</v>
      </c>
      <c r="J54" s="47">
        <f t="shared" si="1"/>
        <v>286.08143232200001</v>
      </c>
      <c r="K54" s="47">
        <f t="shared" si="10"/>
        <v>286.08143232200001</v>
      </c>
      <c r="L54" s="47">
        <f t="shared" si="11"/>
        <v>95.360477440666671</v>
      </c>
      <c r="M54" s="47">
        <f t="shared" si="12"/>
        <v>143.04071616100001</v>
      </c>
      <c r="N54" s="80"/>
      <c r="O54" s="47"/>
      <c r="P54" s="47"/>
      <c r="Q54" s="47"/>
      <c r="R54" s="47"/>
      <c r="S54" s="136"/>
      <c r="T54" s="47">
        <v>0</v>
      </c>
      <c r="U54" s="81">
        <f t="shared" si="22"/>
        <v>1470.3632016576396</v>
      </c>
      <c r="V54" s="47">
        <f t="shared" si="13"/>
        <v>164.02136872816001</v>
      </c>
      <c r="W54" s="47">
        <v>0</v>
      </c>
      <c r="X54" s="47">
        <f t="shared" si="14"/>
        <v>360</v>
      </c>
      <c r="Y54" s="47">
        <f t="shared" si="3"/>
        <v>9.8000000000000007</v>
      </c>
      <c r="Z54" s="47">
        <f t="shared" si="15"/>
        <v>21</v>
      </c>
      <c r="AA54" s="47">
        <f t="shared" si="4"/>
        <v>29</v>
      </c>
      <c r="AB54" s="47">
        <f t="shared" si="5"/>
        <v>19</v>
      </c>
      <c r="AC54" s="71">
        <f t="shared" si="23"/>
        <v>602.82136872816</v>
      </c>
      <c r="AD54" s="118">
        <f t="shared" si="24"/>
        <v>5506.1617582498002</v>
      </c>
    </row>
    <row r="55" spans="1:30" s="49" customFormat="1" ht="12.75" x14ac:dyDescent="0.2">
      <c r="A55" s="94">
        <v>50</v>
      </c>
      <c r="B55" s="358" t="s">
        <v>387</v>
      </c>
      <c r="C55" s="46">
        <v>8</v>
      </c>
      <c r="D55" s="57">
        <v>1954.7239466999999</v>
      </c>
      <c r="E55" s="79">
        <f t="shared" si="29"/>
        <v>15637.7915736</v>
      </c>
      <c r="F55" s="80">
        <f t="shared" si="0"/>
        <v>1092.6906862053002</v>
      </c>
      <c r="G55" s="47"/>
      <c r="H55" s="47">
        <f t="shared" si="8"/>
        <v>2010.3249834061337</v>
      </c>
      <c r="I55" s="47">
        <f t="shared" si="9"/>
        <v>804.12999336245355</v>
      </c>
      <c r="J55" s="47">
        <f t="shared" si="1"/>
        <v>1694.0940871399998</v>
      </c>
      <c r="K55" s="47">
        <f t="shared" si="10"/>
        <v>1694.0940871399998</v>
      </c>
      <c r="L55" s="47">
        <f t="shared" si="11"/>
        <v>564.69802904666665</v>
      </c>
      <c r="M55" s="47">
        <f t="shared" si="12"/>
        <v>847.04704356999991</v>
      </c>
      <c r="N55" s="80">
        <v>0</v>
      </c>
      <c r="O55" s="47"/>
      <c r="P55" s="47"/>
      <c r="Q55" s="47"/>
      <c r="R55" s="47">
        <f>E55*30%</f>
        <v>4691.3374720799993</v>
      </c>
      <c r="S55" s="136"/>
      <c r="T55" s="47">
        <v>0</v>
      </c>
      <c r="U55" s="81">
        <f t="shared" si="22"/>
        <v>13398.416381950552</v>
      </c>
      <c r="V55" s="47">
        <f t="shared" si="13"/>
        <v>2021.7325055840001</v>
      </c>
      <c r="W55" s="47">
        <v>0</v>
      </c>
      <c r="X55" s="47">
        <f t="shared" si="14"/>
        <v>2880</v>
      </c>
      <c r="Y55" s="47">
        <f t="shared" si="3"/>
        <v>78.400000000000006</v>
      </c>
      <c r="Z55" s="47">
        <f t="shared" si="15"/>
        <v>168</v>
      </c>
      <c r="AA55" s="47">
        <f t="shared" si="4"/>
        <v>232</v>
      </c>
      <c r="AB55" s="47">
        <f t="shared" si="5"/>
        <v>152</v>
      </c>
      <c r="AC55" s="71">
        <f t="shared" si="23"/>
        <v>5532.1325055839998</v>
      </c>
      <c r="AD55" s="118">
        <f t="shared" si="24"/>
        <v>34568.340461134554</v>
      </c>
    </row>
    <row r="56" spans="1:30" s="49" customFormat="1" ht="12.75" x14ac:dyDescent="0.2">
      <c r="A56" s="94">
        <v>51</v>
      </c>
      <c r="B56" s="358" t="s">
        <v>388</v>
      </c>
      <c r="C56" s="46">
        <v>3</v>
      </c>
      <c r="D56" s="57">
        <v>1954.7239466999999</v>
      </c>
      <c r="E56" s="79">
        <f t="shared" si="29"/>
        <v>5864.1718400999998</v>
      </c>
      <c r="F56" s="80">
        <f t="shared" si="0"/>
        <v>315.19923640537502</v>
      </c>
      <c r="G56" s="47"/>
      <c r="H56" s="47">
        <f t="shared" si="8"/>
        <v>579.90143752100005</v>
      </c>
      <c r="I56" s="47">
        <f t="shared" si="9"/>
        <v>231.96057500840004</v>
      </c>
      <c r="J56" s="47">
        <f t="shared" si="1"/>
        <v>488.68098667499999</v>
      </c>
      <c r="K56" s="47">
        <f t="shared" si="10"/>
        <v>488.68098667499999</v>
      </c>
      <c r="L56" s="47">
        <f t="shared" si="11"/>
        <v>162.89366222499999</v>
      </c>
      <c r="M56" s="47">
        <f t="shared" si="12"/>
        <v>244.34049333749999</v>
      </c>
      <c r="N56" s="80">
        <v>0</v>
      </c>
      <c r="O56" s="47"/>
      <c r="P56" s="47"/>
      <c r="Q56" s="47"/>
      <c r="R56" s="47"/>
      <c r="S56" s="136"/>
      <c r="T56" s="47">
        <v>0</v>
      </c>
      <c r="U56" s="81">
        <f t="shared" si="22"/>
        <v>2511.6573778472748</v>
      </c>
      <c r="V56" s="47">
        <f t="shared" si="13"/>
        <v>758.14968959400005</v>
      </c>
      <c r="W56" s="47">
        <v>0</v>
      </c>
      <c r="X56" s="47">
        <f t="shared" si="14"/>
        <v>1080</v>
      </c>
      <c r="Y56" s="47">
        <f t="shared" si="3"/>
        <v>29.400000000000002</v>
      </c>
      <c r="Z56" s="47">
        <f t="shared" si="15"/>
        <v>63</v>
      </c>
      <c r="AA56" s="47">
        <f t="shared" si="4"/>
        <v>87</v>
      </c>
      <c r="AB56" s="47">
        <f t="shared" si="5"/>
        <v>57</v>
      </c>
      <c r="AC56" s="71">
        <f t="shared" si="23"/>
        <v>2074.549689594</v>
      </c>
      <c r="AD56" s="118">
        <f t="shared" si="24"/>
        <v>10450.378907541273</v>
      </c>
    </row>
    <row r="57" spans="1:30" s="49" customFormat="1" ht="12.75" x14ac:dyDescent="0.2">
      <c r="A57" s="94">
        <v>52</v>
      </c>
      <c r="B57" s="358" t="s">
        <v>389</v>
      </c>
      <c r="C57" s="46">
        <v>2</v>
      </c>
      <c r="D57" s="57">
        <v>1604</v>
      </c>
      <c r="E57" s="79">
        <f t="shared" si="29"/>
        <v>3208</v>
      </c>
      <c r="F57" s="80">
        <f t="shared" si="0"/>
        <v>172.43</v>
      </c>
      <c r="G57" s="47"/>
      <c r="H57" s="47">
        <f t="shared" si="8"/>
        <v>317.23555555555561</v>
      </c>
      <c r="I57" s="47">
        <f t="shared" si="9"/>
        <v>126.89422222222225</v>
      </c>
      <c r="J57" s="47">
        <f t="shared" si="1"/>
        <v>267.33333333333331</v>
      </c>
      <c r="K57" s="47">
        <f t="shared" si="10"/>
        <v>267.33333333333331</v>
      </c>
      <c r="L57" s="47">
        <f t="shared" si="11"/>
        <v>89.1111111111111</v>
      </c>
      <c r="M57" s="47">
        <f t="shared" si="12"/>
        <v>133.66666666666666</v>
      </c>
      <c r="N57" s="80">
        <v>0</v>
      </c>
      <c r="O57" s="47"/>
      <c r="P57" s="47"/>
      <c r="Q57" s="47"/>
      <c r="R57" s="47"/>
      <c r="S57" s="136"/>
      <c r="T57" s="47">
        <v>0</v>
      </c>
      <c r="U57" s="81">
        <f t="shared" si="22"/>
        <v>1374.0042222222223</v>
      </c>
      <c r="V57" s="47">
        <f t="shared" si="13"/>
        <v>547.52</v>
      </c>
      <c r="W57" s="47">
        <v>0</v>
      </c>
      <c r="X57" s="47">
        <f t="shared" si="14"/>
        <v>720</v>
      </c>
      <c r="Y57" s="47">
        <f t="shared" si="3"/>
        <v>19.600000000000001</v>
      </c>
      <c r="Z57" s="47">
        <f t="shared" si="15"/>
        <v>42</v>
      </c>
      <c r="AA57" s="47">
        <f t="shared" si="4"/>
        <v>58</v>
      </c>
      <c r="AB57" s="47">
        <f t="shared" si="5"/>
        <v>38</v>
      </c>
      <c r="AC57" s="71">
        <f t="shared" si="23"/>
        <v>1425.12</v>
      </c>
      <c r="AD57" s="118">
        <f t="shared" si="24"/>
        <v>6007.1242222222218</v>
      </c>
    </row>
    <row r="58" spans="1:30" s="49" customFormat="1" ht="12.75" x14ac:dyDescent="0.2">
      <c r="A58" s="94">
        <v>53</v>
      </c>
      <c r="B58" s="36" t="s">
        <v>390</v>
      </c>
      <c r="C58" s="46">
        <v>2</v>
      </c>
      <c r="D58" s="57">
        <v>2216.5886211419997</v>
      </c>
      <c r="E58" s="79">
        <f t="shared" si="29"/>
        <v>4433.1772422839995</v>
      </c>
      <c r="F58" s="80">
        <f t="shared" si="0"/>
        <v>238.28327677276502</v>
      </c>
      <c r="G58" s="47"/>
      <c r="H58" s="47">
        <f t="shared" si="8"/>
        <v>438.39197173697335</v>
      </c>
      <c r="I58" s="47">
        <f t="shared" si="9"/>
        <v>175.35678869478934</v>
      </c>
      <c r="J58" s="47">
        <f t="shared" si="1"/>
        <v>369.43143685699994</v>
      </c>
      <c r="K58" s="47">
        <f t="shared" si="10"/>
        <v>369.43143685699994</v>
      </c>
      <c r="L58" s="47">
        <f t="shared" si="11"/>
        <v>123.14381228566664</v>
      </c>
      <c r="M58" s="47">
        <f t="shared" si="12"/>
        <v>184.71571842849997</v>
      </c>
      <c r="N58" s="80">
        <v>0</v>
      </c>
      <c r="O58" s="47"/>
      <c r="P58" s="47"/>
      <c r="Q58" s="47"/>
      <c r="R58" s="47"/>
      <c r="S58" s="136"/>
      <c r="T58" s="47">
        <v>0</v>
      </c>
      <c r="U58" s="81">
        <f t="shared" si="22"/>
        <v>1898.7544416326941</v>
      </c>
      <c r="V58" s="47">
        <f t="shared" si="13"/>
        <v>474.00936546296003</v>
      </c>
      <c r="W58" s="47">
        <v>0</v>
      </c>
      <c r="X58" s="47">
        <f t="shared" si="14"/>
        <v>720</v>
      </c>
      <c r="Y58" s="47">
        <f t="shared" si="3"/>
        <v>19.600000000000001</v>
      </c>
      <c r="Z58" s="47">
        <f t="shared" si="15"/>
        <v>42</v>
      </c>
      <c r="AA58" s="47">
        <f t="shared" si="4"/>
        <v>58</v>
      </c>
      <c r="AB58" s="47">
        <f t="shared" si="5"/>
        <v>38</v>
      </c>
      <c r="AC58" s="71">
        <f t="shared" si="23"/>
        <v>1351.6093654629599</v>
      </c>
      <c r="AD58" s="118">
        <f t="shared" si="24"/>
        <v>7683.5410493796535</v>
      </c>
    </row>
    <row r="59" spans="1:30" s="49" customFormat="1" ht="12.75" x14ac:dyDescent="0.2">
      <c r="A59" s="94">
        <v>54</v>
      </c>
      <c r="B59" s="36" t="s">
        <v>578</v>
      </c>
      <c r="C59" s="46">
        <v>1</v>
      </c>
      <c r="D59" s="57">
        <v>6971.8487432299989</v>
      </c>
      <c r="E59" s="79">
        <f t="shared" si="29"/>
        <v>6971.8487432299989</v>
      </c>
      <c r="F59" s="80">
        <f t="shared" si="0"/>
        <v>374.73686994861242</v>
      </c>
      <c r="G59" s="47"/>
      <c r="H59" s="47">
        <f t="shared" si="8"/>
        <v>689.43837571941094</v>
      </c>
      <c r="I59" s="47">
        <f t="shared" si="9"/>
        <v>275.77535028776441</v>
      </c>
      <c r="J59" s="47">
        <f t="shared" si="1"/>
        <v>580.98739526916654</v>
      </c>
      <c r="K59" s="47">
        <f t="shared" si="10"/>
        <v>580.98739526916654</v>
      </c>
      <c r="L59" s="47">
        <f t="shared" si="11"/>
        <v>193.66246508972219</v>
      </c>
      <c r="M59" s="47">
        <f t="shared" si="12"/>
        <v>290.49369763458327</v>
      </c>
      <c r="N59" s="80">
        <v>0</v>
      </c>
      <c r="O59" s="47"/>
      <c r="P59" s="47"/>
      <c r="Q59" s="47"/>
      <c r="R59" s="47"/>
      <c r="S59" s="136"/>
      <c r="T59" s="47">
        <v>0</v>
      </c>
      <c r="U59" s="81">
        <f t="shared" si="22"/>
        <v>2986.0815492184261</v>
      </c>
      <c r="V59" s="47"/>
      <c r="W59" s="47">
        <v>0</v>
      </c>
      <c r="X59" s="47">
        <f t="shared" si="14"/>
        <v>360</v>
      </c>
      <c r="Y59" s="47">
        <f t="shared" si="3"/>
        <v>9.8000000000000007</v>
      </c>
      <c r="Z59" s="47">
        <f t="shared" si="15"/>
        <v>21</v>
      </c>
      <c r="AA59" s="47">
        <f t="shared" si="4"/>
        <v>29</v>
      </c>
      <c r="AB59" s="47">
        <f t="shared" si="5"/>
        <v>19</v>
      </c>
      <c r="AC59" s="71">
        <f t="shared" si="23"/>
        <v>438.8</v>
      </c>
      <c r="AD59" s="118">
        <f t="shared" si="24"/>
        <v>10396.730292448425</v>
      </c>
    </row>
    <row r="60" spans="1:30" s="49" customFormat="1" ht="12.75" x14ac:dyDescent="0.2">
      <c r="A60" s="94">
        <v>55</v>
      </c>
      <c r="B60" s="36" t="s">
        <v>391</v>
      </c>
      <c r="C60" s="46">
        <v>40</v>
      </c>
      <c r="D60" s="57">
        <v>2475.9907000000003</v>
      </c>
      <c r="E60" s="79">
        <f t="shared" si="29"/>
        <v>99039.628000000012</v>
      </c>
      <c r="F60" s="80">
        <f t="shared" si="0"/>
        <v>7753.502977282501</v>
      </c>
      <c r="G60" s="47"/>
      <c r="H60" s="47">
        <f t="shared" si="8"/>
        <v>14264.842686886668</v>
      </c>
      <c r="I60" s="47">
        <f t="shared" si="9"/>
        <v>5705.9370747546673</v>
      </c>
      <c r="J60" s="47">
        <f t="shared" si="1"/>
        <v>12020.934848500001</v>
      </c>
      <c r="K60" s="47">
        <f t="shared" si="10"/>
        <v>12020.934848500001</v>
      </c>
      <c r="L60" s="47">
        <f t="shared" si="11"/>
        <v>4006.9782828333337</v>
      </c>
      <c r="M60" s="47">
        <f t="shared" si="12"/>
        <v>6010.4674242500005</v>
      </c>
      <c r="N60" s="80">
        <v>0</v>
      </c>
      <c r="O60" s="47"/>
      <c r="P60" s="47">
        <f t="shared" ref="P60:P65" si="32">(D60/200*24*2)*(C60/2)</f>
        <v>11884.755360000001</v>
      </c>
      <c r="Q60" s="47">
        <f t="shared" ref="Q60:Q65" si="33">(D60/200*2*24)/20*4*C60/2</f>
        <v>2376.9510720000003</v>
      </c>
      <c r="R60" s="47">
        <f>E60*30%</f>
        <v>29711.888400000003</v>
      </c>
      <c r="S60" s="136">
        <f>(D60*0.1)*5</f>
        <v>1237.9953500000001</v>
      </c>
      <c r="T60" s="47">
        <v>0</v>
      </c>
      <c r="U60" s="81">
        <f t="shared" si="22"/>
        <v>106995.18832500717</v>
      </c>
      <c r="V60" s="47">
        <f t="shared" si="13"/>
        <v>8857.6223199999986</v>
      </c>
      <c r="W60" s="47">
        <v>0</v>
      </c>
      <c r="X60" s="47">
        <f t="shared" si="14"/>
        <v>14400</v>
      </c>
      <c r="Y60" s="47">
        <f t="shared" si="3"/>
        <v>392</v>
      </c>
      <c r="Z60" s="47">
        <f t="shared" si="15"/>
        <v>840</v>
      </c>
      <c r="AA60" s="47">
        <f t="shared" si="4"/>
        <v>1160</v>
      </c>
      <c r="AB60" s="47">
        <f t="shared" si="5"/>
        <v>760</v>
      </c>
      <c r="AC60" s="71">
        <f t="shared" si="23"/>
        <v>26409.622319999999</v>
      </c>
      <c r="AD60" s="118">
        <f t="shared" si="24"/>
        <v>232444.43864500718</v>
      </c>
    </row>
    <row r="61" spans="1:30" s="49" customFormat="1" ht="12.75" x14ac:dyDescent="0.2">
      <c r="A61" s="94">
        <v>56</v>
      </c>
      <c r="B61" s="364" t="s">
        <v>391</v>
      </c>
      <c r="C61" s="46">
        <v>24</v>
      </c>
      <c r="D61" s="57">
        <v>2475.9907000000003</v>
      </c>
      <c r="E61" s="79">
        <f t="shared" si="29"/>
        <v>59423.776800000007</v>
      </c>
      <c r="F61" s="80">
        <f t="shared" si="0"/>
        <v>5089.9914109335168</v>
      </c>
      <c r="G61" s="47"/>
      <c r="H61" s="47">
        <f t="shared" si="8"/>
        <v>9364.5320015107591</v>
      </c>
      <c r="I61" s="47">
        <f t="shared" si="9"/>
        <v>3745.8128006043039</v>
      </c>
      <c r="J61" s="47">
        <f t="shared" si="1"/>
        <v>7891.4595518349097</v>
      </c>
      <c r="K61" s="47">
        <f t="shared" si="10"/>
        <v>7891.4595518349097</v>
      </c>
      <c r="L61" s="47">
        <f t="shared" si="11"/>
        <v>2630.4865172783034</v>
      </c>
      <c r="M61" s="47">
        <f t="shared" si="12"/>
        <v>3945.7297759174548</v>
      </c>
      <c r="N61" s="80">
        <f>(E61/220)*(137.13)*(20%)</f>
        <v>7407.9841023490917</v>
      </c>
      <c r="O61" s="47">
        <f>(N61/25)*5</f>
        <v>1481.5968204698183</v>
      </c>
      <c r="P61" s="47">
        <f t="shared" si="32"/>
        <v>7130.8532160000013</v>
      </c>
      <c r="Q61" s="47">
        <f t="shared" si="33"/>
        <v>1426.1706432000001</v>
      </c>
      <c r="R61" s="47">
        <f>E61*30%</f>
        <v>17827.133040000001</v>
      </c>
      <c r="S61" s="136"/>
      <c r="T61" s="47">
        <v>0</v>
      </c>
      <c r="U61" s="81">
        <f t="shared" si="22"/>
        <v>75833.209431933064</v>
      </c>
      <c r="V61" s="47">
        <f t="shared" si="13"/>
        <v>5314.5733920000002</v>
      </c>
      <c r="W61" s="47">
        <v>0</v>
      </c>
      <c r="X61" s="47">
        <f t="shared" si="14"/>
        <v>8640</v>
      </c>
      <c r="Y61" s="47">
        <f t="shared" si="3"/>
        <v>235.20000000000002</v>
      </c>
      <c r="Z61" s="47">
        <f t="shared" si="15"/>
        <v>504</v>
      </c>
      <c r="AA61" s="47">
        <f t="shared" si="4"/>
        <v>696</v>
      </c>
      <c r="AB61" s="47">
        <f t="shared" si="5"/>
        <v>456</v>
      </c>
      <c r="AC61" s="71">
        <f t="shared" si="23"/>
        <v>15845.773392000001</v>
      </c>
      <c r="AD61" s="118">
        <f t="shared" si="24"/>
        <v>151102.75962393306</v>
      </c>
    </row>
    <row r="62" spans="1:30" s="49" customFormat="1" ht="12.75" x14ac:dyDescent="0.2">
      <c r="A62" s="94">
        <v>57</v>
      </c>
      <c r="B62" s="36" t="s">
        <v>399</v>
      </c>
      <c r="C62" s="46">
        <v>2</v>
      </c>
      <c r="D62" s="57">
        <v>4195.9728999999998</v>
      </c>
      <c r="E62" s="79">
        <f t="shared" si="29"/>
        <v>8391.9457999999995</v>
      </c>
      <c r="F62" s="80">
        <f t="shared" si="0"/>
        <v>451.06708674999993</v>
      </c>
      <c r="G62" s="47"/>
      <c r="H62" s="47">
        <f t="shared" si="8"/>
        <v>829.87019577777767</v>
      </c>
      <c r="I62" s="47">
        <f t="shared" si="9"/>
        <v>331.94807831111109</v>
      </c>
      <c r="J62" s="47">
        <f t="shared" si="1"/>
        <v>699.32881666666663</v>
      </c>
      <c r="K62" s="47">
        <f t="shared" si="10"/>
        <v>699.32881666666663</v>
      </c>
      <c r="L62" s="47">
        <f t="shared" si="11"/>
        <v>233.10960555555553</v>
      </c>
      <c r="M62" s="47">
        <f t="shared" si="12"/>
        <v>349.66440833333331</v>
      </c>
      <c r="N62" s="80">
        <v>0</v>
      </c>
      <c r="O62" s="47"/>
      <c r="P62" s="47"/>
      <c r="Q62" s="47"/>
      <c r="R62" s="47"/>
      <c r="S62" s="136"/>
      <c r="T62" s="47">
        <v>0</v>
      </c>
      <c r="U62" s="81">
        <f t="shared" si="22"/>
        <v>3594.3170080611108</v>
      </c>
      <c r="V62" s="47">
        <f t="shared" si="13"/>
        <v>236.48325200000005</v>
      </c>
      <c r="W62" s="47">
        <v>0</v>
      </c>
      <c r="X62" s="47">
        <f t="shared" si="14"/>
        <v>720</v>
      </c>
      <c r="Y62" s="47">
        <f t="shared" si="3"/>
        <v>19.600000000000001</v>
      </c>
      <c r="Z62" s="47">
        <f t="shared" si="15"/>
        <v>42</v>
      </c>
      <c r="AA62" s="47">
        <f t="shared" si="4"/>
        <v>58</v>
      </c>
      <c r="AB62" s="47">
        <f t="shared" si="5"/>
        <v>38</v>
      </c>
      <c r="AC62" s="71">
        <f t="shared" si="23"/>
        <v>1114.0832519999999</v>
      </c>
      <c r="AD62" s="118">
        <f t="shared" si="24"/>
        <v>13100.346060061111</v>
      </c>
    </row>
    <row r="63" spans="1:30" s="49" customFormat="1" ht="12.75" x14ac:dyDescent="0.2">
      <c r="A63" s="94">
        <v>58</v>
      </c>
      <c r="B63" s="36" t="s">
        <v>393</v>
      </c>
      <c r="C63" s="46">
        <v>2</v>
      </c>
      <c r="D63" s="57">
        <v>5372.2025000000003</v>
      </c>
      <c r="E63" s="79">
        <f t="shared" si="29"/>
        <v>10744.405000000001</v>
      </c>
      <c r="F63" s="80">
        <f t="shared" si="0"/>
        <v>660.67346344999999</v>
      </c>
      <c r="G63" s="47"/>
      <c r="H63" s="47">
        <f t="shared" si="8"/>
        <v>1215.5025994222224</v>
      </c>
      <c r="I63" s="47">
        <f t="shared" si="9"/>
        <v>486.20103976888896</v>
      </c>
      <c r="J63" s="47">
        <f t="shared" si="1"/>
        <v>1024.2999433333334</v>
      </c>
      <c r="K63" s="47">
        <f t="shared" si="10"/>
        <v>1024.2999433333334</v>
      </c>
      <c r="L63" s="47">
        <f t="shared" si="11"/>
        <v>341.43331444444448</v>
      </c>
      <c r="M63" s="47">
        <f t="shared" si="12"/>
        <v>512.14997166666672</v>
      </c>
      <c r="N63" s="80">
        <v>0</v>
      </c>
      <c r="O63" s="47"/>
      <c r="P63" s="47">
        <f t="shared" si="32"/>
        <v>1289.3286000000001</v>
      </c>
      <c r="Q63" s="47">
        <f t="shared" si="33"/>
        <v>257.86572000000001</v>
      </c>
      <c r="R63" s="47"/>
      <c r="S63" s="136"/>
      <c r="T63" s="47">
        <v>0</v>
      </c>
      <c r="U63" s="81">
        <f t="shared" si="22"/>
        <v>6811.754595418889</v>
      </c>
      <c r="V63" s="47">
        <f t="shared" si="13"/>
        <v>95.335699999999974</v>
      </c>
      <c r="W63" s="47">
        <v>0</v>
      </c>
      <c r="X63" s="47">
        <f t="shared" si="14"/>
        <v>720</v>
      </c>
      <c r="Y63" s="47">
        <f t="shared" si="3"/>
        <v>19.600000000000001</v>
      </c>
      <c r="Z63" s="47">
        <f t="shared" si="15"/>
        <v>42</v>
      </c>
      <c r="AA63" s="47">
        <f t="shared" si="4"/>
        <v>58</v>
      </c>
      <c r="AB63" s="47">
        <f t="shared" si="5"/>
        <v>38</v>
      </c>
      <c r="AC63" s="71">
        <f t="shared" si="23"/>
        <v>972.9357</v>
      </c>
      <c r="AD63" s="118">
        <f t="shared" si="24"/>
        <v>18529.095295418891</v>
      </c>
    </row>
    <row r="64" spans="1:30" s="49" customFormat="1" ht="12.75" x14ac:dyDescent="0.2">
      <c r="A64" s="94">
        <v>59</v>
      </c>
      <c r="B64" s="36" t="s">
        <v>394</v>
      </c>
      <c r="C64" s="46">
        <v>2</v>
      </c>
      <c r="D64" s="57">
        <v>3760.5471000000002</v>
      </c>
      <c r="E64" s="79">
        <f t="shared" si="29"/>
        <v>7521.0942000000005</v>
      </c>
      <c r="F64" s="80">
        <f t="shared" si="0"/>
        <v>462.47208235800008</v>
      </c>
      <c r="G64" s="47"/>
      <c r="H64" s="47">
        <f t="shared" si="8"/>
        <v>850.85303007466678</v>
      </c>
      <c r="I64" s="47">
        <f t="shared" si="9"/>
        <v>340.34121202986671</v>
      </c>
      <c r="J64" s="47">
        <f t="shared" si="1"/>
        <v>717.01098039999999</v>
      </c>
      <c r="K64" s="47">
        <f t="shared" si="10"/>
        <v>717.01098039999999</v>
      </c>
      <c r="L64" s="47">
        <f t="shared" si="11"/>
        <v>239.00366013333334</v>
      </c>
      <c r="M64" s="47">
        <f t="shared" si="12"/>
        <v>358.5054902</v>
      </c>
      <c r="N64" s="80">
        <v>0</v>
      </c>
      <c r="O64" s="47"/>
      <c r="P64" s="47">
        <f t="shared" si="32"/>
        <v>902.53130400000009</v>
      </c>
      <c r="Q64" s="47">
        <f t="shared" si="33"/>
        <v>180.50626080000001</v>
      </c>
      <c r="R64" s="47"/>
      <c r="S64" s="136"/>
      <c r="T64" s="47">
        <v>0</v>
      </c>
      <c r="U64" s="81">
        <f t="shared" si="22"/>
        <v>4768.2350003958663</v>
      </c>
      <c r="V64" s="47">
        <f t="shared" si="13"/>
        <v>288.73434800000001</v>
      </c>
      <c r="W64" s="47">
        <v>0</v>
      </c>
      <c r="X64" s="47">
        <f t="shared" si="14"/>
        <v>720</v>
      </c>
      <c r="Y64" s="47">
        <f t="shared" si="3"/>
        <v>19.600000000000001</v>
      </c>
      <c r="Z64" s="47">
        <f t="shared" si="15"/>
        <v>42</v>
      </c>
      <c r="AA64" s="47">
        <f t="shared" si="4"/>
        <v>58</v>
      </c>
      <c r="AB64" s="47">
        <f t="shared" si="5"/>
        <v>38</v>
      </c>
      <c r="AC64" s="71">
        <f t="shared" si="23"/>
        <v>1166.3343479999999</v>
      </c>
      <c r="AD64" s="118">
        <f t="shared" si="24"/>
        <v>13455.663548395867</v>
      </c>
    </row>
    <row r="65" spans="1:30" s="49" customFormat="1" ht="12.75" x14ac:dyDescent="0.2">
      <c r="A65" s="94">
        <v>60</v>
      </c>
      <c r="B65" s="36" t="s">
        <v>395</v>
      </c>
      <c r="C65" s="46">
        <v>4</v>
      </c>
      <c r="D65" s="57">
        <v>1759.2515520300001</v>
      </c>
      <c r="E65" s="79">
        <f t="shared" si="29"/>
        <v>7037.0062081200003</v>
      </c>
      <c r="F65" s="80">
        <f t="shared" si="0"/>
        <v>489.2887032419419</v>
      </c>
      <c r="G65" s="47"/>
      <c r="H65" s="47">
        <f t="shared" si="8"/>
        <v>900.19006901359853</v>
      </c>
      <c r="I65" s="47">
        <f t="shared" si="9"/>
        <v>360.07602760543944</v>
      </c>
      <c r="J65" s="47">
        <f t="shared" si="1"/>
        <v>758.58713680921244</v>
      </c>
      <c r="K65" s="47">
        <f t="shared" si="10"/>
        <v>758.58713680921244</v>
      </c>
      <c r="L65" s="47">
        <f t="shared" si="11"/>
        <v>252.86237893640416</v>
      </c>
      <c r="M65" s="47">
        <f t="shared" si="12"/>
        <v>379.29356840460622</v>
      </c>
      <c r="N65" s="80">
        <f>(E65/220)*(137.13)*(20%)</f>
        <v>877.25878301772343</v>
      </c>
      <c r="O65" s="47">
        <f>(N65/25)*5</f>
        <v>175.45175660354471</v>
      </c>
      <c r="P65" s="47">
        <f t="shared" si="32"/>
        <v>844.4407449744001</v>
      </c>
      <c r="Q65" s="47">
        <f t="shared" si="33"/>
        <v>168.88814899488003</v>
      </c>
      <c r="R65" s="47"/>
      <c r="S65" s="136"/>
      <c r="T65" s="47">
        <v>0</v>
      </c>
      <c r="U65" s="81">
        <f t="shared" si="22"/>
        <v>5964.9244544109633</v>
      </c>
      <c r="V65" s="47">
        <f t="shared" si="13"/>
        <v>1057.7796275128001</v>
      </c>
      <c r="W65" s="47">
        <v>0</v>
      </c>
      <c r="X65" s="47">
        <f t="shared" si="14"/>
        <v>1440</v>
      </c>
      <c r="Y65" s="47">
        <f t="shared" si="3"/>
        <v>39.200000000000003</v>
      </c>
      <c r="Z65" s="47">
        <f t="shared" si="15"/>
        <v>84</v>
      </c>
      <c r="AA65" s="47">
        <f t="shared" si="4"/>
        <v>116</v>
      </c>
      <c r="AB65" s="47">
        <f t="shared" si="5"/>
        <v>76</v>
      </c>
      <c r="AC65" s="71">
        <f t="shared" si="23"/>
        <v>2812.9796275128001</v>
      </c>
      <c r="AD65" s="118">
        <f t="shared" si="24"/>
        <v>15814.910290043765</v>
      </c>
    </row>
    <row r="66" spans="1:30" s="49" customFormat="1" ht="22.5" x14ac:dyDescent="0.2">
      <c r="A66" s="94">
        <v>61</v>
      </c>
      <c r="B66" s="36" t="s">
        <v>403</v>
      </c>
      <c r="C66" s="46">
        <v>1</v>
      </c>
      <c r="D66" s="57">
        <v>8626.8483514359996</v>
      </c>
      <c r="E66" s="79">
        <f t="shared" si="29"/>
        <v>8626.8483514359996</v>
      </c>
      <c r="F66" s="80">
        <f t="shared" ref="F66" si="34">(E66+J66+L66+K66+N66+R66+O66+S66+P66+Q66+T66)*4.5%</f>
        <v>463.69309888968496</v>
      </c>
      <c r="G66" s="47"/>
      <c r="H66" s="47">
        <f>(E66+J66+L66+K66+M66+N66+O66+P66+Q66+R66+S66+T66)*8%</f>
        <v>853.09944808644889</v>
      </c>
      <c r="I66" s="47">
        <f>H66*40%</f>
        <v>341.2397792345796</v>
      </c>
      <c r="J66" s="47">
        <f t="shared" ref="J66" si="35">(E66+N66+O66+P66+Q66+R66+S66+T66)/12</f>
        <v>718.9040292863333</v>
      </c>
      <c r="K66" s="47">
        <f>(E66+N66+O66+P66+Q66+R66+S66+T66)/12</f>
        <v>718.9040292863333</v>
      </c>
      <c r="L66" s="47">
        <f>J66/3</f>
        <v>239.63467642877777</v>
      </c>
      <c r="M66" s="47">
        <f>(E66+N66+O66+P66+Q66+R66+S66+T66)/12/2</f>
        <v>359.45201464316665</v>
      </c>
      <c r="N66" s="80">
        <v>0</v>
      </c>
      <c r="O66" s="47"/>
      <c r="P66" s="47"/>
      <c r="Q66" s="47"/>
      <c r="R66" s="47"/>
      <c r="S66" s="136"/>
      <c r="T66" s="47">
        <v>0</v>
      </c>
      <c r="U66" s="81">
        <f t="shared" si="22"/>
        <v>3694.9270758553248</v>
      </c>
      <c r="V66" s="47"/>
      <c r="W66" s="47">
        <v>0</v>
      </c>
      <c r="X66" s="47">
        <f t="shared" si="14"/>
        <v>360</v>
      </c>
      <c r="Y66" s="47">
        <f t="shared" si="3"/>
        <v>9.8000000000000007</v>
      </c>
      <c r="Z66" s="47">
        <f t="shared" si="15"/>
        <v>21</v>
      </c>
      <c r="AA66" s="47">
        <f t="shared" si="4"/>
        <v>29</v>
      </c>
      <c r="AB66" s="47">
        <f t="shared" si="5"/>
        <v>19</v>
      </c>
      <c r="AC66" s="71">
        <f t="shared" si="23"/>
        <v>438.8</v>
      </c>
      <c r="AD66" s="118">
        <f t="shared" si="24"/>
        <v>12760.575427291324</v>
      </c>
    </row>
    <row r="67" spans="1:30" s="49" customFormat="1" ht="12.75" x14ac:dyDescent="0.2">
      <c r="A67" s="94">
        <v>62</v>
      </c>
      <c r="B67" s="36" t="s">
        <v>404</v>
      </c>
      <c r="C67" s="46">
        <v>1</v>
      </c>
      <c r="D67" s="57">
        <v>4664.5671649779988</v>
      </c>
      <c r="E67" s="79">
        <f t="shared" si="29"/>
        <v>4664.5671649779988</v>
      </c>
      <c r="F67" s="80">
        <f t="shared" si="0"/>
        <v>250.72048511756742</v>
      </c>
      <c r="G67" s="47"/>
      <c r="H67" s="47">
        <f t="shared" si="8"/>
        <v>461.27386409226881</v>
      </c>
      <c r="I67" s="47">
        <f t="shared" si="9"/>
        <v>184.50954563690755</v>
      </c>
      <c r="J67" s="47">
        <f t="shared" si="1"/>
        <v>388.71393041483321</v>
      </c>
      <c r="K67" s="47">
        <f t="shared" si="10"/>
        <v>388.71393041483321</v>
      </c>
      <c r="L67" s="47">
        <f t="shared" si="11"/>
        <v>129.57131013827774</v>
      </c>
      <c r="M67" s="47">
        <f t="shared" si="12"/>
        <v>194.35696520741661</v>
      </c>
      <c r="N67" s="80">
        <v>0</v>
      </c>
      <c r="O67" s="47"/>
      <c r="P67" s="47"/>
      <c r="Q67" s="47"/>
      <c r="R67" s="47"/>
      <c r="S67" s="136"/>
      <c r="T67" s="47">
        <v>0</v>
      </c>
      <c r="U67" s="81">
        <f t="shared" si="22"/>
        <v>1997.8600310221045</v>
      </c>
      <c r="V67" s="47">
        <f t="shared" si="13"/>
        <v>90.125970101320092</v>
      </c>
      <c r="W67" s="47">
        <v>0</v>
      </c>
      <c r="X67" s="47">
        <f t="shared" si="14"/>
        <v>360</v>
      </c>
      <c r="Y67" s="47">
        <f t="shared" si="3"/>
        <v>9.8000000000000007</v>
      </c>
      <c r="Z67" s="47">
        <f t="shared" si="15"/>
        <v>21</v>
      </c>
      <c r="AA67" s="47">
        <f t="shared" si="4"/>
        <v>29</v>
      </c>
      <c r="AB67" s="47">
        <f t="shared" si="5"/>
        <v>19</v>
      </c>
      <c r="AC67" s="71">
        <f t="shared" si="23"/>
        <v>528.9259701013201</v>
      </c>
      <c r="AD67" s="118">
        <f t="shared" si="24"/>
        <v>7191.3531661014231</v>
      </c>
    </row>
    <row r="68" spans="1:30" s="49" customFormat="1" ht="12.75" x14ac:dyDescent="0.2">
      <c r="A68" s="94">
        <v>63</v>
      </c>
      <c r="B68" s="36" t="s">
        <v>405</v>
      </c>
      <c r="C68" s="46">
        <v>1</v>
      </c>
      <c r="D68" s="57">
        <v>6971.8487432299989</v>
      </c>
      <c r="E68" s="79">
        <f t="shared" si="29"/>
        <v>6971.8487432299989</v>
      </c>
      <c r="F68" s="80">
        <f t="shared" si="0"/>
        <v>374.73686994861242</v>
      </c>
      <c r="G68" s="47"/>
      <c r="H68" s="47">
        <f t="shared" si="8"/>
        <v>689.43837571941094</v>
      </c>
      <c r="I68" s="47">
        <f t="shared" si="9"/>
        <v>275.77535028776441</v>
      </c>
      <c r="J68" s="47">
        <f t="shared" si="1"/>
        <v>580.98739526916654</v>
      </c>
      <c r="K68" s="47">
        <f t="shared" si="10"/>
        <v>580.98739526916654</v>
      </c>
      <c r="L68" s="47">
        <f t="shared" si="11"/>
        <v>193.66246508972219</v>
      </c>
      <c r="M68" s="47">
        <f t="shared" si="12"/>
        <v>290.49369763458327</v>
      </c>
      <c r="N68" s="80">
        <v>0</v>
      </c>
      <c r="O68" s="47"/>
      <c r="P68" s="47"/>
      <c r="Q68" s="47"/>
      <c r="R68" s="47"/>
      <c r="S68" s="136"/>
      <c r="T68" s="47">
        <v>0</v>
      </c>
      <c r="U68" s="81">
        <f t="shared" si="22"/>
        <v>2986.0815492184261</v>
      </c>
      <c r="V68" s="47"/>
      <c r="W68" s="47">
        <v>0</v>
      </c>
      <c r="X68" s="47">
        <f t="shared" si="14"/>
        <v>360</v>
      </c>
      <c r="Y68" s="47">
        <f t="shared" si="3"/>
        <v>9.8000000000000007</v>
      </c>
      <c r="Z68" s="47">
        <f t="shared" si="15"/>
        <v>21</v>
      </c>
      <c r="AA68" s="47">
        <f t="shared" si="4"/>
        <v>29</v>
      </c>
      <c r="AB68" s="47">
        <f t="shared" si="5"/>
        <v>19</v>
      </c>
      <c r="AC68" s="71">
        <f t="shared" si="23"/>
        <v>438.8</v>
      </c>
      <c r="AD68" s="118">
        <f t="shared" si="24"/>
        <v>10396.730292448425</v>
      </c>
    </row>
    <row r="69" spans="1:30" s="49" customFormat="1" ht="12.75" x14ac:dyDescent="0.2">
      <c r="A69" s="94">
        <v>64</v>
      </c>
      <c r="B69" s="36" t="s">
        <v>381</v>
      </c>
      <c r="C69" s="46">
        <v>1</v>
      </c>
      <c r="D69" s="57">
        <v>3432.9771878639999</v>
      </c>
      <c r="E69" s="79">
        <f t="shared" si="29"/>
        <v>3432.9771878639999</v>
      </c>
      <c r="F69" s="80">
        <f t="shared" si="0"/>
        <v>184.52252384769</v>
      </c>
      <c r="G69" s="47"/>
      <c r="H69" s="47">
        <f t="shared" si="8"/>
        <v>339.48329968877334</v>
      </c>
      <c r="I69" s="47">
        <f t="shared" si="9"/>
        <v>135.79331987550935</v>
      </c>
      <c r="J69" s="47">
        <f t="shared" si="1"/>
        <v>286.08143232200001</v>
      </c>
      <c r="K69" s="47">
        <f t="shared" si="10"/>
        <v>286.08143232200001</v>
      </c>
      <c r="L69" s="47">
        <f t="shared" si="11"/>
        <v>95.360477440666671</v>
      </c>
      <c r="M69" s="47">
        <f t="shared" si="12"/>
        <v>143.04071616100001</v>
      </c>
      <c r="N69" s="80"/>
      <c r="O69" s="47"/>
      <c r="P69" s="47"/>
      <c r="Q69" s="47"/>
      <c r="R69" s="47"/>
      <c r="S69" s="136"/>
      <c r="T69" s="47">
        <v>0</v>
      </c>
      <c r="U69" s="81">
        <f t="shared" si="22"/>
        <v>1470.3632016576396</v>
      </c>
      <c r="V69" s="47">
        <f t="shared" si="13"/>
        <v>164.02136872816001</v>
      </c>
      <c r="W69" s="47">
        <v>0</v>
      </c>
      <c r="X69" s="47">
        <f t="shared" si="14"/>
        <v>360</v>
      </c>
      <c r="Y69" s="47">
        <f t="shared" si="3"/>
        <v>9.8000000000000007</v>
      </c>
      <c r="Z69" s="47">
        <f t="shared" si="15"/>
        <v>21</v>
      </c>
      <c r="AA69" s="47">
        <f t="shared" si="4"/>
        <v>29</v>
      </c>
      <c r="AB69" s="47">
        <f t="shared" si="5"/>
        <v>19</v>
      </c>
      <c r="AC69" s="71">
        <f t="shared" si="23"/>
        <v>602.82136872816</v>
      </c>
      <c r="AD69" s="118">
        <f t="shared" si="24"/>
        <v>5506.1617582498002</v>
      </c>
    </row>
    <row r="70" spans="1:30" s="49" customFormat="1" ht="12.75" x14ac:dyDescent="0.2">
      <c r="A70" s="94">
        <v>65</v>
      </c>
      <c r="B70" s="36" t="s">
        <v>382</v>
      </c>
      <c r="C70" s="46">
        <v>1</v>
      </c>
      <c r="D70" s="57">
        <v>3432.9771878639999</v>
      </c>
      <c r="E70" s="79">
        <f t="shared" si="29"/>
        <v>3432.9771878639999</v>
      </c>
      <c r="F70" s="80">
        <f t="shared" ref="F70:F133" si="36">(E70+J70+L70+K70+N70+R70+O70+S70+P70+Q70+T70)*4.5%</f>
        <v>184.52252384769</v>
      </c>
      <c r="G70" s="47"/>
      <c r="H70" s="47">
        <f t="shared" si="8"/>
        <v>339.48329968877334</v>
      </c>
      <c r="I70" s="47">
        <f t="shared" si="9"/>
        <v>135.79331987550935</v>
      </c>
      <c r="J70" s="47">
        <f t="shared" ref="J70:J133" si="37">(E70+N70+O70+P70+Q70+R70+S70+T70)/12</f>
        <v>286.08143232200001</v>
      </c>
      <c r="K70" s="47">
        <f t="shared" si="10"/>
        <v>286.08143232200001</v>
      </c>
      <c r="L70" s="47">
        <f t="shared" si="11"/>
        <v>95.360477440666671</v>
      </c>
      <c r="M70" s="47">
        <f t="shared" si="12"/>
        <v>143.04071616100001</v>
      </c>
      <c r="N70" s="80">
        <v>0</v>
      </c>
      <c r="O70" s="47"/>
      <c r="P70" s="47"/>
      <c r="Q70" s="47"/>
      <c r="R70" s="47"/>
      <c r="S70" s="136"/>
      <c r="T70" s="47">
        <v>0</v>
      </c>
      <c r="U70" s="81">
        <f t="shared" si="22"/>
        <v>1470.3632016576396</v>
      </c>
      <c r="V70" s="47">
        <f t="shared" ref="V70:V133" si="38">(370*C70)-(E70*6%)</f>
        <v>164.02136872816001</v>
      </c>
      <c r="W70" s="47">
        <v>0</v>
      </c>
      <c r="X70" s="47">
        <f t="shared" si="14"/>
        <v>360</v>
      </c>
      <c r="Y70" s="47">
        <f t="shared" ref="Y70:Y133" si="39">(9.8*C70)</f>
        <v>9.8000000000000007</v>
      </c>
      <c r="Z70" s="47">
        <f t="shared" si="15"/>
        <v>21</v>
      </c>
      <c r="AA70" s="47">
        <f t="shared" ref="AA70:AA133" si="40">(C70*29)</f>
        <v>29</v>
      </c>
      <c r="AB70" s="47">
        <f t="shared" ref="AB70:AB133" si="41">(C70*19)</f>
        <v>19</v>
      </c>
      <c r="AC70" s="71">
        <f t="shared" si="23"/>
        <v>602.82136872816</v>
      </c>
      <c r="AD70" s="118">
        <f t="shared" si="24"/>
        <v>5506.1617582498002</v>
      </c>
    </row>
    <row r="71" spans="1:30" s="49" customFormat="1" ht="12.75" x14ac:dyDescent="0.2">
      <c r="A71" s="94">
        <v>66</v>
      </c>
      <c r="B71" s="36" t="s">
        <v>384</v>
      </c>
      <c r="C71" s="46">
        <v>1</v>
      </c>
      <c r="D71" s="57">
        <v>3432.9771878639999</v>
      </c>
      <c r="E71" s="79">
        <f t="shared" si="29"/>
        <v>3432.9771878639999</v>
      </c>
      <c r="F71" s="80">
        <f t="shared" si="36"/>
        <v>184.52252384769</v>
      </c>
      <c r="G71" s="47"/>
      <c r="H71" s="47">
        <f t="shared" ref="H71:H134" si="42">(E71+J71+L71+K71+M71+N71+O71+P71+Q71+R71+S71+T71)*8%</f>
        <v>339.48329968877334</v>
      </c>
      <c r="I71" s="47">
        <f t="shared" ref="I71:I134" si="43">H71*40%</f>
        <v>135.79331987550935</v>
      </c>
      <c r="J71" s="47">
        <f t="shared" si="37"/>
        <v>286.08143232200001</v>
      </c>
      <c r="K71" s="47">
        <f t="shared" ref="K71:K78" si="44">(E71+N71+O71+P71+Q71+R71+S71+T71)/12</f>
        <v>286.08143232200001</v>
      </c>
      <c r="L71" s="47">
        <f t="shared" ref="L71:L134" si="45">J71/3</f>
        <v>95.360477440666671</v>
      </c>
      <c r="M71" s="47">
        <f t="shared" ref="M71:M134" si="46">(E71+N71+O71+P71+Q71+R71+S71+T71)/12/2</f>
        <v>143.04071616100001</v>
      </c>
      <c r="N71" s="80">
        <v>0</v>
      </c>
      <c r="O71" s="47"/>
      <c r="P71" s="47"/>
      <c r="Q71" s="47"/>
      <c r="R71" s="47"/>
      <c r="S71" s="136"/>
      <c r="T71" s="47">
        <v>0</v>
      </c>
      <c r="U71" s="81">
        <f t="shared" si="22"/>
        <v>1470.3632016576396</v>
      </c>
      <c r="V71" s="47">
        <f t="shared" si="38"/>
        <v>164.02136872816001</v>
      </c>
      <c r="W71" s="47">
        <v>0</v>
      </c>
      <c r="X71" s="47">
        <f t="shared" ref="X71:X134" si="47">360*C71</f>
        <v>360</v>
      </c>
      <c r="Y71" s="47">
        <f t="shared" si="39"/>
        <v>9.8000000000000007</v>
      </c>
      <c r="Z71" s="47">
        <f t="shared" ref="Z71:Z134" si="48">(C71*21)</f>
        <v>21</v>
      </c>
      <c r="AA71" s="47">
        <f t="shared" si="40"/>
        <v>29</v>
      </c>
      <c r="AB71" s="47">
        <f t="shared" si="41"/>
        <v>19</v>
      </c>
      <c r="AC71" s="71">
        <f t="shared" si="23"/>
        <v>602.82136872816</v>
      </c>
      <c r="AD71" s="118">
        <f t="shared" si="24"/>
        <v>5506.1617582498002</v>
      </c>
    </row>
    <row r="72" spans="1:30" s="49" customFormat="1" ht="12.75" x14ac:dyDescent="0.2">
      <c r="A72" s="94">
        <v>67</v>
      </c>
      <c r="B72" s="36" t="s">
        <v>385</v>
      </c>
      <c r="C72" s="46">
        <v>1</v>
      </c>
      <c r="D72" s="57">
        <v>3432.9771878639999</v>
      </c>
      <c r="E72" s="79">
        <f t="shared" si="29"/>
        <v>3432.9771878639999</v>
      </c>
      <c r="F72" s="80">
        <f t="shared" si="36"/>
        <v>184.52252384769</v>
      </c>
      <c r="G72" s="47"/>
      <c r="H72" s="47">
        <f t="shared" si="42"/>
        <v>339.48329968877334</v>
      </c>
      <c r="I72" s="47">
        <f t="shared" si="43"/>
        <v>135.79331987550935</v>
      </c>
      <c r="J72" s="47">
        <f t="shared" si="37"/>
        <v>286.08143232200001</v>
      </c>
      <c r="K72" s="47">
        <f t="shared" si="44"/>
        <v>286.08143232200001</v>
      </c>
      <c r="L72" s="47">
        <f t="shared" si="45"/>
        <v>95.360477440666671</v>
      </c>
      <c r="M72" s="47">
        <f t="shared" si="46"/>
        <v>143.04071616100001</v>
      </c>
      <c r="N72" s="80">
        <v>0</v>
      </c>
      <c r="O72" s="47"/>
      <c r="P72" s="47"/>
      <c r="Q72" s="47"/>
      <c r="R72" s="47"/>
      <c r="S72" s="136"/>
      <c r="T72" s="47">
        <v>0</v>
      </c>
      <c r="U72" s="81">
        <f t="shared" si="22"/>
        <v>1470.3632016576396</v>
      </c>
      <c r="V72" s="47">
        <f t="shared" si="38"/>
        <v>164.02136872816001</v>
      </c>
      <c r="W72" s="47">
        <v>0</v>
      </c>
      <c r="X72" s="47">
        <f t="shared" si="47"/>
        <v>360</v>
      </c>
      <c r="Y72" s="47">
        <f t="shared" si="39"/>
        <v>9.8000000000000007</v>
      </c>
      <c r="Z72" s="47">
        <f t="shared" si="48"/>
        <v>21</v>
      </c>
      <c r="AA72" s="47">
        <f t="shared" si="40"/>
        <v>29</v>
      </c>
      <c r="AB72" s="47">
        <f t="shared" si="41"/>
        <v>19</v>
      </c>
      <c r="AC72" s="71">
        <f t="shared" si="23"/>
        <v>602.82136872816</v>
      </c>
      <c r="AD72" s="118">
        <f t="shared" si="24"/>
        <v>5506.1617582498002</v>
      </c>
    </row>
    <row r="73" spans="1:30" s="49" customFormat="1" ht="12.75" x14ac:dyDescent="0.2">
      <c r="A73" s="94">
        <v>68</v>
      </c>
      <c r="B73" s="109" t="s">
        <v>386</v>
      </c>
      <c r="C73" s="46">
        <v>1</v>
      </c>
      <c r="D73" s="57">
        <v>3432.9771878639999</v>
      </c>
      <c r="E73" s="79">
        <f t="shared" ref="E73:E74" si="49">C73*D73</f>
        <v>3432.9771878639999</v>
      </c>
      <c r="F73" s="80">
        <f t="shared" si="36"/>
        <v>184.52252384769</v>
      </c>
      <c r="G73" s="47"/>
      <c r="H73" s="47">
        <f t="shared" si="42"/>
        <v>339.48329968877334</v>
      </c>
      <c r="I73" s="47">
        <f t="shared" si="43"/>
        <v>135.79331987550935</v>
      </c>
      <c r="J73" s="47">
        <f t="shared" si="37"/>
        <v>286.08143232200001</v>
      </c>
      <c r="K73" s="47">
        <f t="shared" si="44"/>
        <v>286.08143232200001</v>
      </c>
      <c r="L73" s="47">
        <f t="shared" si="45"/>
        <v>95.360477440666671</v>
      </c>
      <c r="M73" s="47">
        <f t="shared" si="46"/>
        <v>143.04071616100001</v>
      </c>
      <c r="N73" s="80"/>
      <c r="O73" s="47"/>
      <c r="P73" s="47"/>
      <c r="Q73" s="47"/>
      <c r="R73" s="47"/>
      <c r="S73" s="136"/>
      <c r="T73" s="47">
        <v>0</v>
      </c>
      <c r="U73" s="81">
        <f t="shared" si="22"/>
        <v>1470.3632016576396</v>
      </c>
      <c r="V73" s="47">
        <f t="shared" si="38"/>
        <v>164.02136872816001</v>
      </c>
      <c r="W73" s="47">
        <v>0</v>
      </c>
      <c r="X73" s="47">
        <f t="shared" si="47"/>
        <v>360</v>
      </c>
      <c r="Y73" s="47">
        <f t="shared" si="39"/>
        <v>9.8000000000000007</v>
      </c>
      <c r="Z73" s="47">
        <f t="shared" si="48"/>
        <v>21</v>
      </c>
      <c r="AA73" s="47">
        <f t="shared" si="40"/>
        <v>29</v>
      </c>
      <c r="AB73" s="47">
        <f t="shared" si="41"/>
        <v>19</v>
      </c>
      <c r="AC73" s="71">
        <f t="shared" si="23"/>
        <v>602.82136872816</v>
      </c>
      <c r="AD73" s="118">
        <f t="shared" si="24"/>
        <v>5506.1617582498002</v>
      </c>
    </row>
    <row r="74" spans="1:30" s="49" customFormat="1" ht="12.75" x14ac:dyDescent="0.2">
      <c r="A74" s="94">
        <v>69</v>
      </c>
      <c r="B74" s="36" t="s">
        <v>387</v>
      </c>
      <c r="C74" s="148">
        <v>6</v>
      </c>
      <c r="D74" s="57">
        <v>1954.7239466999999</v>
      </c>
      <c r="E74" s="79">
        <f t="shared" si="49"/>
        <v>11728.3436802</v>
      </c>
      <c r="F74" s="80">
        <f t="shared" si="36"/>
        <v>819.51801465397489</v>
      </c>
      <c r="G74" s="47"/>
      <c r="H74" s="47">
        <f t="shared" si="42"/>
        <v>1507.7437375545999</v>
      </c>
      <c r="I74" s="47">
        <f t="shared" si="43"/>
        <v>603.09749502184002</v>
      </c>
      <c r="J74" s="47">
        <f t="shared" si="37"/>
        <v>1270.5705653550001</v>
      </c>
      <c r="K74" s="47">
        <f t="shared" si="44"/>
        <v>1270.5705653550001</v>
      </c>
      <c r="L74" s="47">
        <f t="shared" si="45"/>
        <v>423.52352178500001</v>
      </c>
      <c r="M74" s="47">
        <f t="shared" si="46"/>
        <v>635.28528267750005</v>
      </c>
      <c r="N74" s="80">
        <v>0</v>
      </c>
      <c r="O74" s="47"/>
      <c r="P74" s="47"/>
      <c r="Q74" s="47"/>
      <c r="R74" s="47">
        <f>E74*30%</f>
        <v>3518.5031040599997</v>
      </c>
      <c r="S74" s="136"/>
      <c r="T74" s="47">
        <v>0</v>
      </c>
      <c r="U74" s="81">
        <f t="shared" si="22"/>
        <v>10048.812286462915</v>
      </c>
      <c r="V74" s="47">
        <f t="shared" si="38"/>
        <v>1516.2993791880001</v>
      </c>
      <c r="W74" s="47">
        <v>0</v>
      </c>
      <c r="X74" s="47">
        <f t="shared" si="47"/>
        <v>2160</v>
      </c>
      <c r="Y74" s="47">
        <f t="shared" si="39"/>
        <v>58.800000000000004</v>
      </c>
      <c r="Z74" s="47">
        <f t="shared" si="48"/>
        <v>126</v>
      </c>
      <c r="AA74" s="47">
        <f t="shared" si="40"/>
        <v>174</v>
      </c>
      <c r="AB74" s="47">
        <f t="shared" si="41"/>
        <v>114</v>
      </c>
      <c r="AC74" s="71">
        <f t="shared" si="23"/>
        <v>4149.0993791880001</v>
      </c>
      <c r="AD74" s="118">
        <f t="shared" si="24"/>
        <v>25926.255345850914</v>
      </c>
    </row>
    <row r="75" spans="1:30" s="49" customFormat="1" ht="12.75" x14ac:dyDescent="0.2">
      <c r="A75" s="94">
        <v>70</v>
      </c>
      <c r="B75" s="36" t="s">
        <v>388</v>
      </c>
      <c r="C75" s="148">
        <v>2</v>
      </c>
      <c r="D75" s="57">
        <v>1954.7239466999999</v>
      </c>
      <c r="E75" s="79">
        <f t="shared" ref="E75:E138" si="50">C75*D75</f>
        <v>3909.4478933999999</v>
      </c>
      <c r="F75" s="80">
        <f t="shared" si="36"/>
        <v>210.13282427024996</v>
      </c>
      <c r="G75" s="47"/>
      <c r="H75" s="47">
        <f t="shared" si="42"/>
        <v>386.60095834733329</v>
      </c>
      <c r="I75" s="47">
        <f t="shared" si="43"/>
        <v>154.64038333893333</v>
      </c>
      <c r="J75" s="47">
        <f t="shared" si="37"/>
        <v>325.78732444999997</v>
      </c>
      <c r="K75" s="47">
        <f t="shared" si="44"/>
        <v>325.78732444999997</v>
      </c>
      <c r="L75" s="47">
        <f t="shared" si="45"/>
        <v>108.59577481666666</v>
      </c>
      <c r="M75" s="47">
        <f t="shared" si="46"/>
        <v>162.89366222499999</v>
      </c>
      <c r="N75" s="80">
        <v>0</v>
      </c>
      <c r="O75" s="47"/>
      <c r="P75" s="47"/>
      <c r="Q75" s="47"/>
      <c r="R75" s="47"/>
      <c r="S75" s="136"/>
      <c r="T75" s="47">
        <v>0</v>
      </c>
      <c r="U75" s="81">
        <f t="shared" ref="U75:U138" si="51">SUM(F75:T75)</f>
        <v>1674.4382518981831</v>
      </c>
      <c r="V75" s="47">
        <f t="shared" si="38"/>
        <v>505.43312639600003</v>
      </c>
      <c r="W75" s="47">
        <v>0</v>
      </c>
      <c r="X75" s="47">
        <f t="shared" si="47"/>
        <v>720</v>
      </c>
      <c r="Y75" s="47">
        <f t="shared" si="39"/>
        <v>19.600000000000001</v>
      </c>
      <c r="Z75" s="47">
        <f t="shared" si="48"/>
        <v>42</v>
      </c>
      <c r="AA75" s="47">
        <f t="shared" si="40"/>
        <v>58</v>
      </c>
      <c r="AB75" s="47">
        <f t="shared" si="41"/>
        <v>38</v>
      </c>
      <c r="AC75" s="71">
        <f t="shared" ref="AC75:AC138" si="52">SUM(V75:AB75)</f>
        <v>1383.0331263959999</v>
      </c>
      <c r="AD75" s="118">
        <f t="shared" ref="AD75:AD138" si="53">E75+U75+AC75</f>
        <v>6966.9192716941825</v>
      </c>
    </row>
    <row r="76" spans="1:30" s="49" customFormat="1" ht="12.75" x14ac:dyDescent="0.2">
      <c r="A76" s="94">
        <v>71</v>
      </c>
      <c r="B76" s="36" t="s">
        <v>389</v>
      </c>
      <c r="C76" s="148">
        <v>2</v>
      </c>
      <c r="D76" s="57">
        <v>1604</v>
      </c>
      <c r="E76" s="79">
        <f t="shared" si="50"/>
        <v>3208</v>
      </c>
      <c r="F76" s="80">
        <f t="shared" si="36"/>
        <v>172.43</v>
      </c>
      <c r="G76" s="47"/>
      <c r="H76" s="47">
        <f t="shared" si="42"/>
        <v>317.23555555555561</v>
      </c>
      <c r="I76" s="47">
        <f t="shared" si="43"/>
        <v>126.89422222222225</v>
      </c>
      <c r="J76" s="47">
        <f t="shared" si="37"/>
        <v>267.33333333333331</v>
      </c>
      <c r="K76" s="47">
        <f t="shared" si="44"/>
        <v>267.33333333333331</v>
      </c>
      <c r="L76" s="47">
        <f t="shared" si="45"/>
        <v>89.1111111111111</v>
      </c>
      <c r="M76" s="47">
        <f t="shared" si="46"/>
        <v>133.66666666666666</v>
      </c>
      <c r="N76" s="80">
        <v>0</v>
      </c>
      <c r="O76" s="47"/>
      <c r="P76" s="47"/>
      <c r="Q76" s="47"/>
      <c r="R76" s="47"/>
      <c r="S76" s="136"/>
      <c r="T76" s="47">
        <v>0</v>
      </c>
      <c r="U76" s="81">
        <f t="shared" si="51"/>
        <v>1374.0042222222223</v>
      </c>
      <c r="V76" s="47">
        <f t="shared" si="38"/>
        <v>547.52</v>
      </c>
      <c r="W76" s="47">
        <v>0</v>
      </c>
      <c r="X76" s="47">
        <f t="shared" si="47"/>
        <v>720</v>
      </c>
      <c r="Y76" s="47">
        <f t="shared" si="39"/>
        <v>19.600000000000001</v>
      </c>
      <c r="Z76" s="47">
        <f t="shared" si="48"/>
        <v>42</v>
      </c>
      <c r="AA76" s="47">
        <f t="shared" si="40"/>
        <v>58</v>
      </c>
      <c r="AB76" s="47">
        <f t="shared" si="41"/>
        <v>38</v>
      </c>
      <c r="AC76" s="71">
        <f t="shared" si="52"/>
        <v>1425.12</v>
      </c>
      <c r="AD76" s="118">
        <f t="shared" si="53"/>
        <v>6007.1242222222218</v>
      </c>
    </row>
    <row r="77" spans="1:30" s="49" customFormat="1" ht="12.75" x14ac:dyDescent="0.2">
      <c r="A77" s="94">
        <v>72</v>
      </c>
      <c r="B77" s="36" t="s">
        <v>390</v>
      </c>
      <c r="C77" s="148">
        <v>2</v>
      </c>
      <c r="D77" s="57">
        <v>2216.5886211419997</v>
      </c>
      <c r="E77" s="79">
        <f t="shared" si="50"/>
        <v>4433.1772422839995</v>
      </c>
      <c r="F77" s="80">
        <f t="shared" si="36"/>
        <v>238.28327677276502</v>
      </c>
      <c r="G77" s="47"/>
      <c r="H77" s="47">
        <f t="shared" si="42"/>
        <v>438.39197173697335</v>
      </c>
      <c r="I77" s="47">
        <f t="shared" si="43"/>
        <v>175.35678869478934</v>
      </c>
      <c r="J77" s="47">
        <f t="shared" si="37"/>
        <v>369.43143685699994</v>
      </c>
      <c r="K77" s="47">
        <f t="shared" si="44"/>
        <v>369.43143685699994</v>
      </c>
      <c r="L77" s="47">
        <f t="shared" si="45"/>
        <v>123.14381228566664</v>
      </c>
      <c r="M77" s="47">
        <f t="shared" si="46"/>
        <v>184.71571842849997</v>
      </c>
      <c r="N77" s="80">
        <v>0</v>
      </c>
      <c r="O77" s="47"/>
      <c r="P77" s="47"/>
      <c r="Q77" s="47"/>
      <c r="R77" s="47"/>
      <c r="S77" s="136"/>
      <c r="T77" s="47">
        <v>0</v>
      </c>
      <c r="U77" s="81">
        <f t="shared" si="51"/>
        <v>1898.7544416326941</v>
      </c>
      <c r="V77" s="47">
        <f t="shared" si="38"/>
        <v>474.00936546296003</v>
      </c>
      <c r="W77" s="47">
        <v>0</v>
      </c>
      <c r="X77" s="47">
        <f t="shared" si="47"/>
        <v>720</v>
      </c>
      <c r="Y77" s="47">
        <f t="shared" si="39"/>
        <v>19.600000000000001</v>
      </c>
      <c r="Z77" s="47">
        <f t="shared" si="48"/>
        <v>42</v>
      </c>
      <c r="AA77" s="47">
        <f t="shared" si="40"/>
        <v>58</v>
      </c>
      <c r="AB77" s="47">
        <f t="shared" si="41"/>
        <v>38</v>
      </c>
      <c r="AC77" s="71">
        <f t="shared" si="52"/>
        <v>1351.6093654629599</v>
      </c>
      <c r="AD77" s="118">
        <f t="shared" si="53"/>
        <v>7683.5410493796535</v>
      </c>
    </row>
    <row r="78" spans="1:30" s="49" customFormat="1" ht="12.75" x14ac:dyDescent="0.2">
      <c r="A78" s="94">
        <v>73</v>
      </c>
      <c r="B78" s="36" t="s">
        <v>391</v>
      </c>
      <c r="C78" s="148">
        <v>26</v>
      </c>
      <c r="D78" s="57">
        <v>2475.9907000000003</v>
      </c>
      <c r="E78" s="79">
        <f t="shared" si="50"/>
        <v>64375.758200000011</v>
      </c>
      <c r="F78" s="80">
        <f t="shared" si="36"/>
        <v>5063.0667227555005</v>
      </c>
      <c r="G78" s="47"/>
      <c r="H78" s="47">
        <f t="shared" si="42"/>
        <v>9314.9961410902251</v>
      </c>
      <c r="I78" s="47">
        <f t="shared" si="43"/>
        <v>3725.9984564360902</v>
      </c>
      <c r="J78" s="47">
        <f t="shared" si="37"/>
        <v>7849.7158492333338</v>
      </c>
      <c r="K78" s="47">
        <f t="shared" si="44"/>
        <v>7849.7158492333338</v>
      </c>
      <c r="L78" s="47">
        <f t="shared" si="45"/>
        <v>2616.5719497444447</v>
      </c>
      <c r="M78" s="47">
        <f t="shared" si="46"/>
        <v>3924.8579246166669</v>
      </c>
      <c r="N78" s="80">
        <v>0</v>
      </c>
      <c r="O78" s="47"/>
      <c r="P78" s="47">
        <f t="shared" ref="P78:P83" si="54">(D78/200*24*2)*(C78/2)</f>
        <v>7725.0909840000013</v>
      </c>
      <c r="Q78" s="47">
        <f t="shared" ref="Q78:Q83" si="55">(D78/200*2*24)/20*4*C78/2</f>
        <v>1545.0181968000002</v>
      </c>
      <c r="R78" s="47">
        <f>E78*30%</f>
        <v>19312.727460000002</v>
      </c>
      <c r="S78" s="136">
        <f>(D78*0.1)*5</f>
        <v>1237.9953500000001</v>
      </c>
      <c r="T78" s="47">
        <v>0</v>
      </c>
      <c r="U78" s="81">
        <f t="shared" si="51"/>
        <v>70165.754883909613</v>
      </c>
      <c r="V78" s="47">
        <f t="shared" si="38"/>
        <v>5757.4545079999989</v>
      </c>
      <c r="W78" s="47">
        <v>0</v>
      </c>
      <c r="X78" s="47">
        <f t="shared" si="47"/>
        <v>9360</v>
      </c>
      <c r="Y78" s="47">
        <f t="shared" si="39"/>
        <v>254.8</v>
      </c>
      <c r="Z78" s="47">
        <f t="shared" si="48"/>
        <v>546</v>
      </c>
      <c r="AA78" s="47">
        <f t="shared" si="40"/>
        <v>754</v>
      </c>
      <c r="AB78" s="47">
        <f t="shared" si="41"/>
        <v>494</v>
      </c>
      <c r="AC78" s="71">
        <f t="shared" si="52"/>
        <v>17166.254507999998</v>
      </c>
      <c r="AD78" s="118">
        <f t="shared" si="53"/>
        <v>151707.76759190962</v>
      </c>
    </row>
    <row r="79" spans="1:30" s="49" customFormat="1" ht="12.75" x14ac:dyDescent="0.2">
      <c r="A79" s="94">
        <v>74</v>
      </c>
      <c r="B79" s="364" t="s">
        <v>391</v>
      </c>
      <c r="C79" s="148">
        <v>16</v>
      </c>
      <c r="D79" s="57">
        <v>2475.9907000000003</v>
      </c>
      <c r="E79" s="79">
        <f t="shared" si="50"/>
        <v>39615.851200000005</v>
      </c>
      <c r="F79" s="80">
        <f t="shared" si="36"/>
        <v>3156.5838207339643</v>
      </c>
      <c r="G79" s="47"/>
      <c r="H79" s="47">
        <f t="shared" si="42"/>
        <v>5822.1434915759774</v>
      </c>
      <c r="I79" s="47">
        <f t="shared" si="43"/>
        <v>2328.8573966303911</v>
      </c>
      <c r="J79" s="47">
        <f t="shared" si="37"/>
        <v>5260.9730345566068</v>
      </c>
      <c r="K79" s="47"/>
      <c r="L79" s="47">
        <f t="shared" si="45"/>
        <v>1753.6576781855356</v>
      </c>
      <c r="M79" s="47">
        <f t="shared" si="46"/>
        <v>2630.4865172783034</v>
      </c>
      <c r="N79" s="80">
        <f>(E79/220)*(137.13)*(20%)</f>
        <v>4938.6560682327281</v>
      </c>
      <c r="O79" s="47">
        <f>(N79/25)*5</f>
        <v>987.7312136465456</v>
      </c>
      <c r="P79" s="47">
        <f t="shared" si="54"/>
        <v>4753.9021440000006</v>
      </c>
      <c r="Q79" s="47">
        <f t="shared" si="55"/>
        <v>950.7804288000001</v>
      </c>
      <c r="R79" s="47">
        <f>E79*30%</f>
        <v>11884.755360000001</v>
      </c>
      <c r="S79" s="136"/>
      <c r="T79" s="47">
        <v>0</v>
      </c>
      <c r="U79" s="81">
        <f t="shared" si="51"/>
        <v>44468.527153640054</v>
      </c>
      <c r="V79" s="47">
        <f t="shared" si="38"/>
        <v>3543.0489279999997</v>
      </c>
      <c r="W79" s="47">
        <v>0</v>
      </c>
      <c r="X79" s="47">
        <f t="shared" si="47"/>
        <v>5760</v>
      </c>
      <c r="Y79" s="47">
        <f t="shared" si="39"/>
        <v>156.80000000000001</v>
      </c>
      <c r="Z79" s="47">
        <f t="shared" si="48"/>
        <v>336</v>
      </c>
      <c r="AA79" s="47">
        <f t="shared" si="40"/>
        <v>464</v>
      </c>
      <c r="AB79" s="47">
        <f t="shared" si="41"/>
        <v>304</v>
      </c>
      <c r="AC79" s="71">
        <f t="shared" si="52"/>
        <v>10563.848927999999</v>
      </c>
      <c r="AD79" s="118">
        <f t="shared" si="53"/>
        <v>94648.227281640051</v>
      </c>
    </row>
    <row r="80" spans="1:30" s="49" customFormat="1" ht="12.75" x14ac:dyDescent="0.2">
      <c r="A80" s="94">
        <v>75</v>
      </c>
      <c r="B80" s="36" t="s">
        <v>399</v>
      </c>
      <c r="C80" s="148">
        <v>1</v>
      </c>
      <c r="D80" s="57">
        <v>4195.9728999999998</v>
      </c>
      <c r="E80" s="79">
        <f t="shared" si="50"/>
        <v>4195.9728999999998</v>
      </c>
      <c r="F80" s="80">
        <f t="shared" si="36"/>
        <v>209.79864499999996</v>
      </c>
      <c r="G80" s="47"/>
      <c r="H80" s="47">
        <f t="shared" si="42"/>
        <v>386.9619452222222</v>
      </c>
      <c r="I80" s="47">
        <f t="shared" si="43"/>
        <v>154.78477808888888</v>
      </c>
      <c r="J80" s="47">
        <f t="shared" si="37"/>
        <v>349.66440833333331</v>
      </c>
      <c r="K80" s="47"/>
      <c r="L80" s="47">
        <f t="shared" si="45"/>
        <v>116.55480277777777</v>
      </c>
      <c r="M80" s="47">
        <f t="shared" si="46"/>
        <v>174.83220416666666</v>
      </c>
      <c r="N80" s="80">
        <v>0</v>
      </c>
      <c r="O80" s="47"/>
      <c r="P80" s="47"/>
      <c r="Q80" s="47"/>
      <c r="R80" s="47"/>
      <c r="S80" s="136"/>
      <c r="T80" s="47">
        <v>0</v>
      </c>
      <c r="U80" s="81">
        <f t="shared" si="51"/>
        <v>1392.5967835888887</v>
      </c>
      <c r="V80" s="47">
        <f t="shared" si="38"/>
        <v>118.24162600000002</v>
      </c>
      <c r="W80" s="47">
        <v>0</v>
      </c>
      <c r="X80" s="47">
        <f t="shared" si="47"/>
        <v>360</v>
      </c>
      <c r="Y80" s="47">
        <f t="shared" si="39"/>
        <v>9.8000000000000007</v>
      </c>
      <c r="Z80" s="47">
        <f t="shared" si="48"/>
        <v>21</v>
      </c>
      <c r="AA80" s="47">
        <f t="shared" si="40"/>
        <v>29</v>
      </c>
      <c r="AB80" s="47">
        <f t="shared" si="41"/>
        <v>19</v>
      </c>
      <c r="AC80" s="71">
        <f t="shared" si="52"/>
        <v>557.04162599999995</v>
      </c>
      <c r="AD80" s="118">
        <f t="shared" si="53"/>
        <v>6145.6113095888886</v>
      </c>
    </row>
    <row r="81" spans="1:30" s="49" customFormat="1" ht="12.75" x14ac:dyDescent="0.2">
      <c r="A81" s="94">
        <v>76</v>
      </c>
      <c r="B81" s="36" t="s">
        <v>393</v>
      </c>
      <c r="C81" s="148">
        <v>1</v>
      </c>
      <c r="D81" s="57">
        <v>5372.2025000000003</v>
      </c>
      <c r="E81" s="79">
        <f t="shared" si="50"/>
        <v>5372.2025000000003</v>
      </c>
      <c r="F81" s="80">
        <f t="shared" si="36"/>
        <v>307.28998300000001</v>
      </c>
      <c r="G81" s="47"/>
      <c r="H81" s="47">
        <f t="shared" si="42"/>
        <v>566.77930197777789</v>
      </c>
      <c r="I81" s="47">
        <f t="shared" si="43"/>
        <v>226.71172079111116</v>
      </c>
      <c r="J81" s="47">
        <f t="shared" si="37"/>
        <v>512.14997166666672</v>
      </c>
      <c r="K81" s="47"/>
      <c r="L81" s="47">
        <f t="shared" si="45"/>
        <v>170.71665722222224</v>
      </c>
      <c r="M81" s="47">
        <f t="shared" si="46"/>
        <v>256.07498583333336</v>
      </c>
      <c r="N81" s="80">
        <v>0</v>
      </c>
      <c r="O81" s="47"/>
      <c r="P81" s="47">
        <f t="shared" si="54"/>
        <v>644.66430000000003</v>
      </c>
      <c r="Q81" s="47">
        <f t="shared" si="55"/>
        <v>128.93286000000001</v>
      </c>
      <c r="R81" s="47"/>
      <c r="S81" s="136"/>
      <c r="T81" s="47">
        <v>0</v>
      </c>
      <c r="U81" s="81">
        <f t="shared" si="51"/>
        <v>2813.3197804911115</v>
      </c>
      <c r="V81" s="47">
        <f t="shared" si="38"/>
        <v>47.667849999999987</v>
      </c>
      <c r="W81" s="47">
        <v>0</v>
      </c>
      <c r="X81" s="47">
        <f t="shared" si="47"/>
        <v>360</v>
      </c>
      <c r="Y81" s="47">
        <f t="shared" si="39"/>
        <v>9.8000000000000007</v>
      </c>
      <c r="Z81" s="47">
        <f t="shared" si="48"/>
        <v>21</v>
      </c>
      <c r="AA81" s="47">
        <f t="shared" si="40"/>
        <v>29</v>
      </c>
      <c r="AB81" s="47">
        <f t="shared" si="41"/>
        <v>19</v>
      </c>
      <c r="AC81" s="71">
        <f t="shared" si="52"/>
        <v>486.46785</v>
      </c>
      <c r="AD81" s="118">
        <f t="shared" si="53"/>
        <v>8671.9901304911109</v>
      </c>
    </row>
    <row r="82" spans="1:30" s="49" customFormat="1" ht="12.75" x14ac:dyDescent="0.2">
      <c r="A82" s="94">
        <v>77</v>
      </c>
      <c r="B82" s="36" t="s">
        <v>394</v>
      </c>
      <c r="C82" s="148">
        <v>1</v>
      </c>
      <c r="D82" s="57">
        <v>3760.5471000000002</v>
      </c>
      <c r="E82" s="79">
        <f t="shared" si="50"/>
        <v>3760.5471000000002</v>
      </c>
      <c r="F82" s="80">
        <f t="shared" si="36"/>
        <v>215.10329412000002</v>
      </c>
      <c r="G82" s="47"/>
      <c r="H82" s="47">
        <f t="shared" si="42"/>
        <v>396.74607582133336</v>
      </c>
      <c r="I82" s="47">
        <f t="shared" si="43"/>
        <v>158.69843032853336</v>
      </c>
      <c r="J82" s="47">
        <f t="shared" si="37"/>
        <v>358.5054902</v>
      </c>
      <c r="K82" s="47"/>
      <c r="L82" s="47">
        <f t="shared" si="45"/>
        <v>119.50183006666667</v>
      </c>
      <c r="M82" s="47">
        <f t="shared" si="46"/>
        <v>179.2527451</v>
      </c>
      <c r="N82" s="80">
        <v>0</v>
      </c>
      <c r="O82" s="47"/>
      <c r="P82" s="47">
        <f t="shared" si="54"/>
        <v>451.26565200000005</v>
      </c>
      <c r="Q82" s="47">
        <f t="shared" si="55"/>
        <v>90.253130400000003</v>
      </c>
      <c r="R82" s="47"/>
      <c r="S82" s="136"/>
      <c r="T82" s="47">
        <v>0</v>
      </c>
      <c r="U82" s="81">
        <f t="shared" si="51"/>
        <v>1969.3266480365335</v>
      </c>
      <c r="V82" s="47">
        <f t="shared" si="38"/>
        <v>144.36717400000001</v>
      </c>
      <c r="W82" s="47">
        <v>0</v>
      </c>
      <c r="X82" s="47">
        <f t="shared" si="47"/>
        <v>360</v>
      </c>
      <c r="Y82" s="47">
        <f t="shared" si="39"/>
        <v>9.8000000000000007</v>
      </c>
      <c r="Z82" s="47">
        <f t="shared" si="48"/>
        <v>21</v>
      </c>
      <c r="AA82" s="47">
        <f t="shared" si="40"/>
        <v>29</v>
      </c>
      <c r="AB82" s="47">
        <f t="shared" si="41"/>
        <v>19</v>
      </c>
      <c r="AC82" s="71">
        <f t="shared" si="52"/>
        <v>583.16717399999993</v>
      </c>
      <c r="AD82" s="118">
        <f t="shared" si="53"/>
        <v>6313.0409220365336</v>
      </c>
    </row>
    <row r="83" spans="1:30" s="49" customFormat="1" ht="12.75" x14ac:dyDescent="0.2">
      <c r="A83" s="94">
        <v>78</v>
      </c>
      <c r="B83" s="36" t="s">
        <v>395</v>
      </c>
      <c r="C83" s="148">
        <v>4</v>
      </c>
      <c r="D83" s="57">
        <v>1759.2515520300001</v>
      </c>
      <c r="E83" s="79">
        <f t="shared" si="50"/>
        <v>7037.0062081200003</v>
      </c>
      <c r="F83" s="80">
        <f t="shared" si="36"/>
        <v>455.15228208552736</v>
      </c>
      <c r="G83" s="47"/>
      <c r="H83" s="47">
        <f t="shared" si="42"/>
        <v>839.50309806886162</v>
      </c>
      <c r="I83" s="47">
        <f t="shared" si="43"/>
        <v>335.80123922754467</v>
      </c>
      <c r="J83" s="47">
        <f t="shared" si="37"/>
        <v>758.58713680921244</v>
      </c>
      <c r="K83" s="47"/>
      <c r="L83" s="47">
        <f t="shared" si="45"/>
        <v>252.86237893640416</v>
      </c>
      <c r="M83" s="47">
        <f t="shared" si="46"/>
        <v>379.29356840460622</v>
      </c>
      <c r="N83" s="80">
        <f>(E83/220)*(137.13)*(20%)</f>
        <v>877.25878301772343</v>
      </c>
      <c r="O83" s="47">
        <f>(N83/25)*5</f>
        <v>175.45175660354471</v>
      </c>
      <c r="P83" s="47">
        <f t="shared" si="54"/>
        <v>844.4407449744001</v>
      </c>
      <c r="Q83" s="47">
        <f t="shared" si="55"/>
        <v>168.88814899488003</v>
      </c>
      <c r="R83" s="47"/>
      <c r="S83" s="136"/>
      <c r="T83" s="47">
        <v>0</v>
      </c>
      <c r="U83" s="81">
        <f t="shared" si="51"/>
        <v>5087.239137122705</v>
      </c>
      <c r="V83" s="47">
        <f t="shared" si="38"/>
        <v>1057.7796275128001</v>
      </c>
      <c r="W83" s="47">
        <v>0</v>
      </c>
      <c r="X83" s="47">
        <f t="shared" si="47"/>
        <v>1440</v>
      </c>
      <c r="Y83" s="47">
        <f t="shared" si="39"/>
        <v>39.200000000000003</v>
      </c>
      <c r="Z83" s="47">
        <f t="shared" si="48"/>
        <v>84</v>
      </c>
      <c r="AA83" s="47">
        <f t="shared" si="40"/>
        <v>116</v>
      </c>
      <c r="AB83" s="47">
        <f t="shared" si="41"/>
        <v>76</v>
      </c>
      <c r="AC83" s="71">
        <f t="shared" si="52"/>
        <v>2812.9796275128001</v>
      </c>
      <c r="AD83" s="118">
        <f t="shared" si="53"/>
        <v>14937.224972755506</v>
      </c>
    </row>
    <row r="84" spans="1:30" s="49" customFormat="1" ht="22.5" x14ac:dyDescent="0.2">
      <c r="A84" s="94">
        <v>79</v>
      </c>
      <c r="B84" s="36" t="s">
        <v>406</v>
      </c>
      <c r="C84" s="148">
        <v>1</v>
      </c>
      <c r="D84" s="57">
        <v>8626.8483514359996</v>
      </c>
      <c r="E84" s="79">
        <f t="shared" si="50"/>
        <v>8626.8483514359996</v>
      </c>
      <c r="F84" s="80">
        <f t="shared" si="36"/>
        <v>463.69309888968496</v>
      </c>
      <c r="G84" s="47"/>
      <c r="H84" s="47">
        <f>(E84+J84+L84+K84+M84+N84+O84+P84+Q84+R84+S84+T84)*8%</f>
        <v>853.09944808644889</v>
      </c>
      <c r="I84" s="47">
        <f>H84*40%</f>
        <v>341.2397792345796</v>
      </c>
      <c r="J84" s="47">
        <f t="shared" si="37"/>
        <v>718.9040292863333</v>
      </c>
      <c r="K84" s="47">
        <f>(E84+N84+O84+P84+Q84+R84+S84+T84)/12</f>
        <v>718.9040292863333</v>
      </c>
      <c r="L84" s="47">
        <f>J84/3</f>
        <v>239.63467642877777</v>
      </c>
      <c r="M84" s="47">
        <f>(E84+N84+O84+P84+Q84+R84+S84+T84)/12/2</f>
        <v>359.45201464316665</v>
      </c>
      <c r="N84" s="80">
        <v>0</v>
      </c>
      <c r="O84" s="47"/>
      <c r="P84" s="47"/>
      <c r="Q84" s="47"/>
      <c r="R84" s="47"/>
      <c r="S84" s="136"/>
      <c r="T84" s="47">
        <v>0</v>
      </c>
      <c r="U84" s="81">
        <f t="shared" si="51"/>
        <v>3694.9270758553248</v>
      </c>
      <c r="V84" s="47"/>
      <c r="W84" s="47">
        <v>0</v>
      </c>
      <c r="X84" s="47">
        <f t="shared" si="47"/>
        <v>360</v>
      </c>
      <c r="Y84" s="47">
        <f t="shared" si="39"/>
        <v>9.8000000000000007</v>
      </c>
      <c r="Z84" s="47">
        <f t="shared" si="48"/>
        <v>21</v>
      </c>
      <c r="AA84" s="47">
        <f t="shared" si="40"/>
        <v>29</v>
      </c>
      <c r="AB84" s="47">
        <f t="shared" si="41"/>
        <v>19</v>
      </c>
      <c r="AC84" s="71">
        <f t="shared" si="52"/>
        <v>438.8</v>
      </c>
      <c r="AD84" s="118">
        <f t="shared" si="53"/>
        <v>12760.575427291324</v>
      </c>
    </row>
    <row r="85" spans="1:30" s="49" customFormat="1" ht="12.75" x14ac:dyDescent="0.2">
      <c r="A85" s="94">
        <v>80</v>
      </c>
      <c r="B85" s="36" t="s">
        <v>407</v>
      </c>
      <c r="C85" s="148">
        <v>2</v>
      </c>
      <c r="D85" s="57">
        <v>4664.5671649779988</v>
      </c>
      <c r="E85" s="79">
        <f t="shared" si="50"/>
        <v>9329.1343299559976</v>
      </c>
      <c r="F85" s="80">
        <f t="shared" si="36"/>
        <v>466.4567164977999</v>
      </c>
      <c r="G85" s="47"/>
      <c r="H85" s="47">
        <f t="shared" si="42"/>
        <v>860.35349931816427</v>
      </c>
      <c r="I85" s="47">
        <f t="shared" si="43"/>
        <v>344.14139972726571</v>
      </c>
      <c r="J85" s="47">
        <f t="shared" si="37"/>
        <v>777.42786082966643</v>
      </c>
      <c r="K85" s="47"/>
      <c r="L85" s="47">
        <f t="shared" si="45"/>
        <v>259.14262027655548</v>
      </c>
      <c r="M85" s="47">
        <f t="shared" si="46"/>
        <v>388.71393041483321</v>
      </c>
      <c r="N85" s="80">
        <v>0</v>
      </c>
      <c r="O85" s="47"/>
      <c r="P85" s="47"/>
      <c r="Q85" s="47"/>
      <c r="R85" s="47"/>
      <c r="S85" s="136"/>
      <c r="T85" s="47">
        <v>0</v>
      </c>
      <c r="U85" s="81">
        <f t="shared" si="51"/>
        <v>3096.2360270642848</v>
      </c>
      <c r="V85" s="47">
        <f t="shared" si="38"/>
        <v>180.25194020264018</v>
      </c>
      <c r="W85" s="47">
        <v>0</v>
      </c>
      <c r="X85" s="47">
        <f t="shared" si="47"/>
        <v>720</v>
      </c>
      <c r="Y85" s="47">
        <f t="shared" si="39"/>
        <v>19.600000000000001</v>
      </c>
      <c r="Z85" s="47">
        <f t="shared" si="48"/>
        <v>42</v>
      </c>
      <c r="AA85" s="47">
        <f t="shared" si="40"/>
        <v>58</v>
      </c>
      <c r="AB85" s="47">
        <f t="shared" si="41"/>
        <v>38</v>
      </c>
      <c r="AC85" s="71">
        <f t="shared" si="52"/>
        <v>1057.8519402026402</v>
      </c>
      <c r="AD85" s="118">
        <f t="shared" si="53"/>
        <v>13483.222297222921</v>
      </c>
    </row>
    <row r="86" spans="1:30" s="49" customFormat="1" ht="12.75" x14ac:dyDescent="0.2">
      <c r="A86" s="94">
        <v>81</v>
      </c>
      <c r="B86" s="36" t="s">
        <v>408</v>
      </c>
      <c r="C86" s="148">
        <v>1</v>
      </c>
      <c r="D86" s="57">
        <v>6971.8487432299989</v>
      </c>
      <c r="E86" s="79">
        <f t="shared" si="50"/>
        <v>6971.8487432299989</v>
      </c>
      <c r="F86" s="80">
        <f t="shared" si="36"/>
        <v>348.59243716149996</v>
      </c>
      <c r="G86" s="47"/>
      <c r="H86" s="47">
        <f t="shared" si="42"/>
        <v>642.95938409787766</v>
      </c>
      <c r="I86" s="47">
        <f t="shared" si="43"/>
        <v>257.18375363915106</v>
      </c>
      <c r="J86" s="47">
        <f t="shared" si="37"/>
        <v>580.98739526916654</v>
      </c>
      <c r="K86" s="47"/>
      <c r="L86" s="47">
        <f t="shared" si="45"/>
        <v>193.66246508972219</v>
      </c>
      <c r="M86" s="47">
        <f t="shared" si="46"/>
        <v>290.49369763458327</v>
      </c>
      <c r="N86" s="80">
        <v>0</v>
      </c>
      <c r="O86" s="47"/>
      <c r="P86" s="47"/>
      <c r="Q86" s="47"/>
      <c r="R86" s="47"/>
      <c r="S86" s="136"/>
      <c r="T86" s="47">
        <v>0</v>
      </c>
      <c r="U86" s="81">
        <f t="shared" si="51"/>
        <v>2313.8791328920006</v>
      </c>
      <c r="V86" s="47"/>
      <c r="W86" s="47">
        <v>0</v>
      </c>
      <c r="X86" s="47">
        <f t="shared" si="47"/>
        <v>360</v>
      </c>
      <c r="Y86" s="47">
        <f t="shared" si="39"/>
        <v>9.8000000000000007</v>
      </c>
      <c r="Z86" s="47">
        <f t="shared" si="48"/>
        <v>21</v>
      </c>
      <c r="AA86" s="47">
        <f t="shared" si="40"/>
        <v>29</v>
      </c>
      <c r="AB86" s="47">
        <f t="shared" si="41"/>
        <v>19</v>
      </c>
      <c r="AC86" s="71">
        <f t="shared" si="52"/>
        <v>438.8</v>
      </c>
      <c r="AD86" s="118">
        <f t="shared" si="53"/>
        <v>9724.5278761219997</v>
      </c>
    </row>
    <row r="87" spans="1:30" s="49" customFormat="1" ht="12.75" x14ac:dyDescent="0.2">
      <c r="A87" s="94">
        <v>82</v>
      </c>
      <c r="B87" s="36" t="s">
        <v>381</v>
      </c>
      <c r="C87" s="148">
        <v>4</v>
      </c>
      <c r="D87" s="57">
        <v>3432.9771878639999</v>
      </c>
      <c r="E87" s="79">
        <f t="shared" si="50"/>
        <v>13731.908751456</v>
      </c>
      <c r="F87" s="80">
        <f t="shared" si="36"/>
        <v>686.59543757280005</v>
      </c>
      <c r="G87" s="47"/>
      <c r="H87" s="47">
        <f t="shared" si="42"/>
        <v>1266.3871404120534</v>
      </c>
      <c r="I87" s="47">
        <f t="shared" si="43"/>
        <v>506.55485616482139</v>
      </c>
      <c r="J87" s="47">
        <f t="shared" si="37"/>
        <v>1144.325729288</v>
      </c>
      <c r="K87" s="47"/>
      <c r="L87" s="47">
        <f t="shared" si="45"/>
        <v>381.44190976266668</v>
      </c>
      <c r="M87" s="47">
        <f t="shared" si="46"/>
        <v>572.16286464400002</v>
      </c>
      <c r="N87" s="80">
        <v>0</v>
      </c>
      <c r="O87" s="47"/>
      <c r="P87" s="47"/>
      <c r="Q87" s="47"/>
      <c r="R87" s="47"/>
      <c r="S87" s="136"/>
      <c r="T87" s="47">
        <v>0</v>
      </c>
      <c r="U87" s="81">
        <f t="shared" si="51"/>
        <v>4557.4679378443425</v>
      </c>
      <c r="V87" s="47">
        <f t="shared" si="38"/>
        <v>656.08547491264005</v>
      </c>
      <c r="W87" s="47">
        <v>0</v>
      </c>
      <c r="X87" s="47">
        <f t="shared" si="47"/>
        <v>1440</v>
      </c>
      <c r="Y87" s="47">
        <f t="shared" si="39"/>
        <v>39.200000000000003</v>
      </c>
      <c r="Z87" s="47">
        <f t="shared" si="48"/>
        <v>84</v>
      </c>
      <c r="AA87" s="47">
        <f t="shared" si="40"/>
        <v>116</v>
      </c>
      <c r="AB87" s="47">
        <f t="shared" si="41"/>
        <v>76</v>
      </c>
      <c r="AC87" s="71">
        <f t="shared" si="52"/>
        <v>2411.28547491264</v>
      </c>
      <c r="AD87" s="118">
        <f t="shared" si="53"/>
        <v>20700.662164212983</v>
      </c>
    </row>
    <row r="88" spans="1:30" s="49" customFormat="1" ht="12.75" x14ac:dyDescent="0.2">
      <c r="A88" s="94">
        <v>83</v>
      </c>
      <c r="B88" s="36" t="s">
        <v>382</v>
      </c>
      <c r="C88" s="148">
        <v>4</v>
      </c>
      <c r="D88" s="57">
        <v>3432.9771878639999</v>
      </c>
      <c r="E88" s="79">
        <f t="shared" si="50"/>
        <v>13731.908751456</v>
      </c>
      <c r="F88" s="80">
        <f t="shared" si="36"/>
        <v>686.59543757280005</v>
      </c>
      <c r="G88" s="47"/>
      <c r="H88" s="47">
        <f t="shared" si="42"/>
        <v>1266.3871404120534</v>
      </c>
      <c r="I88" s="47">
        <f t="shared" si="43"/>
        <v>506.55485616482139</v>
      </c>
      <c r="J88" s="47">
        <f t="shared" si="37"/>
        <v>1144.325729288</v>
      </c>
      <c r="K88" s="47"/>
      <c r="L88" s="47">
        <f t="shared" si="45"/>
        <v>381.44190976266668</v>
      </c>
      <c r="M88" s="47">
        <f t="shared" si="46"/>
        <v>572.16286464400002</v>
      </c>
      <c r="N88" s="80">
        <v>0</v>
      </c>
      <c r="O88" s="47"/>
      <c r="P88" s="47"/>
      <c r="Q88" s="47"/>
      <c r="R88" s="47"/>
      <c r="S88" s="136"/>
      <c r="T88" s="47">
        <v>0</v>
      </c>
      <c r="U88" s="81">
        <f t="shared" si="51"/>
        <v>4557.4679378443425</v>
      </c>
      <c r="V88" s="47">
        <f t="shared" si="38"/>
        <v>656.08547491264005</v>
      </c>
      <c r="W88" s="47">
        <v>0</v>
      </c>
      <c r="X88" s="47">
        <f t="shared" si="47"/>
        <v>1440</v>
      </c>
      <c r="Y88" s="47">
        <f t="shared" si="39"/>
        <v>39.200000000000003</v>
      </c>
      <c r="Z88" s="47">
        <f t="shared" si="48"/>
        <v>84</v>
      </c>
      <c r="AA88" s="47">
        <f t="shared" si="40"/>
        <v>116</v>
      </c>
      <c r="AB88" s="47">
        <f t="shared" si="41"/>
        <v>76</v>
      </c>
      <c r="AC88" s="71">
        <f t="shared" si="52"/>
        <v>2411.28547491264</v>
      </c>
      <c r="AD88" s="118">
        <f t="shared" si="53"/>
        <v>20700.662164212983</v>
      </c>
    </row>
    <row r="89" spans="1:30" s="49" customFormat="1" ht="12.75" x14ac:dyDescent="0.2">
      <c r="A89" s="94">
        <v>84</v>
      </c>
      <c r="B89" s="36" t="s">
        <v>383</v>
      </c>
      <c r="C89" s="148">
        <v>3</v>
      </c>
      <c r="D89" s="57">
        <v>3432.9771878639999</v>
      </c>
      <c r="E89" s="79">
        <f t="shared" si="50"/>
        <v>10298.931563591999</v>
      </c>
      <c r="F89" s="80">
        <f t="shared" si="36"/>
        <v>514.94657817960001</v>
      </c>
      <c r="G89" s="47"/>
      <c r="H89" s="47">
        <f t="shared" si="42"/>
        <v>949.79035530904002</v>
      </c>
      <c r="I89" s="47">
        <f t="shared" si="43"/>
        <v>379.91614212361605</v>
      </c>
      <c r="J89" s="47">
        <f t="shared" si="37"/>
        <v>858.24429696599998</v>
      </c>
      <c r="K89" s="47"/>
      <c r="L89" s="47">
        <f t="shared" si="45"/>
        <v>286.08143232200001</v>
      </c>
      <c r="M89" s="47">
        <f t="shared" si="46"/>
        <v>429.12214848299999</v>
      </c>
      <c r="N89" s="80">
        <v>0</v>
      </c>
      <c r="O89" s="47"/>
      <c r="P89" s="47"/>
      <c r="Q89" s="47"/>
      <c r="R89" s="47"/>
      <c r="S89" s="136"/>
      <c r="T89" s="47">
        <v>0</v>
      </c>
      <c r="U89" s="81">
        <f t="shared" si="51"/>
        <v>3418.1009533832562</v>
      </c>
      <c r="V89" s="47">
        <f t="shared" si="38"/>
        <v>492.06410618448001</v>
      </c>
      <c r="W89" s="47">
        <v>0</v>
      </c>
      <c r="X89" s="47">
        <f t="shared" si="47"/>
        <v>1080</v>
      </c>
      <c r="Y89" s="47">
        <f t="shared" si="39"/>
        <v>29.400000000000002</v>
      </c>
      <c r="Z89" s="47">
        <f t="shared" si="48"/>
        <v>63</v>
      </c>
      <c r="AA89" s="47">
        <f t="shared" si="40"/>
        <v>87</v>
      </c>
      <c r="AB89" s="47">
        <f t="shared" si="41"/>
        <v>57</v>
      </c>
      <c r="AC89" s="71">
        <f t="shared" si="52"/>
        <v>1808.46410618448</v>
      </c>
      <c r="AD89" s="118">
        <f t="shared" si="53"/>
        <v>15525.496623159735</v>
      </c>
    </row>
    <row r="90" spans="1:30" s="49" customFormat="1" ht="12.75" x14ac:dyDescent="0.2">
      <c r="A90" s="94">
        <v>85</v>
      </c>
      <c r="B90" s="36" t="s">
        <v>384</v>
      </c>
      <c r="C90" s="148">
        <v>4</v>
      </c>
      <c r="D90" s="57">
        <v>3432.9771878639999</v>
      </c>
      <c r="E90" s="79">
        <f t="shared" si="50"/>
        <v>13731.908751456</v>
      </c>
      <c r="F90" s="80">
        <f t="shared" si="36"/>
        <v>686.59543757280005</v>
      </c>
      <c r="G90" s="47"/>
      <c r="H90" s="47">
        <f t="shared" si="42"/>
        <v>1266.3871404120534</v>
      </c>
      <c r="I90" s="47">
        <f t="shared" si="43"/>
        <v>506.55485616482139</v>
      </c>
      <c r="J90" s="47">
        <f t="shared" si="37"/>
        <v>1144.325729288</v>
      </c>
      <c r="K90" s="47"/>
      <c r="L90" s="47">
        <f t="shared" si="45"/>
        <v>381.44190976266668</v>
      </c>
      <c r="M90" s="47">
        <f t="shared" si="46"/>
        <v>572.16286464400002</v>
      </c>
      <c r="N90" s="80">
        <v>0</v>
      </c>
      <c r="O90" s="47"/>
      <c r="P90" s="47"/>
      <c r="Q90" s="47"/>
      <c r="R90" s="47"/>
      <c r="S90" s="136"/>
      <c r="T90" s="47">
        <v>0</v>
      </c>
      <c r="U90" s="81">
        <f t="shared" si="51"/>
        <v>4557.4679378443425</v>
      </c>
      <c r="V90" s="47">
        <f t="shared" si="38"/>
        <v>656.08547491264005</v>
      </c>
      <c r="W90" s="47">
        <v>0</v>
      </c>
      <c r="X90" s="47">
        <f t="shared" si="47"/>
        <v>1440</v>
      </c>
      <c r="Y90" s="47">
        <f t="shared" si="39"/>
        <v>39.200000000000003</v>
      </c>
      <c r="Z90" s="47">
        <f t="shared" si="48"/>
        <v>84</v>
      </c>
      <c r="AA90" s="47">
        <f t="shared" si="40"/>
        <v>116</v>
      </c>
      <c r="AB90" s="47">
        <f t="shared" si="41"/>
        <v>76</v>
      </c>
      <c r="AC90" s="71">
        <f t="shared" si="52"/>
        <v>2411.28547491264</v>
      </c>
      <c r="AD90" s="118">
        <f t="shared" si="53"/>
        <v>20700.662164212983</v>
      </c>
    </row>
    <row r="91" spans="1:30" s="49" customFormat="1" ht="12.75" x14ac:dyDescent="0.2">
      <c r="A91" s="94">
        <v>86</v>
      </c>
      <c r="B91" s="36" t="s">
        <v>385</v>
      </c>
      <c r="C91" s="148">
        <v>4</v>
      </c>
      <c r="D91" s="57">
        <v>3432.9771878639999</v>
      </c>
      <c r="E91" s="79">
        <f t="shared" si="50"/>
        <v>13731.908751456</v>
      </c>
      <c r="F91" s="80">
        <f t="shared" si="36"/>
        <v>686.59543757280005</v>
      </c>
      <c r="G91" s="47"/>
      <c r="H91" s="47">
        <f t="shared" si="42"/>
        <v>1266.3871404120534</v>
      </c>
      <c r="I91" s="47">
        <f t="shared" si="43"/>
        <v>506.55485616482139</v>
      </c>
      <c r="J91" s="47">
        <f t="shared" si="37"/>
        <v>1144.325729288</v>
      </c>
      <c r="K91" s="47"/>
      <c r="L91" s="47">
        <f t="shared" si="45"/>
        <v>381.44190976266668</v>
      </c>
      <c r="M91" s="47">
        <f t="shared" si="46"/>
        <v>572.16286464400002</v>
      </c>
      <c r="N91" s="80">
        <v>0</v>
      </c>
      <c r="O91" s="47"/>
      <c r="P91" s="47"/>
      <c r="Q91" s="47"/>
      <c r="R91" s="47"/>
      <c r="S91" s="136"/>
      <c r="T91" s="47">
        <v>0</v>
      </c>
      <c r="U91" s="81">
        <f t="shared" si="51"/>
        <v>4557.4679378443425</v>
      </c>
      <c r="V91" s="47">
        <f t="shared" si="38"/>
        <v>656.08547491264005</v>
      </c>
      <c r="W91" s="47">
        <v>0</v>
      </c>
      <c r="X91" s="47">
        <f t="shared" si="47"/>
        <v>1440</v>
      </c>
      <c r="Y91" s="47">
        <f t="shared" si="39"/>
        <v>39.200000000000003</v>
      </c>
      <c r="Z91" s="47">
        <f t="shared" si="48"/>
        <v>84</v>
      </c>
      <c r="AA91" s="47">
        <f t="shared" si="40"/>
        <v>116</v>
      </c>
      <c r="AB91" s="47">
        <f t="shared" si="41"/>
        <v>76</v>
      </c>
      <c r="AC91" s="71">
        <f t="shared" si="52"/>
        <v>2411.28547491264</v>
      </c>
      <c r="AD91" s="118">
        <f t="shared" si="53"/>
        <v>20700.662164212983</v>
      </c>
    </row>
    <row r="92" spans="1:30" s="49" customFormat="1" ht="12.75" x14ac:dyDescent="0.2">
      <c r="A92" s="94">
        <v>87</v>
      </c>
      <c r="B92" s="36" t="s">
        <v>386</v>
      </c>
      <c r="C92" s="148">
        <v>2</v>
      </c>
      <c r="D92" s="57">
        <v>3432.9771878639999</v>
      </c>
      <c r="E92" s="79">
        <f t="shared" si="50"/>
        <v>6865.9543757279998</v>
      </c>
      <c r="F92" s="80">
        <f t="shared" si="36"/>
        <v>343.29771878640003</v>
      </c>
      <c r="G92" s="47"/>
      <c r="H92" s="47">
        <f t="shared" si="42"/>
        <v>633.19357020602672</v>
      </c>
      <c r="I92" s="47">
        <f t="shared" si="43"/>
        <v>253.27742808241069</v>
      </c>
      <c r="J92" s="47">
        <f t="shared" si="37"/>
        <v>572.16286464400002</v>
      </c>
      <c r="K92" s="47"/>
      <c r="L92" s="47">
        <f t="shared" si="45"/>
        <v>190.72095488133334</v>
      </c>
      <c r="M92" s="47">
        <f t="shared" si="46"/>
        <v>286.08143232200001</v>
      </c>
      <c r="N92" s="80">
        <v>0</v>
      </c>
      <c r="O92" s="47"/>
      <c r="P92" s="47"/>
      <c r="Q92" s="47"/>
      <c r="R92" s="47"/>
      <c r="S92" s="136"/>
      <c r="T92" s="47">
        <v>0</v>
      </c>
      <c r="U92" s="81">
        <f t="shared" si="51"/>
        <v>2278.7339689221712</v>
      </c>
      <c r="V92" s="47">
        <f t="shared" si="38"/>
        <v>328.04273745632003</v>
      </c>
      <c r="W92" s="47">
        <v>0</v>
      </c>
      <c r="X92" s="47">
        <f t="shared" si="47"/>
        <v>720</v>
      </c>
      <c r="Y92" s="47">
        <f t="shared" si="39"/>
        <v>19.600000000000001</v>
      </c>
      <c r="Z92" s="47">
        <f t="shared" si="48"/>
        <v>42</v>
      </c>
      <c r="AA92" s="47">
        <f t="shared" si="40"/>
        <v>58</v>
      </c>
      <c r="AB92" s="47">
        <f t="shared" si="41"/>
        <v>38</v>
      </c>
      <c r="AC92" s="71">
        <f t="shared" si="52"/>
        <v>1205.64273745632</v>
      </c>
      <c r="AD92" s="118">
        <f t="shared" si="53"/>
        <v>10350.331082106492</v>
      </c>
    </row>
    <row r="93" spans="1:30" s="49" customFormat="1" ht="12.75" x14ac:dyDescent="0.2">
      <c r="A93" s="94">
        <v>88</v>
      </c>
      <c r="B93" s="36" t="s">
        <v>387</v>
      </c>
      <c r="C93" s="148">
        <v>12</v>
      </c>
      <c r="D93" s="57">
        <v>1954.7239466999999</v>
      </c>
      <c r="E93" s="79">
        <f t="shared" si="50"/>
        <v>23456.687360399999</v>
      </c>
      <c r="F93" s="80">
        <f t="shared" si="36"/>
        <v>1524.6846784259999</v>
      </c>
      <c r="G93" s="47"/>
      <c r="H93" s="47">
        <f t="shared" si="42"/>
        <v>2812.1961846524</v>
      </c>
      <c r="I93" s="47">
        <f t="shared" si="43"/>
        <v>1124.87847386096</v>
      </c>
      <c r="J93" s="47">
        <f t="shared" si="37"/>
        <v>2541.1411307100002</v>
      </c>
      <c r="K93" s="47"/>
      <c r="L93" s="47">
        <f t="shared" si="45"/>
        <v>847.04704357000003</v>
      </c>
      <c r="M93" s="47">
        <f t="shared" si="46"/>
        <v>1270.5705653550001</v>
      </c>
      <c r="N93" s="80">
        <v>0</v>
      </c>
      <c r="O93" s="47"/>
      <c r="P93" s="47"/>
      <c r="Q93" s="47"/>
      <c r="R93" s="47">
        <f>E93*30%</f>
        <v>7037.0062081199994</v>
      </c>
      <c r="S93" s="136"/>
      <c r="T93" s="47">
        <v>0</v>
      </c>
      <c r="U93" s="81">
        <f t="shared" si="51"/>
        <v>17157.524284694358</v>
      </c>
      <c r="V93" s="47">
        <f t="shared" si="38"/>
        <v>3032.5987583760002</v>
      </c>
      <c r="W93" s="47">
        <v>0</v>
      </c>
      <c r="X93" s="47">
        <f t="shared" si="47"/>
        <v>4320</v>
      </c>
      <c r="Y93" s="47">
        <f t="shared" si="39"/>
        <v>117.60000000000001</v>
      </c>
      <c r="Z93" s="47">
        <f t="shared" si="48"/>
        <v>252</v>
      </c>
      <c r="AA93" s="47">
        <f t="shared" si="40"/>
        <v>348</v>
      </c>
      <c r="AB93" s="47">
        <f t="shared" si="41"/>
        <v>228</v>
      </c>
      <c r="AC93" s="71">
        <f t="shared" si="52"/>
        <v>8298.1987583760001</v>
      </c>
      <c r="AD93" s="118">
        <f t="shared" si="53"/>
        <v>48912.410403470356</v>
      </c>
    </row>
    <row r="94" spans="1:30" s="49" customFormat="1" ht="12.75" x14ac:dyDescent="0.2">
      <c r="A94" s="94">
        <v>89</v>
      </c>
      <c r="B94" s="36" t="s">
        <v>388</v>
      </c>
      <c r="C94" s="148">
        <v>4</v>
      </c>
      <c r="D94" s="57">
        <v>1954.7239466999999</v>
      </c>
      <c r="E94" s="79">
        <f t="shared" si="50"/>
        <v>7818.8957867999998</v>
      </c>
      <c r="F94" s="80">
        <f t="shared" si="36"/>
        <v>390.94478933999994</v>
      </c>
      <c r="G94" s="47"/>
      <c r="H94" s="47">
        <f t="shared" si="42"/>
        <v>721.07594478266662</v>
      </c>
      <c r="I94" s="47">
        <f t="shared" si="43"/>
        <v>288.43037791306665</v>
      </c>
      <c r="J94" s="47">
        <f t="shared" si="37"/>
        <v>651.57464889999994</v>
      </c>
      <c r="K94" s="47"/>
      <c r="L94" s="47">
        <f t="shared" si="45"/>
        <v>217.19154963333332</v>
      </c>
      <c r="M94" s="47">
        <f t="shared" si="46"/>
        <v>325.78732444999997</v>
      </c>
      <c r="N94" s="80">
        <v>0</v>
      </c>
      <c r="O94" s="47"/>
      <c r="P94" s="47"/>
      <c r="Q94" s="47"/>
      <c r="R94" s="47"/>
      <c r="S94" s="136"/>
      <c r="T94" s="47">
        <v>0</v>
      </c>
      <c r="U94" s="81">
        <f t="shared" si="51"/>
        <v>2595.0046350190664</v>
      </c>
      <c r="V94" s="47">
        <f t="shared" si="38"/>
        <v>1010.8662527920001</v>
      </c>
      <c r="W94" s="47">
        <v>0</v>
      </c>
      <c r="X94" s="47">
        <f t="shared" si="47"/>
        <v>1440</v>
      </c>
      <c r="Y94" s="47">
        <f t="shared" si="39"/>
        <v>39.200000000000003</v>
      </c>
      <c r="Z94" s="47">
        <f t="shared" si="48"/>
        <v>84</v>
      </c>
      <c r="AA94" s="47">
        <f t="shared" si="40"/>
        <v>116</v>
      </c>
      <c r="AB94" s="47">
        <f t="shared" si="41"/>
        <v>76</v>
      </c>
      <c r="AC94" s="71">
        <f t="shared" si="52"/>
        <v>2766.0662527919999</v>
      </c>
      <c r="AD94" s="118">
        <f t="shared" si="53"/>
        <v>13179.966674611065</v>
      </c>
    </row>
    <row r="95" spans="1:30" s="49" customFormat="1" ht="12.75" x14ac:dyDescent="0.2">
      <c r="A95" s="94">
        <v>90</v>
      </c>
      <c r="B95" s="36" t="s">
        <v>389</v>
      </c>
      <c r="C95" s="148">
        <v>4</v>
      </c>
      <c r="D95" s="57">
        <v>1604</v>
      </c>
      <c r="E95" s="79">
        <f t="shared" si="50"/>
        <v>6416</v>
      </c>
      <c r="F95" s="80">
        <f t="shared" si="36"/>
        <v>320.8</v>
      </c>
      <c r="G95" s="47"/>
      <c r="H95" s="47">
        <f t="shared" si="42"/>
        <v>591.69777777777779</v>
      </c>
      <c r="I95" s="47">
        <f t="shared" si="43"/>
        <v>236.67911111111113</v>
      </c>
      <c r="J95" s="47">
        <f t="shared" si="37"/>
        <v>534.66666666666663</v>
      </c>
      <c r="K95" s="47"/>
      <c r="L95" s="47">
        <f t="shared" si="45"/>
        <v>178.2222222222222</v>
      </c>
      <c r="M95" s="47">
        <f t="shared" si="46"/>
        <v>267.33333333333331</v>
      </c>
      <c r="N95" s="80">
        <v>0</v>
      </c>
      <c r="O95" s="47"/>
      <c r="P95" s="47"/>
      <c r="Q95" s="47"/>
      <c r="R95" s="47"/>
      <c r="S95" s="136"/>
      <c r="T95" s="47">
        <v>0</v>
      </c>
      <c r="U95" s="81">
        <f t="shared" si="51"/>
        <v>2129.3991111111113</v>
      </c>
      <c r="V95" s="47">
        <f t="shared" si="38"/>
        <v>1095.04</v>
      </c>
      <c r="W95" s="47">
        <v>0</v>
      </c>
      <c r="X95" s="47">
        <f t="shared" si="47"/>
        <v>1440</v>
      </c>
      <c r="Y95" s="47">
        <f t="shared" si="39"/>
        <v>39.200000000000003</v>
      </c>
      <c r="Z95" s="47">
        <f t="shared" si="48"/>
        <v>84</v>
      </c>
      <c r="AA95" s="47">
        <f t="shared" si="40"/>
        <v>116</v>
      </c>
      <c r="AB95" s="47">
        <f t="shared" si="41"/>
        <v>76</v>
      </c>
      <c r="AC95" s="71">
        <f t="shared" si="52"/>
        <v>2850.24</v>
      </c>
      <c r="AD95" s="118">
        <f t="shared" si="53"/>
        <v>11395.639111111112</v>
      </c>
    </row>
    <row r="96" spans="1:30" s="49" customFormat="1" ht="12.75" x14ac:dyDescent="0.2">
      <c r="A96" s="94">
        <v>91</v>
      </c>
      <c r="B96" s="36" t="s">
        <v>390</v>
      </c>
      <c r="C96" s="148">
        <v>5</v>
      </c>
      <c r="D96" s="57">
        <v>2216.5886211419997</v>
      </c>
      <c r="E96" s="79">
        <f t="shared" si="50"/>
        <v>11082.943105709999</v>
      </c>
      <c r="F96" s="80">
        <f t="shared" si="36"/>
        <v>554.14715528549993</v>
      </c>
      <c r="G96" s="47"/>
      <c r="H96" s="47">
        <f t="shared" si="42"/>
        <v>1022.0936419710332</v>
      </c>
      <c r="I96" s="47">
        <f t="shared" si="43"/>
        <v>408.83745678841331</v>
      </c>
      <c r="J96" s="47">
        <f t="shared" si="37"/>
        <v>923.57859214249993</v>
      </c>
      <c r="K96" s="47"/>
      <c r="L96" s="47">
        <f t="shared" si="45"/>
        <v>307.85953071416662</v>
      </c>
      <c r="M96" s="47">
        <f t="shared" si="46"/>
        <v>461.78929607124996</v>
      </c>
      <c r="N96" s="80">
        <v>0</v>
      </c>
      <c r="O96" s="47"/>
      <c r="P96" s="47"/>
      <c r="Q96" s="47"/>
      <c r="R96" s="47"/>
      <c r="S96" s="136"/>
      <c r="T96" s="47">
        <v>0</v>
      </c>
      <c r="U96" s="81">
        <f t="shared" si="51"/>
        <v>3678.3056729728632</v>
      </c>
      <c r="V96" s="47">
        <f t="shared" si="38"/>
        <v>1185.0234136573999</v>
      </c>
      <c r="W96" s="47">
        <v>0</v>
      </c>
      <c r="X96" s="47">
        <f t="shared" si="47"/>
        <v>1800</v>
      </c>
      <c r="Y96" s="47">
        <f t="shared" si="39"/>
        <v>49</v>
      </c>
      <c r="Z96" s="47">
        <f t="shared" si="48"/>
        <v>105</v>
      </c>
      <c r="AA96" s="47">
        <f t="shared" si="40"/>
        <v>145</v>
      </c>
      <c r="AB96" s="47">
        <f t="shared" si="41"/>
        <v>95</v>
      </c>
      <c r="AC96" s="71">
        <f t="shared" si="52"/>
        <v>3379.0234136573999</v>
      </c>
      <c r="AD96" s="118">
        <f t="shared" si="53"/>
        <v>18140.272192340264</v>
      </c>
    </row>
    <row r="97" spans="1:30" s="49" customFormat="1" ht="12.75" x14ac:dyDescent="0.2">
      <c r="A97" s="94">
        <v>92</v>
      </c>
      <c r="B97" s="36" t="s">
        <v>578</v>
      </c>
      <c r="C97" s="148">
        <v>1</v>
      </c>
      <c r="D97" s="57">
        <v>6971.8487432299989</v>
      </c>
      <c r="E97" s="79">
        <f t="shared" si="50"/>
        <v>6971.8487432299989</v>
      </c>
      <c r="F97" s="80">
        <f t="shared" si="36"/>
        <v>348.59243716149996</v>
      </c>
      <c r="G97" s="47"/>
      <c r="H97" s="47">
        <f t="shared" si="42"/>
        <v>642.95938409787766</v>
      </c>
      <c r="I97" s="47">
        <f t="shared" si="43"/>
        <v>257.18375363915106</v>
      </c>
      <c r="J97" s="47">
        <f t="shared" si="37"/>
        <v>580.98739526916654</v>
      </c>
      <c r="K97" s="47"/>
      <c r="L97" s="47">
        <f t="shared" si="45"/>
        <v>193.66246508972219</v>
      </c>
      <c r="M97" s="47">
        <f t="shared" si="46"/>
        <v>290.49369763458327</v>
      </c>
      <c r="N97" s="80">
        <v>0</v>
      </c>
      <c r="O97" s="47"/>
      <c r="P97" s="47"/>
      <c r="Q97" s="47"/>
      <c r="R97" s="47"/>
      <c r="S97" s="136"/>
      <c r="T97" s="47">
        <v>0</v>
      </c>
      <c r="U97" s="81">
        <f t="shared" si="51"/>
        <v>2313.8791328920006</v>
      </c>
      <c r="V97" s="47"/>
      <c r="W97" s="47">
        <v>0</v>
      </c>
      <c r="X97" s="47">
        <f t="shared" si="47"/>
        <v>360</v>
      </c>
      <c r="Y97" s="47">
        <f t="shared" si="39"/>
        <v>9.8000000000000007</v>
      </c>
      <c r="Z97" s="47">
        <f t="shared" si="48"/>
        <v>21</v>
      </c>
      <c r="AA97" s="47">
        <f t="shared" si="40"/>
        <v>29</v>
      </c>
      <c r="AB97" s="47">
        <f t="shared" si="41"/>
        <v>19</v>
      </c>
      <c r="AC97" s="71">
        <f t="shared" si="52"/>
        <v>438.8</v>
      </c>
      <c r="AD97" s="118">
        <f t="shared" si="53"/>
        <v>9724.5278761219997</v>
      </c>
    </row>
    <row r="98" spans="1:30" s="49" customFormat="1" ht="12.75" x14ac:dyDescent="0.2">
      <c r="A98" s="94">
        <v>93</v>
      </c>
      <c r="B98" s="364" t="s">
        <v>391</v>
      </c>
      <c r="C98" s="148">
        <v>85</v>
      </c>
      <c r="D98" s="57">
        <v>2475.9907000000003</v>
      </c>
      <c r="E98" s="79">
        <f t="shared" si="50"/>
        <v>210459.20950000003</v>
      </c>
      <c r="F98" s="80">
        <f t="shared" si="36"/>
        <v>15318.954460900002</v>
      </c>
      <c r="G98" s="47"/>
      <c r="H98" s="47">
        <f t="shared" si="42"/>
        <v>28254.960450104449</v>
      </c>
      <c r="I98" s="47">
        <f t="shared" si="43"/>
        <v>11301.98418004178</v>
      </c>
      <c r="J98" s="47">
        <f t="shared" si="37"/>
        <v>25531.590768166672</v>
      </c>
      <c r="K98" s="47"/>
      <c r="L98" s="47">
        <f t="shared" si="45"/>
        <v>8510.5302560555574</v>
      </c>
      <c r="M98" s="47">
        <f t="shared" si="46"/>
        <v>12765.795384083336</v>
      </c>
      <c r="N98" s="80">
        <v>0</v>
      </c>
      <c r="O98" s="47"/>
      <c r="P98" s="47">
        <f>(D98/200*24*2)*(C98/2)</f>
        <v>25255.105140000003</v>
      </c>
      <c r="Q98" s="47">
        <f>(D98/200*2*24)/20*4*C98/2</f>
        <v>5051.0210280000001</v>
      </c>
      <c r="R98" s="47">
        <f>E98*30%</f>
        <v>63137.762850000006</v>
      </c>
      <c r="S98" s="136">
        <f>(D98*0.1)*10</f>
        <v>2475.9907000000003</v>
      </c>
      <c r="T98" s="47">
        <v>0</v>
      </c>
      <c r="U98" s="81">
        <f t="shared" si="51"/>
        <v>197603.69521735178</v>
      </c>
      <c r="V98" s="47">
        <f t="shared" si="38"/>
        <v>18822.44743</v>
      </c>
      <c r="W98" s="47">
        <v>0</v>
      </c>
      <c r="X98" s="47">
        <f t="shared" si="47"/>
        <v>30600</v>
      </c>
      <c r="Y98" s="47">
        <f t="shared" si="39"/>
        <v>833.00000000000011</v>
      </c>
      <c r="Z98" s="47">
        <f t="shared" si="48"/>
        <v>1785</v>
      </c>
      <c r="AA98" s="47">
        <f t="shared" si="40"/>
        <v>2465</v>
      </c>
      <c r="AB98" s="47">
        <f t="shared" si="41"/>
        <v>1615</v>
      </c>
      <c r="AC98" s="71">
        <f t="shared" si="52"/>
        <v>56120.44743</v>
      </c>
      <c r="AD98" s="118">
        <f t="shared" si="53"/>
        <v>464183.35214735178</v>
      </c>
    </row>
    <row r="99" spans="1:30" s="49" customFormat="1" ht="12.75" x14ac:dyDescent="0.2">
      <c r="A99" s="94">
        <v>94</v>
      </c>
      <c r="B99" s="364" t="s">
        <v>391</v>
      </c>
      <c r="C99" s="148">
        <v>40</v>
      </c>
      <c r="D99" s="57">
        <v>2475.9907000000003</v>
      </c>
      <c r="E99" s="79">
        <f t="shared" si="50"/>
        <v>99039.628000000012</v>
      </c>
      <c r="F99" s="80">
        <f t="shared" si="36"/>
        <v>7891.4595518349097</v>
      </c>
      <c r="G99" s="47"/>
      <c r="H99" s="47">
        <f t="shared" si="42"/>
        <v>14555.358728939944</v>
      </c>
      <c r="I99" s="47">
        <f t="shared" si="43"/>
        <v>5822.1434915759783</v>
      </c>
      <c r="J99" s="47">
        <f t="shared" si="37"/>
        <v>13152.432586391516</v>
      </c>
      <c r="K99" s="47"/>
      <c r="L99" s="47">
        <f t="shared" si="45"/>
        <v>4384.1441954638385</v>
      </c>
      <c r="M99" s="47">
        <f t="shared" si="46"/>
        <v>6576.2162931957582</v>
      </c>
      <c r="N99" s="80">
        <f>(E99/220)*(137.13)*(20%)</f>
        <v>12346.640170581821</v>
      </c>
      <c r="O99" s="47">
        <f>(N99/25)*5</f>
        <v>2469.3280341163645</v>
      </c>
      <c r="P99" s="47">
        <f>(D99/200*24*2)*(C99/2)</f>
        <v>11884.755360000001</v>
      </c>
      <c r="Q99" s="47">
        <f>(D99/200*2*24)/20*4*C99/2</f>
        <v>2376.9510720000003</v>
      </c>
      <c r="R99" s="47">
        <f>E99*30%</f>
        <v>29711.888400000003</v>
      </c>
      <c r="S99" s="136"/>
      <c r="T99" s="47">
        <v>0</v>
      </c>
      <c r="U99" s="81">
        <f t="shared" si="51"/>
        <v>111171.31788410014</v>
      </c>
      <c r="V99" s="47">
        <f t="shared" si="38"/>
        <v>8857.6223199999986</v>
      </c>
      <c r="W99" s="47">
        <v>0</v>
      </c>
      <c r="X99" s="47">
        <f t="shared" si="47"/>
        <v>14400</v>
      </c>
      <c r="Y99" s="47">
        <f t="shared" si="39"/>
        <v>392</v>
      </c>
      <c r="Z99" s="47">
        <f t="shared" si="48"/>
        <v>840</v>
      </c>
      <c r="AA99" s="47">
        <f t="shared" si="40"/>
        <v>1160</v>
      </c>
      <c r="AB99" s="47">
        <f t="shared" si="41"/>
        <v>760</v>
      </c>
      <c r="AC99" s="71">
        <f t="shared" si="52"/>
        <v>26409.622319999999</v>
      </c>
      <c r="AD99" s="118">
        <f t="shared" si="53"/>
        <v>236620.56820410016</v>
      </c>
    </row>
    <row r="100" spans="1:30" s="49" customFormat="1" ht="12.75" x14ac:dyDescent="0.2">
      <c r="A100" s="94">
        <v>95</v>
      </c>
      <c r="B100" s="36" t="s">
        <v>399</v>
      </c>
      <c r="C100" s="148">
        <v>4</v>
      </c>
      <c r="D100" s="57">
        <v>4195.9728999999998</v>
      </c>
      <c r="E100" s="79">
        <f t="shared" si="50"/>
        <v>16783.891599999999</v>
      </c>
      <c r="F100" s="80">
        <f t="shared" si="36"/>
        <v>839.19457999999986</v>
      </c>
      <c r="G100" s="47"/>
      <c r="H100" s="47">
        <f t="shared" si="42"/>
        <v>1547.8477808888888</v>
      </c>
      <c r="I100" s="47">
        <f t="shared" si="43"/>
        <v>619.13911235555554</v>
      </c>
      <c r="J100" s="47">
        <f t="shared" si="37"/>
        <v>1398.6576333333333</v>
      </c>
      <c r="K100" s="47"/>
      <c r="L100" s="47">
        <f t="shared" si="45"/>
        <v>466.21921111111106</v>
      </c>
      <c r="M100" s="47">
        <f t="shared" si="46"/>
        <v>699.32881666666663</v>
      </c>
      <c r="N100" s="80">
        <v>0</v>
      </c>
      <c r="O100" s="47"/>
      <c r="P100" s="47"/>
      <c r="Q100" s="47"/>
      <c r="R100" s="47"/>
      <c r="S100" s="136"/>
      <c r="T100" s="47">
        <v>0</v>
      </c>
      <c r="U100" s="81">
        <f t="shared" si="51"/>
        <v>5570.3871343555547</v>
      </c>
      <c r="V100" s="47">
        <f t="shared" si="38"/>
        <v>472.9665040000001</v>
      </c>
      <c r="W100" s="47">
        <v>0</v>
      </c>
      <c r="X100" s="47">
        <f t="shared" si="47"/>
        <v>1440</v>
      </c>
      <c r="Y100" s="47">
        <f t="shared" si="39"/>
        <v>39.200000000000003</v>
      </c>
      <c r="Z100" s="47">
        <f t="shared" si="48"/>
        <v>84</v>
      </c>
      <c r="AA100" s="47">
        <f t="shared" si="40"/>
        <v>116</v>
      </c>
      <c r="AB100" s="47">
        <f t="shared" si="41"/>
        <v>76</v>
      </c>
      <c r="AC100" s="71">
        <f t="shared" si="52"/>
        <v>2228.1665039999998</v>
      </c>
      <c r="AD100" s="118">
        <f t="shared" si="53"/>
        <v>24582.445238355554</v>
      </c>
    </row>
    <row r="101" spans="1:30" s="49" customFormat="1" ht="12.75" x14ac:dyDescent="0.2">
      <c r="A101" s="94">
        <v>96</v>
      </c>
      <c r="B101" s="36" t="s">
        <v>393</v>
      </c>
      <c r="C101" s="148">
        <v>2</v>
      </c>
      <c r="D101" s="57">
        <v>5372.2025000000003</v>
      </c>
      <c r="E101" s="79">
        <f t="shared" si="50"/>
        <v>10744.405000000001</v>
      </c>
      <c r="F101" s="80">
        <f t="shared" si="36"/>
        <v>614.57996600000001</v>
      </c>
      <c r="G101" s="47"/>
      <c r="H101" s="47">
        <f t="shared" si="42"/>
        <v>1133.5586039555558</v>
      </c>
      <c r="I101" s="47">
        <f t="shared" si="43"/>
        <v>453.42344158222232</v>
      </c>
      <c r="J101" s="47">
        <f t="shared" si="37"/>
        <v>1024.2999433333334</v>
      </c>
      <c r="K101" s="47"/>
      <c r="L101" s="47">
        <f t="shared" si="45"/>
        <v>341.43331444444448</v>
      </c>
      <c r="M101" s="47">
        <f t="shared" si="46"/>
        <v>512.14997166666672</v>
      </c>
      <c r="N101" s="80">
        <v>0</v>
      </c>
      <c r="O101" s="47"/>
      <c r="P101" s="47">
        <f>(D101/200*24*2)*(C101/2)</f>
        <v>1289.3286000000001</v>
      </c>
      <c r="Q101" s="47">
        <f>(D101/200*2*24)/20*4*C101/2</f>
        <v>257.86572000000001</v>
      </c>
      <c r="R101" s="47"/>
      <c r="S101" s="136"/>
      <c r="T101" s="47">
        <v>0</v>
      </c>
      <c r="U101" s="81">
        <f t="shared" si="51"/>
        <v>5626.639560982223</v>
      </c>
      <c r="V101" s="47">
        <f t="shared" si="38"/>
        <v>95.335699999999974</v>
      </c>
      <c r="W101" s="47">
        <v>0</v>
      </c>
      <c r="X101" s="47">
        <f t="shared" si="47"/>
        <v>720</v>
      </c>
      <c r="Y101" s="47">
        <f t="shared" si="39"/>
        <v>19.600000000000001</v>
      </c>
      <c r="Z101" s="47">
        <f t="shared" si="48"/>
        <v>42</v>
      </c>
      <c r="AA101" s="47">
        <f t="shared" si="40"/>
        <v>58</v>
      </c>
      <c r="AB101" s="47">
        <f t="shared" si="41"/>
        <v>38</v>
      </c>
      <c r="AC101" s="71">
        <f t="shared" si="52"/>
        <v>972.9357</v>
      </c>
      <c r="AD101" s="118">
        <f t="shared" si="53"/>
        <v>17343.980260982222</v>
      </c>
    </row>
    <row r="102" spans="1:30" s="49" customFormat="1" ht="12.75" x14ac:dyDescent="0.2">
      <c r="A102" s="94">
        <v>97</v>
      </c>
      <c r="B102" s="36" t="s">
        <v>394</v>
      </c>
      <c r="C102" s="148">
        <v>2</v>
      </c>
      <c r="D102" s="57">
        <v>3760.5471000000002</v>
      </c>
      <c r="E102" s="79">
        <f t="shared" si="50"/>
        <v>7521.0942000000005</v>
      </c>
      <c r="F102" s="80">
        <f t="shared" si="36"/>
        <v>430.20658824000003</v>
      </c>
      <c r="G102" s="47"/>
      <c r="H102" s="47">
        <f t="shared" si="42"/>
        <v>793.49215164266673</v>
      </c>
      <c r="I102" s="47">
        <f t="shared" si="43"/>
        <v>317.39686065706672</v>
      </c>
      <c r="J102" s="47">
        <f t="shared" si="37"/>
        <v>717.01098039999999</v>
      </c>
      <c r="K102" s="47"/>
      <c r="L102" s="47">
        <f t="shared" si="45"/>
        <v>239.00366013333334</v>
      </c>
      <c r="M102" s="47">
        <f t="shared" si="46"/>
        <v>358.5054902</v>
      </c>
      <c r="N102" s="80">
        <v>0</v>
      </c>
      <c r="O102" s="47"/>
      <c r="P102" s="47">
        <f>(D102/200*24*2)*(C102/2)</f>
        <v>902.53130400000009</v>
      </c>
      <c r="Q102" s="47">
        <f>(D102/200*2*24)/20*4*C102/2</f>
        <v>180.50626080000001</v>
      </c>
      <c r="R102" s="47"/>
      <c r="S102" s="136"/>
      <c r="T102" s="47">
        <v>0</v>
      </c>
      <c r="U102" s="81">
        <f t="shared" si="51"/>
        <v>3938.6532960730669</v>
      </c>
      <c r="V102" s="47">
        <f t="shared" si="38"/>
        <v>288.73434800000001</v>
      </c>
      <c r="W102" s="47">
        <v>0</v>
      </c>
      <c r="X102" s="47">
        <f t="shared" si="47"/>
        <v>720</v>
      </c>
      <c r="Y102" s="47">
        <f t="shared" si="39"/>
        <v>19.600000000000001</v>
      </c>
      <c r="Z102" s="47">
        <f t="shared" si="48"/>
        <v>42</v>
      </c>
      <c r="AA102" s="47">
        <f t="shared" si="40"/>
        <v>58</v>
      </c>
      <c r="AB102" s="47">
        <f t="shared" si="41"/>
        <v>38</v>
      </c>
      <c r="AC102" s="71">
        <f t="shared" si="52"/>
        <v>1166.3343479999999</v>
      </c>
      <c r="AD102" s="118">
        <f t="shared" si="53"/>
        <v>12626.081844073067</v>
      </c>
    </row>
    <row r="103" spans="1:30" s="49" customFormat="1" ht="12.75" x14ac:dyDescent="0.2">
      <c r="A103" s="94">
        <v>98</v>
      </c>
      <c r="B103" s="36" t="s">
        <v>409</v>
      </c>
      <c r="C103" s="148">
        <v>2</v>
      </c>
      <c r="D103" s="57">
        <v>3648.8180338399998</v>
      </c>
      <c r="E103" s="79">
        <f t="shared" si="50"/>
        <v>7297.6360676799995</v>
      </c>
      <c r="F103" s="80">
        <f t="shared" si="36"/>
        <v>364.88180338399997</v>
      </c>
      <c r="G103" s="47"/>
      <c r="H103" s="47">
        <f t="shared" si="42"/>
        <v>673.00421513048889</v>
      </c>
      <c r="I103" s="47">
        <f t="shared" si="43"/>
        <v>269.20168605219556</v>
      </c>
      <c r="J103" s="47">
        <f t="shared" si="37"/>
        <v>608.1363389733333</v>
      </c>
      <c r="K103" s="47"/>
      <c r="L103" s="47">
        <f t="shared" si="45"/>
        <v>202.7121129911111</v>
      </c>
      <c r="M103" s="47">
        <f t="shared" si="46"/>
        <v>304.06816948666665</v>
      </c>
      <c r="N103" s="80">
        <v>0</v>
      </c>
      <c r="O103" s="47"/>
      <c r="P103" s="47"/>
      <c r="Q103" s="47"/>
      <c r="R103" s="47"/>
      <c r="S103" s="136"/>
      <c r="T103" s="47">
        <v>0</v>
      </c>
      <c r="U103" s="81">
        <f t="shared" si="51"/>
        <v>2422.0043260177954</v>
      </c>
      <c r="V103" s="47">
        <f t="shared" si="38"/>
        <v>302.14183593920006</v>
      </c>
      <c r="W103" s="47">
        <v>0</v>
      </c>
      <c r="X103" s="47">
        <f t="shared" si="47"/>
        <v>720</v>
      </c>
      <c r="Y103" s="47">
        <f t="shared" si="39"/>
        <v>19.600000000000001</v>
      </c>
      <c r="Z103" s="47">
        <f t="shared" si="48"/>
        <v>42</v>
      </c>
      <c r="AA103" s="47">
        <f t="shared" si="40"/>
        <v>58</v>
      </c>
      <c r="AB103" s="47">
        <f t="shared" si="41"/>
        <v>38</v>
      </c>
      <c r="AC103" s="71">
        <f t="shared" si="52"/>
        <v>1179.7418359392</v>
      </c>
      <c r="AD103" s="118">
        <f t="shared" si="53"/>
        <v>10899.382229636994</v>
      </c>
    </row>
    <row r="104" spans="1:30" s="49" customFormat="1" ht="12.75" x14ac:dyDescent="0.2">
      <c r="A104" s="94">
        <v>99</v>
      </c>
      <c r="B104" s="36" t="s">
        <v>410</v>
      </c>
      <c r="C104" s="148">
        <v>2</v>
      </c>
      <c r="D104" s="57">
        <v>1954.7239466999999</v>
      </c>
      <c r="E104" s="79">
        <f t="shared" si="50"/>
        <v>3909.4478933999999</v>
      </c>
      <c r="F104" s="80">
        <f t="shared" si="36"/>
        <v>195.47239466999997</v>
      </c>
      <c r="G104" s="47"/>
      <c r="H104" s="47">
        <f t="shared" si="42"/>
        <v>360.53797239133331</v>
      </c>
      <c r="I104" s="47">
        <f t="shared" si="43"/>
        <v>144.21518895653332</v>
      </c>
      <c r="J104" s="47">
        <f t="shared" si="37"/>
        <v>325.78732444999997</v>
      </c>
      <c r="K104" s="47"/>
      <c r="L104" s="47">
        <f t="shared" si="45"/>
        <v>108.59577481666666</v>
      </c>
      <c r="M104" s="47">
        <f t="shared" si="46"/>
        <v>162.89366222499999</v>
      </c>
      <c r="N104" s="80">
        <v>0</v>
      </c>
      <c r="O104" s="47"/>
      <c r="P104" s="47"/>
      <c r="Q104" s="47"/>
      <c r="R104" s="47"/>
      <c r="S104" s="136"/>
      <c r="T104" s="47">
        <v>0</v>
      </c>
      <c r="U104" s="81">
        <f t="shared" si="51"/>
        <v>1297.5023175095332</v>
      </c>
      <c r="V104" s="47">
        <f t="shared" si="38"/>
        <v>505.43312639600003</v>
      </c>
      <c r="W104" s="47">
        <v>0</v>
      </c>
      <c r="X104" s="47">
        <f t="shared" si="47"/>
        <v>720</v>
      </c>
      <c r="Y104" s="47">
        <f t="shared" si="39"/>
        <v>19.600000000000001</v>
      </c>
      <c r="Z104" s="47">
        <f t="shared" si="48"/>
        <v>42</v>
      </c>
      <c r="AA104" s="47">
        <f t="shared" si="40"/>
        <v>58</v>
      </c>
      <c r="AB104" s="47">
        <f t="shared" si="41"/>
        <v>38</v>
      </c>
      <c r="AC104" s="71">
        <f t="shared" si="52"/>
        <v>1383.0331263959999</v>
      </c>
      <c r="AD104" s="118">
        <f t="shared" si="53"/>
        <v>6589.9833373055326</v>
      </c>
    </row>
    <row r="105" spans="1:30" s="49" customFormat="1" ht="12.75" x14ac:dyDescent="0.2">
      <c r="A105" s="94">
        <v>100</v>
      </c>
      <c r="B105" s="36" t="s">
        <v>395</v>
      </c>
      <c r="C105" s="148">
        <v>5</v>
      </c>
      <c r="D105" s="57">
        <v>1759.2515520300001</v>
      </c>
      <c r="E105" s="79">
        <f t="shared" si="50"/>
        <v>8796.2577601499997</v>
      </c>
      <c r="F105" s="80">
        <f t="shared" si="36"/>
        <v>568.94035260690919</v>
      </c>
      <c r="G105" s="47"/>
      <c r="H105" s="47">
        <f t="shared" si="42"/>
        <v>1049.378872586077</v>
      </c>
      <c r="I105" s="47">
        <f t="shared" si="43"/>
        <v>419.75154903443081</v>
      </c>
      <c r="J105" s="47">
        <f t="shared" si="37"/>
        <v>948.23392101151546</v>
      </c>
      <c r="K105" s="47"/>
      <c r="L105" s="47">
        <f t="shared" si="45"/>
        <v>316.07797367050517</v>
      </c>
      <c r="M105" s="47">
        <f t="shared" si="46"/>
        <v>474.11696050575773</v>
      </c>
      <c r="N105" s="80">
        <f>(E105/220)*(137.13)*(20%)</f>
        <v>1096.573478772154</v>
      </c>
      <c r="O105" s="47">
        <f>(N105/25)*5</f>
        <v>219.31469575443077</v>
      </c>
      <c r="P105" s="47">
        <f>(D105/200*24*2)*(C105/2)</f>
        <v>1055.5509312180002</v>
      </c>
      <c r="Q105" s="47">
        <f>(D105/200*2*24)/20*4*C105/2</f>
        <v>211.11018624360003</v>
      </c>
      <c r="R105" s="47"/>
      <c r="S105" s="136"/>
      <c r="T105" s="47">
        <v>0</v>
      </c>
      <c r="U105" s="81">
        <f t="shared" si="51"/>
        <v>6359.0489214033796</v>
      </c>
      <c r="V105" s="47">
        <f t="shared" si="38"/>
        <v>1322.2245343909999</v>
      </c>
      <c r="W105" s="47">
        <v>0</v>
      </c>
      <c r="X105" s="47">
        <f t="shared" si="47"/>
        <v>1800</v>
      </c>
      <c r="Y105" s="47">
        <f t="shared" si="39"/>
        <v>49</v>
      </c>
      <c r="Z105" s="47">
        <f t="shared" si="48"/>
        <v>105</v>
      </c>
      <c r="AA105" s="47">
        <f t="shared" si="40"/>
        <v>145</v>
      </c>
      <c r="AB105" s="47">
        <f t="shared" si="41"/>
        <v>95</v>
      </c>
      <c r="AC105" s="71">
        <f t="shared" si="52"/>
        <v>3516.2245343909999</v>
      </c>
      <c r="AD105" s="118">
        <f t="shared" si="53"/>
        <v>18671.531215944378</v>
      </c>
    </row>
    <row r="106" spans="1:30" s="49" customFormat="1" ht="22.5" x14ac:dyDescent="0.2">
      <c r="A106" s="94">
        <v>101</v>
      </c>
      <c r="B106" s="36" t="s">
        <v>411</v>
      </c>
      <c r="C106" s="148">
        <v>1</v>
      </c>
      <c r="D106" s="57">
        <v>8626.8483514359996</v>
      </c>
      <c r="E106" s="79">
        <f t="shared" si="50"/>
        <v>8626.8483514359996</v>
      </c>
      <c r="F106" s="80">
        <f t="shared" si="36"/>
        <v>463.69309888968496</v>
      </c>
      <c r="G106" s="47"/>
      <c r="H106" s="47">
        <f>(E106+J106+L106+K106+M106+N106+O106+P106+Q106+R106+S106+T106)*8%</f>
        <v>853.09944808644889</v>
      </c>
      <c r="I106" s="47">
        <f>H106*40%</f>
        <v>341.2397792345796</v>
      </c>
      <c r="J106" s="47">
        <f t="shared" si="37"/>
        <v>718.9040292863333</v>
      </c>
      <c r="K106" s="47">
        <f>(E106+N106+O106+P106+Q106+R106+S106+T106)/12</f>
        <v>718.9040292863333</v>
      </c>
      <c r="L106" s="47">
        <f>J106/3</f>
        <v>239.63467642877777</v>
      </c>
      <c r="M106" s="47">
        <f>(E106+N106+O106+P106+Q106+R106+S106+T106)/12/2</f>
        <v>359.45201464316665</v>
      </c>
      <c r="N106" s="80">
        <v>0</v>
      </c>
      <c r="O106" s="47"/>
      <c r="P106" s="47"/>
      <c r="Q106" s="47"/>
      <c r="R106" s="47"/>
      <c r="S106" s="136"/>
      <c r="T106" s="47">
        <v>0</v>
      </c>
      <c r="U106" s="81">
        <f t="shared" si="51"/>
        <v>3694.9270758553248</v>
      </c>
      <c r="V106" s="47"/>
      <c r="W106" s="47">
        <v>0</v>
      </c>
      <c r="X106" s="47">
        <f t="shared" si="47"/>
        <v>360</v>
      </c>
      <c r="Y106" s="47">
        <f t="shared" si="39"/>
        <v>9.8000000000000007</v>
      </c>
      <c r="Z106" s="47">
        <f t="shared" si="48"/>
        <v>21</v>
      </c>
      <c r="AA106" s="47">
        <f t="shared" si="40"/>
        <v>29</v>
      </c>
      <c r="AB106" s="47">
        <f t="shared" si="41"/>
        <v>19</v>
      </c>
      <c r="AC106" s="71">
        <f t="shared" si="52"/>
        <v>438.8</v>
      </c>
      <c r="AD106" s="118">
        <f t="shared" si="53"/>
        <v>12760.575427291324</v>
      </c>
    </row>
    <row r="107" spans="1:30" s="49" customFormat="1" ht="12.75" x14ac:dyDescent="0.2">
      <c r="A107" s="94">
        <v>102</v>
      </c>
      <c r="B107" s="36" t="s">
        <v>412</v>
      </c>
      <c r="C107" s="148">
        <v>1</v>
      </c>
      <c r="D107" s="57">
        <v>4664.5671649779988</v>
      </c>
      <c r="E107" s="79">
        <f t="shared" si="50"/>
        <v>4664.5671649779988</v>
      </c>
      <c r="F107" s="80">
        <f t="shared" si="36"/>
        <v>233.22835824889995</v>
      </c>
      <c r="G107" s="47"/>
      <c r="H107" s="47">
        <f t="shared" si="42"/>
        <v>430.17674965908213</v>
      </c>
      <c r="I107" s="47">
        <f t="shared" si="43"/>
        <v>172.07069986363285</v>
      </c>
      <c r="J107" s="47">
        <f t="shared" si="37"/>
        <v>388.71393041483321</v>
      </c>
      <c r="K107" s="47"/>
      <c r="L107" s="47">
        <f t="shared" si="45"/>
        <v>129.57131013827774</v>
      </c>
      <c r="M107" s="47">
        <f t="shared" si="46"/>
        <v>194.35696520741661</v>
      </c>
      <c r="N107" s="80">
        <v>0</v>
      </c>
      <c r="O107" s="47"/>
      <c r="P107" s="47"/>
      <c r="Q107" s="47"/>
      <c r="R107" s="47"/>
      <c r="S107" s="136"/>
      <c r="T107" s="47">
        <v>0</v>
      </c>
      <c r="U107" s="81">
        <f t="shared" si="51"/>
        <v>1548.1180135321424</v>
      </c>
      <c r="V107" s="47">
        <f t="shared" si="38"/>
        <v>90.125970101320092</v>
      </c>
      <c r="W107" s="47">
        <v>0</v>
      </c>
      <c r="X107" s="47">
        <f t="shared" si="47"/>
        <v>360</v>
      </c>
      <c r="Y107" s="47">
        <f t="shared" si="39"/>
        <v>9.8000000000000007</v>
      </c>
      <c r="Z107" s="47">
        <f t="shared" si="48"/>
        <v>21</v>
      </c>
      <c r="AA107" s="47">
        <f t="shared" si="40"/>
        <v>29</v>
      </c>
      <c r="AB107" s="47">
        <f t="shared" si="41"/>
        <v>19</v>
      </c>
      <c r="AC107" s="71">
        <f t="shared" si="52"/>
        <v>528.9259701013201</v>
      </c>
      <c r="AD107" s="118">
        <f t="shared" si="53"/>
        <v>6741.6111486114605</v>
      </c>
    </row>
    <row r="108" spans="1:30" s="49" customFormat="1" ht="12.75" x14ac:dyDescent="0.2">
      <c r="A108" s="94">
        <v>103</v>
      </c>
      <c r="B108" s="36" t="s">
        <v>413</v>
      </c>
      <c r="C108" s="148">
        <v>1</v>
      </c>
      <c r="D108" s="57">
        <v>6971.8487432299989</v>
      </c>
      <c r="E108" s="79">
        <f t="shared" si="50"/>
        <v>6971.8487432299989</v>
      </c>
      <c r="F108" s="80">
        <f t="shared" si="36"/>
        <v>348.59243716149996</v>
      </c>
      <c r="G108" s="47"/>
      <c r="H108" s="47">
        <f t="shared" si="42"/>
        <v>642.95938409787766</v>
      </c>
      <c r="I108" s="47">
        <f t="shared" si="43"/>
        <v>257.18375363915106</v>
      </c>
      <c r="J108" s="47">
        <f t="shared" si="37"/>
        <v>580.98739526916654</v>
      </c>
      <c r="K108" s="47"/>
      <c r="L108" s="47">
        <f t="shared" si="45"/>
        <v>193.66246508972219</v>
      </c>
      <c r="M108" s="47">
        <f t="shared" si="46"/>
        <v>290.49369763458327</v>
      </c>
      <c r="N108" s="80">
        <v>0</v>
      </c>
      <c r="O108" s="47"/>
      <c r="P108" s="47"/>
      <c r="Q108" s="47"/>
      <c r="R108" s="47"/>
      <c r="S108" s="136"/>
      <c r="T108" s="47">
        <v>0</v>
      </c>
      <c r="U108" s="81">
        <f t="shared" si="51"/>
        <v>2313.8791328920006</v>
      </c>
      <c r="V108" s="47"/>
      <c r="W108" s="47">
        <v>0</v>
      </c>
      <c r="X108" s="47">
        <f t="shared" si="47"/>
        <v>360</v>
      </c>
      <c r="Y108" s="47">
        <f t="shared" si="39"/>
        <v>9.8000000000000007</v>
      </c>
      <c r="Z108" s="47">
        <f t="shared" si="48"/>
        <v>21</v>
      </c>
      <c r="AA108" s="47">
        <f t="shared" si="40"/>
        <v>29</v>
      </c>
      <c r="AB108" s="47">
        <f t="shared" si="41"/>
        <v>19</v>
      </c>
      <c r="AC108" s="71">
        <f t="shared" si="52"/>
        <v>438.8</v>
      </c>
      <c r="AD108" s="118">
        <f t="shared" si="53"/>
        <v>9724.5278761219997</v>
      </c>
    </row>
    <row r="109" spans="1:30" s="49" customFormat="1" ht="12.75" x14ac:dyDescent="0.2">
      <c r="A109" s="94">
        <v>104</v>
      </c>
      <c r="B109" s="36" t="s">
        <v>381</v>
      </c>
      <c r="C109" s="148">
        <v>2</v>
      </c>
      <c r="D109" s="57">
        <v>3432.9771878639999</v>
      </c>
      <c r="E109" s="79">
        <f t="shared" si="50"/>
        <v>6865.9543757279998</v>
      </c>
      <c r="F109" s="80">
        <f t="shared" si="36"/>
        <v>343.29771878640003</v>
      </c>
      <c r="G109" s="47"/>
      <c r="H109" s="47">
        <f t="shared" si="42"/>
        <v>633.19357020602672</v>
      </c>
      <c r="I109" s="47">
        <f t="shared" si="43"/>
        <v>253.27742808241069</v>
      </c>
      <c r="J109" s="47">
        <f t="shared" si="37"/>
        <v>572.16286464400002</v>
      </c>
      <c r="K109" s="47"/>
      <c r="L109" s="47">
        <f t="shared" si="45"/>
        <v>190.72095488133334</v>
      </c>
      <c r="M109" s="47">
        <f t="shared" si="46"/>
        <v>286.08143232200001</v>
      </c>
      <c r="N109" s="80">
        <v>0</v>
      </c>
      <c r="O109" s="47"/>
      <c r="P109" s="47"/>
      <c r="Q109" s="47"/>
      <c r="R109" s="47"/>
      <c r="S109" s="136"/>
      <c r="T109" s="47">
        <v>0</v>
      </c>
      <c r="U109" s="81">
        <f t="shared" si="51"/>
        <v>2278.7339689221712</v>
      </c>
      <c r="V109" s="47">
        <f t="shared" si="38"/>
        <v>328.04273745632003</v>
      </c>
      <c r="W109" s="47">
        <v>0</v>
      </c>
      <c r="X109" s="47">
        <f t="shared" si="47"/>
        <v>720</v>
      </c>
      <c r="Y109" s="47">
        <f t="shared" si="39"/>
        <v>19.600000000000001</v>
      </c>
      <c r="Z109" s="47">
        <f t="shared" si="48"/>
        <v>42</v>
      </c>
      <c r="AA109" s="47">
        <f t="shared" si="40"/>
        <v>58</v>
      </c>
      <c r="AB109" s="47">
        <f t="shared" si="41"/>
        <v>38</v>
      </c>
      <c r="AC109" s="71">
        <f t="shared" si="52"/>
        <v>1205.64273745632</v>
      </c>
      <c r="AD109" s="118">
        <f t="shared" si="53"/>
        <v>10350.331082106492</v>
      </c>
    </row>
    <row r="110" spans="1:30" s="49" customFormat="1" ht="12.75" x14ac:dyDescent="0.2">
      <c r="A110" s="94">
        <v>105</v>
      </c>
      <c r="B110" s="36" t="s">
        <v>382</v>
      </c>
      <c r="C110" s="148">
        <v>2</v>
      </c>
      <c r="D110" s="57">
        <v>3432.9771878639999</v>
      </c>
      <c r="E110" s="79">
        <f t="shared" si="50"/>
        <v>6865.9543757279998</v>
      </c>
      <c r="F110" s="80">
        <f t="shared" si="36"/>
        <v>343.29771878640003</v>
      </c>
      <c r="G110" s="47"/>
      <c r="H110" s="47">
        <f t="shared" si="42"/>
        <v>633.19357020602672</v>
      </c>
      <c r="I110" s="47">
        <f t="shared" si="43"/>
        <v>253.27742808241069</v>
      </c>
      <c r="J110" s="47">
        <f t="shared" si="37"/>
        <v>572.16286464400002</v>
      </c>
      <c r="K110" s="47"/>
      <c r="L110" s="47">
        <f t="shared" si="45"/>
        <v>190.72095488133334</v>
      </c>
      <c r="M110" s="47">
        <f t="shared" si="46"/>
        <v>286.08143232200001</v>
      </c>
      <c r="N110" s="80">
        <v>0</v>
      </c>
      <c r="O110" s="47"/>
      <c r="P110" s="47"/>
      <c r="Q110" s="47"/>
      <c r="R110" s="47"/>
      <c r="S110" s="136"/>
      <c r="T110" s="47">
        <v>0</v>
      </c>
      <c r="U110" s="81">
        <f t="shared" si="51"/>
        <v>2278.7339689221712</v>
      </c>
      <c r="V110" s="47">
        <f t="shared" si="38"/>
        <v>328.04273745632003</v>
      </c>
      <c r="W110" s="47">
        <v>0</v>
      </c>
      <c r="X110" s="47">
        <f t="shared" si="47"/>
        <v>720</v>
      </c>
      <c r="Y110" s="47">
        <f t="shared" si="39"/>
        <v>19.600000000000001</v>
      </c>
      <c r="Z110" s="47">
        <f t="shared" si="48"/>
        <v>42</v>
      </c>
      <c r="AA110" s="47">
        <f t="shared" si="40"/>
        <v>58</v>
      </c>
      <c r="AB110" s="47">
        <f t="shared" si="41"/>
        <v>38</v>
      </c>
      <c r="AC110" s="71">
        <f t="shared" si="52"/>
        <v>1205.64273745632</v>
      </c>
      <c r="AD110" s="118">
        <f t="shared" si="53"/>
        <v>10350.331082106492</v>
      </c>
    </row>
    <row r="111" spans="1:30" s="49" customFormat="1" ht="12.75" x14ac:dyDescent="0.2">
      <c r="A111" s="94">
        <v>106</v>
      </c>
      <c r="B111" s="36" t="s">
        <v>383</v>
      </c>
      <c r="C111" s="148">
        <v>1</v>
      </c>
      <c r="D111" s="57">
        <v>3432.9771878639999</v>
      </c>
      <c r="E111" s="79">
        <f t="shared" si="50"/>
        <v>3432.9771878639999</v>
      </c>
      <c r="F111" s="80">
        <f t="shared" si="36"/>
        <v>171.64885939320001</v>
      </c>
      <c r="G111" s="47"/>
      <c r="H111" s="47">
        <f t="shared" si="42"/>
        <v>316.59678510301336</v>
      </c>
      <c r="I111" s="47">
        <f t="shared" si="43"/>
        <v>126.63871404120535</v>
      </c>
      <c r="J111" s="47">
        <f t="shared" si="37"/>
        <v>286.08143232200001</v>
      </c>
      <c r="K111" s="47"/>
      <c r="L111" s="47">
        <f t="shared" si="45"/>
        <v>95.360477440666671</v>
      </c>
      <c r="M111" s="47">
        <f t="shared" si="46"/>
        <v>143.04071616100001</v>
      </c>
      <c r="N111" s="80">
        <v>0</v>
      </c>
      <c r="O111" s="47"/>
      <c r="P111" s="47"/>
      <c r="Q111" s="47"/>
      <c r="R111" s="47"/>
      <c r="S111" s="136"/>
      <c r="T111" s="47">
        <v>0</v>
      </c>
      <c r="U111" s="81">
        <f t="shared" si="51"/>
        <v>1139.3669844610856</v>
      </c>
      <c r="V111" s="47">
        <f t="shared" si="38"/>
        <v>164.02136872816001</v>
      </c>
      <c r="W111" s="47">
        <v>0</v>
      </c>
      <c r="X111" s="47">
        <f t="shared" si="47"/>
        <v>360</v>
      </c>
      <c r="Y111" s="47">
        <f t="shared" si="39"/>
        <v>9.8000000000000007</v>
      </c>
      <c r="Z111" s="47">
        <f t="shared" si="48"/>
        <v>21</v>
      </c>
      <c r="AA111" s="47">
        <f t="shared" si="40"/>
        <v>29</v>
      </c>
      <c r="AB111" s="47">
        <f t="shared" si="41"/>
        <v>19</v>
      </c>
      <c r="AC111" s="71">
        <f t="shared" si="52"/>
        <v>602.82136872816</v>
      </c>
      <c r="AD111" s="118">
        <f t="shared" si="53"/>
        <v>5175.1655410532458</v>
      </c>
    </row>
    <row r="112" spans="1:30" s="49" customFormat="1" ht="12.75" x14ac:dyDescent="0.2">
      <c r="A112" s="94">
        <v>107</v>
      </c>
      <c r="B112" s="36" t="s">
        <v>384</v>
      </c>
      <c r="C112" s="148">
        <v>2</v>
      </c>
      <c r="D112" s="57">
        <v>3432.9771878639999</v>
      </c>
      <c r="E112" s="79">
        <f t="shared" si="50"/>
        <v>6865.9543757279998</v>
      </c>
      <c r="F112" s="80">
        <f t="shared" si="36"/>
        <v>343.29771878640003</v>
      </c>
      <c r="G112" s="47"/>
      <c r="H112" s="47">
        <f t="shared" si="42"/>
        <v>633.19357020602672</v>
      </c>
      <c r="I112" s="47">
        <f t="shared" si="43"/>
        <v>253.27742808241069</v>
      </c>
      <c r="J112" s="47">
        <f t="shared" si="37"/>
        <v>572.16286464400002</v>
      </c>
      <c r="K112" s="47"/>
      <c r="L112" s="47">
        <f t="shared" si="45"/>
        <v>190.72095488133334</v>
      </c>
      <c r="M112" s="47">
        <f t="shared" si="46"/>
        <v>286.08143232200001</v>
      </c>
      <c r="N112" s="80">
        <v>0</v>
      </c>
      <c r="O112" s="47"/>
      <c r="P112" s="47"/>
      <c r="Q112" s="47"/>
      <c r="R112" s="47"/>
      <c r="S112" s="136"/>
      <c r="T112" s="47">
        <v>0</v>
      </c>
      <c r="U112" s="81">
        <f t="shared" si="51"/>
        <v>2278.7339689221712</v>
      </c>
      <c r="V112" s="47">
        <f t="shared" si="38"/>
        <v>328.04273745632003</v>
      </c>
      <c r="W112" s="47">
        <v>0</v>
      </c>
      <c r="X112" s="47">
        <f t="shared" si="47"/>
        <v>720</v>
      </c>
      <c r="Y112" s="47">
        <f t="shared" si="39"/>
        <v>19.600000000000001</v>
      </c>
      <c r="Z112" s="47">
        <f t="shared" si="48"/>
        <v>42</v>
      </c>
      <c r="AA112" s="47">
        <f t="shared" si="40"/>
        <v>58</v>
      </c>
      <c r="AB112" s="47">
        <f t="shared" si="41"/>
        <v>38</v>
      </c>
      <c r="AC112" s="71">
        <f t="shared" si="52"/>
        <v>1205.64273745632</v>
      </c>
      <c r="AD112" s="118">
        <f t="shared" si="53"/>
        <v>10350.331082106492</v>
      </c>
    </row>
    <row r="113" spans="1:30" s="49" customFormat="1" ht="12.75" x14ac:dyDescent="0.2">
      <c r="A113" s="94">
        <v>108</v>
      </c>
      <c r="B113" s="36" t="s">
        <v>385</v>
      </c>
      <c r="C113" s="148">
        <v>2</v>
      </c>
      <c r="D113" s="57">
        <v>3432.9771878639999</v>
      </c>
      <c r="E113" s="79">
        <f t="shared" si="50"/>
        <v>6865.9543757279998</v>
      </c>
      <c r="F113" s="80">
        <f t="shared" si="36"/>
        <v>343.29771878640003</v>
      </c>
      <c r="G113" s="47"/>
      <c r="H113" s="47">
        <f t="shared" si="42"/>
        <v>633.19357020602672</v>
      </c>
      <c r="I113" s="47">
        <f t="shared" si="43"/>
        <v>253.27742808241069</v>
      </c>
      <c r="J113" s="47">
        <f t="shared" si="37"/>
        <v>572.16286464400002</v>
      </c>
      <c r="K113" s="47"/>
      <c r="L113" s="47">
        <f t="shared" si="45"/>
        <v>190.72095488133334</v>
      </c>
      <c r="M113" s="47">
        <f t="shared" si="46"/>
        <v>286.08143232200001</v>
      </c>
      <c r="N113" s="80">
        <v>0</v>
      </c>
      <c r="O113" s="47"/>
      <c r="P113" s="47"/>
      <c r="Q113" s="47"/>
      <c r="R113" s="47"/>
      <c r="S113" s="136"/>
      <c r="T113" s="47">
        <v>0</v>
      </c>
      <c r="U113" s="81">
        <f t="shared" si="51"/>
        <v>2278.7339689221712</v>
      </c>
      <c r="V113" s="47">
        <f t="shared" si="38"/>
        <v>328.04273745632003</v>
      </c>
      <c r="W113" s="47">
        <v>0</v>
      </c>
      <c r="X113" s="47">
        <f t="shared" si="47"/>
        <v>720</v>
      </c>
      <c r="Y113" s="47">
        <f t="shared" si="39"/>
        <v>19.600000000000001</v>
      </c>
      <c r="Z113" s="47">
        <f t="shared" si="48"/>
        <v>42</v>
      </c>
      <c r="AA113" s="47">
        <f t="shared" si="40"/>
        <v>58</v>
      </c>
      <c r="AB113" s="47">
        <f t="shared" si="41"/>
        <v>38</v>
      </c>
      <c r="AC113" s="71">
        <f t="shared" si="52"/>
        <v>1205.64273745632</v>
      </c>
      <c r="AD113" s="118">
        <f t="shared" si="53"/>
        <v>10350.331082106492</v>
      </c>
    </row>
    <row r="114" spans="1:30" s="49" customFormat="1" ht="12.75" x14ac:dyDescent="0.2">
      <c r="A114" s="94">
        <v>109</v>
      </c>
      <c r="B114" s="36" t="s">
        <v>386</v>
      </c>
      <c r="C114" s="148">
        <v>1</v>
      </c>
      <c r="D114" s="57">
        <v>3432.9771878639999</v>
      </c>
      <c r="E114" s="79">
        <f t="shared" si="50"/>
        <v>3432.9771878639999</v>
      </c>
      <c r="F114" s="80">
        <f t="shared" si="36"/>
        <v>171.64885939320001</v>
      </c>
      <c r="G114" s="47"/>
      <c r="H114" s="47">
        <f t="shared" si="42"/>
        <v>316.59678510301336</v>
      </c>
      <c r="I114" s="47">
        <f t="shared" si="43"/>
        <v>126.63871404120535</v>
      </c>
      <c r="J114" s="47">
        <f t="shared" si="37"/>
        <v>286.08143232200001</v>
      </c>
      <c r="K114" s="47"/>
      <c r="L114" s="47">
        <f t="shared" si="45"/>
        <v>95.360477440666671</v>
      </c>
      <c r="M114" s="47">
        <f t="shared" si="46"/>
        <v>143.04071616100001</v>
      </c>
      <c r="N114" s="80">
        <v>0</v>
      </c>
      <c r="O114" s="47"/>
      <c r="P114" s="47"/>
      <c r="Q114" s="47"/>
      <c r="R114" s="47"/>
      <c r="S114" s="136"/>
      <c r="T114" s="47">
        <v>0</v>
      </c>
      <c r="U114" s="81">
        <f t="shared" si="51"/>
        <v>1139.3669844610856</v>
      </c>
      <c r="V114" s="47">
        <f t="shared" si="38"/>
        <v>164.02136872816001</v>
      </c>
      <c r="W114" s="47">
        <v>0</v>
      </c>
      <c r="X114" s="47">
        <f t="shared" si="47"/>
        <v>360</v>
      </c>
      <c r="Y114" s="47">
        <f t="shared" si="39"/>
        <v>9.8000000000000007</v>
      </c>
      <c r="Z114" s="47">
        <f t="shared" si="48"/>
        <v>21</v>
      </c>
      <c r="AA114" s="47">
        <f t="shared" si="40"/>
        <v>29</v>
      </c>
      <c r="AB114" s="47">
        <f t="shared" si="41"/>
        <v>19</v>
      </c>
      <c r="AC114" s="71">
        <f t="shared" si="52"/>
        <v>602.82136872816</v>
      </c>
      <c r="AD114" s="118">
        <f t="shared" si="53"/>
        <v>5175.1655410532458</v>
      </c>
    </row>
    <row r="115" spans="1:30" s="49" customFormat="1" ht="12.75" x14ac:dyDescent="0.2">
      <c r="A115" s="94">
        <v>110</v>
      </c>
      <c r="B115" s="36" t="s">
        <v>387</v>
      </c>
      <c r="C115" s="148">
        <v>8</v>
      </c>
      <c r="D115" s="57">
        <v>1954.7239466999999</v>
      </c>
      <c r="E115" s="79">
        <f t="shared" si="50"/>
        <v>15637.7915736</v>
      </c>
      <c r="F115" s="80">
        <f t="shared" si="36"/>
        <v>1016.456452284</v>
      </c>
      <c r="G115" s="47"/>
      <c r="H115" s="47">
        <f t="shared" si="42"/>
        <v>1874.7974564349333</v>
      </c>
      <c r="I115" s="47">
        <f t="shared" si="43"/>
        <v>749.91898257397338</v>
      </c>
      <c r="J115" s="47">
        <f t="shared" si="37"/>
        <v>1694.0940871399998</v>
      </c>
      <c r="K115" s="47"/>
      <c r="L115" s="47">
        <f t="shared" si="45"/>
        <v>564.69802904666665</v>
      </c>
      <c r="M115" s="47">
        <f t="shared" si="46"/>
        <v>847.04704356999991</v>
      </c>
      <c r="N115" s="80">
        <v>0</v>
      </c>
      <c r="O115" s="47"/>
      <c r="P115" s="47"/>
      <c r="Q115" s="47"/>
      <c r="R115" s="47">
        <f>E115*30%</f>
        <v>4691.3374720799993</v>
      </c>
      <c r="S115" s="136"/>
      <c r="T115" s="47">
        <v>0</v>
      </c>
      <c r="U115" s="81">
        <f t="shared" si="51"/>
        <v>11438.349523129571</v>
      </c>
      <c r="V115" s="47">
        <f t="shared" si="38"/>
        <v>2021.7325055840001</v>
      </c>
      <c r="W115" s="47">
        <v>0</v>
      </c>
      <c r="X115" s="47">
        <f t="shared" si="47"/>
        <v>2880</v>
      </c>
      <c r="Y115" s="47">
        <f t="shared" si="39"/>
        <v>78.400000000000006</v>
      </c>
      <c r="Z115" s="47">
        <f t="shared" si="48"/>
        <v>168</v>
      </c>
      <c r="AA115" s="47">
        <f t="shared" si="40"/>
        <v>232</v>
      </c>
      <c r="AB115" s="47">
        <f t="shared" si="41"/>
        <v>152</v>
      </c>
      <c r="AC115" s="71">
        <f t="shared" si="52"/>
        <v>5532.1325055839998</v>
      </c>
      <c r="AD115" s="118">
        <f t="shared" si="53"/>
        <v>32608.273602313569</v>
      </c>
    </row>
    <row r="116" spans="1:30" s="49" customFormat="1" ht="12.75" x14ac:dyDescent="0.2">
      <c r="A116" s="94">
        <v>111</v>
      </c>
      <c r="B116" s="36" t="s">
        <v>388</v>
      </c>
      <c r="C116" s="148">
        <v>2</v>
      </c>
      <c r="D116" s="57">
        <v>1954.7239466999999</v>
      </c>
      <c r="E116" s="79">
        <f t="shared" si="50"/>
        <v>3909.4478933999999</v>
      </c>
      <c r="F116" s="80">
        <f t="shared" si="36"/>
        <v>195.47239466999997</v>
      </c>
      <c r="G116" s="47"/>
      <c r="H116" s="47">
        <f t="shared" si="42"/>
        <v>360.53797239133331</v>
      </c>
      <c r="I116" s="47">
        <f t="shared" si="43"/>
        <v>144.21518895653332</v>
      </c>
      <c r="J116" s="47">
        <f t="shared" si="37"/>
        <v>325.78732444999997</v>
      </c>
      <c r="K116" s="47"/>
      <c r="L116" s="47">
        <f t="shared" si="45"/>
        <v>108.59577481666666</v>
      </c>
      <c r="M116" s="47">
        <f t="shared" si="46"/>
        <v>162.89366222499999</v>
      </c>
      <c r="N116" s="80">
        <v>0</v>
      </c>
      <c r="O116" s="47"/>
      <c r="P116" s="47"/>
      <c r="Q116" s="47"/>
      <c r="R116" s="47"/>
      <c r="S116" s="136"/>
      <c r="T116" s="47">
        <v>0</v>
      </c>
      <c r="U116" s="81">
        <f t="shared" si="51"/>
        <v>1297.5023175095332</v>
      </c>
      <c r="V116" s="47">
        <f t="shared" si="38"/>
        <v>505.43312639600003</v>
      </c>
      <c r="W116" s="47">
        <v>0</v>
      </c>
      <c r="X116" s="47">
        <f t="shared" si="47"/>
        <v>720</v>
      </c>
      <c r="Y116" s="47">
        <f t="shared" si="39"/>
        <v>19.600000000000001</v>
      </c>
      <c r="Z116" s="47">
        <f t="shared" si="48"/>
        <v>42</v>
      </c>
      <c r="AA116" s="47">
        <f t="shared" si="40"/>
        <v>58</v>
      </c>
      <c r="AB116" s="47">
        <f t="shared" si="41"/>
        <v>38</v>
      </c>
      <c r="AC116" s="71">
        <f t="shared" si="52"/>
        <v>1383.0331263959999</v>
      </c>
      <c r="AD116" s="118">
        <f t="shared" si="53"/>
        <v>6589.9833373055326</v>
      </c>
    </row>
    <row r="117" spans="1:30" s="49" customFormat="1" ht="12.75" x14ac:dyDescent="0.2">
      <c r="A117" s="94">
        <v>112</v>
      </c>
      <c r="B117" s="36" t="s">
        <v>389</v>
      </c>
      <c r="C117" s="148">
        <v>2</v>
      </c>
      <c r="D117" s="57">
        <v>1604</v>
      </c>
      <c r="E117" s="79">
        <f t="shared" si="50"/>
        <v>3208</v>
      </c>
      <c r="F117" s="80">
        <f t="shared" si="36"/>
        <v>160.4</v>
      </c>
      <c r="G117" s="47"/>
      <c r="H117" s="47">
        <f t="shared" si="42"/>
        <v>295.84888888888889</v>
      </c>
      <c r="I117" s="47">
        <f t="shared" si="43"/>
        <v>118.33955555555556</v>
      </c>
      <c r="J117" s="47">
        <f t="shared" si="37"/>
        <v>267.33333333333331</v>
      </c>
      <c r="K117" s="47"/>
      <c r="L117" s="47">
        <f t="shared" si="45"/>
        <v>89.1111111111111</v>
      </c>
      <c r="M117" s="47">
        <f t="shared" si="46"/>
        <v>133.66666666666666</v>
      </c>
      <c r="N117" s="80">
        <v>0</v>
      </c>
      <c r="O117" s="47"/>
      <c r="P117" s="47"/>
      <c r="Q117" s="47"/>
      <c r="R117" s="47"/>
      <c r="S117" s="136"/>
      <c r="T117" s="47">
        <v>0</v>
      </c>
      <c r="U117" s="81">
        <f t="shared" si="51"/>
        <v>1064.6995555555557</v>
      </c>
      <c r="V117" s="47">
        <f t="shared" si="38"/>
        <v>547.52</v>
      </c>
      <c r="W117" s="47">
        <v>0</v>
      </c>
      <c r="X117" s="47">
        <f t="shared" si="47"/>
        <v>720</v>
      </c>
      <c r="Y117" s="47">
        <f t="shared" si="39"/>
        <v>19.600000000000001</v>
      </c>
      <c r="Z117" s="47">
        <f t="shared" si="48"/>
        <v>42</v>
      </c>
      <c r="AA117" s="47">
        <f t="shared" si="40"/>
        <v>58</v>
      </c>
      <c r="AB117" s="47">
        <f t="shared" si="41"/>
        <v>38</v>
      </c>
      <c r="AC117" s="71">
        <f t="shared" si="52"/>
        <v>1425.12</v>
      </c>
      <c r="AD117" s="118">
        <f t="shared" si="53"/>
        <v>5697.8195555555558</v>
      </c>
    </row>
    <row r="118" spans="1:30" s="49" customFormat="1" ht="12.75" x14ac:dyDescent="0.2">
      <c r="A118" s="94">
        <v>113</v>
      </c>
      <c r="B118" s="36" t="s">
        <v>579</v>
      </c>
      <c r="C118" s="148">
        <v>1</v>
      </c>
      <c r="D118" s="57">
        <v>6971.8487432299989</v>
      </c>
      <c r="E118" s="79">
        <f t="shared" si="50"/>
        <v>6971.8487432299989</v>
      </c>
      <c r="F118" s="80">
        <f t="shared" si="36"/>
        <v>348.59243716149996</v>
      </c>
      <c r="G118" s="47"/>
      <c r="H118" s="47">
        <f t="shared" si="42"/>
        <v>642.95938409787766</v>
      </c>
      <c r="I118" s="47">
        <f t="shared" si="43"/>
        <v>257.18375363915106</v>
      </c>
      <c r="J118" s="47">
        <f t="shared" si="37"/>
        <v>580.98739526916654</v>
      </c>
      <c r="K118" s="47"/>
      <c r="L118" s="47">
        <f t="shared" si="45"/>
        <v>193.66246508972219</v>
      </c>
      <c r="M118" s="47">
        <f t="shared" si="46"/>
        <v>290.49369763458327</v>
      </c>
      <c r="N118" s="80">
        <v>0</v>
      </c>
      <c r="O118" s="47"/>
      <c r="P118" s="47"/>
      <c r="Q118" s="47"/>
      <c r="R118" s="47"/>
      <c r="S118" s="136"/>
      <c r="T118" s="47">
        <v>0</v>
      </c>
      <c r="U118" s="81">
        <f t="shared" si="51"/>
        <v>2313.8791328920006</v>
      </c>
      <c r="V118" s="47"/>
      <c r="W118" s="47">
        <v>0</v>
      </c>
      <c r="X118" s="47">
        <f t="shared" si="47"/>
        <v>360</v>
      </c>
      <c r="Y118" s="47">
        <f t="shared" si="39"/>
        <v>9.8000000000000007</v>
      </c>
      <c r="Z118" s="47">
        <f t="shared" si="48"/>
        <v>21</v>
      </c>
      <c r="AA118" s="47">
        <f t="shared" si="40"/>
        <v>29</v>
      </c>
      <c r="AB118" s="47">
        <f t="shared" si="41"/>
        <v>19</v>
      </c>
      <c r="AC118" s="71">
        <f t="shared" si="52"/>
        <v>438.8</v>
      </c>
      <c r="AD118" s="118">
        <f t="shared" si="53"/>
        <v>9724.5278761219997</v>
      </c>
    </row>
    <row r="119" spans="1:30" s="49" customFormat="1" ht="12.75" x14ac:dyDescent="0.2">
      <c r="A119" s="94">
        <v>114</v>
      </c>
      <c r="B119" s="36" t="s">
        <v>390</v>
      </c>
      <c r="C119" s="148">
        <v>2</v>
      </c>
      <c r="D119" s="57">
        <v>2216.5886211419997</v>
      </c>
      <c r="E119" s="79">
        <f t="shared" si="50"/>
        <v>4433.1772422839995</v>
      </c>
      <c r="F119" s="80">
        <f t="shared" si="36"/>
        <v>221.65886211419999</v>
      </c>
      <c r="G119" s="47"/>
      <c r="H119" s="47">
        <f t="shared" si="42"/>
        <v>408.83745678841336</v>
      </c>
      <c r="I119" s="47">
        <f t="shared" si="43"/>
        <v>163.53498271536535</v>
      </c>
      <c r="J119" s="47">
        <f t="shared" si="37"/>
        <v>369.43143685699994</v>
      </c>
      <c r="K119" s="47"/>
      <c r="L119" s="47">
        <f t="shared" si="45"/>
        <v>123.14381228566664</v>
      </c>
      <c r="M119" s="47">
        <f t="shared" si="46"/>
        <v>184.71571842849997</v>
      </c>
      <c r="N119" s="80">
        <v>0</v>
      </c>
      <c r="O119" s="47"/>
      <c r="P119" s="47"/>
      <c r="Q119" s="47"/>
      <c r="R119" s="47"/>
      <c r="S119" s="136"/>
      <c r="T119" s="47">
        <v>0</v>
      </c>
      <c r="U119" s="81">
        <f t="shared" si="51"/>
        <v>1471.3222691891451</v>
      </c>
      <c r="V119" s="47">
        <f t="shared" si="38"/>
        <v>474.00936546296003</v>
      </c>
      <c r="W119" s="47">
        <v>0</v>
      </c>
      <c r="X119" s="47">
        <f t="shared" si="47"/>
        <v>720</v>
      </c>
      <c r="Y119" s="47">
        <f t="shared" si="39"/>
        <v>19.600000000000001</v>
      </c>
      <c r="Z119" s="47">
        <f t="shared" si="48"/>
        <v>42</v>
      </c>
      <c r="AA119" s="47">
        <f t="shared" si="40"/>
        <v>58</v>
      </c>
      <c r="AB119" s="47">
        <f t="shared" si="41"/>
        <v>38</v>
      </c>
      <c r="AC119" s="71">
        <f t="shared" si="52"/>
        <v>1351.6093654629599</v>
      </c>
      <c r="AD119" s="118">
        <f t="shared" si="53"/>
        <v>7256.1088769361049</v>
      </c>
    </row>
    <row r="120" spans="1:30" s="49" customFormat="1" ht="12.75" x14ac:dyDescent="0.2">
      <c r="A120" s="94">
        <v>115</v>
      </c>
      <c r="B120" s="36" t="s">
        <v>391</v>
      </c>
      <c r="C120" s="148">
        <v>43</v>
      </c>
      <c r="D120" s="57">
        <v>2475.9907000000003</v>
      </c>
      <c r="E120" s="79">
        <f t="shared" si="50"/>
        <v>106467.60010000001</v>
      </c>
      <c r="F120" s="80">
        <f t="shared" si="36"/>
        <v>8068.2632950200004</v>
      </c>
      <c r="G120" s="47"/>
      <c r="H120" s="47">
        <f t="shared" si="42"/>
        <v>14881.463410814667</v>
      </c>
      <c r="I120" s="47">
        <f t="shared" si="43"/>
        <v>5952.585364325867</v>
      </c>
      <c r="J120" s="47">
        <f t="shared" si="37"/>
        <v>13447.105491700002</v>
      </c>
      <c r="K120" s="47"/>
      <c r="L120" s="47">
        <f t="shared" si="45"/>
        <v>4482.368497233334</v>
      </c>
      <c r="M120" s="47">
        <f t="shared" si="46"/>
        <v>6723.552745850001</v>
      </c>
      <c r="N120" s="80">
        <v>0</v>
      </c>
      <c r="O120" s="47"/>
      <c r="P120" s="47">
        <f t="shared" ref="P120:P125" si="56">(D120/200*36*2)*(C120/2)</f>
        <v>19164.168018</v>
      </c>
      <c r="Q120" s="47">
        <f t="shared" ref="Q120:Q125" si="57">(D120/200*2*24)/20*4*C120/2</f>
        <v>2555.2224024000002</v>
      </c>
      <c r="R120" s="47">
        <f>E120*30%</f>
        <v>31940.280030000002</v>
      </c>
      <c r="S120" s="136">
        <f>(D120*0.1)*5</f>
        <v>1237.9953500000001</v>
      </c>
      <c r="T120" s="47">
        <v>0</v>
      </c>
      <c r="U120" s="81">
        <f t="shared" si="51"/>
        <v>108453.00460534387</v>
      </c>
      <c r="V120" s="47">
        <f t="shared" si="38"/>
        <v>9521.9439939999993</v>
      </c>
      <c r="W120" s="47">
        <v>0</v>
      </c>
      <c r="X120" s="47">
        <f t="shared" si="47"/>
        <v>15480</v>
      </c>
      <c r="Y120" s="47">
        <f t="shared" si="39"/>
        <v>421.40000000000003</v>
      </c>
      <c r="Z120" s="47">
        <f t="shared" si="48"/>
        <v>903</v>
      </c>
      <c r="AA120" s="47">
        <f t="shared" si="40"/>
        <v>1247</v>
      </c>
      <c r="AB120" s="47">
        <f t="shared" si="41"/>
        <v>817</v>
      </c>
      <c r="AC120" s="71">
        <f t="shared" si="52"/>
        <v>28390.343994000003</v>
      </c>
      <c r="AD120" s="118">
        <f t="shared" si="53"/>
        <v>243310.94869934389</v>
      </c>
    </row>
    <row r="121" spans="1:30" s="49" customFormat="1" ht="12.75" x14ac:dyDescent="0.2">
      <c r="A121" s="94">
        <v>116</v>
      </c>
      <c r="B121" s="36" t="s">
        <v>391</v>
      </c>
      <c r="C121" s="148">
        <v>18</v>
      </c>
      <c r="D121" s="57">
        <v>2475.9907000000003</v>
      </c>
      <c r="E121" s="79">
        <f t="shared" si="50"/>
        <v>44567.832600000009</v>
      </c>
      <c r="F121" s="80">
        <f t="shared" si="36"/>
        <v>3684.8602961257088</v>
      </c>
      <c r="G121" s="47"/>
      <c r="H121" s="47">
        <f t="shared" si="42"/>
        <v>6796.5201017429754</v>
      </c>
      <c r="I121" s="47">
        <f t="shared" si="43"/>
        <v>2718.6080406971905</v>
      </c>
      <c r="J121" s="47">
        <f t="shared" si="37"/>
        <v>6141.4338268761821</v>
      </c>
      <c r="K121" s="47"/>
      <c r="L121" s="47">
        <f t="shared" si="45"/>
        <v>2047.1446089587273</v>
      </c>
      <c r="M121" s="47">
        <f t="shared" si="46"/>
        <v>3070.7169134380911</v>
      </c>
      <c r="N121" s="80">
        <f>(E121/220)*(137.13)*(20%)</f>
        <v>5555.9880767618197</v>
      </c>
      <c r="O121" s="47">
        <f>(N121/25)*5</f>
        <v>1111.197615352364</v>
      </c>
      <c r="P121" s="47">
        <f t="shared" si="56"/>
        <v>8022.2098680000008</v>
      </c>
      <c r="Q121" s="47">
        <f t="shared" si="57"/>
        <v>1069.6279824000001</v>
      </c>
      <c r="R121" s="47">
        <f>E121*30%</f>
        <v>13370.349780000002</v>
      </c>
      <c r="S121" s="136"/>
      <c r="T121" s="47">
        <v>0</v>
      </c>
      <c r="U121" s="81">
        <f t="shared" si="51"/>
        <v>53588.657110353066</v>
      </c>
      <c r="V121" s="47">
        <f t="shared" si="38"/>
        <v>3985.9300439999997</v>
      </c>
      <c r="W121" s="47">
        <v>0</v>
      </c>
      <c r="X121" s="47">
        <f t="shared" si="47"/>
        <v>6480</v>
      </c>
      <c r="Y121" s="47">
        <f t="shared" si="39"/>
        <v>176.4</v>
      </c>
      <c r="Z121" s="47">
        <f t="shared" si="48"/>
        <v>378</v>
      </c>
      <c r="AA121" s="47">
        <f t="shared" si="40"/>
        <v>522</v>
      </c>
      <c r="AB121" s="47">
        <f t="shared" si="41"/>
        <v>342</v>
      </c>
      <c r="AC121" s="71">
        <f t="shared" si="52"/>
        <v>11884.330044</v>
      </c>
      <c r="AD121" s="118">
        <f t="shared" si="53"/>
        <v>110040.81975435308</v>
      </c>
    </row>
    <row r="122" spans="1:30" s="49" customFormat="1" ht="12.75" x14ac:dyDescent="0.2">
      <c r="A122" s="94">
        <v>117</v>
      </c>
      <c r="B122" s="36" t="s">
        <v>399</v>
      </c>
      <c r="C122" s="148">
        <v>2</v>
      </c>
      <c r="D122" s="57">
        <v>4195.9728999999998</v>
      </c>
      <c r="E122" s="79">
        <f t="shared" si="50"/>
        <v>8391.9457999999995</v>
      </c>
      <c r="F122" s="80">
        <f t="shared" si="36"/>
        <v>419.59728999999993</v>
      </c>
      <c r="G122" s="47"/>
      <c r="H122" s="47">
        <f t="shared" si="42"/>
        <v>773.9238904444444</v>
      </c>
      <c r="I122" s="47">
        <f t="shared" si="43"/>
        <v>309.56955617777777</v>
      </c>
      <c r="J122" s="47">
        <f t="shared" si="37"/>
        <v>699.32881666666663</v>
      </c>
      <c r="K122" s="47"/>
      <c r="L122" s="47">
        <f t="shared" si="45"/>
        <v>233.10960555555553</v>
      </c>
      <c r="M122" s="47">
        <f t="shared" si="46"/>
        <v>349.66440833333331</v>
      </c>
      <c r="N122" s="80">
        <v>0</v>
      </c>
      <c r="O122" s="47"/>
      <c r="P122" s="47"/>
      <c r="Q122" s="47"/>
      <c r="R122" s="47"/>
      <c r="S122" s="136"/>
      <c r="T122" s="47">
        <v>0</v>
      </c>
      <c r="U122" s="81">
        <f t="shared" si="51"/>
        <v>2785.1935671777774</v>
      </c>
      <c r="V122" s="47">
        <f t="shared" si="38"/>
        <v>236.48325200000005</v>
      </c>
      <c r="W122" s="47">
        <v>0</v>
      </c>
      <c r="X122" s="47">
        <f t="shared" si="47"/>
        <v>720</v>
      </c>
      <c r="Y122" s="47">
        <f t="shared" si="39"/>
        <v>19.600000000000001</v>
      </c>
      <c r="Z122" s="47">
        <f t="shared" si="48"/>
        <v>42</v>
      </c>
      <c r="AA122" s="47">
        <f t="shared" si="40"/>
        <v>58</v>
      </c>
      <c r="AB122" s="47">
        <f t="shared" si="41"/>
        <v>38</v>
      </c>
      <c r="AC122" s="71">
        <f t="shared" si="52"/>
        <v>1114.0832519999999</v>
      </c>
      <c r="AD122" s="118">
        <f t="shared" si="53"/>
        <v>12291.222619177777</v>
      </c>
    </row>
    <row r="123" spans="1:30" s="49" customFormat="1" ht="12.75" x14ac:dyDescent="0.2">
      <c r="A123" s="94">
        <v>118</v>
      </c>
      <c r="B123" s="36" t="s">
        <v>393</v>
      </c>
      <c r="C123" s="148">
        <v>2</v>
      </c>
      <c r="D123" s="57">
        <v>5372.2025000000003</v>
      </c>
      <c r="E123" s="79">
        <f t="shared" si="50"/>
        <v>10744.405000000001</v>
      </c>
      <c r="F123" s="80">
        <f t="shared" si="36"/>
        <v>646.81318099999999</v>
      </c>
      <c r="G123" s="47"/>
      <c r="H123" s="47">
        <f t="shared" si="42"/>
        <v>1193.010978288889</v>
      </c>
      <c r="I123" s="47">
        <f t="shared" si="43"/>
        <v>477.2043913155556</v>
      </c>
      <c r="J123" s="47">
        <f t="shared" si="37"/>
        <v>1078.0219683333332</v>
      </c>
      <c r="K123" s="47"/>
      <c r="L123" s="47">
        <f t="shared" si="45"/>
        <v>359.34065611111106</v>
      </c>
      <c r="M123" s="47">
        <f t="shared" si="46"/>
        <v>539.01098416666662</v>
      </c>
      <c r="N123" s="80">
        <v>0</v>
      </c>
      <c r="O123" s="47"/>
      <c r="P123" s="47">
        <f t="shared" si="56"/>
        <v>1933.9929000000002</v>
      </c>
      <c r="Q123" s="47">
        <f t="shared" si="57"/>
        <v>257.86572000000001</v>
      </c>
      <c r="R123" s="47"/>
      <c r="S123" s="136"/>
      <c r="T123" s="47">
        <v>0</v>
      </c>
      <c r="U123" s="81">
        <f t="shared" si="51"/>
        <v>6485.2607792155559</v>
      </c>
      <c r="V123" s="47">
        <f t="shared" si="38"/>
        <v>95.335699999999974</v>
      </c>
      <c r="W123" s="47">
        <v>0</v>
      </c>
      <c r="X123" s="47">
        <f t="shared" si="47"/>
        <v>720</v>
      </c>
      <c r="Y123" s="47">
        <f t="shared" si="39"/>
        <v>19.600000000000001</v>
      </c>
      <c r="Z123" s="47">
        <f t="shared" si="48"/>
        <v>42</v>
      </c>
      <c r="AA123" s="47">
        <f t="shared" si="40"/>
        <v>58</v>
      </c>
      <c r="AB123" s="47">
        <f t="shared" si="41"/>
        <v>38</v>
      </c>
      <c r="AC123" s="71">
        <f t="shared" si="52"/>
        <v>972.9357</v>
      </c>
      <c r="AD123" s="118">
        <f t="shared" si="53"/>
        <v>18202.601479215555</v>
      </c>
    </row>
    <row r="124" spans="1:30" s="49" customFormat="1" ht="12.75" x14ac:dyDescent="0.2">
      <c r="A124" s="94">
        <v>119</v>
      </c>
      <c r="B124" s="36" t="s">
        <v>394</v>
      </c>
      <c r="C124" s="148">
        <v>2</v>
      </c>
      <c r="D124" s="57">
        <v>3760.5471000000002</v>
      </c>
      <c r="E124" s="79">
        <f t="shared" si="50"/>
        <v>7521.0942000000005</v>
      </c>
      <c r="F124" s="80">
        <f t="shared" si="36"/>
        <v>452.76987084000001</v>
      </c>
      <c r="G124" s="47"/>
      <c r="H124" s="47">
        <f t="shared" si="42"/>
        <v>835.10887288266679</v>
      </c>
      <c r="I124" s="47">
        <f t="shared" si="43"/>
        <v>334.04354915306675</v>
      </c>
      <c r="J124" s="47">
        <f t="shared" si="37"/>
        <v>754.61645140000019</v>
      </c>
      <c r="K124" s="47"/>
      <c r="L124" s="47">
        <f t="shared" si="45"/>
        <v>251.5388171333334</v>
      </c>
      <c r="M124" s="47">
        <f t="shared" si="46"/>
        <v>377.30822570000009</v>
      </c>
      <c r="N124" s="80">
        <v>0</v>
      </c>
      <c r="O124" s="47"/>
      <c r="P124" s="47">
        <f t="shared" si="56"/>
        <v>1353.7969560000001</v>
      </c>
      <c r="Q124" s="47">
        <f t="shared" si="57"/>
        <v>180.50626080000001</v>
      </c>
      <c r="R124" s="47"/>
      <c r="S124" s="136"/>
      <c r="T124" s="47">
        <v>0</v>
      </c>
      <c r="U124" s="81">
        <f t="shared" si="51"/>
        <v>4539.6890039090677</v>
      </c>
      <c r="V124" s="47">
        <f t="shared" si="38"/>
        <v>288.73434800000001</v>
      </c>
      <c r="W124" s="47">
        <v>0</v>
      </c>
      <c r="X124" s="47">
        <f t="shared" si="47"/>
        <v>720</v>
      </c>
      <c r="Y124" s="47">
        <f t="shared" si="39"/>
        <v>19.600000000000001</v>
      </c>
      <c r="Z124" s="47">
        <f t="shared" si="48"/>
        <v>42</v>
      </c>
      <c r="AA124" s="47">
        <f t="shared" si="40"/>
        <v>58</v>
      </c>
      <c r="AB124" s="47">
        <f t="shared" si="41"/>
        <v>38</v>
      </c>
      <c r="AC124" s="71">
        <f t="shared" si="52"/>
        <v>1166.3343479999999</v>
      </c>
      <c r="AD124" s="118">
        <f t="shared" si="53"/>
        <v>13227.117551909068</v>
      </c>
    </row>
    <row r="125" spans="1:30" s="49" customFormat="1" ht="12.75" x14ac:dyDescent="0.2">
      <c r="A125" s="94">
        <v>120</v>
      </c>
      <c r="B125" s="36" t="s">
        <v>395</v>
      </c>
      <c r="C125" s="148">
        <v>4</v>
      </c>
      <c r="D125" s="57">
        <v>1759.2515520300001</v>
      </c>
      <c r="E125" s="79">
        <f t="shared" si="50"/>
        <v>7037.0062081200003</v>
      </c>
      <c r="F125" s="80">
        <f t="shared" si="36"/>
        <v>476.2633007098874</v>
      </c>
      <c r="G125" s="47"/>
      <c r="H125" s="47">
        <f t="shared" si="42"/>
        <v>878.44119908712571</v>
      </c>
      <c r="I125" s="47">
        <f t="shared" si="43"/>
        <v>351.37647963485028</v>
      </c>
      <c r="J125" s="47">
        <f t="shared" si="37"/>
        <v>793.77216784981238</v>
      </c>
      <c r="K125" s="47"/>
      <c r="L125" s="47">
        <f t="shared" si="45"/>
        <v>264.59072261660413</v>
      </c>
      <c r="M125" s="47">
        <f t="shared" si="46"/>
        <v>396.88608392490619</v>
      </c>
      <c r="N125" s="80">
        <f>(E125/220)*(137.13)*(20%)</f>
        <v>877.25878301772343</v>
      </c>
      <c r="O125" s="47">
        <f>(N125/25)*5</f>
        <v>175.45175660354471</v>
      </c>
      <c r="P125" s="47">
        <f t="shared" si="56"/>
        <v>1266.6611174616</v>
      </c>
      <c r="Q125" s="47">
        <f t="shared" si="57"/>
        <v>168.88814899488003</v>
      </c>
      <c r="R125" s="47"/>
      <c r="S125" s="136"/>
      <c r="T125" s="47">
        <v>0</v>
      </c>
      <c r="U125" s="81">
        <f t="shared" si="51"/>
        <v>5649.589759900934</v>
      </c>
      <c r="V125" s="47">
        <f t="shared" si="38"/>
        <v>1057.7796275128001</v>
      </c>
      <c r="W125" s="47">
        <v>0</v>
      </c>
      <c r="X125" s="47">
        <f t="shared" si="47"/>
        <v>1440</v>
      </c>
      <c r="Y125" s="47">
        <f t="shared" si="39"/>
        <v>39.200000000000003</v>
      </c>
      <c r="Z125" s="47">
        <f t="shared" si="48"/>
        <v>84</v>
      </c>
      <c r="AA125" s="47">
        <f t="shared" si="40"/>
        <v>116</v>
      </c>
      <c r="AB125" s="47">
        <f t="shared" si="41"/>
        <v>76</v>
      </c>
      <c r="AC125" s="71">
        <f t="shared" si="52"/>
        <v>2812.9796275128001</v>
      </c>
      <c r="AD125" s="118">
        <f t="shared" si="53"/>
        <v>15499.575595533734</v>
      </c>
    </row>
    <row r="126" spans="1:30" s="49" customFormat="1" ht="22.5" x14ac:dyDescent="0.2">
      <c r="A126" s="94">
        <v>121</v>
      </c>
      <c r="B126" s="36" t="s">
        <v>414</v>
      </c>
      <c r="C126" s="148">
        <v>1</v>
      </c>
      <c r="D126" s="57">
        <v>8626.8483514359996</v>
      </c>
      <c r="E126" s="79">
        <f t="shared" si="50"/>
        <v>8626.8483514359996</v>
      </c>
      <c r="F126" s="80">
        <f t="shared" si="36"/>
        <v>463.69309888968496</v>
      </c>
      <c r="G126" s="47"/>
      <c r="H126" s="47">
        <f>(E126+J126+L126+K126+M126+N126+O126+P126+Q126+R126+S126+T126)*8%</f>
        <v>853.09944808644889</v>
      </c>
      <c r="I126" s="47">
        <f>H126*40%</f>
        <v>341.2397792345796</v>
      </c>
      <c r="J126" s="47">
        <f t="shared" si="37"/>
        <v>718.9040292863333</v>
      </c>
      <c r="K126" s="47">
        <f>(E126+N126+O126+P126+Q126+R126+S126+T126)/12</f>
        <v>718.9040292863333</v>
      </c>
      <c r="L126" s="47">
        <f>J126/3</f>
        <v>239.63467642877777</v>
      </c>
      <c r="M126" s="47">
        <f>(E126+N126+O126+P126+Q126+R126+S126+T126)/12/2</f>
        <v>359.45201464316665</v>
      </c>
      <c r="N126" s="80">
        <v>0</v>
      </c>
      <c r="O126" s="47"/>
      <c r="P126" s="47"/>
      <c r="Q126" s="47"/>
      <c r="R126" s="47"/>
      <c r="S126" s="136"/>
      <c r="T126" s="47">
        <v>0</v>
      </c>
      <c r="U126" s="81">
        <f t="shared" si="51"/>
        <v>3694.9270758553248</v>
      </c>
      <c r="V126" s="47"/>
      <c r="W126" s="47">
        <v>0</v>
      </c>
      <c r="X126" s="47">
        <f t="shared" si="47"/>
        <v>360</v>
      </c>
      <c r="Y126" s="47">
        <f t="shared" si="39"/>
        <v>9.8000000000000007</v>
      </c>
      <c r="Z126" s="47">
        <f t="shared" si="48"/>
        <v>21</v>
      </c>
      <c r="AA126" s="47">
        <f t="shared" si="40"/>
        <v>29</v>
      </c>
      <c r="AB126" s="47">
        <f t="shared" si="41"/>
        <v>19</v>
      </c>
      <c r="AC126" s="71">
        <f t="shared" si="52"/>
        <v>438.8</v>
      </c>
      <c r="AD126" s="118">
        <f t="shared" si="53"/>
        <v>12760.575427291324</v>
      </c>
    </row>
    <row r="127" spans="1:30" s="49" customFormat="1" ht="22.5" x14ac:dyDescent="0.2">
      <c r="A127" s="94">
        <v>122</v>
      </c>
      <c r="B127" s="36" t="s">
        <v>581</v>
      </c>
      <c r="C127" s="148">
        <v>1</v>
      </c>
      <c r="D127" s="57">
        <v>6971.8487432299989</v>
      </c>
      <c r="E127" s="79">
        <f t="shared" si="50"/>
        <v>6971.8487432299989</v>
      </c>
      <c r="F127" s="80">
        <f t="shared" si="36"/>
        <v>348.59243716149996</v>
      </c>
      <c r="G127" s="47"/>
      <c r="H127" s="47">
        <f t="shared" si="42"/>
        <v>642.95938409787766</v>
      </c>
      <c r="I127" s="47">
        <f t="shared" si="43"/>
        <v>257.18375363915106</v>
      </c>
      <c r="J127" s="47">
        <f t="shared" si="37"/>
        <v>580.98739526916654</v>
      </c>
      <c r="K127" s="47"/>
      <c r="L127" s="47">
        <f t="shared" si="45"/>
        <v>193.66246508972219</v>
      </c>
      <c r="M127" s="47">
        <f t="shared" si="46"/>
        <v>290.49369763458327</v>
      </c>
      <c r="N127" s="80">
        <v>0</v>
      </c>
      <c r="O127" s="47"/>
      <c r="P127" s="47"/>
      <c r="Q127" s="47"/>
      <c r="R127" s="47"/>
      <c r="S127" s="136"/>
      <c r="T127" s="47">
        <v>0</v>
      </c>
      <c r="U127" s="81">
        <f t="shared" si="51"/>
        <v>2313.8791328920006</v>
      </c>
      <c r="V127" s="47"/>
      <c r="W127" s="47">
        <v>0</v>
      </c>
      <c r="X127" s="47">
        <f t="shared" si="47"/>
        <v>360</v>
      </c>
      <c r="Y127" s="47">
        <f t="shared" si="39"/>
        <v>9.8000000000000007</v>
      </c>
      <c r="Z127" s="47">
        <f t="shared" si="48"/>
        <v>21</v>
      </c>
      <c r="AA127" s="47">
        <f t="shared" si="40"/>
        <v>29</v>
      </c>
      <c r="AB127" s="47">
        <f t="shared" si="41"/>
        <v>19</v>
      </c>
      <c r="AC127" s="71">
        <f t="shared" si="52"/>
        <v>438.8</v>
      </c>
      <c r="AD127" s="118">
        <f t="shared" si="53"/>
        <v>9724.5278761219997</v>
      </c>
    </row>
    <row r="128" spans="1:30" s="49" customFormat="1" ht="12.75" x14ac:dyDescent="0.2">
      <c r="A128" s="94">
        <v>123</v>
      </c>
      <c r="B128" s="36" t="s">
        <v>415</v>
      </c>
      <c r="C128" s="148">
        <v>1</v>
      </c>
      <c r="D128" s="57">
        <v>6971.8487432299989</v>
      </c>
      <c r="E128" s="79">
        <f t="shared" si="50"/>
        <v>6971.8487432299989</v>
      </c>
      <c r="F128" s="80">
        <f t="shared" si="36"/>
        <v>348.59243716149996</v>
      </c>
      <c r="G128" s="47"/>
      <c r="H128" s="47">
        <f t="shared" si="42"/>
        <v>642.95938409787766</v>
      </c>
      <c r="I128" s="47">
        <f t="shared" si="43"/>
        <v>257.18375363915106</v>
      </c>
      <c r="J128" s="47">
        <f t="shared" si="37"/>
        <v>580.98739526916654</v>
      </c>
      <c r="K128" s="47"/>
      <c r="L128" s="47">
        <f t="shared" si="45"/>
        <v>193.66246508972219</v>
      </c>
      <c r="M128" s="47">
        <f t="shared" si="46"/>
        <v>290.49369763458327</v>
      </c>
      <c r="N128" s="80">
        <v>0</v>
      </c>
      <c r="O128" s="47"/>
      <c r="P128" s="47"/>
      <c r="Q128" s="47"/>
      <c r="R128" s="47"/>
      <c r="S128" s="136"/>
      <c r="T128" s="47">
        <v>0</v>
      </c>
      <c r="U128" s="81">
        <f t="shared" si="51"/>
        <v>2313.8791328920006</v>
      </c>
      <c r="V128" s="47"/>
      <c r="W128" s="47">
        <v>0</v>
      </c>
      <c r="X128" s="47">
        <f t="shared" si="47"/>
        <v>360</v>
      </c>
      <c r="Y128" s="47">
        <f t="shared" si="39"/>
        <v>9.8000000000000007</v>
      </c>
      <c r="Z128" s="47">
        <f t="shared" si="48"/>
        <v>21</v>
      </c>
      <c r="AA128" s="47">
        <f t="shared" si="40"/>
        <v>29</v>
      </c>
      <c r="AB128" s="47">
        <f t="shared" si="41"/>
        <v>19</v>
      </c>
      <c r="AC128" s="71">
        <f t="shared" si="52"/>
        <v>438.8</v>
      </c>
      <c r="AD128" s="118">
        <f t="shared" si="53"/>
        <v>9724.5278761219997</v>
      </c>
    </row>
    <row r="129" spans="1:30" s="49" customFormat="1" ht="12.75" x14ac:dyDescent="0.2">
      <c r="A129" s="94">
        <v>124</v>
      </c>
      <c r="B129" s="36" t="s">
        <v>381</v>
      </c>
      <c r="C129" s="148">
        <v>1</v>
      </c>
      <c r="D129" s="57">
        <v>3432.9771878639999</v>
      </c>
      <c r="E129" s="79">
        <f t="shared" si="50"/>
        <v>3432.9771878639999</v>
      </c>
      <c r="F129" s="80">
        <f t="shared" si="36"/>
        <v>171.64885939320001</v>
      </c>
      <c r="G129" s="47"/>
      <c r="H129" s="47">
        <f t="shared" si="42"/>
        <v>316.59678510301336</v>
      </c>
      <c r="I129" s="47">
        <f t="shared" si="43"/>
        <v>126.63871404120535</v>
      </c>
      <c r="J129" s="47">
        <f t="shared" si="37"/>
        <v>286.08143232200001</v>
      </c>
      <c r="K129" s="47"/>
      <c r="L129" s="47">
        <f t="shared" si="45"/>
        <v>95.360477440666671</v>
      </c>
      <c r="M129" s="47">
        <f t="shared" si="46"/>
        <v>143.04071616100001</v>
      </c>
      <c r="N129" s="80">
        <v>0</v>
      </c>
      <c r="O129" s="47"/>
      <c r="P129" s="47"/>
      <c r="Q129" s="47"/>
      <c r="R129" s="47"/>
      <c r="S129" s="136"/>
      <c r="T129" s="47">
        <v>0</v>
      </c>
      <c r="U129" s="81">
        <f t="shared" si="51"/>
        <v>1139.3669844610856</v>
      </c>
      <c r="V129" s="47">
        <f t="shared" si="38"/>
        <v>164.02136872816001</v>
      </c>
      <c r="W129" s="47">
        <v>0</v>
      </c>
      <c r="X129" s="47">
        <f t="shared" si="47"/>
        <v>360</v>
      </c>
      <c r="Y129" s="47">
        <f t="shared" si="39"/>
        <v>9.8000000000000007</v>
      </c>
      <c r="Z129" s="47">
        <f t="shared" si="48"/>
        <v>21</v>
      </c>
      <c r="AA129" s="47">
        <f t="shared" si="40"/>
        <v>29</v>
      </c>
      <c r="AB129" s="47">
        <f t="shared" si="41"/>
        <v>19</v>
      </c>
      <c r="AC129" s="71">
        <f t="shared" si="52"/>
        <v>602.82136872816</v>
      </c>
      <c r="AD129" s="118">
        <f t="shared" si="53"/>
        <v>5175.1655410532458</v>
      </c>
    </row>
    <row r="130" spans="1:30" s="49" customFormat="1" ht="12.75" x14ac:dyDescent="0.2">
      <c r="A130" s="94">
        <v>125</v>
      </c>
      <c r="B130" s="36" t="s">
        <v>382</v>
      </c>
      <c r="C130" s="148">
        <v>1</v>
      </c>
      <c r="D130" s="57">
        <v>3432.9771878639999</v>
      </c>
      <c r="E130" s="79">
        <f t="shared" si="50"/>
        <v>3432.9771878639999</v>
      </c>
      <c r="F130" s="80">
        <f t="shared" si="36"/>
        <v>171.64885939320001</v>
      </c>
      <c r="G130" s="47"/>
      <c r="H130" s="47">
        <f t="shared" si="42"/>
        <v>316.59678510301336</v>
      </c>
      <c r="I130" s="47">
        <f t="shared" si="43"/>
        <v>126.63871404120535</v>
      </c>
      <c r="J130" s="47">
        <f t="shared" si="37"/>
        <v>286.08143232200001</v>
      </c>
      <c r="K130" s="47"/>
      <c r="L130" s="47">
        <f t="shared" si="45"/>
        <v>95.360477440666671</v>
      </c>
      <c r="M130" s="47">
        <f t="shared" si="46"/>
        <v>143.04071616100001</v>
      </c>
      <c r="N130" s="80">
        <v>0</v>
      </c>
      <c r="O130" s="47"/>
      <c r="P130" s="47"/>
      <c r="Q130" s="47"/>
      <c r="R130" s="47"/>
      <c r="S130" s="136"/>
      <c r="T130" s="47">
        <v>0</v>
      </c>
      <c r="U130" s="81">
        <f t="shared" si="51"/>
        <v>1139.3669844610856</v>
      </c>
      <c r="V130" s="47">
        <f t="shared" si="38"/>
        <v>164.02136872816001</v>
      </c>
      <c r="W130" s="47">
        <v>0</v>
      </c>
      <c r="X130" s="47">
        <f t="shared" si="47"/>
        <v>360</v>
      </c>
      <c r="Y130" s="47">
        <f t="shared" si="39"/>
        <v>9.8000000000000007</v>
      </c>
      <c r="Z130" s="47">
        <f t="shared" si="48"/>
        <v>21</v>
      </c>
      <c r="AA130" s="47">
        <f t="shared" si="40"/>
        <v>29</v>
      </c>
      <c r="AB130" s="47">
        <f t="shared" si="41"/>
        <v>19</v>
      </c>
      <c r="AC130" s="71">
        <f t="shared" si="52"/>
        <v>602.82136872816</v>
      </c>
      <c r="AD130" s="118">
        <f t="shared" si="53"/>
        <v>5175.1655410532458</v>
      </c>
    </row>
    <row r="131" spans="1:30" s="49" customFormat="1" ht="12.75" x14ac:dyDescent="0.2">
      <c r="A131" s="94">
        <v>126</v>
      </c>
      <c r="B131" s="36" t="s">
        <v>384</v>
      </c>
      <c r="C131" s="148">
        <v>1</v>
      </c>
      <c r="D131" s="57">
        <v>3432.9771878639999</v>
      </c>
      <c r="E131" s="79">
        <f t="shared" si="50"/>
        <v>3432.9771878639999</v>
      </c>
      <c r="F131" s="80">
        <f t="shared" si="36"/>
        <v>171.64885939320001</v>
      </c>
      <c r="G131" s="47"/>
      <c r="H131" s="47">
        <f t="shared" si="42"/>
        <v>316.59678510301336</v>
      </c>
      <c r="I131" s="47">
        <f t="shared" si="43"/>
        <v>126.63871404120535</v>
      </c>
      <c r="J131" s="47">
        <f t="shared" si="37"/>
        <v>286.08143232200001</v>
      </c>
      <c r="K131" s="47"/>
      <c r="L131" s="47">
        <f t="shared" si="45"/>
        <v>95.360477440666671</v>
      </c>
      <c r="M131" s="47">
        <f t="shared" si="46"/>
        <v>143.04071616100001</v>
      </c>
      <c r="N131" s="80">
        <v>0</v>
      </c>
      <c r="O131" s="47"/>
      <c r="P131" s="47"/>
      <c r="Q131" s="47"/>
      <c r="R131" s="47"/>
      <c r="S131" s="136"/>
      <c r="T131" s="47">
        <v>0</v>
      </c>
      <c r="U131" s="81">
        <f t="shared" si="51"/>
        <v>1139.3669844610856</v>
      </c>
      <c r="V131" s="47">
        <f t="shared" si="38"/>
        <v>164.02136872816001</v>
      </c>
      <c r="W131" s="47">
        <v>0</v>
      </c>
      <c r="X131" s="47">
        <f t="shared" si="47"/>
        <v>360</v>
      </c>
      <c r="Y131" s="47">
        <f t="shared" si="39"/>
        <v>9.8000000000000007</v>
      </c>
      <c r="Z131" s="47">
        <f t="shared" si="48"/>
        <v>21</v>
      </c>
      <c r="AA131" s="47">
        <f t="shared" si="40"/>
        <v>29</v>
      </c>
      <c r="AB131" s="47">
        <f t="shared" si="41"/>
        <v>19</v>
      </c>
      <c r="AC131" s="71">
        <f t="shared" si="52"/>
        <v>602.82136872816</v>
      </c>
      <c r="AD131" s="118">
        <f t="shared" si="53"/>
        <v>5175.1655410532458</v>
      </c>
    </row>
    <row r="132" spans="1:30" s="49" customFormat="1" ht="12.75" x14ac:dyDescent="0.2">
      <c r="A132" s="94">
        <v>127</v>
      </c>
      <c r="B132" s="36" t="s">
        <v>385</v>
      </c>
      <c r="C132" s="148">
        <v>1</v>
      </c>
      <c r="D132" s="57">
        <v>3432.9771878639999</v>
      </c>
      <c r="E132" s="79">
        <f t="shared" si="50"/>
        <v>3432.9771878639999</v>
      </c>
      <c r="F132" s="80">
        <f t="shared" si="36"/>
        <v>171.64885939320001</v>
      </c>
      <c r="G132" s="47"/>
      <c r="H132" s="47">
        <f t="shared" si="42"/>
        <v>316.59678510301336</v>
      </c>
      <c r="I132" s="47">
        <f t="shared" si="43"/>
        <v>126.63871404120535</v>
      </c>
      <c r="J132" s="47">
        <f t="shared" si="37"/>
        <v>286.08143232200001</v>
      </c>
      <c r="K132" s="47"/>
      <c r="L132" s="47">
        <f t="shared" si="45"/>
        <v>95.360477440666671</v>
      </c>
      <c r="M132" s="47">
        <f t="shared" si="46"/>
        <v>143.04071616100001</v>
      </c>
      <c r="N132" s="80">
        <v>0</v>
      </c>
      <c r="O132" s="47"/>
      <c r="P132" s="47"/>
      <c r="Q132" s="47"/>
      <c r="R132" s="47"/>
      <c r="S132" s="136"/>
      <c r="T132" s="47">
        <v>0</v>
      </c>
      <c r="U132" s="81">
        <f t="shared" si="51"/>
        <v>1139.3669844610856</v>
      </c>
      <c r="V132" s="47">
        <f t="shared" si="38"/>
        <v>164.02136872816001</v>
      </c>
      <c r="W132" s="47">
        <v>0</v>
      </c>
      <c r="X132" s="47">
        <f t="shared" si="47"/>
        <v>360</v>
      </c>
      <c r="Y132" s="47">
        <f t="shared" si="39"/>
        <v>9.8000000000000007</v>
      </c>
      <c r="Z132" s="47">
        <f t="shared" si="48"/>
        <v>21</v>
      </c>
      <c r="AA132" s="47">
        <f t="shared" si="40"/>
        <v>29</v>
      </c>
      <c r="AB132" s="47">
        <f t="shared" si="41"/>
        <v>19</v>
      </c>
      <c r="AC132" s="71">
        <f t="shared" si="52"/>
        <v>602.82136872816</v>
      </c>
      <c r="AD132" s="118">
        <f t="shared" si="53"/>
        <v>5175.1655410532458</v>
      </c>
    </row>
    <row r="133" spans="1:30" s="49" customFormat="1" ht="12.75" x14ac:dyDescent="0.2">
      <c r="A133" s="94">
        <v>128</v>
      </c>
      <c r="B133" s="36" t="s">
        <v>386</v>
      </c>
      <c r="C133" s="148">
        <v>1</v>
      </c>
      <c r="D133" s="57">
        <v>3432.9771878639999</v>
      </c>
      <c r="E133" s="79">
        <f t="shared" si="50"/>
        <v>3432.9771878639999</v>
      </c>
      <c r="F133" s="80">
        <f t="shared" si="36"/>
        <v>171.64885939320001</v>
      </c>
      <c r="G133" s="47"/>
      <c r="H133" s="47">
        <f t="shared" si="42"/>
        <v>316.59678510301336</v>
      </c>
      <c r="I133" s="47">
        <f t="shared" si="43"/>
        <v>126.63871404120535</v>
      </c>
      <c r="J133" s="47">
        <f t="shared" si="37"/>
        <v>286.08143232200001</v>
      </c>
      <c r="K133" s="47"/>
      <c r="L133" s="47">
        <f t="shared" si="45"/>
        <v>95.360477440666671</v>
      </c>
      <c r="M133" s="47">
        <f t="shared" si="46"/>
        <v>143.04071616100001</v>
      </c>
      <c r="N133" s="80">
        <v>0</v>
      </c>
      <c r="O133" s="47"/>
      <c r="P133" s="47"/>
      <c r="Q133" s="47"/>
      <c r="R133" s="47"/>
      <c r="S133" s="136"/>
      <c r="T133" s="47">
        <v>0</v>
      </c>
      <c r="U133" s="81">
        <f t="shared" si="51"/>
        <v>1139.3669844610856</v>
      </c>
      <c r="V133" s="47">
        <f t="shared" si="38"/>
        <v>164.02136872816001</v>
      </c>
      <c r="W133" s="47">
        <v>0</v>
      </c>
      <c r="X133" s="47">
        <f t="shared" si="47"/>
        <v>360</v>
      </c>
      <c r="Y133" s="47">
        <f t="shared" si="39"/>
        <v>9.8000000000000007</v>
      </c>
      <c r="Z133" s="47">
        <f t="shared" si="48"/>
        <v>21</v>
      </c>
      <c r="AA133" s="47">
        <f t="shared" si="40"/>
        <v>29</v>
      </c>
      <c r="AB133" s="47">
        <f t="shared" si="41"/>
        <v>19</v>
      </c>
      <c r="AC133" s="71">
        <f t="shared" si="52"/>
        <v>602.82136872816</v>
      </c>
      <c r="AD133" s="118">
        <f t="shared" si="53"/>
        <v>5175.1655410532458</v>
      </c>
    </row>
    <row r="134" spans="1:30" s="49" customFormat="1" ht="12.75" x14ac:dyDescent="0.2">
      <c r="A134" s="94">
        <v>129</v>
      </c>
      <c r="B134" s="36" t="s">
        <v>387</v>
      </c>
      <c r="C134" s="148">
        <v>6</v>
      </c>
      <c r="D134" s="57">
        <v>1954.7239466999999</v>
      </c>
      <c r="E134" s="79">
        <f t="shared" si="50"/>
        <v>11728.3436802</v>
      </c>
      <c r="F134" s="80">
        <f t="shared" ref="F134:F197" si="58">(E134+J134+L134+K134+N134+R134+O134+S134+P134+Q134+T134)*4.5%</f>
        <v>762.34233921299995</v>
      </c>
      <c r="G134" s="47"/>
      <c r="H134" s="47">
        <f t="shared" si="42"/>
        <v>1406.0980923262</v>
      </c>
      <c r="I134" s="47">
        <f t="shared" si="43"/>
        <v>562.43923693047998</v>
      </c>
      <c r="J134" s="47">
        <f t="shared" ref="J134:J197" si="59">(E134+N134+O134+P134+Q134+R134+S134+T134)/12</f>
        <v>1270.5705653550001</v>
      </c>
      <c r="K134" s="47"/>
      <c r="L134" s="47">
        <f t="shared" si="45"/>
        <v>423.52352178500001</v>
      </c>
      <c r="M134" s="47">
        <f t="shared" si="46"/>
        <v>635.28528267750005</v>
      </c>
      <c r="N134" s="80">
        <v>0</v>
      </c>
      <c r="O134" s="47"/>
      <c r="P134" s="47"/>
      <c r="Q134" s="47"/>
      <c r="R134" s="47">
        <f>E134*30%</f>
        <v>3518.5031040599997</v>
      </c>
      <c r="S134" s="136"/>
      <c r="T134" s="47">
        <v>0</v>
      </c>
      <c r="U134" s="81">
        <f t="shared" si="51"/>
        <v>8578.7621423471792</v>
      </c>
      <c r="V134" s="47">
        <f t="shared" ref="V134:V197" si="60">(370*C134)-(E134*6%)</f>
        <v>1516.2993791880001</v>
      </c>
      <c r="W134" s="47">
        <v>0</v>
      </c>
      <c r="X134" s="47">
        <f t="shared" si="47"/>
        <v>2160</v>
      </c>
      <c r="Y134" s="47">
        <f t="shared" ref="Y134:Y197" si="61">(9.8*C134)</f>
        <v>58.800000000000004</v>
      </c>
      <c r="Z134" s="47">
        <f t="shared" si="48"/>
        <v>126</v>
      </c>
      <c r="AA134" s="47">
        <f t="shared" ref="AA134:AA197" si="62">(C134*29)</f>
        <v>174</v>
      </c>
      <c r="AB134" s="47">
        <f t="shared" ref="AB134:AB197" si="63">(C134*19)</f>
        <v>114</v>
      </c>
      <c r="AC134" s="71">
        <f t="shared" si="52"/>
        <v>4149.0993791880001</v>
      </c>
      <c r="AD134" s="118">
        <f t="shared" si="53"/>
        <v>24456.205201735178</v>
      </c>
    </row>
    <row r="135" spans="1:30" s="49" customFormat="1" ht="12.75" x14ac:dyDescent="0.2">
      <c r="A135" s="94">
        <v>130</v>
      </c>
      <c r="B135" s="36" t="s">
        <v>388</v>
      </c>
      <c r="C135" s="148">
        <v>2</v>
      </c>
      <c r="D135" s="57">
        <v>1954.7239466999999</v>
      </c>
      <c r="E135" s="79">
        <f t="shared" si="50"/>
        <v>3909.4478933999999</v>
      </c>
      <c r="F135" s="80">
        <f t="shared" si="58"/>
        <v>195.47239466999997</v>
      </c>
      <c r="G135" s="47"/>
      <c r="H135" s="47">
        <f t="shared" ref="H135:H198" si="64">(E135+J135+L135+K135+M135+N135+O135+P135+Q135+R135+S135+T135)*8%</f>
        <v>360.53797239133331</v>
      </c>
      <c r="I135" s="47">
        <f t="shared" ref="I135:I198" si="65">H135*40%</f>
        <v>144.21518895653332</v>
      </c>
      <c r="J135" s="47">
        <f t="shared" si="59"/>
        <v>325.78732444999997</v>
      </c>
      <c r="K135" s="47"/>
      <c r="L135" s="47">
        <f t="shared" ref="L135:L198" si="66">J135/3</f>
        <v>108.59577481666666</v>
      </c>
      <c r="M135" s="47">
        <f t="shared" ref="M135:M198" si="67">(E135+N135+O135+P135+Q135+R135+S135+T135)/12/2</f>
        <v>162.89366222499999</v>
      </c>
      <c r="N135" s="80">
        <v>0</v>
      </c>
      <c r="O135" s="47"/>
      <c r="P135" s="47"/>
      <c r="Q135" s="47"/>
      <c r="R135" s="47"/>
      <c r="S135" s="136"/>
      <c r="T135" s="47">
        <v>0</v>
      </c>
      <c r="U135" s="81">
        <f t="shared" si="51"/>
        <v>1297.5023175095332</v>
      </c>
      <c r="V135" s="47">
        <f t="shared" si="60"/>
        <v>505.43312639600003</v>
      </c>
      <c r="W135" s="47">
        <v>0</v>
      </c>
      <c r="X135" s="47">
        <f t="shared" ref="X135:X198" si="68">360*C135</f>
        <v>720</v>
      </c>
      <c r="Y135" s="47">
        <f t="shared" si="61"/>
        <v>19.600000000000001</v>
      </c>
      <c r="Z135" s="47">
        <f t="shared" ref="Z135:Z198" si="69">(C135*21)</f>
        <v>42</v>
      </c>
      <c r="AA135" s="47">
        <f t="shared" si="62"/>
        <v>58</v>
      </c>
      <c r="AB135" s="47">
        <f t="shared" si="63"/>
        <v>38</v>
      </c>
      <c r="AC135" s="71">
        <f t="shared" si="52"/>
        <v>1383.0331263959999</v>
      </c>
      <c r="AD135" s="118">
        <f t="shared" si="53"/>
        <v>6589.9833373055326</v>
      </c>
    </row>
    <row r="136" spans="1:30" s="49" customFormat="1" ht="12.75" x14ac:dyDescent="0.2">
      <c r="A136" s="94">
        <v>131</v>
      </c>
      <c r="B136" s="36" t="s">
        <v>389</v>
      </c>
      <c r="C136" s="148">
        <v>2</v>
      </c>
      <c r="D136" s="57">
        <v>1604</v>
      </c>
      <c r="E136" s="79">
        <f t="shared" si="50"/>
        <v>3208</v>
      </c>
      <c r="F136" s="80">
        <f t="shared" si="58"/>
        <v>160.4</v>
      </c>
      <c r="G136" s="47"/>
      <c r="H136" s="47">
        <f t="shared" si="64"/>
        <v>295.84888888888889</v>
      </c>
      <c r="I136" s="47">
        <f t="shared" si="65"/>
        <v>118.33955555555556</v>
      </c>
      <c r="J136" s="47">
        <f t="shared" si="59"/>
        <v>267.33333333333331</v>
      </c>
      <c r="K136" s="47"/>
      <c r="L136" s="47">
        <f t="shared" si="66"/>
        <v>89.1111111111111</v>
      </c>
      <c r="M136" s="47">
        <f t="shared" si="67"/>
        <v>133.66666666666666</v>
      </c>
      <c r="N136" s="80">
        <v>0</v>
      </c>
      <c r="O136" s="47"/>
      <c r="P136" s="47"/>
      <c r="Q136" s="47"/>
      <c r="R136" s="47"/>
      <c r="S136" s="136"/>
      <c r="T136" s="47">
        <v>0</v>
      </c>
      <c r="U136" s="81">
        <f t="shared" si="51"/>
        <v>1064.6995555555557</v>
      </c>
      <c r="V136" s="47">
        <f t="shared" si="60"/>
        <v>547.52</v>
      </c>
      <c r="W136" s="47">
        <v>0</v>
      </c>
      <c r="X136" s="47">
        <f t="shared" si="68"/>
        <v>720</v>
      </c>
      <c r="Y136" s="47">
        <f t="shared" si="61"/>
        <v>19.600000000000001</v>
      </c>
      <c r="Z136" s="47">
        <f t="shared" si="69"/>
        <v>42</v>
      </c>
      <c r="AA136" s="47">
        <f t="shared" si="62"/>
        <v>58</v>
      </c>
      <c r="AB136" s="47">
        <f t="shared" si="63"/>
        <v>38</v>
      </c>
      <c r="AC136" s="71">
        <f t="shared" si="52"/>
        <v>1425.12</v>
      </c>
      <c r="AD136" s="118">
        <f t="shared" si="53"/>
        <v>5697.8195555555558</v>
      </c>
    </row>
    <row r="137" spans="1:30" s="49" customFormat="1" ht="12.75" x14ac:dyDescent="0.2">
      <c r="A137" s="94">
        <v>132</v>
      </c>
      <c r="B137" s="36" t="s">
        <v>390</v>
      </c>
      <c r="C137" s="148">
        <v>2</v>
      </c>
      <c r="D137" s="57">
        <v>2216.5886211419997</v>
      </c>
      <c r="E137" s="79">
        <f t="shared" si="50"/>
        <v>4433.1772422839995</v>
      </c>
      <c r="F137" s="80">
        <f t="shared" si="58"/>
        <v>221.65886211419999</v>
      </c>
      <c r="G137" s="47"/>
      <c r="H137" s="47">
        <f t="shared" si="64"/>
        <v>408.83745678841336</v>
      </c>
      <c r="I137" s="47">
        <f t="shared" si="65"/>
        <v>163.53498271536535</v>
      </c>
      <c r="J137" s="47">
        <f t="shared" si="59"/>
        <v>369.43143685699994</v>
      </c>
      <c r="K137" s="47"/>
      <c r="L137" s="47">
        <f t="shared" si="66"/>
        <v>123.14381228566664</v>
      </c>
      <c r="M137" s="47">
        <f t="shared" si="67"/>
        <v>184.71571842849997</v>
      </c>
      <c r="N137" s="80">
        <v>0</v>
      </c>
      <c r="O137" s="47"/>
      <c r="P137" s="47"/>
      <c r="Q137" s="47"/>
      <c r="R137" s="47"/>
      <c r="S137" s="136"/>
      <c r="T137" s="47">
        <v>0</v>
      </c>
      <c r="U137" s="81">
        <f t="shared" si="51"/>
        <v>1471.3222691891451</v>
      </c>
      <c r="V137" s="47">
        <f t="shared" si="60"/>
        <v>474.00936546296003</v>
      </c>
      <c r="W137" s="47">
        <v>0</v>
      </c>
      <c r="X137" s="47">
        <f t="shared" si="68"/>
        <v>720</v>
      </c>
      <c r="Y137" s="47">
        <f t="shared" si="61"/>
        <v>19.600000000000001</v>
      </c>
      <c r="Z137" s="47">
        <f t="shared" si="69"/>
        <v>42</v>
      </c>
      <c r="AA137" s="47">
        <f t="shared" si="62"/>
        <v>58</v>
      </c>
      <c r="AB137" s="47">
        <f t="shared" si="63"/>
        <v>38</v>
      </c>
      <c r="AC137" s="71">
        <f t="shared" si="52"/>
        <v>1351.6093654629599</v>
      </c>
      <c r="AD137" s="118">
        <f t="shared" si="53"/>
        <v>7256.1088769361049</v>
      </c>
    </row>
    <row r="138" spans="1:30" s="49" customFormat="1" ht="12.75" x14ac:dyDescent="0.2">
      <c r="A138" s="94">
        <v>133</v>
      </c>
      <c r="B138" s="36" t="s">
        <v>391</v>
      </c>
      <c r="C138" s="148">
        <v>26</v>
      </c>
      <c r="D138" s="57">
        <v>2475.9907000000003</v>
      </c>
      <c r="E138" s="79">
        <f t="shared" si="50"/>
        <v>64375.758200000011</v>
      </c>
      <c r="F138" s="80">
        <f t="shared" si="58"/>
        <v>4902.9567841400003</v>
      </c>
      <c r="G138" s="47"/>
      <c r="H138" s="47">
        <f t="shared" si="64"/>
        <v>9043.2314018582219</v>
      </c>
      <c r="I138" s="47">
        <f t="shared" si="65"/>
        <v>3617.292560743289</v>
      </c>
      <c r="J138" s="47">
        <f t="shared" si="59"/>
        <v>8171.5946402333348</v>
      </c>
      <c r="K138" s="47"/>
      <c r="L138" s="47">
        <f t="shared" si="66"/>
        <v>2723.8648800777783</v>
      </c>
      <c r="M138" s="47">
        <f t="shared" si="67"/>
        <v>4085.7973201166674</v>
      </c>
      <c r="N138" s="80">
        <v>0</v>
      </c>
      <c r="O138" s="47"/>
      <c r="P138" s="47">
        <f t="shared" ref="P138:P143" si="70">(D138/200*36*2)*(C138/2)</f>
        <v>11587.636476000001</v>
      </c>
      <c r="Q138" s="47">
        <f t="shared" ref="Q138:Q143" si="71">(D138/200*2*24)/20*4*C138/2</f>
        <v>1545.0181968000002</v>
      </c>
      <c r="R138" s="47">
        <f>E138*30%</f>
        <v>19312.727460000002</v>
      </c>
      <c r="S138" s="136">
        <f>(D138*0.1)*5</f>
        <v>1237.9953500000001</v>
      </c>
      <c r="T138" s="47">
        <v>0</v>
      </c>
      <c r="U138" s="81">
        <f t="shared" si="51"/>
        <v>66228.115069969295</v>
      </c>
      <c r="V138" s="47">
        <f t="shared" si="60"/>
        <v>5757.4545079999989</v>
      </c>
      <c r="W138" s="47">
        <v>0</v>
      </c>
      <c r="X138" s="47">
        <f t="shared" si="68"/>
        <v>9360</v>
      </c>
      <c r="Y138" s="47">
        <f t="shared" si="61"/>
        <v>254.8</v>
      </c>
      <c r="Z138" s="47">
        <f t="shared" si="69"/>
        <v>546</v>
      </c>
      <c r="AA138" s="47">
        <f t="shared" si="62"/>
        <v>754</v>
      </c>
      <c r="AB138" s="47">
        <f t="shared" si="63"/>
        <v>494</v>
      </c>
      <c r="AC138" s="71">
        <f t="shared" si="52"/>
        <v>17166.254507999998</v>
      </c>
      <c r="AD138" s="118">
        <f t="shared" si="53"/>
        <v>147770.12777796929</v>
      </c>
    </row>
    <row r="139" spans="1:30" s="49" customFormat="1" ht="12.75" x14ac:dyDescent="0.2">
      <c r="A139" s="94">
        <v>134</v>
      </c>
      <c r="B139" s="36" t="s">
        <v>391</v>
      </c>
      <c r="C139" s="148">
        <v>18</v>
      </c>
      <c r="D139" s="57">
        <v>2475.9907000000003</v>
      </c>
      <c r="E139" s="79">
        <f t="shared" ref="E139:E202" si="72">C139*D139</f>
        <v>44567.832600000009</v>
      </c>
      <c r="F139" s="80">
        <f t="shared" si="58"/>
        <v>3684.8602961257088</v>
      </c>
      <c r="G139" s="47"/>
      <c r="H139" s="47">
        <f t="shared" si="64"/>
        <v>6796.5201017429754</v>
      </c>
      <c r="I139" s="47">
        <f t="shared" si="65"/>
        <v>2718.6080406971905</v>
      </c>
      <c r="J139" s="47">
        <f t="shared" si="59"/>
        <v>6141.4338268761821</v>
      </c>
      <c r="K139" s="47"/>
      <c r="L139" s="47">
        <f t="shared" si="66"/>
        <v>2047.1446089587273</v>
      </c>
      <c r="M139" s="47">
        <f t="shared" si="67"/>
        <v>3070.7169134380911</v>
      </c>
      <c r="N139" s="80">
        <f>(E139/220)*(137.13)*(20%)</f>
        <v>5555.9880767618197</v>
      </c>
      <c r="O139" s="47">
        <f>(N139/25)*5</f>
        <v>1111.197615352364</v>
      </c>
      <c r="P139" s="47">
        <f t="shared" si="70"/>
        <v>8022.2098680000008</v>
      </c>
      <c r="Q139" s="47">
        <f t="shared" si="71"/>
        <v>1069.6279824000001</v>
      </c>
      <c r="R139" s="47">
        <f>E139*30%</f>
        <v>13370.349780000002</v>
      </c>
      <c r="S139" s="136"/>
      <c r="T139" s="47">
        <v>0</v>
      </c>
      <c r="U139" s="81">
        <f t="shared" ref="U139:U202" si="73">SUM(F139:T139)</f>
        <v>53588.657110353066</v>
      </c>
      <c r="V139" s="47">
        <f t="shared" si="60"/>
        <v>3985.9300439999997</v>
      </c>
      <c r="W139" s="47">
        <v>0</v>
      </c>
      <c r="X139" s="47">
        <f t="shared" si="68"/>
        <v>6480</v>
      </c>
      <c r="Y139" s="47">
        <f t="shared" si="61"/>
        <v>176.4</v>
      </c>
      <c r="Z139" s="47">
        <f t="shared" si="69"/>
        <v>378</v>
      </c>
      <c r="AA139" s="47">
        <f t="shared" si="62"/>
        <v>522</v>
      </c>
      <c r="AB139" s="47">
        <f t="shared" si="63"/>
        <v>342</v>
      </c>
      <c r="AC139" s="71">
        <f t="shared" ref="AC139:AC202" si="74">SUM(V139:AB139)</f>
        <v>11884.330044</v>
      </c>
      <c r="AD139" s="118">
        <f t="shared" ref="AD139:AD202" si="75">E139+U139+AC139</f>
        <v>110040.81975435308</v>
      </c>
    </row>
    <row r="140" spans="1:30" s="49" customFormat="1" ht="12.75" x14ac:dyDescent="0.2">
      <c r="A140" s="94">
        <v>135</v>
      </c>
      <c r="B140" s="36" t="s">
        <v>392</v>
      </c>
      <c r="C140" s="148">
        <v>1</v>
      </c>
      <c r="D140" s="57">
        <v>4195.9728999999998</v>
      </c>
      <c r="E140" s="79">
        <f t="shared" si="72"/>
        <v>4195.9728999999998</v>
      </c>
      <c r="F140" s="80">
        <f t="shared" si="58"/>
        <v>315.53716208000003</v>
      </c>
      <c r="G140" s="47"/>
      <c r="H140" s="47">
        <f t="shared" si="64"/>
        <v>581.99076561422225</v>
      </c>
      <c r="I140" s="47">
        <f t="shared" si="65"/>
        <v>232.79630624568892</v>
      </c>
      <c r="J140" s="47">
        <f t="shared" si="59"/>
        <v>525.89527013333338</v>
      </c>
      <c r="K140" s="47"/>
      <c r="L140" s="47">
        <f t="shared" si="66"/>
        <v>175.29842337777779</v>
      </c>
      <c r="M140" s="47">
        <f t="shared" si="67"/>
        <v>262.94763506666669</v>
      </c>
      <c r="N140" s="80">
        <v>0</v>
      </c>
      <c r="O140" s="47"/>
      <c r="P140" s="47">
        <f t="shared" si="70"/>
        <v>755.2751219999999</v>
      </c>
      <c r="Q140" s="47">
        <f t="shared" si="71"/>
        <v>100.7033496</v>
      </c>
      <c r="R140" s="47">
        <f>E140*30%</f>
        <v>1258.7918699999998</v>
      </c>
      <c r="S140" s="136"/>
      <c r="T140" s="47">
        <v>0</v>
      </c>
      <c r="U140" s="81">
        <f t="shared" si="73"/>
        <v>4209.2359041176887</v>
      </c>
      <c r="V140" s="47">
        <f t="shared" si="60"/>
        <v>118.24162600000002</v>
      </c>
      <c r="W140" s="47">
        <v>0</v>
      </c>
      <c r="X140" s="47">
        <f t="shared" si="68"/>
        <v>360</v>
      </c>
      <c r="Y140" s="47">
        <f t="shared" si="61"/>
        <v>9.8000000000000007</v>
      </c>
      <c r="Z140" s="47">
        <f t="shared" si="69"/>
        <v>21</v>
      </c>
      <c r="AA140" s="47">
        <f t="shared" si="62"/>
        <v>29</v>
      </c>
      <c r="AB140" s="47">
        <f t="shared" si="63"/>
        <v>19</v>
      </c>
      <c r="AC140" s="71">
        <f t="shared" si="74"/>
        <v>557.04162599999995</v>
      </c>
      <c r="AD140" s="118">
        <f t="shared" si="75"/>
        <v>8962.2504301176887</v>
      </c>
    </row>
    <row r="141" spans="1:30" s="49" customFormat="1" ht="12.75" x14ac:dyDescent="0.2">
      <c r="A141" s="94">
        <v>136</v>
      </c>
      <c r="B141" s="36" t="s">
        <v>393</v>
      </c>
      <c r="C141" s="148">
        <v>1</v>
      </c>
      <c r="D141" s="57">
        <v>5372.2025000000003</v>
      </c>
      <c r="E141" s="79">
        <f t="shared" si="72"/>
        <v>5372.2025000000003</v>
      </c>
      <c r="F141" s="80">
        <f t="shared" si="58"/>
        <v>268.61012499999998</v>
      </c>
      <c r="G141" s="47"/>
      <c r="H141" s="47">
        <f t="shared" si="64"/>
        <v>495.43645277777784</v>
      </c>
      <c r="I141" s="47">
        <f t="shared" si="65"/>
        <v>198.17458111111114</v>
      </c>
      <c r="J141" s="47">
        <f t="shared" si="59"/>
        <v>447.68354166666671</v>
      </c>
      <c r="K141" s="47"/>
      <c r="L141" s="47">
        <f t="shared" si="66"/>
        <v>149.22784722222224</v>
      </c>
      <c r="M141" s="47">
        <f t="shared" si="67"/>
        <v>223.84177083333336</v>
      </c>
      <c r="N141" s="80">
        <v>0</v>
      </c>
      <c r="O141" s="47"/>
      <c r="P141" s="47"/>
      <c r="Q141" s="47"/>
      <c r="R141" s="47"/>
      <c r="S141" s="136"/>
      <c r="T141" s="47">
        <v>0</v>
      </c>
      <c r="U141" s="81">
        <f t="shared" si="73"/>
        <v>1782.9743186111114</v>
      </c>
      <c r="V141" s="47">
        <f t="shared" si="60"/>
        <v>47.667849999999987</v>
      </c>
      <c r="W141" s="47">
        <v>0</v>
      </c>
      <c r="X141" s="47">
        <f t="shared" si="68"/>
        <v>360</v>
      </c>
      <c r="Y141" s="47">
        <f t="shared" si="61"/>
        <v>9.8000000000000007</v>
      </c>
      <c r="Z141" s="47">
        <f t="shared" si="69"/>
        <v>21</v>
      </c>
      <c r="AA141" s="47">
        <f t="shared" si="62"/>
        <v>29</v>
      </c>
      <c r="AB141" s="47">
        <f t="shared" si="63"/>
        <v>19</v>
      </c>
      <c r="AC141" s="71">
        <f t="shared" si="74"/>
        <v>486.46785</v>
      </c>
      <c r="AD141" s="118">
        <f t="shared" si="75"/>
        <v>7641.6446686111112</v>
      </c>
    </row>
    <row r="142" spans="1:30" s="49" customFormat="1" ht="12.75" x14ac:dyDescent="0.2">
      <c r="A142" s="94">
        <v>137</v>
      </c>
      <c r="B142" s="36" t="s">
        <v>394</v>
      </c>
      <c r="C142" s="148">
        <v>1</v>
      </c>
      <c r="D142" s="57">
        <v>3760.5471000000002</v>
      </c>
      <c r="E142" s="79">
        <f t="shared" si="72"/>
        <v>3760.5471000000002</v>
      </c>
      <c r="F142" s="80">
        <f t="shared" si="58"/>
        <v>226.38493542000001</v>
      </c>
      <c r="G142" s="47"/>
      <c r="H142" s="47">
        <f t="shared" si="64"/>
        <v>417.55443644133339</v>
      </c>
      <c r="I142" s="47">
        <f t="shared" si="65"/>
        <v>167.02177457653337</v>
      </c>
      <c r="J142" s="47">
        <f t="shared" si="59"/>
        <v>377.30822570000009</v>
      </c>
      <c r="K142" s="47"/>
      <c r="L142" s="47">
        <f t="shared" si="66"/>
        <v>125.7694085666667</v>
      </c>
      <c r="M142" s="47">
        <f t="shared" si="67"/>
        <v>188.65411285000005</v>
      </c>
      <c r="N142" s="80">
        <v>0</v>
      </c>
      <c r="O142" s="47"/>
      <c r="P142" s="47">
        <f t="shared" si="70"/>
        <v>676.89847800000007</v>
      </c>
      <c r="Q142" s="47">
        <f t="shared" si="71"/>
        <v>90.253130400000003</v>
      </c>
      <c r="R142" s="47"/>
      <c r="S142" s="136"/>
      <c r="T142" s="47">
        <v>0</v>
      </c>
      <c r="U142" s="81">
        <f t="shared" si="73"/>
        <v>2269.8445019545338</v>
      </c>
      <c r="V142" s="47">
        <f t="shared" si="60"/>
        <v>144.36717400000001</v>
      </c>
      <c r="W142" s="47">
        <v>0</v>
      </c>
      <c r="X142" s="47">
        <f t="shared" si="68"/>
        <v>360</v>
      </c>
      <c r="Y142" s="47">
        <f t="shared" si="61"/>
        <v>9.8000000000000007</v>
      </c>
      <c r="Z142" s="47">
        <f t="shared" si="69"/>
        <v>21</v>
      </c>
      <c r="AA142" s="47">
        <f t="shared" si="62"/>
        <v>29</v>
      </c>
      <c r="AB142" s="47">
        <f t="shared" si="63"/>
        <v>19</v>
      </c>
      <c r="AC142" s="71">
        <f t="shared" si="74"/>
        <v>583.16717399999993</v>
      </c>
      <c r="AD142" s="118">
        <f t="shared" si="75"/>
        <v>6613.5587759545342</v>
      </c>
    </row>
    <row r="143" spans="1:30" s="49" customFormat="1" ht="12.75" x14ac:dyDescent="0.2">
      <c r="A143" s="94">
        <v>138</v>
      </c>
      <c r="B143" s="36" t="s">
        <v>395</v>
      </c>
      <c r="C143" s="148">
        <v>4</v>
      </c>
      <c r="D143" s="57">
        <v>1759.2515520300001</v>
      </c>
      <c r="E143" s="79">
        <f t="shared" si="72"/>
        <v>7037.0062081200003</v>
      </c>
      <c r="F143" s="80">
        <f t="shared" si="58"/>
        <v>476.2633007098874</v>
      </c>
      <c r="G143" s="47"/>
      <c r="H143" s="47">
        <f t="shared" si="64"/>
        <v>878.44119908712571</v>
      </c>
      <c r="I143" s="47">
        <f t="shared" si="65"/>
        <v>351.37647963485028</v>
      </c>
      <c r="J143" s="47">
        <f t="shared" si="59"/>
        <v>793.77216784981238</v>
      </c>
      <c r="K143" s="47"/>
      <c r="L143" s="47">
        <f t="shared" si="66"/>
        <v>264.59072261660413</v>
      </c>
      <c r="M143" s="47">
        <f t="shared" si="67"/>
        <v>396.88608392490619</v>
      </c>
      <c r="N143" s="80">
        <f>(E143/220)*(137.13)*(20%)</f>
        <v>877.25878301772343</v>
      </c>
      <c r="O143" s="47">
        <f>(N143/25)*5</f>
        <v>175.45175660354471</v>
      </c>
      <c r="P143" s="47">
        <f t="shared" si="70"/>
        <v>1266.6611174616</v>
      </c>
      <c r="Q143" s="47">
        <f t="shared" si="71"/>
        <v>168.88814899488003</v>
      </c>
      <c r="R143" s="47"/>
      <c r="S143" s="136"/>
      <c r="T143" s="47">
        <v>0</v>
      </c>
      <c r="U143" s="81">
        <f t="shared" si="73"/>
        <v>5649.589759900934</v>
      </c>
      <c r="V143" s="47">
        <f t="shared" si="60"/>
        <v>1057.7796275128001</v>
      </c>
      <c r="W143" s="47">
        <v>0</v>
      </c>
      <c r="X143" s="47">
        <f t="shared" si="68"/>
        <v>1440</v>
      </c>
      <c r="Y143" s="47">
        <f t="shared" si="61"/>
        <v>39.200000000000003</v>
      </c>
      <c r="Z143" s="47">
        <f t="shared" si="69"/>
        <v>84</v>
      </c>
      <c r="AA143" s="47">
        <f t="shared" si="62"/>
        <v>116</v>
      </c>
      <c r="AB143" s="47">
        <f t="shared" si="63"/>
        <v>76</v>
      </c>
      <c r="AC143" s="71">
        <f t="shared" si="74"/>
        <v>2812.9796275128001</v>
      </c>
      <c r="AD143" s="118">
        <f t="shared" si="75"/>
        <v>15499.575595533734</v>
      </c>
    </row>
    <row r="144" spans="1:30" s="49" customFormat="1" ht="22.5" x14ac:dyDescent="0.2">
      <c r="A144" s="94">
        <v>139</v>
      </c>
      <c r="B144" s="36" t="s">
        <v>416</v>
      </c>
      <c r="C144" s="148">
        <v>1</v>
      </c>
      <c r="D144" s="57">
        <v>8626.8483514359996</v>
      </c>
      <c r="E144" s="79">
        <f t="shared" si="72"/>
        <v>8626.8483514359996</v>
      </c>
      <c r="F144" s="80">
        <f t="shared" si="58"/>
        <v>463.69309888968496</v>
      </c>
      <c r="G144" s="47"/>
      <c r="H144" s="47">
        <f>(E144+J144+L144+K144+M144+N144+O144+P144+Q144+R144+S144+T144)*8%</f>
        <v>853.09944808644889</v>
      </c>
      <c r="I144" s="47">
        <f>H144*40%</f>
        <v>341.2397792345796</v>
      </c>
      <c r="J144" s="47">
        <f t="shared" si="59"/>
        <v>718.9040292863333</v>
      </c>
      <c r="K144" s="47">
        <f>(E144+N144+O144+P144+Q144+R144+S144+T144)/12</f>
        <v>718.9040292863333</v>
      </c>
      <c r="L144" s="47">
        <f>J144/3</f>
        <v>239.63467642877777</v>
      </c>
      <c r="M144" s="47">
        <f>(E144+N144+O144+P144+Q144+R144+S144+T144)/12/2</f>
        <v>359.45201464316665</v>
      </c>
      <c r="N144" s="80">
        <v>0</v>
      </c>
      <c r="O144" s="47"/>
      <c r="P144" s="47"/>
      <c r="Q144" s="47"/>
      <c r="R144" s="47"/>
      <c r="S144" s="136"/>
      <c r="T144" s="47">
        <v>0</v>
      </c>
      <c r="U144" s="81">
        <f t="shared" si="73"/>
        <v>3694.9270758553248</v>
      </c>
      <c r="V144" s="47"/>
      <c r="W144" s="47">
        <v>0</v>
      </c>
      <c r="X144" s="47">
        <f t="shared" si="68"/>
        <v>360</v>
      </c>
      <c r="Y144" s="47">
        <f t="shared" si="61"/>
        <v>9.8000000000000007</v>
      </c>
      <c r="Z144" s="47">
        <f t="shared" si="69"/>
        <v>21</v>
      </c>
      <c r="AA144" s="47">
        <f t="shared" si="62"/>
        <v>29</v>
      </c>
      <c r="AB144" s="47">
        <f t="shared" si="63"/>
        <v>19</v>
      </c>
      <c r="AC144" s="71">
        <f t="shared" si="74"/>
        <v>438.8</v>
      </c>
      <c r="AD144" s="118">
        <f t="shared" si="75"/>
        <v>12760.575427291324</v>
      </c>
    </row>
    <row r="145" spans="1:30" s="49" customFormat="1" ht="12.75" x14ac:dyDescent="0.2">
      <c r="A145" s="94">
        <v>140</v>
      </c>
      <c r="B145" s="36" t="s">
        <v>417</v>
      </c>
      <c r="C145" s="148">
        <v>1</v>
      </c>
      <c r="D145" s="57">
        <v>4664.5671649779988</v>
      </c>
      <c r="E145" s="79">
        <f t="shared" si="72"/>
        <v>4664.5671649779988</v>
      </c>
      <c r="F145" s="80">
        <f t="shared" si="58"/>
        <v>233.22835824889995</v>
      </c>
      <c r="G145" s="47"/>
      <c r="H145" s="47">
        <f t="shared" si="64"/>
        <v>430.17674965908213</v>
      </c>
      <c r="I145" s="47">
        <f t="shared" si="65"/>
        <v>172.07069986363285</v>
      </c>
      <c r="J145" s="47">
        <f t="shared" si="59"/>
        <v>388.71393041483321</v>
      </c>
      <c r="K145" s="47"/>
      <c r="L145" s="47">
        <f t="shared" si="66"/>
        <v>129.57131013827774</v>
      </c>
      <c r="M145" s="47">
        <f t="shared" si="67"/>
        <v>194.35696520741661</v>
      </c>
      <c r="N145" s="80">
        <v>0</v>
      </c>
      <c r="O145" s="47"/>
      <c r="P145" s="47"/>
      <c r="Q145" s="47"/>
      <c r="R145" s="47"/>
      <c r="S145" s="136"/>
      <c r="T145" s="47">
        <v>0</v>
      </c>
      <c r="U145" s="81">
        <f t="shared" si="73"/>
        <v>1548.1180135321424</v>
      </c>
      <c r="V145" s="47">
        <f t="shared" si="60"/>
        <v>90.125970101320092</v>
      </c>
      <c r="W145" s="47">
        <v>0</v>
      </c>
      <c r="X145" s="47">
        <f t="shared" si="68"/>
        <v>360</v>
      </c>
      <c r="Y145" s="47">
        <f t="shared" si="61"/>
        <v>9.8000000000000007</v>
      </c>
      <c r="Z145" s="47">
        <f t="shared" si="69"/>
        <v>21</v>
      </c>
      <c r="AA145" s="47">
        <f t="shared" si="62"/>
        <v>29</v>
      </c>
      <c r="AB145" s="47">
        <f t="shared" si="63"/>
        <v>19</v>
      </c>
      <c r="AC145" s="71">
        <f t="shared" si="74"/>
        <v>528.9259701013201</v>
      </c>
      <c r="AD145" s="118">
        <f t="shared" si="75"/>
        <v>6741.6111486114605</v>
      </c>
    </row>
    <row r="146" spans="1:30" s="49" customFormat="1" ht="12.75" x14ac:dyDescent="0.2">
      <c r="A146" s="94">
        <v>141</v>
      </c>
      <c r="B146" s="36" t="s">
        <v>418</v>
      </c>
      <c r="C146" s="148">
        <v>1</v>
      </c>
      <c r="D146" s="57">
        <v>6971.8487432299989</v>
      </c>
      <c r="E146" s="79">
        <f t="shared" si="72"/>
        <v>6971.8487432299989</v>
      </c>
      <c r="F146" s="80">
        <f t="shared" si="58"/>
        <v>348.59243716149996</v>
      </c>
      <c r="G146" s="47"/>
      <c r="H146" s="47">
        <f t="shared" si="64"/>
        <v>642.95938409787766</v>
      </c>
      <c r="I146" s="47">
        <f t="shared" si="65"/>
        <v>257.18375363915106</v>
      </c>
      <c r="J146" s="47">
        <f t="shared" si="59"/>
        <v>580.98739526916654</v>
      </c>
      <c r="K146" s="47"/>
      <c r="L146" s="47">
        <f t="shared" si="66"/>
        <v>193.66246508972219</v>
      </c>
      <c r="M146" s="47">
        <f t="shared" si="67"/>
        <v>290.49369763458327</v>
      </c>
      <c r="N146" s="80">
        <v>0</v>
      </c>
      <c r="O146" s="47"/>
      <c r="P146" s="47"/>
      <c r="Q146" s="47"/>
      <c r="R146" s="47"/>
      <c r="S146" s="136"/>
      <c r="T146" s="47">
        <v>0</v>
      </c>
      <c r="U146" s="81">
        <f t="shared" si="73"/>
        <v>2313.8791328920006</v>
      </c>
      <c r="V146" s="47"/>
      <c r="W146" s="47">
        <v>0</v>
      </c>
      <c r="X146" s="47">
        <f t="shared" si="68"/>
        <v>360</v>
      </c>
      <c r="Y146" s="47">
        <f t="shared" si="61"/>
        <v>9.8000000000000007</v>
      </c>
      <c r="Z146" s="47">
        <f t="shared" si="69"/>
        <v>21</v>
      </c>
      <c r="AA146" s="47">
        <f t="shared" si="62"/>
        <v>29</v>
      </c>
      <c r="AB146" s="47">
        <f t="shared" si="63"/>
        <v>19</v>
      </c>
      <c r="AC146" s="71">
        <f t="shared" si="74"/>
        <v>438.8</v>
      </c>
      <c r="AD146" s="118">
        <f t="shared" si="75"/>
        <v>9724.5278761219997</v>
      </c>
    </row>
    <row r="147" spans="1:30" s="49" customFormat="1" ht="12.75" x14ac:dyDescent="0.2">
      <c r="A147" s="94">
        <v>142</v>
      </c>
      <c r="B147" s="36" t="s">
        <v>381</v>
      </c>
      <c r="C147" s="148">
        <v>2</v>
      </c>
      <c r="D147" s="57">
        <v>3432.9771878639999</v>
      </c>
      <c r="E147" s="79">
        <f t="shared" si="72"/>
        <v>6865.9543757279998</v>
      </c>
      <c r="F147" s="80">
        <f t="shared" si="58"/>
        <v>343.29771878640003</v>
      </c>
      <c r="G147" s="47"/>
      <c r="H147" s="47">
        <f t="shared" si="64"/>
        <v>633.19357020602672</v>
      </c>
      <c r="I147" s="47">
        <f t="shared" si="65"/>
        <v>253.27742808241069</v>
      </c>
      <c r="J147" s="47">
        <f t="shared" si="59"/>
        <v>572.16286464400002</v>
      </c>
      <c r="K147" s="47"/>
      <c r="L147" s="47">
        <f t="shared" si="66"/>
        <v>190.72095488133334</v>
      </c>
      <c r="M147" s="47">
        <f t="shared" si="67"/>
        <v>286.08143232200001</v>
      </c>
      <c r="N147" s="80">
        <v>0</v>
      </c>
      <c r="O147" s="47"/>
      <c r="P147" s="47"/>
      <c r="Q147" s="47"/>
      <c r="R147" s="47"/>
      <c r="S147" s="136"/>
      <c r="T147" s="47">
        <v>0</v>
      </c>
      <c r="U147" s="81">
        <f t="shared" si="73"/>
        <v>2278.7339689221712</v>
      </c>
      <c r="V147" s="47">
        <f t="shared" si="60"/>
        <v>328.04273745632003</v>
      </c>
      <c r="W147" s="47">
        <v>0</v>
      </c>
      <c r="X147" s="47">
        <f t="shared" si="68"/>
        <v>720</v>
      </c>
      <c r="Y147" s="47">
        <f t="shared" si="61"/>
        <v>19.600000000000001</v>
      </c>
      <c r="Z147" s="47">
        <f t="shared" si="69"/>
        <v>42</v>
      </c>
      <c r="AA147" s="47">
        <f t="shared" si="62"/>
        <v>58</v>
      </c>
      <c r="AB147" s="47">
        <f t="shared" si="63"/>
        <v>38</v>
      </c>
      <c r="AC147" s="71">
        <f t="shared" si="74"/>
        <v>1205.64273745632</v>
      </c>
      <c r="AD147" s="118">
        <f t="shared" si="75"/>
        <v>10350.331082106492</v>
      </c>
    </row>
    <row r="148" spans="1:30" s="49" customFormat="1" ht="12.75" x14ac:dyDescent="0.2">
      <c r="A148" s="94">
        <v>143</v>
      </c>
      <c r="B148" s="36" t="s">
        <v>382</v>
      </c>
      <c r="C148" s="148">
        <v>3</v>
      </c>
      <c r="D148" s="57">
        <v>3432.9771878639999</v>
      </c>
      <c r="E148" s="79">
        <f t="shared" si="72"/>
        <v>10298.931563591999</v>
      </c>
      <c r="F148" s="80">
        <f t="shared" si="58"/>
        <v>514.94657817960001</v>
      </c>
      <c r="G148" s="47"/>
      <c r="H148" s="47">
        <f t="shared" si="64"/>
        <v>949.79035530904002</v>
      </c>
      <c r="I148" s="47">
        <f t="shared" si="65"/>
        <v>379.91614212361605</v>
      </c>
      <c r="J148" s="47">
        <f t="shared" si="59"/>
        <v>858.24429696599998</v>
      </c>
      <c r="K148" s="47"/>
      <c r="L148" s="47">
        <f t="shared" si="66"/>
        <v>286.08143232200001</v>
      </c>
      <c r="M148" s="47">
        <f t="shared" si="67"/>
        <v>429.12214848299999</v>
      </c>
      <c r="N148" s="80">
        <v>0</v>
      </c>
      <c r="O148" s="47"/>
      <c r="P148" s="47"/>
      <c r="Q148" s="47"/>
      <c r="R148" s="47"/>
      <c r="S148" s="136"/>
      <c r="T148" s="47">
        <v>0</v>
      </c>
      <c r="U148" s="81">
        <f t="shared" si="73"/>
        <v>3418.1009533832562</v>
      </c>
      <c r="V148" s="47">
        <f t="shared" si="60"/>
        <v>492.06410618448001</v>
      </c>
      <c r="W148" s="47">
        <v>0</v>
      </c>
      <c r="X148" s="47">
        <f t="shared" si="68"/>
        <v>1080</v>
      </c>
      <c r="Y148" s="47">
        <f t="shared" si="61"/>
        <v>29.400000000000002</v>
      </c>
      <c r="Z148" s="47">
        <f t="shared" si="69"/>
        <v>63</v>
      </c>
      <c r="AA148" s="47">
        <f t="shared" si="62"/>
        <v>87</v>
      </c>
      <c r="AB148" s="47">
        <f t="shared" si="63"/>
        <v>57</v>
      </c>
      <c r="AC148" s="71">
        <f t="shared" si="74"/>
        <v>1808.46410618448</v>
      </c>
      <c r="AD148" s="118">
        <f t="shared" si="75"/>
        <v>15525.496623159735</v>
      </c>
    </row>
    <row r="149" spans="1:30" s="49" customFormat="1" ht="12.75" x14ac:dyDescent="0.2">
      <c r="A149" s="94">
        <v>144</v>
      </c>
      <c r="B149" s="36" t="s">
        <v>383</v>
      </c>
      <c r="C149" s="148">
        <v>1</v>
      </c>
      <c r="D149" s="57">
        <v>3432.9771878639999</v>
      </c>
      <c r="E149" s="79">
        <f t="shared" si="72"/>
        <v>3432.9771878639999</v>
      </c>
      <c r="F149" s="80">
        <f t="shared" si="58"/>
        <v>171.64885939320001</v>
      </c>
      <c r="G149" s="47"/>
      <c r="H149" s="47">
        <f t="shared" si="64"/>
        <v>316.59678510301336</v>
      </c>
      <c r="I149" s="47">
        <f t="shared" si="65"/>
        <v>126.63871404120535</v>
      </c>
      <c r="J149" s="47">
        <f t="shared" si="59"/>
        <v>286.08143232200001</v>
      </c>
      <c r="K149" s="47"/>
      <c r="L149" s="47">
        <f t="shared" si="66"/>
        <v>95.360477440666671</v>
      </c>
      <c r="M149" s="47">
        <f t="shared" si="67"/>
        <v>143.04071616100001</v>
      </c>
      <c r="N149" s="80">
        <v>0</v>
      </c>
      <c r="O149" s="47"/>
      <c r="P149" s="47"/>
      <c r="Q149" s="47"/>
      <c r="R149" s="47"/>
      <c r="S149" s="136"/>
      <c r="T149" s="47">
        <v>0</v>
      </c>
      <c r="U149" s="81">
        <f t="shared" si="73"/>
        <v>1139.3669844610856</v>
      </c>
      <c r="V149" s="47">
        <f t="shared" si="60"/>
        <v>164.02136872816001</v>
      </c>
      <c r="W149" s="47">
        <v>0</v>
      </c>
      <c r="X149" s="47">
        <f t="shared" si="68"/>
        <v>360</v>
      </c>
      <c r="Y149" s="47">
        <f t="shared" si="61"/>
        <v>9.8000000000000007</v>
      </c>
      <c r="Z149" s="47">
        <f t="shared" si="69"/>
        <v>21</v>
      </c>
      <c r="AA149" s="47">
        <f t="shared" si="62"/>
        <v>29</v>
      </c>
      <c r="AB149" s="47">
        <f t="shared" si="63"/>
        <v>19</v>
      </c>
      <c r="AC149" s="71">
        <f t="shared" si="74"/>
        <v>602.82136872816</v>
      </c>
      <c r="AD149" s="118">
        <f t="shared" si="75"/>
        <v>5175.1655410532458</v>
      </c>
    </row>
    <row r="150" spans="1:30" s="49" customFormat="1" ht="12.75" x14ac:dyDescent="0.2">
      <c r="A150" s="94">
        <v>145</v>
      </c>
      <c r="B150" s="36" t="s">
        <v>384</v>
      </c>
      <c r="C150" s="148">
        <v>3</v>
      </c>
      <c r="D150" s="57">
        <v>3432.9771878639999</v>
      </c>
      <c r="E150" s="79">
        <f t="shared" si="72"/>
        <v>10298.931563591999</v>
      </c>
      <c r="F150" s="80">
        <f t="shared" si="58"/>
        <v>514.94657817960001</v>
      </c>
      <c r="G150" s="47"/>
      <c r="H150" s="47">
        <f t="shared" si="64"/>
        <v>949.79035530904002</v>
      </c>
      <c r="I150" s="47">
        <f t="shared" si="65"/>
        <v>379.91614212361605</v>
      </c>
      <c r="J150" s="47">
        <f t="shared" si="59"/>
        <v>858.24429696599998</v>
      </c>
      <c r="K150" s="47"/>
      <c r="L150" s="47">
        <f t="shared" si="66"/>
        <v>286.08143232200001</v>
      </c>
      <c r="M150" s="47">
        <f t="shared" si="67"/>
        <v>429.12214848299999</v>
      </c>
      <c r="N150" s="80">
        <v>0</v>
      </c>
      <c r="O150" s="47"/>
      <c r="P150" s="47"/>
      <c r="Q150" s="47"/>
      <c r="R150" s="47"/>
      <c r="S150" s="136"/>
      <c r="T150" s="47">
        <v>0</v>
      </c>
      <c r="U150" s="81">
        <f t="shared" si="73"/>
        <v>3418.1009533832562</v>
      </c>
      <c r="V150" s="47">
        <f t="shared" si="60"/>
        <v>492.06410618448001</v>
      </c>
      <c r="W150" s="47">
        <v>0</v>
      </c>
      <c r="X150" s="47">
        <f t="shared" si="68"/>
        <v>1080</v>
      </c>
      <c r="Y150" s="47">
        <f t="shared" si="61"/>
        <v>29.400000000000002</v>
      </c>
      <c r="Z150" s="47">
        <f t="shared" si="69"/>
        <v>63</v>
      </c>
      <c r="AA150" s="47">
        <f t="shared" si="62"/>
        <v>87</v>
      </c>
      <c r="AB150" s="47">
        <f t="shared" si="63"/>
        <v>57</v>
      </c>
      <c r="AC150" s="71">
        <f t="shared" si="74"/>
        <v>1808.46410618448</v>
      </c>
      <c r="AD150" s="118">
        <f t="shared" si="75"/>
        <v>15525.496623159735</v>
      </c>
    </row>
    <row r="151" spans="1:30" s="49" customFormat="1" ht="12.75" x14ac:dyDescent="0.2">
      <c r="A151" s="94">
        <v>146</v>
      </c>
      <c r="B151" s="36" t="s">
        <v>385</v>
      </c>
      <c r="C151" s="148">
        <v>2</v>
      </c>
      <c r="D151" s="57">
        <v>3432.9771878639999</v>
      </c>
      <c r="E151" s="79">
        <f t="shared" si="72"/>
        <v>6865.9543757279998</v>
      </c>
      <c r="F151" s="80">
        <f t="shared" si="58"/>
        <v>343.29771878640003</v>
      </c>
      <c r="G151" s="47"/>
      <c r="H151" s="47">
        <f t="shared" si="64"/>
        <v>633.19357020602672</v>
      </c>
      <c r="I151" s="47">
        <f t="shared" si="65"/>
        <v>253.27742808241069</v>
      </c>
      <c r="J151" s="47">
        <f t="shared" si="59"/>
        <v>572.16286464400002</v>
      </c>
      <c r="K151" s="47"/>
      <c r="L151" s="47">
        <f t="shared" si="66"/>
        <v>190.72095488133334</v>
      </c>
      <c r="M151" s="47">
        <f t="shared" si="67"/>
        <v>286.08143232200001</v>
      </c>
      <c r="N151" s="80">
        <v>0</v>
      </c>
      <c r="O151" s="47"/>
      <c r="P151" s="47"/>
      <c r="Q151" s="47"/>
      <c r="R151" s="47"/>
      <c r="S151" s="136"/>
      <c r="T151" s="47">
        <v>0</v>
      </c>
      <c r="U151" s="81">
        <f t="shared" si="73"/>
        <v>2278.7339689221712</v>
      </c>
      <c r="V151" s="47">
        <f t="shared" si="60"/>
        <v>328.04273745632003</v>
      </c>
      <c r="W151" s="47">
        <v>0</v>
      </c>
      <c r="X151" s="47">
        <f t="shared" si="68"/>
        <v>720</v>
      </c>
      <c r="Y151" s="47">
        <f t="shared" si="61"/>
        <v>19.600000000000001</v>
      </c>
      <c r="Z151" s="47">
        <f t="shared" si="69"/>
        <v>42</v>
      </c>
      <c r="AA151" s="47">
        <f t="shared" si="62"/>
        <v>58</v>
      </c>
      <c r="AB151" s="47">
        <f t="shared" si="63"/>
        <v>38</v>
      </c>
      <c r="AC151" s="71">
        <f t="shared" si="74"/>
        <v>1205.64273745632</v>
      </c>
      <c r="AD151" s="118">
        <f t="shared" si="75"/>
        <v>10350.331082106492</v>
      </c>
    </row>
    <row r="152" spans="1:30" s="49" customFormat="1" ht="12.75" x14ac:dyDescent="0.2">
      <c r="A152" s="94">
        <v>147</v>
      </c>
      <c r="B152" s="36" t="s">
        <v>419</v>
      </c>
      <c r="C152" s="148">
        <v>1</v>
      </c>
      <c r="D152" s="57">
        <v>3432.9771878639999</v>
      </c>
      <c r="E152" s="79">
        <f t="shared" si="72"/>
        <v>3432.9771878639999</v>
      </c>
      <c r="F152" s="80">
        <f t="shared" si="58"/>
        <v>171.64885939320001</v>
      </c>
      <c r="G152" s="47"/>
      <c r="H152" s="47">
        <f t="shared" si="64"/>
        <v>316.59678510301336</v>
      </c>
      <c r="I152" s="47">
        <f t="shared" si="65"/>
        <v>126.63871404120535</v>
      </c>
      <c r="J152" s="47">
        <f t="shared" si="59"/>
        <v>286.08143232200001</v>
      </c>
      <c r="K152" s="47"/>
      <c r="L152" s="47">
        <f t="shared" si="66"/>
        <v>95.360477440666671</v>
      </c>
      <c r="M152" s="47">
        <f t="shared" si="67"/>
        <v>143.04071616100001</v>
      </c>
      <c r="N152" s="80">
        <v>0</v>
      </c>
      <c r="O152" s="47"/>
      <c r="P152" s="47"/>
      <c r="Q152" s="47"/>
      <c r="R152" s="47"/>
      <c r="S152" s="136"/>
      <c r="T152" s="47">
        <v>0</v>
      </c>
      <c r="U152" s="81">
        <f t="shared" si="73"/>
        <v>1139.3669844610856</v>
      </c>
      <c r="V152" s="47">
        <f t="shared" si="60"/>
        <v>164.02136872816001</v>
      </c>
      <c r="W152" s="47">
        <v>0</v>
      </c>
      <c r="X152" s="47">
        <f t="shared" si="68"/>
        <v>360</v>
      </c>
      <c r="Y152" s="47">
        <f t="shared" si="61"/>
        <v>9.8000000000000007</v>
      </c>
      <c r="Z152" s="47">
        <f t="shared" si="69"/>
        <v>21</v>
      </c>
      <c r="AA152" s="47">
        <f t="shared" si="62"/>
        <v>29</v>
      </c>
      <c r="AB152" s="47">
        <f t="shared" si="63"/>
        <v>19</v>
      </c>
      <c r="AC152" s="71">
        <f t="shared" si="74"/>
        <v>602.82136872816</v>
      </c>
      <c r="AD152" s="118">
        <f t="shared" si="75"/>
        <v>5175.1655410532458</v>
      </c>
    </row>
    <row r="153" spans="1:30" s="49" customFormat="1" ht="12.75" x14ac:dyDescent="0.2">
      <c r="A153" s="94">
        <v>148</v>
      </c>
      <c r="B153" s="36" t="s">
        <v>387</v>
      </c>
      <c r="C153" s="148">
        <v>8</v>
      </c>
      <c r="D153" s="57">
        <v>1954.7239466999999</v>
      </c>
      <c r="E153" s="79">
        <f t="shared" si="72"/>
        <v>15637.7915736</v>
      </c>
      <c r="F153" s="80">
        <f t="shared" si="58"/>
        <v>1016.456452284</v>
      </c>
      <c r="G153" s="47"/>
      <c r="H153" s="47">
        <f t="shared" si="64"/>
        <v>1874.7974564349333</v>
      </c>
      <c r="I153" s="47">
        <f t="shared" si="65"/>
        <v>749.91898257397338</v>
      </c>
      <c r="J153" s="47">
        <f t="shared" si="59"/>
        <v>1694.0940871399998</v>
      </c>
      <c r="K153" s="47"/>
      <c r="L153" s="47">
        <f t="shared" si="66"/>
        <v>564.69802904666665</v>
      </c>
      <c r="M153" s="47">
        <f t="shared" si="67"/>
        <v>847.04704356999991</v>
      </c>
      <c r="N153" s="80">
        <v>0</v>
      </c>
      <c r="O153" s="47"/>
      <c r="P153" s="47"/>
      <c r="Q153" s="47"/>
      <c r="R153" s="47">
        <f>E153*30%</f>
        <v>4691.3374720799993</v>
      </c>
      <c r="S153" s="136"/>
      <c r="T153" s="47">
        <v>0</v>
      </c>
      <c r="U153" s="81">
        <f t="shared" si="73"/>
        <v>11438.349523129571</v>
      </c>
      <c r="V153" s="47">
        <f t="shared" si="60"/>
        <v>2021.7325055840001</v>
      </c>
      <c r="W153" s="47">
        <v>0</v>
      </c>
      <c r="X153" s="47">
        <f t="shared" si="68"/>
        <v>2880</v>
      </c>
      <c r="Y153" s="47">
        <f t="shared" si="61"/>
        <v>78.400000000000006</v>
      </c>
      <c r="Z153" s="47">
        <f t="shared" si="69"/>
        <v>168</v>
      </c>
      <c r="AA153" s="47">
        <f t="shared" si="62"/>
        <v>232</v>
      </c>
      <c r="AB153" s="47">
        <f t="shared" si="63"/>
        <v>152</v>
      </c>
      <c r="AC153" s="71">
        <f t="shared" si="74"/>
        <v>5532.1325055839998</v>
      </c>
      <c r="AD153" s="118">
        <f t="shared" si="75"/>
        <v>32608.273602313569</v>
      </c>
    </row>
    <row r="154" spans="1:30" s="49" customFormat="1" ht="12.75" x14ac:dyDescent="0.2">
      <c r="A154" s="94">
        <v>149</v>
      </c>
      <c r="B154" s="36" t="s">
        <v>388</v>
      </c>
      <c r="C154" s="148">
        <v>3</v>
      </c>
      <c r="D154" s="57">
        <v>1954.7239466999999</v>
      </c>
      <c r="E154" s="79">
        <f t="shared" si="72"/>
        <v>5864.1718400999998</v>
      </c>
      <c r="F154" s="80">
        <f t="shared" si="58"/>
        <v>293.20859200500001</v>
      </c>
      <c r="G154" s="47"/>
      <c r="H154" s="47">
        <f t="shared" si="64"/>
        <v>540.80695858699994</v>
      </c>
      <c r="I154" s="47">
        <f t="shared" si="65"/>
        <v>216.32278343479999</v>
      </c>
      <c r="J154" s="47">
        <f t="shared" si="59"/>
        <v>488.68098667499999</v>
      </c>
      <c r="K154" s="47"/>
      <c r="L154" s="47">
        <f t="shared" si="66"/>
        <v>162.89366222499999</v>
      </c>
      <c r="M154" s="47">
        <f t="shared" si="67"/>
        <v>244.34049333749999</v>
      </c>
      <c r="N154" s="80">
        <v>0</v>
      </c>
      <c r="O154" s="47"/>
      <c r="P154" s="47"/>
      <c r="Q154" s="47"/>
      <c r="R154" s="47"/>
      <c r="S154" s="136"/>
      <c r="T154" s="47">
        <v>0</v>
      </c>
      <c r="U154" s="81">
        <f t="shared" si="73"/>
        <v>1946.2534762642999</v>
      </c>
      <c r="V154" s="47">
        <f t="shared" si="60"/>
        <v>758.14968959400005</v>
      </c>
      <c r="W154" s="47">
        <v>0</v>
      </c>
      <c r="X154" s="47">
        <f t="shared" si="68"/>
        <v>1080</v>
      </c>
      <c r="Y154" s="47">
        <f t="shared" si="61"/>
        <v>29.400000000000002</v>
      </c>
      <c r="Z154" s="47">
        <f t="shared" si="69"/>
        <v>63</v>
      </c>
      <c r="AA154" s="47">
        <f t="shared" si="62"/>
        <v>87</v>
      </c>
      <c r="AB154" s="47">
        <f t="shared" si="63"/>
        <v>57</v>
      </c>
      <c r="AC154" s="71">
        <f t="shared" si="74"/>
        <v>2074.549689594</v>
      </c>
      <c r="AD154" s="118">
        <f t="shared" si="75"/>
        <v>9884.9750059583002</v>
      </c>
    </row>
    <row r="155" spans="1:30" s="49" customFormat="1" ht="12.75" x14ac:dyDescent="0.2">
      <c r="A155" s="94">
        <v>150</v>
      </c>
      <c r="B155" s="36" t="s">
        <v>389</v>
      </c>
      <c r="C155" s="148">
        <v>3</v>
      </c>
      <c r="D155" s="57">
        <v>1604</v>
      </c>
      <c r="E155" s="79">
        <f t="shared" si="72"/>
        <v>4812</v>
      </c>
      <c r="F155" s="80">
        <f t="shared" si="58"/>
        <v>240.6</v>
      </c>
      <c r="G155" s="47"/>
      <c r="H155" s="47">
        <f t="shared" si="64"/>
        <v>443.77333333333337</v>
      </c>
      <c r="I155" s="47">
        <f t="shared" si="65"/>
        <v>177.50933333333336</v>
      </c>
      <c r="J155" s="47">
        <f t="shared" si="59"/>
        <v>401</v>
      </c>
      <c r="K155" s="47"/>
      <c r="L155" s="47">
        <f t="shared" si="66"/>
        <v>133.66666666666666</v>
      </c>
      <c r="M155" s="47">
        <f t="shared" si="67"/>
        <v>200.5</v>
      </c>
      <c r="N155" s="80">
        <v>0</v>
      </c>
      <c r="O155" s="47"/>
      <c r="P155" s="47"/>
      <c r="Q155" s="47"/>
      <c r="R155" s="47"/>
      <c r="S155" s="136"/>
      <c r="T155" s="47">
        <v>0</v>
      </c>
      <c r="U155" s="81">
        <f t="shared" si="73"/>
        <v>1597.0493333333334</v>
      </c>
      <c r="V155" s="47">
        <f t="shared" si="60"/>
        <v>821.28</v>
      </c>
      <c r="W155" s="47">
        <v>0</v>
      </c>
      <c r="X155" s="47">
        <f t="shared" si="68"/>
        <v>1080</v>
      </c>
      <c r="Y155" s="47">
        <f t="shared" si="61"/>
        <v>29.400000000000002</v>
      </c>
      <c r="Z155" s="47">
        <f t="shared" si="69"/>
        <v>63</v>
      </c>
      <c r="AA155" s="47">
        <f t="shared" si="62"/>
        <v>87</v>
      </c>
      <c r="AB155" s="47">
        <f t="shared" si="63"/>
        <v>57</v>
      </c>
      <c r="AC155" s="71">
        <f t="shared" si="74"/>
        <v>2137.6800000000003</v>
      </c>
      <c r="AD155" s="118">
        <f t="shared" si="75"/>
        <v>8546.7293333333328</v>
      </c>
    </row>
    <row r="156" spans="1:30" s="49" customFormat="1" ht="12.75" x14ac:dyDescent="0.2">
      <c r="A156" s="94">
        <v>151</v>
      </c>
      <c r="B156" s="36" t="s">
        <v>390</v>
      </c>
      <c r="C156" s="148">
        <v>3</v>
      </c>
      <c r="D156" s="57">
        <v>2216.5886211419997</v>
      </c>
      <c r="E156" s="79">
        <f t="shared" si="72"/>
        <v>6649.7658634259988</v>
      </c>
      <c r="F156" s="80">
        <f t="shared" si="58"/>
        <v>332.48829317129992</v>
      </c>
      <c r="G156" s="47"/>
      <c r="H156" s="47">
        <f t="shared" si="64"/>
        <v>613.2561851826199</v>
      </c>
      <c r="I156" s="47">
        <f t="shared" si="65"/>
        <v>245.30247407304796</v>
      </c>
      <c r="J156" s="47">
        <f t="shared" si="59"/>
        <v>554.14715528549993</v>
      </c>
      <c r="K156" s="47"/>
      <c r="L156" s="47">
        <f t="shared" si="66"/>
        <v>184.71571842849997</v>
      </c>
      <c r="M156" s="47">
        <f t="shared" si="67"/>
        <v>277.07357764274997</v>
      </c>
      <c r="N156" s="80">
        <v>0</v>
      </c>
      <c r="O156" s="47"/>
      <c r="P156" s="47"/>
      <c r="Q156" s="47"/>
      <c r="R156" s="47"/>
      <c r="S156" s="136"/>
      <c r="T156" s="47">
        <v>0</v>
      </c>
      <c r="U156" s="81">
        <f t="shared" si="73"/>
        <v>2206.9834037837177</v>
      </c>
      <c r="V156" s="47">
        <f t="shared" si="60"/>
        <v>711.01404819444008</v>
      </c>
      <c r="W156" s="47">
        <v>0</v>
      </c>
      <c r="X156" s="47">
        <f t="shared" si="68"/>
        <v>1080</v>
      </c>
      <c r="Y156" s="47">
        <f t="shared" si="61"/>
        <v>29.400000000000002</v>
      </c>
      <c r="Z156" s="47">
        <f t="shared" si="69"/>
        <v>63</v>
      </c>
      <c r="AA156" s="47">
        <f t="shared" si="62"/>
        <v>87</v>
      </c>
      <c r="AB156" s="47">
        <f t="shared" si="63"/>
        <v>57</v>
      </c>
      <c r="AC156" s="71">
        <f t="shared" si="74"/>
        <v>2027.4140481944401</v>
      </c>
      <c r="AD156" s="118">
        <f t="shared" si="75"/>
        <v>10884.163315404156</v>
      </c>
    </row>
    <row r="157" spans="1:30" s="49" customFormat="1" ht="12.75" x14ac:dyDescent="0.2">
      <c r="A157" s="94">
        <v>152</v>
      </c>
      <c r="B157" s="36" t="s">
        <v>578</v>
      </c>
      <c r="C157" s="148">
        <v>1</v>
      </c>
      <c r="D157" s="57">
        <v>6971.8487432299989</v>
      </c>
      <c r="E157" s="79">
        <f t="shared" si="72"/>
        <v>6971.8487432299989</v>
      </c>
      <c r="F157" s="80">
        <f t="shared" si="58"/>
        <v>348.59243716149996</v>
      </c>
      <c r="G157" s="47"/>
      <c r="H157" s="47">
        <f t="shared" si="64"/>
        <v>642.95938409787766</v>
      </c>
      <c r="I157" s="47">
        <f t="shared" si="65"/>
        <v>257.18375363915106</v>
      </c>
      <c r="J157" s="47">
        <f t="shared" si="59"/>
        <v>580.98739526916654</v>
      </c>
      <c r="K157" s="47"/>
      <c r="L157" s="47">
        <f t="shared" si="66"/>
        <v>193.66246508972219</v>
      </c>
      <c r="M157" s="47">
        <f t="shared" si="67"/>
        <v>290.49369763458327</v>
      </c>
      <c r="N157" s="80">
        <v>0</v>
      </c>
      <c r="O157" s="47"/>
      <c r="P157" s="47"/>
      <c r="Q157" s="47"/>
      <c r="R157" s="47"/>
      <c r="S157" s="136"/>
      <c r="T157" s="47">
        <v>0</v>
      </c>
      <c r="U157" s="81">
        <f t="shared" si="73"/>
        <v>2313.8791328920006</v>
      </c>
      <c r="V157" s="47"/>
      <c r="W157" s="47">
        <v>0</v>
      </c>
      <c r="X157" s="47">
        <f t="shared" si="68"/>
        <v>360</v>
      </c>
      <c r="Y157" s="47">
        <f t="shared" si="61"/>
        <v>9.8000000000000007</v>
      </c>
      <c r="Z157" s="47">
        <f t="shared" si="69"/>
        <v>21</v>
      </c>
      <c r="AA157" s="47">
        <f t="shared" si="62"/>
        <v>29</v>
      </c>
      <c r="AB157" s="47">
        <f t="shared" si="63"/>
        <v>19</v>
      </c>
      <c r="AC157" s="71">
        <f t="shared" si="74"/>
        <v>438.8</v>
      </c>
      <c r="AD157" s="118">
        <f t="shared" si="75"/>
        <v>9724.5278761219997</v>
      </c>
    </row>
    <row r="158" spans="1:30" s="49" customFormat="1" ht="12.75" x14ac:dyDescent="0.2">
      <c r="A158" s="94">
        <v>153</v>
      </c>
      <c r="B158" s="364" t="s">
        <v>391</v>
      </c>
      <c r="C158" s="148">
        <v>52</v>
      </c>
      <c r="D158" s="57">
        <v>2475.9907000000003</v>
      </c>
      <c r="E158" s="79">
        <f t="shared" si="72"/>
        <v>128751.51640000002</v>
      </c>
      <c r="F158" s="80">
        <f t="shared" si="58"/>
        <v>9744.0138007800015</v>
      </c>
      <c r="G158" s="47"/>
      <c r="H158" s="47">
        <f t="shared" si="64"/>
        <v>17972.29212143867</v>
      </c>
      <c r="I158" s="47">
        <f t="shared" si="65"/>
        <v>7188.9168485754681</v>
      </c>
      <c r="J158" s="47">
        <f t="shared" si="59"/>
        <v>16240.023001300004</v>
      </c>
      <c r="K158" s="47"/>
      <c r="L158" s="47">
        <f t="shared" si="66"/>
        <v>5413.3410004333346</v>
      </c>
      <c r="M158" s="47">
        <f t="shared" si="67"/>
        <v>8120.0115006500018</v>
      </c>
      <c r="N158" s="80">
        <v>0</v>
      </c>
      <c r="O158" s="47"/>
      <c r="P158" s="47">
        <f>(D158/200*36*2)*(C158/2)</f>
        <v>23175.272952000003</v>
      </c>
      <c r="Q158" s="47">
        <f>(D158/200*2*24)/20*4*C158/2</f>
        <v>3090.0363936000003</v>
      </c>
      <c r="R158" s="47">
        <f>E158*30%</f>
        <v>38625.454920000004</v>
      </c>
      <c r="S158" s="136">
        <f>(D158*0.1)*5</f>
        <v>1237.9953500000001</v>
      </c>
      <c r="T158" s="47">
        <v>0</v>
      </c>
      <c r="U158" s="81">
        <f t="shared" si="73"/>
        <v>130807.35788877749</v>
      </c>
      <c r="V158" s="47">
        <f t="shared" si="60"/>
        <v>11514.909015999998</v>
      </c>
      <c r="W158" s="47">
        <v>0</v>
      </c>
      <c r="X158" s="47">
        <f t="shared" si="68"/>
        <v>18720</v>
      </c>
      <c r="Y158" s="47">
        <f t="shared" si="61"/>
        <v>509.6</v>
      </c>
      <c r="Z158" s="47">
        <f t="shared" si="69"/>
        <v>1092</v>
      </c>
      <c r="AA158" s="47">
        <f t="shared" si="62"/>
        <v>1508</v>
      </c>
      <c r="AB158" s="47">
        <f t="shared" si="63"/>
        <v>988</v>
      </c>
      <c r="AC158" s="71">
        <f t="shared" si="74"/>
        <v>34332.509015999996</v>
      </c>
      <c r="AD158" s="118">
        <f t="shared" si="75"/>
        <v>293891.38330477756</v>
      </c>
    </row>
    <row r="159" spans="1:30" s="49" customFormat="1" ht="12.75" x14ac:dyDescent="0.2">
      <c r="A159" s="94">
        <v>154</v>
      </c>
      <c r="B159" s="364" t="s">
        <v>391</v>
      </c>
      <c r="C159" s="148">
        <v>22</v>
      </c>
      <c r="D159" s="57">
        <v>2475.9907000000003</v>
      </c>
      <c r="E159" s="79">
        <f t="shared" si="72"/>
        <v>54471.795400000003</v>
      </c>
      <c r="F159" s="80">
        <f t="shared" si="58"/>
        <v>4503.7181397092008</v>
      </c>
      <c r="G159" s="47"/>
      <c r="H159" s="47">
        <f t="shared" si="64"/>
        <v>8306.857902130303</v>
      </c>
      <c r="I159" s="47">
        <f t="shared" si="65"/>
        <v>3322.7431608521215</v>
      </c>
      <c r="J159" s="47">
        <f t="shared" si="59"/>
        <v>7506.1968995153338</v>
      </c>
      <c r="K159" s="47"/>
      <c r="L159" s="47">
        <f t="shared" si="66"/>
        <v>2502.0656331717778</v>
      </c>
      <c r="M159" s="47">
        <f t="shared" si="67"/>
        <v>3753.0984497576669</v>
      </c>
      <c r="N159" s="80">
        <f>(E159/220)*(137.13)*(20%)</f>
        <v>6790.652093820001</v>
      </c>
      <c r="O159" s="47">
        <f>(N159/25)*5</f>
        <v>1358.1304187640001</v>
      </c>
      <c r="P159" s="47">
        <f>(D159/200*36*2)*(C159/2)</f>
        <v>9804.9231720000007</v>
      </c>
      <c r="Q159" s="47">
        <f>(D159/200*2*24)/20*4*C159/2</f>
        <v>1307.3230896000002</v>
      </c>
      <c r="R159" s="47">
        <f>E159*30%</f>
        <v>16341.538619999999</v>
      </c>
      <c r="S159" s="136"/>
      <c r="T159" s="47">
        <v>0</v>
      </c>
      <c r="U159" s="81">
        <f t="shared" si="73"/>
        <v>65497.247579320407</v>
      </c>
      <c r="V159" s="47">
        <f t="shared" si="60"/>
        <v>4871.6922759999998</v>
      </c>
      <c r="W159" s="47">
        <v>0</v>
      </c>
      <c r="X159" s="47">
        <f t="shared" si="68"/>
        <v>7920</v>
      </c>
      <c r="Y159" s="47">
        <f t="shared" si="61"/>
        <v>215.60000000000002</v>
      </c>
      <c r="Z159" s="47">
        <f t="shared" si="69"/>
        <v>462</v>
      </c>
      <c r="AA159" s="47">
        <f t="shared" si="62"/>
        <v>638</v>
      </c>
      <c r="AB159" s="47">
        <f t="shared" si="63"/>
        <v>418</v>
      </c>
      <c r="AC159" s="71">
        <f t="shared" si="74"/>
        <v>14525.292276</v>
      </c>
      <c r="AD159" s="118">
        <f t="shared" si="75"/>
        <v>134494.33525532042</v>
      </c>
    </row>
    <row r="160" spans="1:30" s="49" customFormat="1" ht="12.75" x14ac:dyDescent="0.2">
      <c r="A160" s="94">
        <v>155</v>
      </c>
      <c r="B160" s="36" t="s">
        <v>399</v>
      </c>
      <c r="C160" s="148">
        <v>2</v>
      </c>
      <c r="D160" s="57">
        <v>4195.9728999999998</v>
      </c>
      <c r="E160" s="79">
        <f t="shared" si="72"/>
        <v>8391.9457999999995</v>
      </c>
      <c r="F160" s="80">
        <f t="shared" si="58"/>
        <v>419.59728999999993</v>
      </c>
      <c r="G160" s="47"/>
      <c r="H160" s="47">
        <f t="shared" si="64"/>
        <v>773.9238904444444</v>
      </c>
      <c r="I160" s="47">
        <f t="shared" si="65"/>
        <v>309.56955617777777</v>
      </c>
      <c r="J160" s="47">
        <f t="shared" si="59"/>
        <v>699.32881666666663</v>
      </c>
      <c r="K160" s="47"/>
      <c r="L160" s="47">
        <f t="shared" si="66"/>
        <v>233.10960555555553</v>
      </c>
      <c r="M160" s="47">
        <f t="shared" si="67"/>
        <v>349.66440833333331</v>
      </c>
      <c r="N160" s="80">
        <v>0</v>
      </c>
      <c r="O160" s="47"/>
      <c r="P160" s="47"/>
      <c r="Q160" s="47"/>
      <c r="R160" s="47"/>
      <c r="S160" s="136"/>
      <c r="T160" s="47">
        <v>0</v>
      </c>
      <c r="U160" s="81">
        <f t="shared" si="73"/>
        <v>2785.1935671777774</v>
      </c>
      <c r="V160" s="47">
        <f t="shared" si="60"/>
        <v>236.48325200000005</v>
      </c>
      <c r="W160" s="47">
        <v>0</v>
      </c>
      <c r="X160" s="47">
        <f t="shared" si="68"/>
        <v>720</v>
      </c>
      <c r="Y160" s="47">
        <f t="shared" si="61"/>
        <v>19.600000000000001</v>
      </c>
      <c r="Z160" s="47">
        <f t="shared" si="69"/>
        <v>42</v>
      </c>
      <c r="AA160" s="47">
        <f t="shared" si="62"/>
        <v>58</v>
      </c>
      <c r="AB160" s="47">
        <f t="shared" si="63"/>
        <v>38</v>
      </c>
      <c r="AC160" s="71">
        <f t="shared" si="74"/>
        <v>1114.0832519999999</v>
      </c>
      <c r="AD160" s="118">
        <f t="shared" si="75"/>
        <v>12291.222619177777</v>
      </c>
    </row>
    <row r="161" spans="1:30" s="49" customFormat="1" ht="12.75" x14ac:dyDescent="0.2">
      <c r="A161" s="94">
        <v>156</v>
      </c>
      <c r="B161" s="36" t="s">
        <v>393</v>
      </c>
      <c r="C161" s="148">
        <v>2</v>
      </c>
      <c r="D161" s="57">
        <v>5372.2025000000003</v>
      </c>
      <c r="E161" s="79">
        <f t="shared" si="72"/>
        <v>10744.405000000001</v>
      </c>
      <c r="F161" s="80">
        <f t="shared" si="58"/>
        <v>646.81318099999999</v>
      </c>
      <c r="G161" s="47"/>
      <c r="H161" s="47">
        <f t="shared" si="64"/>
        <v>1193.010978288889</v>
      </c>
      <c r="I161" s="47">
        <f t="shared" si="65"/>
        <v>477.2043913155556</v>
      </c>
      <c r="J161" s="47">
        <f t="shared" si="59"/>
        <v>1078.0219683333332</v>
      </c>
      <c r="K161" s="47"/>
      <c r="L161" s="47">
        <f t="shared" si="66"/>
        <v>359.34065611111106</v>
      </c>
      <c r="M161" s="47">
        <f t="shared" si="67"/>
        <v>539.01098416666662</v>
      </c>
      <c r="N161" s="80">
        <v>0</v>
      </c>
      <c r="O161" s="47"/>
      <c r="P161" s="47">
        <f>(D161/200*36*2)*(C161/2)</f>
        <v>1933.9929000000002</v>
      </c>
      <c r="Q161" s="47">
        <f>(D161/200*2*24)/20*4*C161/2</f>
        <v>257.86572000000001</v>
      </c>
      <c r="R161" s="47"/>
      <c r="S161" s="136"/>
      <c r="T161" s="47">
        <v>0</v>
      </c>
      <c r="U161" s="81">
        <f t="shared" si="73"/>
        <v>6485.2607792155559</v>
      </c>
      <c r="V161" s="47">
        <f t="shared" si="60"/>
        <v>95.335699999999974</v>
      </c>
      <c r="W161" s="47">
        <v>0</v>
      </c>
      <c r="X161" s="47">
        <f t="shared" si="68"/>
        <v>720</v>
      </c>
      <c r="Y161" s="47">
        <f t="shared" si="61"/>
        <v>19.600000000000001</v>
      </c>
      <c r="Z161" s="47">
        <f t="shared" si="69"/>
        <v>42</v>
      </c>
      <c r="AA161" s="47">
        <f t="shared" si="62"/>
        <v>58</v>
      </c>
      <c r="AB161" s="47">
        <f t="shared" si="63"/>
        <v>38</v>
      </c>
      <c r="AC161" s="71">
        <f t="shared" si="74"/>
        <v>972.9357</v>
      </c>
      <c r="AD161" s="118">
        <f t="shared" si="75"/>
        <v>18202.601479215555</v>
      </c>
    </row>
    <row r="162" spans="1:30" s="49" customFormat="1" ht="12.75" x14ac:dyDescent="0.2">
      <c r="A162" s="94">
        <v>157</v>
      </c>
      <c r="B162" s="36" t="s">
        <v>394</v>
      </c>
      <c r="C162" s="148">
        <v>2</v>
      </c>
      <c r="D162" s="57">
        <v>3760.5471000000002</v>
      </c>
      <c r="E162" s="79">
        <f t="shared" si="72"/>
        <v>7521.0942000000005</v>
      </c>
      <c r="F162" s="80">
        <f t="shared" si="58"/>
        <v>452.76987084000001</v>
      </c>
      <c r="G162" s="47"/>
      <c r="H162" s="47">
        <f t="shared" si="64"/>
        <v>835.10887288266679</v>
      </c>
      <c r="I162" s="47">
        <f t="shared" si="65"/>
        <v>334.04354915306675</v>
      </c>
      <c r="J162" s="47">
        <f t="shared" si="59"/>
        <v>754.61645140000019</v>
      </c>
      <c r="K162" s="47"/>
      <c r="L162" s="47">
        <f t="shared" si="66"/>
        <v>251.5388171333334</v>
      </c>
      <c r="M162" s="47">
        <f t="shared" si="67"/>
        <v>377.30822570000009</v>
      </c>
      <c r="N162" s="80">
        <v>0</v>
      </c>
      <c r="O162" s="47"/>
      <c r="P162" s="47">
        <f>(D162/200*36*2)*(C162/2)</f>
        <v>1353.7969560000001</v>
      </c>
      <c r="Q162" s="47">
        <f>(D162/200*2*24)/20*4*C162/2</f>
        <v>180.50626080000001</v>
      </c>
      <c r="R162" s="47"/>
      <c r="S162" s="136"/>
      <c r="T162" s="47">
        <v>0</v>
      </c>
      <c r="U162" s="81">
        <f t="shared" si="73"/>
        <v>4539.6890039090677</v>
      </c>
      <c r="V162" s="47">
        <f t="shared" si="60"/>
        <v>288.73434800000001</v>
      </c>
      <c r="W162" s="47">
        <v>0</v>
      </c>
      <c r="X162" s="47">
        <f t="shared" si="68"/>
        <v>720</v>
      </c>
      <c r="Y162" s="47">
        <f t="shared" si="61"/>
        <v>19.600000000000001</v>
      </c>
      <c r="Z162" s="47">
        <f t="shared" si="69"/>
        <v>42</v>
      </c>
      <c r="AA162" s="47">
        <f t="shared" si="62"/>
        <v>58</v>
      </c>
      <c r="AB162" s="47">
        <f t="shared" si="63"/>
        <v>38</v>
      </c>
      <c r="AC162" s="71">
        <f t="shared" si="74"/>
        <v>1166.3343479999999</v>
      </c>
      <c r="AD162" s="118">
        <f t="shared" si="75"/>
        <v>13227.117551909068</v>
      </c>
    </row>
    <row r="163" spans="1:30" s="49" customFormat="1" ht="12.75" x14ac:dyDescent="0.2">
      <c r="A163" s="94">
        <v>158</v>
      </c>
      <c r="B163" s="36" t="s">
        <v>409</v>
      </c>
      <c r="C163" s="148">
        <v>1</v>
      </c>
      <c r="D163" s="57">
        <v>3648.8180338399998</v>
      </c>
      <c r="E163" s="79">
        <f t="shared" si="72"/>
        <v>3648.8180338399998</v>
      </c>
      <c r="F163" s="80">
        <f t="shared" si="58"/>
        <v>182.44090169199998</v>
      </c>
      <c r="G163" s="47"/>
      <c r="H163" s="47">
        <f t="shared" si="64"/>
        <v>336.50210756524444</v>
      </c>
      <c r="I163" s="47">
        <f t="shared" si="65"/>
        <v>134.60084302609778</v>
      </c>
      <c r="J163" s="47">
        <f t="shared" si="59"/>
        <v>304.06816948666665</v>
      </c>
      <c r="K163" s="47"/>
      <c r="L163" s="47">
        <f t="shared" si="66"/>
        <v>101.35605649555555</v>
      </c>
      <c r="M163" s="47">
        <f t="shared" si="67"/>
        <v>152.03408474333332</v>
      </c>
      <c r="N163" s="80">
        <v>0</v>
      </c>
      <c r="O163" s="47"/>
      <c r="P163" s="47"/>
      <c r="Q163" s="47"/>
      <c r="R163" s="47"/>
      <c r="S163" s="136"/>
      <c r="T163" s="47">
        <v>0</v>
      </c>
      <c r="U163" s="81">
        <f t="shared" si="73"/>
        <v>1211.0021630088977</v>
      </c>
      <c r="V163" s="47">
        <f t="shared" si="60"/>
        <v>151.07091796960003</v>
      </c>
      <c r="W163" s="47">
        <v>0</v>
      </c>
      <c r="X163" s="47">
        <f t="shared" si="68"/>
        <v>360</v>
      </c>
      <c r="Y163" s="47">
        <f t="shared" si="61"/>
        <v>9.8000000000000007</v>
      </c>
      <c r="Z163" s="47">
        <f t="shared" si="69"/>
        <v>21</v>
      </c>
      <c r="AA163" s="47">
        <f t="shared" si="62"/>
        <v>29</v>
      </c>
      <c r="AB163" s="47">
        <f t="shared" si="63"/>
        <v>19</v>
      </c>
      <c r="AC163" s="71">
        <f t="shared" si="74"/>
        <v>589.87091796959999</v>
      </c>
      <c r="AD163" s="118">
        <f t="shared" si="75"/>
        <v>5449.6911148184972</v>
      </c>
    </row>
    <row r="164" spans="1:30" s="49" customFormat="1" ht="12.75" x14ac:dyDescent="0.2">
      <c r="A164" s="94">
        <v>159</v>
      </c>
      <c r="B164" s="36" t="s">
        <v>420</v>
      </c>
      <c r="C164" s="148">
        <v>1</v>
      </c>
      <c r="D164" s="57">
        <v>1954.7239466999999</v>
      </c>
      <c r="E164" s="79">
        <f t="shared" si="72"/>
        <v>1954.7239466999999</v>
      </c>
      <c r="F164" s="80">
        <f t="shared" si="58"/>
        <v>97.736197334999986</v>
      </c>
      <c r="G164" s="47"/>
      <c r="H164" s="47">
        <f t="shared" si="64"/>
        <v>180.26898619566666</v>
      </c>
      <c r="I164" s="47">
        <f t="shared" si="65"/>
        <v>72.107594478266662</v>
      </c>
      <c r="J164" s="47">
        <f t="shared" si="59"/>
        <v>162.89366222499999</v>
      </c>
      <c r="K164" s="47"/>
      <c r="L164" s="47">
        <f t="shared" si="66"/>
        <v>54.297887408333331</v>
      </c>
      <c r="M164" s="47">
        <f t="shared" si="67"/>
        <v>81.446831112499993</v>
      </c>
      <c r="N164" s="80">
        <v>0</v>
      </c>
      <c r="O164" s="47"/>
      <c r="P164" s="47"/>
      <c r="Q164" s="47"/>
      <c r="R164" s="47"/>
      <c r="S164" s="136"/>
      <c r="T164" s="47">
        <v>0</v>
      </c>
      <c r="U164" s="81">
        <f t="shared" si="73"/>
        <v>648.75115875476661</v>
      </c>
      <c r="V164" s="47">
        <f t="shared" si="60"/>
        <v>252.71656319800002</v>
      </c>
      <c r="W164" s="47">
        <v>0</v>
      </c>
      <c r="X164" s="47">
        <f t="shared" si="68"/>
        <v>360</v>
      </c>
      <c r="Y164" s="47">
        <f t="shared" si="61"/>
        <v>9.8000000000000007</v>
      </c>
      <c r="Z164" s="47">
        <f t="shared" si="69"/>
        <v>21</v>
      </c>
      <c r="AA164" s="47">
        <f t="shared" si="62"/>
        <v>29</v>
      </c>
      <c r="AB164" s="47">
        <f t="shared" si="63"/>
        <v>19</v>
      </c>
      <c r="AC164" s="71">
        <f t="shared" si="74"/>
        <v>691.51656319799997</v>
      </c>
      <c r="AD164" s="118">
        <f t="shared" si="75"/>
        <v>3294.9916686527663</v>
      </c>
    </row>
    <row r="165" spans="1:30" s="49" customFormat="1" ht="12.75" x14ac:dyDescent="0.2">
      <c r="A165" s="94">
        <v>160</v>
      </c>
      <c r="B165" s="36" t="s">
        <v>395</v>
      </c>
      <c r="C165" s="148">
        <v>4</v>
      </c>
      <c r="D165" s="57">
        <v>1759.2515520300001</v>
      </c>
      <c r="E165" s="79">
        <f t="shared" si="72"/>
        <v>7037.0062081200003</v>
      </c>
      <c r="F165" s="80">
        <f t="shared" si="58"/>
        <v>476.2633007098874</v>
      </c>
      <c r="G165" s="47"/>
      <c r="H165" s="47">
        <f t="shared" si="64"/>
        <v>878.44119908712571</v>
      </c>
      <c r="I165" s="47">
        <f t="shared" si="65"/>
        <v>351.37647963485028</v>
      </c>
      <c r="J165" s="47">
        <f t="shared" si="59"/>
        <v>793.77216784981238</v>
      </c>
      <c r="K165" s="47"/>
      <c r="L165" s="47">
        <f t="shared" si="66"/>
        <v>264.59072261660413</v>
      </c>
      <c r="M165" s="47">
        <f t="shared" si="67"/>
        <v>396.88608392490619</v>
      </c>
      <c r="N165" s="80">
        <f>(E165/220)*(137.13)*(20%)</f>
        <v>877.25878301772343</v>
      </c>
      <c r="O165" s="47">
        <f>(N165/25)*5</f>
        <v>175.45175660354471</v>
      </c>
      <c r="P165" s="47">
        <f>(D165/200*36*2)*(C165/2)</f>
        <v>1266.6611174616</v>
      </c>
      <c r="Q165" s="47">
        <f>(D165/200*2*24)/20*4*C165/2</f>
        <v>168.88814899488003</v>
      </c>
      <c r="R165" s="47"/>
      <c r="S165" s="136"/>
      <c r="T165" s="47">
        <v>0</v>
      </c>
      <c r="U165" s="81">
        <f t="shared" si="73"/>
        <v>5649.589759900934</v>
      </c>
      <c r="V165" s="47">
        <f t="shared" si="60"/>
        <v>1057.7796275128001</v>
      </c>
      <c r="W165" s="47">
        <v>0</v>
      </c>
      <c r="X165" s="47">
        <f t="shared" si="68"/>
        <v>1440</v>
      </c>
      <c r="Y165" s="47">
        <f t="shared" si="61"/>
        <v>39.200000000000003</v>
      </c>
      <c r="Z165" s="47">
        <f t="shared" si="69"/>
        <v>84</v>
      </c>
      <c r="AA165" s="47">
        <f t="shared" si="62"/>
        <v>116</v>
      </c>
      <c r="AB165" s="47">
        <f t="shared" si="63"/>
        <v>76</v>
      </c>
      <c r="AC165" s="71">
        <f t="shared" si="74"/>
        <v>2812.9796275128001</v>
      </c>
      <c r="AD165" s="118">
        <f t="shared" si="75"/>
        <v>15499.575595533734</v>
      </c>
    </row>
    <row r="166" spans="1:30" s="49" customFormat="1" ht="22.5" x14ac:dyDescent="0.2">
      <c r="A166" s="94">
        <v>161</v>
      </c>
      <c r="B166" s="36" t="s">
        <v>421</v>
      </c>
      <c r="C166" s="148">
        <v>1</v>
      </c>
      <c r="D166" s="57">
        <v>8626.8483514359996</v>
      </c>
      <c r="E166" s="79">
        <f t="shared" si="72"/>
        <v>8626.8483514359996</v>
      </c>
      <c r="F166" s="80">
        <f t="shared" si="58"/>
        <v>463.69309888968496</v>
      </c>
      <c r="G166" s="47"/>
      <c r="H166" s="47">
        <f>(E166+J166+L166+K166+M166+N166+O166+P166+Q166+R166+S166+T166)*8%</f>
        <v>853.09944808644889</v>
      </c>
      <c r="I166" s="47">
        <f>H166*40%</f>
        <v>341.2397792345796</v>
      </c>
      <c r="J166" s="47">
        <f t="shared" si="59"/>
        <v>718.9040292863333</v>
      </c>
      <c r="K166" s="47">
        <f>(E166+N166+O166+P166+Q166+R166+S166+T166)/12</f>
        <v>718.9040292863333</v>
      </c>
      <c r="L166" s="47">
        <f>J166/3</f>
        <v>239.63467642877777</v>
      </c>
      <c r="M166" s="47">
        <f>(E166+N166+O166+P166+Q166+R166+S166+T166)/12/2</f>
        <v>359.45201464316665</v>
      </c>
      <c r="N166" s="80">
        <v>0</v>
      </c>
      <c r="O166" s="47"/>
      <c r="P166" s="47"/>
      <c r="Q166" s="47"/>
      <c r="R166" s="47"/>
      <c r="S166" s="136"/>
      <c r="T166" s="47">
        <v>0</v>
      </c>
      <c r="U166" s="81">
        <f t="shared" si="73"/>
        <v>3694.9270758553248</v>
      </c>
      <c r="V166" s="47"/>
      <c r="W166" s="47">
        <v>0</v>
      </c>
      <c r="X166" s="47">
        <f t="shared" si="68"/>
        <v>360</v>
      </c>
      <c r="Y166" s="47">
        <f t="shared" si="61"/>
        <v>9.8000000000000007</v>
      </c>
      <c r="Z166" s="47">
        <f t="shared" si="69"/>
        <v>21</v>
      </c>
      <c r="AA166" s="47">
        <f t="shared" si="62"/>
        <v>29</v>
      </c>
      <c r="AB166" s="47">
        <f t="shared" si="63"/>
        <v>19</v>
      </c>
      <c r="AC166" s="71">
        <f t="shared" si="74"/>
        <v>438.8</v>
      </c>
      <c r="AD166" s="118">
        <f t="shared" si="75"/>
        <v>12760.575427291324</v>
      </c>
    </row>
    <row r="167" spans="1:30" s="49" customFormat="1" ht="12.75" x14ac:dyDescent="0.2">
      <c r="A167" s="94">
        <v>162</v>
      </c>
      <c r="B167" s="36" t="s">
        <v>422</v>
      </c>
      <c r="C167" s="148">
        <v>2</v>
      </c>
      <c r="D167" s="57">
        <v>4664.5671649779988</v>
      </c>
      <c r="E167" s="79">
        <f t="shared" si="72"/>
        <v>9329.1343299559976</v>
      </c>
      <c r="F167" s="80">
        <f t="shared" si="58"/>
        <v>466.4567164977999</v>
      </c>
      <c r="G167" s="47"/>
      <c r="H167" s="47">
        <f t="shared" si="64"/>
        <v>860.35349931816427</v>
      </c>
      <c r="I167" s="47">
        <f t="shared" si="65"/>
        <v>344.14139972726571</v>
      </c>
      <c r="J167" s="47">
        <f t="shared" si="59"/>
        <v>777.42786082966643</v>
      </c>
      <c r="K167" s="47"/>
      <c r="L167" s="47">
        <f t="shared" si="66"/>
        <v>259.14262027655548</v>
      </c>
      <c r="M167" s="47">
        <f t="shared" si="67"/>
        <v>388.71393041483321</v>
      </c>
      <c r="N167" s="80">
        <v>0</v>
      </c>
      <c r="O167" s="47"/>
      <c r="P167" s="47"/>
      <c r="Q167" s="47"/>
      <c r="R167" s="47"/>
      <c r="S167" s="136"/>
      <c r="T167" s="47">
        <v>0</v>
      </c>
      <c r="U167" s="81">
        <f t="shared" si="73"/>
        <v>3096.2360270642848</v>
      </c>
      <c r="V167" s="47">
        <f t="shared" si="60"/>
        <v>180.25194020264018</v>
      </c>
      <c r="W167" s="47">
        <v>0</v>
      </c>
      <c r="X167" s="47">
        <f t="shared" si="68"/>
        <v>720</v>
      </c>
      <c r="Y167" s="47">
        <f t="shared" si="61"/>
        <v>19.600000000000001</v>
      </c>
      <c r="Z167" s="47">
        <f t="shared" si="69"/>
        <v>42</v>
      </c>
      <c r="AA167" s="47">
        <f t="shared" si="62"/>
        <v>58</v>
      </c>
      <c r="AB167" s="47">
        <f t="shared" si="63"/>
        <v>38</v>
      </c>
      <c r="AC167" s="71">
        <f t="shared" si="74"/>
        <v>1057.8519402026402</v>
      </c>
      <c r="AD167" s="118">
        <f t="shared" si="75"/>
        <v>13483.222297222921</v>
      </c>
    </row>
    <row r="168" spans="1:30" s="49" customFormat="1" ht="12.75" x14ac:dyDescent="0.2">
      <c r="A168" s="94">
        <v>163</v>
      </c>
      <c r="B168" s="36" t="s">
        <v>423</v>
      </c>
      <c r="C168" s="148">
        <v>1</v>
      </c>
      <c r="D168" s="57">
        <v>6971.8487432299989</v>
      </c>
      <c r="E168" s="79">
        <f t="shared" si="72"/>
        <v>6971.8487432299989</v>
      </c>
      <c r="F168" s="80">
        <f t="shared" si="58"/>
        <v>348.59243716149996</v>
      </c>
      <c r="G168" s="47"/>
      <c r="H168" s="47">
        <f t="shared" si="64"/>
        <v>642.95938409787766</v>
      </c>
      <c r="I168" s="47">
        <f t="shared" si="65"/>
        <v>257.18375363915106</v>
      </c>
      <c r="J168" s="47">
        <f t="shared" si="59"/>
        <v>580.98739526916654</v>
      </c>
      <c r="K168" s="47"/>
      <c r="L168" s="47">
        <f t="shared" si="66"/>
        <v>193.66246508972219</v>
      </c>
      <c r="M168" s="47">
        <f t="shared" si="67"/>
        <v>290.49369763458327</v>
      </c>
      <c r="N168" s="80">
        <v>0</v>
      </c>
      <c r="O168" s="47"/>
      <c r="P168" s="47"/>
      <c r="Q168" s="47"/>
      <c r="R168" s="47"/>
      <c r="S168" s="136"/>
      <c r="T168" s="47">
        <v>0</v>
      </c>
      <c r="U168" s="81">
        <f t="shared" si="73"/>
        <v>2313.8791328920006</v>
      </c>
      <c r="V168" s="47"/>
      <c r="W168" s="47">
        <v>0</v>
      </c>
      <c r="X168" s="47">
        <f t="shared" si="68"/>
        <v>360</v>
      </c>
      <c r="Y168" s="47">
        <f t="shared" si="61"/>
        <v>9.8000000000000007</v>
      </c>
      <c r="Z168" s="47">
        <f t="shared" si="69"/>
        <v>21</v>
      </c>
      <c r="AA168" s="47">
        <f t="shared" si="62"/>
        <v>29</v>
      </c>
      <c r="AB168" s="47">
        <f t="shared" si="63"/>
        <v>19</v>
      </c>
      <c r="AC168" s="71">
        <f t="shared" si="74"/>
        <v>438.8</v>
      </c>
      <c r="AD168" s="118">
        <f t="shared" si="75"/>
        <v>9724.5278761219997</v>
      </c>
    </row>
    <row r="169" spans="1:30" s="49" customFormat="1" ht="12.75" x14ac:dyDescent="0.2">
      <c r="A169" s="94">
        <v>164</v>
      </c>
      <c r="B169" s="36" t="s">
        <v>381</v>
      </c>
      <c r="C169" s="148">
        <v>3</v>
      </c>
      <c r="D169" s="57">
        <v>3432.9771878639999</v>
      </c>
      <c r="E169" s="79">
        <f t="shared" si="72"/>
        <v>10298.931563591999</v>
      </c>
      <c r="F169" s="80">
        <f t="shared" si="58"/>
        <v>514.94657817960001</v>
      </c>
      <c r="G169" s="47"/>
      <c r="H169" s="47">
        <f t="shared" si="64"/>
        <v>949.79035530904002</v>
      </c>
      <c r="I169" s="47">
        <f t="shared" si="65"/>
        <v>379.91614212361605</v>
      </c>
      <c r="J169" s="47">
        <f t="shared" si="59"/>
        <v>858.24429696599998</v>
      </c>
      <c r="K169" s="47"/>
      <c r="L169" s="47">
        <f t="shared" si="66"/>
        <v>286.08143232200001</v>
      </c>
      <c r="M169" s="47">
        <f t="shared" si="67"/>
        <v>429.12214848299999</v>
      </c>
      <c r="N169" s="80">
        <v>0</v>
      </c>
      <c r="O169" s="47"/>
      <c r="P169" s="47"/>
      <c r="Q169" s="47"/>
      <c r="R169" s="47"/>
      <c r="S169" s="136"/>
      <c r="T169" s="47">
        <v>0</v>
      </c>
      <c r="U169" s="81">
        <f t="shared" si="73"/>
        <v>3418.1009533832562</v>
      </c>
      <c r="V169" s="47">
        <f t="shared" si="60"/>
        <v>492.06410618448001</v>
      </c>
      <c r="W169" s="47">
        <v>0</v>
      </c>
      <c r="X169" s="47">
        <f t="shared" si="68"/>
        <v>1080</v>
      </c>
      <c r="Y169" s="47">
        <f t="shared" si="61"/>
        <v>29.400000000000002</v>
      </c>
      <c r="Z169" s="47">
        <f t="shared" si="69"/>
        <v>63</v>
      </c>
      <c r="AA169" s="47">
        <f t="shared" si="62"/>
        <v>87</v>
      </c>
      <c r="AB169" s="47">
        <f t="shared" si="63"/>
        <v>57</v>
      </c>
      <c r="AC169" s="71">
        <f t="shared" si="74"/>
        <v>1808.46410618448</v>
      </c>
      <c r="AD169" s="118">
        <f t="shared" si="75"/>
        <v>15525.496623159735</v>
      </c>
    </row>
    <row r="170" spans="1:30" s="49" customFormat="1" ht="12.75" x14ac:dyDescent="0.2">
      <c r="A170" s="94">
        <v>165</v>
      </c>
      <c r="B170" s="36" t="s">
        <v>382</v>
      </c>
      <c r="C170" s="148">
        <v>4</v>
      </c>
      <c r="D170" s="57">
        <v>3432.9771878639999</v>
      </c>
      <c r="E170" s="79">
        <f t="shared" si="72"/>
        <v>13731.908751456</v>
      </c>
      <c r="F170" s="80">
        <f t="shared" si="58"/>
        <v>686.59543757280005</v>
      </c>
      <c r="G170" s="47"/>
      <c r="H170" s="47">
        <f t="shared" si="64"/>
        <v>1266.3871404120534</v>
      </c>
      <c r="I170" s="47">
        <f t="shared" si="65"/>
        <v>506.55485616482139</v>
      </c>
      <c r="J170" s="47">
        <f t="shared" si="59"/>
        <v>1144.325729288</v>
      </c>
      <c r="K170" s="47"/>
      <c r="L170" s="47">
        <f t="shared" si="66"/>
        <v>381.44190976266668</v>
      </c>
      <c r="M170" s="47">
        <f t="shared" si="67"/>
        <v>572.16286464400002</v>
      </c>
      <c r="N170" s="80">
        <v>0</v>
      </c>
      <c r="O170" s="47"/>
      <c r="P170" s="47"/>
      <c r="Q170" s="47"/>
      <c r="R170" s="47"/>
      <c r="S170" s="136"/>
      <c r="T170" s="47">
        <v>0</v>
      </c>
      <c r="U170" s="81">
        <f t="shared" si="73"/>
        <v>4557.4679378443425</v>
      </c>
      <c r="V170" s="47">
        <f t="shared" si="60"/>
        <v>656.08547491264005</v>
      </c>
      <c r="W170" s="47">
        <v>0</v>
      </c>
      <c r="X170" s="47">
        <f t="shared" si="68"/>
        <v>1440</v>
      </c>
      <c r="Y170" s="47">
        <f t="shared" si="61"/>
        <v>39.200000000000003</v>
      </c>
      <c r="Z170" s="47">
        <f t="shared" si="69"/>
        <v>84</v>
      </c>
      <c r="AA170" s="47">
        <f t="shared" si="62"/>
        <v>116</v>
      </c>
      <c r="AB170" s="47">
        <f t="shared" si="63"/>
        <v>76</v>
      </c>
      <c r="AC170" s="71">
        <f t="shared" si="74"/>
        <v>2411.28547491264</v>
      </c>
      <c r="AD170" s="118">
        <f t="shared" si="75"/>
        <v>20700.662164212983</v>
      </c>
    </row>
    <row r="171" spans="1:30" s="49" customFormat="1" ht="12.75" x14ac:dyDescent="0.2">
      <c r="A171" s="94">
        <v>166</v>
      </c>
      <c r="B171" s="36" t="s">
        <v>383</v>
      </c>
      <c r="C171" s="148">
        <v>2</v>
      </c>
      <c r="D171" s="57">
        <v>3432.9771878639999</v>
      </c>
      <c r="E171" s="79">
        <f t="shared" si="72"/>
        <v>6865.9543757279998</v>
      </c>
      <c r="F171" s="80">
        <f t="shared" si="58"/>
        <v>343.29771878640003</v>
      </c>
      <c r="G171" s="47"/>
      <c r="H171" s="47">
        <f t="shared" si="64"/>
        <v>633.19357020602672</v>
      </c>
      <c r="I171" s="47">
        <f t="shared" si="65"/>
        <v>253.27742808241069</v>
      </c>
      <c r="J171" s="47">
        <f t="shared" si="59"/>
        <v>572.16286464400002</v>
      </c>
      <c r="K171" s="47"/>
      <c r="L171" s="47">
        <f t="shared" si="66"/>
        <v>190.72095488133334</v>
      </c>
      <c r="M171" s="47">
        <f t="shared" si="67"/>
        <v>286.08143232200001</v>
      </c>
      <c r="N171" s="80">
        <v>0</v>
      </c>
      <c r="O171" s="47"/>
      <c r="P171" s="47"/>
      <c r="Q171" s="47"/>
      <c r="R171" s="47"/>
      <c r="S171" s="136"/>
      <c r="T171" s="47">
        <v>0</v>
      </c>
      <c r="U171" s="81">
        <f t="shared" si="73"/>
        <v>2278.7339689221712</v>
      </c>
      <c r="V171" s="47">
        <f t="shared" si="60"/>
        <v>328.04273745632003</v>
      </c>
      <c r="W171" s="47">
        <v>0</v>
      </c>
      <c r="X171" s="47">
        <f t="shared" si="68"/>
        <v>720</v>
      </c>
      <c r="Y171" s="47">
        <f t="shared" si="61"/>
        <v>19.600000000000001</v>
      </c>
      <c r="Z171" s="47">
        <f t="shared" si="69"/>
        <v>42</v>
      </c>
      <c r="AA171" s="47">
        <f t="shared" si="62"/>
        <v>58</v>
      </c>
      <c r="AB171" s="47">
        <f t="shared" si="63"/>
        <v>38</v>
      </c>
      <c r="AC171" s="71">
        <f t="shared" si="74"/>
        <v>1205.64273745632</v>
      </c>
      <c r="AD171" s="118">
        <f t="shared" si="75"/>
        <v>10350.331082106492</v>
      </c>
    </row>
    <row r="172" spans="1:30" s="49" customFormat="1" ht="12.75" x14ac:dyDescent="0.2">
      <c r="A172" s="94">
        <v>167</v>
      </c>
      <c r="B172" s="36" t="s">
        <v>384</v>
      </c>
      <c r="C172" s="148">
        <v>4</v>
      </c>
      <c r="D172" s="57">
        <v>3432.9771878639999</v>
      </c>
      <c r="E172" s="79">
        <f t="shared" si="72"/>
        <v>13731.908751456</v>
      </c>
      <c r="F172" s="80">
        <f t="shared" si="58"/>
        <v>686.59543757280005</v>
      </c>
      <c r="G172" s="47"/>
      <c r="H172" s="47">
        <f t="shared" si="64"/>
        <v>1266.3871404120534</v>
      </c>
      <c r="I172" s="47">
        <f t="shared" si="65"/>
        <v>506.55485616482139</v>
      </c>
      <c r="J172" s="47">
        <f t="shared" si="59"/>
        <v>1144.325729288</v>
      </c>
      <c r="K172" s="47"/>
      <c r="L172" s="47">
        <f t="shared" si="66"/>
        <v>381.44190976266668</v>
      </c>
      <c r="M172" s="47">
        <f t="shared" si="67"/>
        <v>572.16286464400002</v>
      </c>
      <c r="N172" s="80">
        <v>0</v>
      </c>
      <c r="O172" s="47"/>
      <c r="P172" s="47"/>
      <c r="Q172" s="47"/>
      <c r="R172" s="47"/>
      <c r="S172" s="136"/>
      <c r="T172" s="47">
        <v>0</v>
      </c>
      <c r="U172" s="81">
        <f t="shared" si="73"/>
        <v>4557.4679378443425</v>
      </c>
      <c r="V172" s="47">
        <f t="shared" si="60"/>
        <v>656.08547491264005</v>
      </c>
      <c r="W172" s="47">
        <v>0</v>
      </c>
      <c r="X172" s="47">
        <f t="shared" si="68"/>
        <v>1440</v>
      </c>
      <c r="Y172" s="47">
        <f t="shared" si="61"/>
        <v>39.200000000000003</v>
      </c>
      <c r="Z172" s="47">
        <f t="shared" si="69"/>
        <v>84</v>
      </c>
      <c r="AA172" s="47">
        <f t="shared" si="62"/>
        <v>116</v>
      </c>
      <c r="AB172" s="47">
        <f t="shared" si="63"/>
        <v>76</v>
      </c>
      <c r="AC172" s="71">
        <f t="shared" si="74"/>
        <v>2411.28547491264</v>
      </c>
      <c r="AD172" s="118">
        <f t="shared" si="75"/>
        <v>20700.662164212983</v>
      </c>
    </row>
    <row r="173" spans="1:30" s="49" customFormat="1" ht="12.75" x14ac:dyDescent="0.2">
      <c r="A173" s="94">
        <v>168</v>
      </c>
      <c r="B173" s="36" t="s">
        <v>385</v>
      </c>
      <c r="C173" s="148">
        <v>3</v>
      </c>
      <c r="D173" s="57">
        <v>3432.9771878639999</v>
      </c>
      <c r="E173" s="79">
        <f t="shared" si="72"/>
        <v>10298.931563591999</v>
      </c>
      <c r="F173" s="80">
        <f t="shared" si="58"/>
        <v>514.94657817960001</v>
      </c>
      <c r="G173" s="47"/>
      <c r="H173" s="47">
        <f t="shared" si="64"/>
        <v>949.79035530904002</v>
      </c>
      <c r="I173" s="47">
        <f t="shared" si="65"/>
        <v>379.91614212361605</v>
      </c>
      <c r="J173" s="47">
        <f t="shared" si="59"/>
        <v>858.24429696599998</v>
      </c>
      <c r="K173" s="47"/>
      <c r="L173" s="47">
        <f t="shared" si="66"/>
        <v>286.08143232200001</v>
      </c>
      <c r="M173" s="47">
        <f t="shared" si="67"/>
        <v>429.12214848299999</v>
      </c>
      <c r="N173" s="80">
        <v>0</v>
      </c>
      <c r="O173" s="47"/>
      <c r="P173" s="47"/>
      <c r="Q173" s="47"/>
      <c r="R173" s="47"/>
      <c r="S173" s="136"/>
      <c r="T173" s="47">
        <v>0</v>
      </c>
      <c r="U173" s="81">
        <f t="shared" si="73"/>
        <v>3418.1009533832562</v>
      </c>
      <c r="V173" s="47">
        <f t="shared" si="60"/>
        <v>492.06410618448001</v>
      </c>
      <c r="W173" s="47">
        <v>0</v>
      </c>
      <c r="X173" s="47">
        <f t="shared" si="68"/>
        <v>1080</v>
      </c>
      <c r="Y173" s="47">
        <f t="shared" si="61"/>
        <v>29.400000000000002</v>
      </c>
      <c r="Z173" s="47">
        <f t="shared" si="69"/>
        <v>63</v>
      </c>
      <c r="AA173" s="47">
        <f t="shared" si="62"/>
        <v>87</v>
      </c>
      <c r="AB173" s="47">
        <f t="shared" si="63"/>
        <v>57</v>
      </c>
      <c r="AC173" s="71">
        <f t="shared" si="74"/>
        <v>1808.46410618448</v>
      </c>
      <c r="AD173" s="118">
        <f t="shared" si="75"/>
        <v>15525.496623159735</v>
      </c>
    </row>
    <row r="174" spans="1:30" s="49" customFormat="1" ht="12.75" x14ac:dyDescent="0.2">
      <c r="A174" s="94">
        <v>169</v>
      </c>
      <c r="B174" s="36" t="s">
        <v>419</v>
      </c>
      <c r="C174" s="148">
        <v>2</v>
      </c>
      <c r="D174" s="57">
        <v>3432.9771878639999</v>
      </c>
      <c r="E174" s="79">
        <f t="shared" si="72"/>
        <v>6865.9543757279998</v>
      </c>
      <c r="F174" s="80">
        <f t="shared" si="58"/>
        <v>343.29771878640003</v>
      </c>
      <c r="G174" s="47"/>
      <c r="H174" s="47">
        <f t="shared" si="64"/>
        <v>633.19357020602672</v>
      </c>
      <c r="I174" s="47">
        <f t="shared" si="65"/>
        <v>253.27742808241069</v>
      </c>
      <c r="J174" s="47">
        <f t="shared" si="59"/>
        <v>572.16286464400002</v>
      </c>
      <c r="K174" s="47"/>
      <c r="L174" s="47">
        <f t="shared" si="66"/>
        <v>190.72095488133334</v>
      </c>
      <c r="M174" s="47">
        <f t="shared" si="67"/>
        <v>286.08143232200001</v>
      </c>
      <c r="N174" s="80">
        <v>0</v>
      </c>
      <c r="O174" s="47"/>
      <c r="P174" s="47"/>
      <c r="Q174" s="47"/>
      <c r="R174" s="47"/>
      <c r="S174" s="136"/>
      <c r="T174" s="47">
        <v>0</v>
      </c>
      <c r="U174" s="81">
        <f t="shared" si="73"/>
        <v>2278.7339689221712</v>
      </c>
      <c r="V174" s="47">
        <f t="shared" si="60"/>
        <v>328.04273745632003</v>
      </c>
      <c r="W174" s="47">
        <v>0</v>
      </c>
      <c r="X174" s="47">
        <f t="shared" si="68"/>
        <v>720</v>
      </c>
      <c r="Y174" s="47">
        <f t="shared" si="61"/>
        <v>19.600000000000001</v>
      </c>
      <c r="Z174" s="47">
        <f t="shared" si="69"/>
        <v>42</v>
      </c>
      <c r="AA174" s="47">
        <f t="shared" si="62"/>
        <v>58</v>
      </c>
      <c r="AB174" s="47">
        <f t="shared" si="63"/>
        <v>38</v>
      </c>
      <c r="AC174" s="71">
        <f t="shared" si="74"/>
        <v>1205.64273745632</v>
      </c>
      <c r="AD174" s="118">
        <f t="shared" si="75"/>
        <v>10350.331082106492</v>
      </c>
    </row>
    <row r="175" spans="1:30" s="49" customFormat="1" ht="12.75" x14ac:dyDescent="0.2">
      <c r="A175" s="94">
        <v>170</v>
      </c>
      <c r="B175" s="36" t="s">
        <v>387</v>
      </c>
      <c r="C175" s="148">
        <v>10</v>
      </c>
      <c r="D175" s="57">
        <v>1954.7239466999999</v>
      </c>
      <c r="E175" s="79">
        <f t="shared" si="72"/>
        <v>19547.239466999999</v>
      </c>
      <c r="F175" s="80">
        <f t="shared" si="58"/>
        <v>1270.5705653549999</v>
      </c>
      <c r="G175" s="47"/>
      <c r="H175" s="47">
        <f t="shared" si="64"/>
        <v>2343.4968205436667</v>
      </c>
      <c r="I175" s="47">
        <f t="shared" si="65"/>
        <v>937.39872821746667</v>
      </c>
      <c r="J175" s="47">
        <f t="shared" si="59"/>
        <v>2117.6176089249998</v>
      </c>
      <c r="K175" s="47"/>
      <c r="L175" s="47">
        <f t="shared" si="66"/>
        <v>705.87253630833322</v>
      </c>
      <c r="M175" s="47">
        <f t="shared" si="67"/>
        <v>1058.8088044624999</v>
      </c>
      <c r="N175" s="80">
        <v>0</v>
      </c>
      <c r="O175" s="47"/>
      <c r="P175" s="47"/>
      <c r="Q175" s="47"/>
      <c r="R175" s="47">
        <f>E175*30%</f>
        <v>5864.1718400999998</v>
      </c>
      <c r="S175" s="136"/>
      <c r="T175" s="47">
        <v>0</v>
      </c>
      <c r="U175" s="81">
        <f t="shared" si="73"/>
        <v>14297.936903911965</v>
      </c>
      <c r="V175" s="47">
        <f t="shared" si="60"/>
        <v>2527.1656319800004</v>
      </c>
      <c r="W175" s="47">
        <v>0</v>
      </c>
      <c r="X175" s="47">
        <f t="shared" si="68"/>
        <v>3600</v>
      </c>
      <c r="Y175" s="47">
        <f t="shared" si="61"/>
        <v>98</v>
      </c>
      <c r="Z175" s="47">
        <f t="shared" si="69"/>
        <v>210</v>
      </c>
      <c r="AA175" s="47">
        <f t="shared" si="62"/>
        <v>290</v>
      </c>
      <c r="AB175" s="47">
        <f t="shared" si="63"/>
        <v>190</v>
      </c>
      <c r="AC175" s="71">
        <f t="shared" si="74"/>
        <v>6915.1656319800004</v>
      </c>
      <c r="AD175" s="118">
        <f t="shared" si="75"/>
        <v>40760.342002891965</v>
      </c>
    </row>
    <row r="176" spans="1:30" s="49" customFormat="1" ht="12.75" x14ac:dyDescent="0.2">
      <c r="A176" s="94">
        <v>171</v>
      </c>
      <c r="B176" s="36" t="s">
        <v>388</v>
      </c>
      <c r="C176" s="148">
        <v>4</v>
      </c>
      <c r="D176" s="57">
        <v>1954.7239466999999</v>
      </c>
      <c r="E176" s="79">
        <f t="shared" si="72"/>
        <v>7818.8957867999998</v>
      </c>
      <c r="F176" s="80">
        <f t="shared" si="58"/>
        <v>390.94478933999994</v>
      </c>
      <c r="G176" s="47"/>
      <c r="H176" s="47">
        <f t="shared" si="64"/>
        <v>721.07594478266662</v>
      </c>
      <c r="I176" s="47">
        <f t="shared" si="65"/>
        <v>288.43037791306665</v>
      </c>
      <c r="J176" s="47">
        <f t="shared" si="59"/>
        <v>651.57464889999994</v>
      </c>
      <c r="K176" s="47"/>
      <c r="L176" s="47">
        <f t="shared" si="66"/>
        <v>217.19154963333332</v>
      </c>
      <c r="M176" s="47">
        <f t="shared" si="67"/>
        <v>325.78732444999997</v>
      </c>
      <c r="N176" s="80">
        <v>0</v>
      </c>
      <c r="O176" s="47"/>
      <c r="P176" s="47"/>
      <c r="Q176" s="47"/>
      <c r="R176" s="47"/>
      <c r="S176" s="136"/>
      <c r="T176" s="47">
        <v>0</v>
      </c>
      <c r="U176" s="81">
        <f t="shared" si="73"/>
        <v>2595.0046350190664</v>
      </c>
      <c r="V176" s="47">
        <f t="shared" si="60"/>
        <v>1010.8662527920001</v>
      </c>
      <c r="W176" s="47">
        <v>0</v>
      </c>
      <c r="X176" s="47">
        <f t="shared" si="68"/>
        <v>1440</v>
      </c>
      <c r="Y176" s="47">
        <f t="shared" si="61"/>
        <v>39.200000000000003</v>
      </c>
      <c r="Z176" s="47">
        <f t="shared" si="69"/>
        <v>84</v>
      </c>
      <c r="AA176" s="47">
        <f t="shared" si="62"/>
        <v>116</v>
      </c>
      <c r="AB176" s="47">
        <f t="shared" si="63"/>
        <v>76</v>
      </c>
      <c r="AC176" s="71">
        <f t="shared" si="74"/>
        <v>2766.0662527919999</v>
      </c>
      <c r="AD176" s="118">
        <f t="shared" si="75"/>
        <v>13179.966674611065</v>
      </c>
    </row>
    <row r="177" spans="1:30" s="49" customFormat="1" ht="12.75" x14ac:dyDescent="0.2">
      <c r="A177" s="94">
        <v>172</v>
      </c>
      <c r="B177" s="36" t="s">
        <v>389</v>
      </c>
      <c r="C177" s="148">
        <v>4</v>
      </c>
      <c r="D177" s="57">
        <v>1604</v>
      </c>
      <c r="E177" s="79">
        <f t="shared" si="72"/>
        <v>6416</v>
      </c>
      <c r="F177" s="80">
        <f t="shared" si="58"/>
        <v>320.8</v>
      </c>
      <c r="G177" s="47"/>
      <c r="H177" s="47">
        <f t="shared" si="64"/>
        <v>591.69777777777779</v>
      </c>
      <c r="I177" s="47">
        <f t="shared" si="65"/>
        <v>236.67911111111113</v>
      </c>
      <c r="J177" s="47">
        <f t="shared" si="59"/>
        <v>534.66666666666663</v>
      </c>
      <c r="K177" s="47"/>
      <c r="L177" s="47">
        <f t="shared" si="66"/>
        <v>178.2222222222222</v>
      </c>
      <c r="M177" s="47">
        <f t="shared" si="67"/>
        <v>267.33333333333331</v>
      </c>
      <c r="N177" s="80">
        <v>0</v>
      </c>
      <c r="O177" s="47"/>
      <c r="P177" s="47"/>
      <c r="Q177" s="47"/>
      <c r="R177" s="47"/>
      <c r="S177" s="136"/>
      <c r="T177" s="47">
        <v>0</v>
      </c>
      <c r="U177" s="81">
        <f t="shared" si="73"/>
        <v>2129.3991111111113</v>
      </c>
      <c r="V177" s="47">
        <f t="shared" si="60"/>
        <v>1095.04</v>
      </c>
      <c r="W177" s="47">
        <v>0</v>
      </c>
      <c r="X177" s="47">
        <f t="shared" si="68"/>
        <v>1440</v>
      </c>
      <c r="Y177" s="47">
        <f t="shared" si="61"/>
        <v>39.200000000000003</v>
      </c>
      <c r="Z177" s="47">
        <f t="shared" si="69"/>
        <v>84</v>
      </c>
      <c r="AA177" s="47">
        <f t="shared" si="62"/>
        <v>116</v>
      </c>
      <c r="AB177" s="47">
        <f t="shared" si="63"/>
        <v>76</v>
      </c>
      <c r="AC177" s="71">
        <f t="shared" si="74"/>
        <v>2850.24</v>
      </c>
      <c r="AD177" s="118">
        <f t="shared" si="75"/>
        <v>11395.639111111112</v>
      </c>
    </row>
    <row r="178" spans="1:30" s="49" customFormat="1" ht="12.75" x14ac:dyDescent="0.2">
      <c r="A178" s="94">
        <v>173</v>
      </c>
      <c r="B178" s="36" t="s">
        <v>390</v>
      </c>
      <c r="C178" s="148">
        <v>3</v>
      </c>
      <c r="D178" s="57">
        <v>2216.5886211419997</v>
      </c>
      <c r="E178" s="79">
        <f t="shared" si="72"/>
        <v>6649.7658634259988</v>
      </c>
      <c r="F178" s="80">
        <f t="shared" si="58"/>
        <v>332.48829317129992</v>
      </c>
      <c r="G178" s="47"/>
      <c r="H178" s="47">
        <f t="shared" si="64"/>
        <v>613.2561851826199</v>
      </c>
      <c r="I178" s="47">
        <f t="shared" si="65"/>
        <v>245.30247407304796</v>
      </c>
      <c r="J178" s="47">
        <f t="shared" si="59"/>
        <v>554.14715528549993</v>
      </c>
      <c r="K178" s="47"/>
      <c r="L178" s="47">
        <f t="shared" si="66"/>
        <v>184.71571842849997</v>
      </c>
      <c r="M178" s="47">
        <f t="shared" si="67"/>
        <v>277.07357764274997</v>
      </c>
      <c r="N178" s="80">
        <v>0</v>
      </c>
      <c r="O178" s="47"/>
      <c r="P178" s="47"/>
      <c r="Q178" s="47"/>
      <c r="R178" s="47"/>
      <c r="S178" s="136"/>
      <c r="T178" s="47">
        <v>0</v>
      </c>
      <c r="U178" s="81">
        <f t="shared" si="73"/>
        <v>2206.9834037837177</v>
      </c>
      <c r="V178" s="47">
        <f t="shared" si="60"/>
        <v>711.01404819444008</v>
      </c>
      <c r="W178" s="47">
        <v>0</v>
      </c>
      <c r="X178" s="47">
        <f t="shared" si="68"/>
        <v>1080</v>
      </c>
      <c r="Y178" s="47">
        <f t="shared" si="61"/>
        <v>29.400000000000002</v>
      </c>
      <c r="Z178" s="47">
        <f t="shared" si="69"/>
        <v>63</v>
      </c>
      <c r="AA178" s="47">
        <f t="shared" si="62"/>
        <v>87</v>
      </c>
      <c r="AB178" s="47">
        <f t="shared" si="63"/>
        <v>57</v>
      </c>
      <c r="AC178" s="71">
        <f t="shared" si="74"/>
        <v>2027.4140481944401</v>
      </c>
      <c r="AD178" s="118">
        <f t="shared" si="75"/>
        <v>10884.163315404156</v>
      </c>
    </row>
    <row r="179" spans="1:30" s="49" customFormat="1" ht="12.75" x14ac:dyDescent="0.2">
      <c r="A179" s="94">
        <v>174</v>
      </c>
      <c r="B179" s="36" t="s">
        <v>578</v>
      </c>
      <c r="C179" s="148">
        <v>1</v>
      </c>
      <c r="D179" s="57">
        <v>6971.8487432299989</v>
      </c>
      <c r="E179" s="79">
        <f t="shared" si="72"/>
        <v>6971.8487432299989</v>
      </c>
      <c r="F179" s="80">
        <f t="shared" si="58"/>
        <v>348.59243716149996</v>
      </c>
      <c r="G179" s="47"/>
      <c r="H179" s="47">
        <f t="shared" si="64"/>
        <v>642.95938409787766</v>
      </c>
      <c r="I179" s="47">
        <f t="shared" si="65"/>
        <v>257.18375363915106</v>
      </c>
      <c r="J179" s="47">
        <f t="shared" si="59"/>
        <v>580.98739526916654</v>
      </c>
      <c r="K179" s="47"/>
      <c r="L179" s="47">
        <f t="shared" si="66"/>
        <v>193.66246508972219</v>
      </c>
      <c r="M179" s="47">
        <f t="shared" si="67"/>
        <v>290.49369763458327</v>
      </c>
      <c r="N179" s="80">
        <v>0</v>
      </c>
      <c r="O179" s="47"/>
      <c r="P179" s="47"/>
      <c r="Q179" s="47"/>
      <c r="R179" s="47"/>
      <c r="S179" s="136"/>
      <c r="T179" s="47">
        <v>0</v>
      </c>
      <c r="U179" s="81">
        <f t="shared" si="73"/>
        <v>2313.8791328920006</v>
      </c>
      <c r="V179" s="47"/>
      <c r="W179" s="47">
        <v>0</v>
      </c>
      <c r="X179" s="47">
        <f t="shared" si="68"/>
        <v>360</v>
      </c>
      <c r="Y179" s="47">
        <f t="shared" si="61"/>
        <v>9.8000000000000007</v>
      </c>
      <c r="Z179" s="47">
        <f t="shared" si="69"/>
        <v>21</v>
      </c>
      <c r="AA179" s="47">
        <f t="shared" si="62"/>
        <v>29</v>
      </c>
      <c r="AB179" s="47">
        <f t="shared" si="63"/>
        <v>19</v>
      </c>
      <c r="AC179" s="71">
        <f t="shared" si="74"/>
        <v>438.8</v>
      </c>
      <c r="AD179" s="118">
        <f t="shared" si="75"/>
        <v>9724.5278761219997</v>
      </c>
    </row>
    <row r="180" spans="1:30" s="49" customFormat="1" ht="12.75" x14ac:dyDescent="0.2">
      <c r="A180" s="94">
        <v>175</v>
      </c>
      <c r="B180" s="364" t="s">
        <v>391</v>
      </c>
      <c r="C180" s="148">
        <v>60</v>
      </c>
      <c r="D180" s="57">
        <v>2475.9907000000003</v>
      </c>
      <c r="E180" s="79">
        <f t="shared" si="72"/>
        <v>148559.44200000001</v>
      </c>
      <c r="F180" s="80">
        <f t="shared" si="58"/>
        <v>11295.4695734</v>
      </c>
      <c r="G180" s="47"/>
      <c r="H180" s="47">
        <f t="shared" si="64"/>
        <v>20833.866102048891</v>
      </c>
      <c r="I180" s="47">
        <f t="shared" si="65"/>
        <v>8333.5464408195567</v>
      </c>
      <c r="J180" s="47">
        <f t="shared" si="59"/>
        <v>18825.782622333336</v>
      </c>
      <c r="K180" s="47"/>
      <c r="L180" s="47">
        <f t="shared" si="66"/>
        <v>6275.2608741111117</v>
      </c>
      <c r="M180" s="47">
        <f t="shared" si="67"/>
        <v>9412.8913111666679</v>
      </c>
      <c r="N180" s="80">
        <v>0</v>
      </c>
      <c r="O180" s="47"/>
      <c r="P180" s="47">
        <f>(D180/200*36*2)*(C180/2)</f>
        <v>26740.699560000001</v>
      </c>
      <c r="Q180" s="47">
        <f>(D180/200*2*24)/20*4*C180/2</f>
        <v>3565.4266080000002</v>
      </c>
      <c r="R180" s="47">
        <f>E180*30%</f>
        <v>44567.832600000002</v>
      </c>
      <c r="S180" s="136">
        <f>(D180*0.1)*10</f>
        <v>2475.9907000000003</v>
      </c>
      <c r="T180" s="47">
        <v>0</v>
      </c>
      <c r="U180" s="81">
        <f t="shared" si="73"/>
        <v>152326.76639187956</v>
      </c>
      <c r="V180" s="47">
        <f t="shared" si="60"/>
        <v>13286.43348</v>
      </c>
      <c r="W180" s="47">
        <v>0</v>
      </c>
      <c r="X180" s="47">
        <f t="shared" si="68"/>
        <v>21600</v>
      </c>
      <c r="Y180" s="47">
        <f t="shared" si="61"/>
        <v>588</v>
      </c>
      <c r="Z180" s="47">
        <f t="shared" si="69"/>
        <v>1260</v>
      </c>
      <c r="AA180" s="47">
        <f t="shared" si="62"/>
        <v>1740</v>
      </c>
      <c r="AB180" s="47">
        <f t="shared" si="63"/>
        <v>1140</v>
      </c>
      <c r="AC180" s="71">
        <f t="shared" si="74"/>
        <v>39614.43348</v>
      </c>
      <c r="AD180" s="118">
        <f t="shared" si="75"/>
        <v>340500.64187187958</v>
      </c>
    </row>
    <row r="181" spans="1:30" s="49" customFormat="1" ht="12.75" x14ac:dyDescent="0.2">
      <c r="A181" s="94">
        <v>176</v>
      </c>
      <c r="B181" s="364" t="s">
        <v>391</v>
      </c>
      <c r="C181" s="148">
        <v>30</v>
      </c>
      <c r="D181" s="57">
        <v>2475.9907000000003</v>
      </c>
      <c r="E181" s="79">
        <f t="shared" si="72"/>
        <v>74279.721000000005</v>
      </c>
      <c r="F181" s="80">
        <f t="shared" si="58"/>
        <v>6141.4338268761812</v>
      </c>
      <c r="G181" s="47"/>
      <c r="H181" s="47">
        <f t="shared" si="64"/>
        <v>11327.533502904958</v>
      </c>
      <c r="I181" s="47">
        <f t="shared" si="65"/>
        <v>4531.0134011619839</v>
      </c>
      <c r="J181" s="47">
        <f t="shared" si="59"/>
        <v>10235.723044793636</v>
      </c>
      <c r="K181" s="47"/>
      <c r="L181" s="47">
        <f t="shared" si="66"/>
        <v>3411.9076815978788</v>
      </c>
      <c r="M181" s="47">
        <f t="shared" si="67"/>
        <v>5117.8615223968181</v>
      </c>
      <c r="N181" s="80">
        <f>(E181/220)*(137.13)*(20%)</f>
        <v>9259.9801279363655</v>
      </c>
      <c r="O181" s="47">
        <f>(N181/25)*5</f>
        <v>1851.9960255872732</v>
      </c>
      <c r="P181" s="47">
        <f>(D181/200*36*2)*(C181/2)</f>
        <v>13370.34978</v>
      </c>
      <c r="Q181" s="47">
        <f>(D181/200*2*24)/20*4*C181/2</f>
        <v>1782.7133040000001</v>
      </c>
      <c r="R181" s="47">
        <f>E181*30%</f>
        <v>22283.916300000001</v>
      </c>
      <c r="S181" s="136"/>
      <c r="T181" s="47">
        <v>0</v>
      </c>
      <c r="U181" s="81">
        <f t="shared" si="73"/>
        <v>89314.428517255088</v>
      </c>
      <c r="V181" s="47">
        <f t="shared" si="60"/>
        <v>6643.2167399999998</v>
      </c>
      <c r="W181" s="47">
        <v>0</v>
      </c>
      <c r="X181" s="47">
        <f t="shared" si="68"/>
        <v>10800</v>
      </c>
      <c r="Y181" s="47">
        <f t="shared" si="61"/>
        <v>294</v>
      </c>
      <c r="Z181" s="47">
        <f t="shared" si="69"/>
        <v>630</v>
      </c>
      <c r="AA181" s="47">
        <f t="shared" si="62"/>
        <v>870</v>
      </c>
      <c r="AB181" s="47">
        <f t="shared" si="63"/>
        <v>570</v>
      </c>
      <c r="AC181" s="71">
        <f t="shared" si="74"/>
        <v>19807.21674</v>
      </c>
      <c r="AD181" s="118">
        <f t="shared" si="75"/>
        <v>183401.36625725508</v>
      </c>
    </row>
    <row r="182" spans="1:30" s="49" customFormat="1" ht="12.75" x14ac:dyDescent="0.2">
      <c r="A182" s="94">
        <v>177</v>
      </c>
      <c r="B182" s="36" t="s">
        <v>399</v>
      </c>
      <c r="C182" s="148">
        <v>3</v>
      </c>
      <c r="D182" s="57">
        <v>4195.9728999999998</v>
      </c>
      <c r="E182" s="79">
        <f t="shared" si="72"/>
        <v>12587.918699999998</v>
      </c>
      <c r="F182" s="80">
        <f t="shared" si="58"/>
        <v>629.39593499999989</v>
      </c>
      <c r="G182" s="47"/>
      <c r="H182" s="47">
        <f t="shared" si="64"/>
        <v>1160.8858356666665</v>
      </c>
      <c r="I182" s="47">
        <f t="shared" si="65"/>
        <v>464.35433426666663</v>
      </c>
      <c r="J182" s="47">
        <f t="shared" si="59"/>
        <v>1048.9932249999999</v>
      </c>
      <c r="K182" s="47"/>
      <c r="L182" s="47">
        <f t="shared" si="66"/>
        <v>349.66440833333331</v>
      </c>
      <c r="M182" s="47">
        <f t="shared" si="67"/>
        <v>524.49661249999997</v>
      </c>
      <c r="N182" s="80">
        <v>0</v>
      </c>
      <c r="O182" s="47"/>
      <c r="P182" s="47"/>
      <c r="Q182" s="47"/>
      <c r="R182" s="47"/>
      <c r="S182" s="136"/>
      <c r="T182" s="47">
        <v>0</v>
      </c>
      <c r="U182" s="81">
        <f t="shared" si="73"/>
        <v>4177.7903507666661</v>
      </c>
      <c r="V182" s="47">
        <f t="shared" si="60"/>
        <v>354.7248780000001</v>
      </c>
      <c r="W182" s="47">
        <v>0</v>
      </c>
      <c r="X182" s="47">
        <f t="shared" si="68"/>
        <v>1080</v>
      </c>
      <c r="Y182" s="47">
        <f t="shared" si="61"/>
        <v>29.400000000000002</v>
      </c>
      <c r="Z182" s="47">
        <f t="shared" si="69"/>
        <v>63</v>
      </c>
      <c r="AA182" s="47">
        <f t="shared" si="62"/>
        <v>87</v>
      </c>
      <c r="AB182" s="47">
        <f t="shared" si="63"/>
        <v>57</v>
      </c>
      <c r="AC182" s="71">
        <f t="shared" si="74"/>
        <v>1671.1248780000001</v>
      </c>
      <c r="AD182" s="118">
        <f t="shared" si="75"/>
        <v>18436.833928766664</v>
      </c>
    </row>
    <row r="183" spans="1:30" s="49" customFormat="1" ht="12.75" x14ac:dyDescent="0.2">
      <c r="A183" s="94">
        <v>178</v>
      </c>
      <c r="B183" s="36" t="s">
        <v>393</v>
      </c>
      <c r="C183" s="148">
        <v>2</v>
      </c>
      <c r="D183" s="57">
        <v>5372.2025000000003</v>
      </c>
      <c r="E183" s="79">
        <f t="shared" si="72"/>
        <v>10744.405000000001</v>
      </c>
      <c r="F183" s="80">
        <f t="shared" si="58"/>
        <v>646.81318099999999</v>
      </c>
      <c r="G183" s="47"/>
      <c r="H183" s="47">
        <f t="shared" si="64"/>
        <v>1193.010978288889</v>
      </c>
      <c r="I183" s="47">
        <f t="shared" si="65"/>
        <v>477.2043913155556</v>
      </c>
      <c r="J183" s="47">
        <f t="shared" si="59"/>
        <v>1078.0219683333332</v>
      </c>
      <c r="K183" s="47"/>
      <c r="L183" s="47">
        <f t="shared" si="66"/>
        <v>359.34065611111106</v>
      </c>
      <c r="M183" s="47">
        <f t="shared" si="67"/>
        <v>539.01098416666662</v>
      </c>
      <c r="N183" s="80">
        <v>0</v>
      </c>
      <c r="O183" s="47"/>
      <c r="P183" s="47">
        <f>(D183/200*36*2)*(C183/2)</f>
        <v>1933.9929000000002</v>
      </c>
      <c r="Q183" s="47">
        <f>(D183/200*2*24)/20*4*C183/2</f>
        <v>257.86572000000001</v>
      </c>
      <c r="R183" s="47"/>
      <c r="S183" s="136"/>
      <c r="T183" s="47">
        <v>0</v>
      </c>
      <c r="U183" s="81">
        <f t="shared" si="73"/>
        <v>6485.2607792155559</v>
      </c>
      <c r="V183" s="47">
        <f t="shared" si="60"/>
        <v>95.335699999999974</v>
      </c>
      <c r="W183" s="47">
        <v>0</v>
      </c>
      <c r="X183" s="47">
        <f t="shared" si="68"/>
        <v>720</v>
      </c>
      <c r="Y183" s="47">
        <f t="shared" si="61"/>
        <v>19.600000000000001</v>
      </c>
      <c r="Z183" s="47">
        <f t="shared" si="69"/>
        <v>42</v>
      </c>
      <c r="AA183" s="47">
        <f t="shared" si="62"/>
        <v>58</v>
      </c>
      <c r="AB183" s="47">
        <f t="shared" si="63"/>
        <v>38</v>
      </c>
      <c r="AC183" s="71">
        <f t="shared" si="74"/>
        <v>972.9357</v>
      </c>
      <c r="AD183" s="118">
        <f t="shared" si="75"/>
        <v>18202.601479215555</v>
      </c>
    </row>
    <row r="184" spans="1:30" s="49" customFormat="1" ht="12.75" x14ac:dyDescent="0.2">
      <c r="A184" s="94">
        <v>179</v>
      </c>
      <c r="B184" s="36" t="s">
        <v>394</v>
      </c>
      <c r="C184" s="148">
        <v>4</v>
      </c>
      <c r="D184" s="57">
        <v>3760.5471000000002</v>
      </c>
      <c r="E184" s="79">
        <f t="shared" si="72"/>
        <v>15042.188400000001</v>
      </c>
      <c r="F184" s="80">
        <f t="shared" si="58"/>
        <v>905.53974168000002</v>
      </c>
      <c r="G184" s="47"/>
      <c r="H184" s="47">
        <f t="shared" si="64"/>
        <v>1670.2177457653336</v>
      </c>
      <c r="I184" s="47">
        <f t="shared" si="65"/>
        <v>668.0870983061335</v>
      </c>
      <c r="J184" s="47">
        <f t="shared" si="59"/>
        <v>1509.2329028000004</v>
      </c>
      <c r="K184" s="47"/>
      <c r="L184" s="47">
        <f t="shared" si="66"/>
        <v>503.07763426666679</v>
      </c>
      <c r="M184" s="47">
        <f t="shared" si="67"/>
        <v>754.61645140000019</v>
      </c>
      <c r="N184" s="80">
        <v>0</v>
      </c>
      <c r="O184" s="47"/>
      <c r="P184" s="47">
        <f>(D184/200*36*2)*(C184/2)</f>
        <v>2707.5939120000003</v>
      </c>
      <c r="Q184" s="47">
        <f>(D184/200*2*24)/20*4*C184/2</f>
        <v>361.01252160000001</v>
      </c>
      <c r="R184" s="47"/>
      <c r="S184" s="136"/>
      <c r="T184" s="47">
        <v>0</v>
      </c>
      <c r="U184" s="81">
        <f t="shared" si="73"/>
        <v>9079.3780078181353</v>
      </c>
      <c r="V184" s="47">
        <f t="shared" si="60"/>
        <v>577.46869600000002</v>
      </c>
      <c r="W184" s="47">
        <v>0</v>
      </c>
      <c r="X184" s="47">
        <f t="shared" si="68"/>
        <v>1440</v>
      </c>
      <c r="Y184" s="47">
        <f t="shared" si="61"/>
        <v>39.200000000000003</v>
      </c>
      <c r="Z184" s="47">
        <f t="shared" si="69"/>
        <v>84</v>
      </c>
      <c r="AA184" s="47">
        <f t="shared" si="62"/>
        <v>116</v>
      </c>
      <c r="AB184" s="47">
        <f t="shared" si="63"/>
        <v>76</v>
      </c>
      <c r="AC184" s="71">
        <f t="shared" si="74"/>
        <v>2332.6686959999997</v>
      </c>
      <c r="AD184" s="118">
        <f t="shared" si="75"/>
        <v>26454.235103818137</v>
      </c>
    </row>
    <row r="185" spans="1:30" s="49" customFormat="1" ht="12.75" x14ac:dyDescent="0.2">
      <c r="A185" s="94">
        <v>180</v>
      </c>
      <c r="B185" s="36" t="s">
        <v>409</v>
      </c>
      <c r="C185" s="148">
        <v>1</v>
      </c>
      <c r="D185" s="57">
        <v>3648.8180338399998</v>
      </c>
      <c r="E185" s="79">
        <f t="shared" si="72"/>
        <v>3648.8180338399998</v>
      </c>
      <c r="F185" s="80">
        <f t="shared" si="58"/>
        <v>182.44090169199998</v>
      </c>
      <c r="G185" s="47"/>
      <c r="H185" s="47">
        <f t="shared" si="64"/>
        <v>336.50210756524444</v>
      </c>
      <c r="I185" s="47">
        <f t="shared" si="65"/>
        <v>134.60084302609778</v>
      </c>
      <c r="J185" s="47">
        <f t="shared" si="59"/>
        <v>304.06816948666665</v>
      </c>
      <c r="K185" s="47"/>
      <c r="L185" s="47">
        <f t="shared" si="66"/>
        <v>101.35605649555555</v>
      </c>
      <c r="M185" s="47">
        <f t="shared" si="67"/>
        <v>152.03408474333332</v>
      </c>
      <c r="N185" s="80">
        <v>0</v>
      </c>
      <c r="O185" s="47"/>
      <c r="P185" s="47"/>
      <c r="Q185" s="47"/>
      <c r="R185" s="47"/>
      <c r="S185" s="136"/>
      <c r="T185" s="47">
        <v>0</v>
      </c>
      <c r="U185" s="81">
        <f t="shared" si="73"/>
        <v>1211.0021630088977</v>
      </c>
      <c r="V185" s="47">
        <f t="shared" si="60"/>
        <v>151.07091796960003</v>
      </c>
      <c r="W185" s="47">
        <v>0</v>
      </c>
      <c r="X185" s="47">
        <f t="shared" si="68"/>
        <v>360</v>
      </c>
      <c r="Y185" s="47">
        <f t="shared" si="61"/>
        <v>9.8000000000000007</v>
      </c>
      <c r="Z185" s="47">
        <f t="shared" si="69"/>
        <v>21</v>
      </c>
      <c r="AA185" s="47">
        <f t="shared" si="62"/>
        <v>29</v>
      </c>
      <c r="AB185" s="47">
        <f t="shared" si="63"/>
        <v>19</v>
      </c>
      <c r="AC185" s="71">
        <f t="shared" si="74"/>
        <v>589.87091796959999</v>
      </c>
      <c r="AD185" s="118">
        <f t="shared" si="75"/>
        <v>5449.6911148184972</v>
      </c>
    </row>
    <row r="186" spans="1:30" s="49" customFormat="1" ht="12.75" x14ac:dyDescent="0.2">
      <c r="A186" s="94">
        <v>181</v>
      </c>
      <c r="B186" s="36" t="s">
        <v>410</v>
      </c>
      <c r="C186" s="148">
        <v>1</v>
      </c>
      <c r="D186" s="57">
        <v>1954.7239466999999</v>
      </c>
      <c r="E186" s="79">
        <f t="shared" si="72"/>
        <v>1954.7239466999999</v>
      </c>
      <c r="F186" s="80">
        <f t="shared" si="58"/>
        <v>97.736197334999986</v>
      </c>
      <c r="G186" s="47"/>
      <c r="H186" s="47">
        <f t="shared" si="64"/>
        <v>180.26898619566666</v>
      </c>
      <c r="I186" s="47">
        <f t="shared" si="65"/>
        <v>72.107594478266662</v>
      </c>
      <c r="J186" s="47">
        <f t="shared" si="59"/>
        <v>162.89366222499999</v>
      </c>
      <c r="K186" s="47"/>
      <c r="L186" s="47">
        <f t="shared" si="66"/>
        <v>54.297887408333331</v>
      </c>
      <c r="M186" s="47">
        <f t="shared" si="67"/>
        <v>81.446831112499993</v>
      </c>
      <c r="N186" s="80">
        <v>0</v>
      </c>
      <c r="O186" s="47"/>
      <c r="P186" s="47"/>
      <c r="Q186" s="47"/>
      <c r="R186" s="47"/>
      <c r="S186" s="136"/>
      <c r="T186" s="47">
        <v>0</v>
      </c>
      <c r="U186" s="81">
        <f t="shared" si="73"/>
        <v>648.75115875476661</v>
      </c>
      <c r="V186" s="47">
        <f t="shared" si="60"/>
        <v>252.71656319800002</v>
      </c>
      <c r="W186" s="47">
        <v>0</v>
      </c>
      <c r="X186" s="47">
        <f t="shared" si="68"/>
        <v>360</v>
      </c>
      <c r="Y186" s="47">
        <f t="shared" si="61"/>
        <v>9.8000000000000007</v>
      </c>
      <c r="Z186" s="47">
        <f t="shared" si="69"/>
        <v>21</v>
      </c>
      <c r="AA186" s="47">
        <f t="shared" si="62"/>
        <v>29</v>
      </c>
      <c r="AB186" s="47">
        <f t="shared" si="63"/>
        <v>19</v>
      </c>
      <c r="AC186" s="71">
        <f t="shared" si="74"/>
        <v>691.51656319799997</v>
      </c>
      <c r="AD186" s="118">
        <f t="shared" si="75"/>
        <v>3294.9916686527663</v>
      </c>
    </row>
    <row r="187" spans="1:30" s="49" customFormat="1" ht="12.75" x14ac:dyDescent="0.2">
      <c r="A187" s="94">
        <v>182</v>
      </c>
      <c r="B187" s="36" t="s">
        <v>395</v>
      </c>
      <c r="C187" s="148">
        <v>5</v>
      </c>
      <c r="D187" s="57">
        <v>1759.2515520300001</v>
      </c>
      <c r="E187" s="79">
        <f t="shared" si="72"/>
        <v>8796.2577601499997</v>
      </c>
      <c r="F187" s="80">
        <f t="shared" si="58"/>
        <v>595.32912588735928</v>
      </c>
      <c r="G187" s="47"/>
      <c r="H187" s="47">
        <f t="shared" si="64"/>
        <v>1098.0514988589073</v>
      </c>
      <c r="I187" s="47">
        <f t="shared" si="65"/>
        <v>439.22059954356291</v>
      </c>
      <c r="J187" s="47">
        <f t="shared" si="59"/>
        <v>992.21520981226547</v>
      </c>
      <c r="K187" s="47"/>
      <c r="L187" s="47">
        <f t="shared" si="66"/>
        <v>330.73840327075516</v>
      </c>
      <c r="M187" s="47">
        <f t="shared" si="67"/>
        <v>496.10760490613274</v>
      </c>
      <c r="N187" s="80">
        <f>(E187/220)*(137.13)*(20%)</f>
        <v>1096.573478772154</v>
      </c>
      <c r="O187" s="47">
        <f>(N187/25)*5</f>
        <v>219.31469575443077</v>
      </c>
      <c r="P187" s="47">
        <f>(D187/200*36*2)*(C187/2)</f>
        <v>1583.3263968270001</v>
      </c>
      <c r="Q187" s="47">
        <f>(D187/200*2*24)/20*4*C187/2</f>
        <v>211.11018624360003</v>
      </c>
      <c r="R187" s="47"/>
      <c r="S187" s="136"/>
      <c r="T187" s="47">
        <v>0</v>
      </c>
      <c r="U187" s="81">
        <f t="shared" si="73"/>
        <v>7061.9871998761673</v>
      </c>
      <c r="V187" s="47">
        <f t="shared" si="60"/>
        <v>1322.2245343909999</v>
      </c>
      <c r="W187" s="47">
        <v>0</v>
      </c>
      <c r="X187" s="47">
        <f t="shared" si="68"/>
        <v>1800</v>
      </c>
      <c r="Y187" s="47">
        <f t="shared" si="61"/>
        <v>49</v>
      </c>
      <c r="Z187" s="47">
        <f t="shared" si="69"/>
        <v>105</v>
      </c>
      <c r="AA187" s="47">
        <f t="shared" si="62"/>
        <v>145</v>
      </c>
      <c r="AB187" s="47">
        <f t="shared" si="63"/>
        <v>95</v>
      </c>
      <c r="AC187" s="71">
        <f t="shared" si="74"/>
        <v>3516.2245343909999</v>
      </c>
      <c r="AD187" s="118">
        <f t="shared" si="75"/>
        <v>19374.469494417168</v>
      </c>
    </row>
    <row r="188" spans="1:30" s="49" customFormat="1" ht="22.5" x14ac:dyDescent="0.2">
      <c r="A188" s="94">
        <v>183</v>
      </c>
      <c r="B188" s="36" t="s">
        <v>424</v>
      </c>
      <c r="C188" s="148">
        <v>1</v>
      </c>
      <c r="D188" s="57">
        <v>8626.8483514359996</v>
      </c>
      <c r="E188" s="79">
        <f t="shared" si="72"/>
        <v>8626.8483514359996</v>
      </c>
      <c r="F188" s="80">
        <f t="shared" si="58"/>
        <v>463.69309888968496</v>
      </c>
      <c r="G188" s="47"/>
      <c r="H188" s="47">
        <f>(E188+J188+L188+K188+M188+N188+O188+P188+Q188+R188+S188+T188)*8%</f>
        <v>853.09944808644889</v>
      </c>
      <c r="I188" s="47">
        <f>H188*40%</f>
        <v>341.2397792345796</v>
      </c>
      <c r="J188" s="47">
        <f t="shared" si="59"/>
        <v>718.9040292863333</v>
      </c>
      <c r="K188" s="47">
        <f>(E188+N188+O188+P188+Q188+R188+S188+T188)/12</f>
        <v>718.9040292863333</v>
      </c>
      <c r="L188" s="47">
        <f>J188/3</f>
        <v>239.63467642877777</v>
      </c>
      <c r="M188" s="47">
        <f>(E188+N188+O188+P188+Q188+R188+S188+T188)/12/2</f>
        <v>359.45201464316665</v>
      </c>
      <c r="N188" s="80">
        <v>0</v>
      </c>
      <c r="O188" s="47"/>
      <c r="P188" s="47"/>
      <c r="Q188" s="47"/>
      <c r="R188" s="47"/>
      <c r="S188" s="136"/>
      <c r="T188" s="47">
        <v>0</v>
      </c>
      <c r="U188" s="81">
        <f t="shared" si="73"/>
        <v>3694.9270758553248</v>
      </c>
      <c r="V188" s="47"/>
      <c r="W188" s="47">
        <v>0</v>
      </c>
      <c r="X188" s="47">
        <f t="shared" si="68"/>
        <v>360</v>
      </c>
      <c r="Y188" s="47">
        <f t="shared" si="61"/>
        <v>9.8000000000000007</v>
      </c>
      <c r="Z188" s="47">
        <f t="shared" si="69"/>
        <v>21</v>
      </c>
      <c r="AA188" s="47">
        <f t="shared" si="62"/>
        <v>29</v>
      </c>
      <c r="AB188" s="47">
        <f t="shared" si="63"/>
        <v>19</v>
      </c>
      <c r="AC188" s="71">
        <f t="shared" si="74"/>
        <v>438.8</v>
      </c>
      <c r="AD188" s="118">
        <f t="shared" si="75"/>
        <v>12760.575427291324</v>
      </c>
    </row>
    <row r="189" spans="1:30" s="49" customFormat="1" ht="22.5" x14ac:dyDescent="0.2">
      <c r="A189" s="94">
        <v>184</v>
      </c>
      <c r="B189" s="36" t="s">
        <v>580</v>
      </c>
      <c r="C189" s="148">
        <v>1</v>
      </c>
      <c r="D189" s="57">
        <v>6971.8487432299989</v>
      </c>
      <c r="E189" s="79">
        <f t="shared" si="72"/>
        <v>6971.8487432299989</v>
      </c>
      <c r="F189" s="80">
        <f t="shared" si="58"/>
        <v>348.59243716149996</v>
      </c>
      <c r="G189" s="47"/>
      <c r="H189" s="47">
        <f t="shared" si="64"/>
        <v>642.95938409787766</v>
      </c>
      <c r="I189" s="47">
        <f t="shared" si="65"/>
        <v>257.18375363915106</v>
      </c>
      <c r="J189" s="47">
        <f t="shared" si="59"/>
        <v>580.98739526916654</v>
      </c>
      <c r="K189" s="47"/>
      <c r="L189" s="47">
        <f t="shared" si="66"/>
        <v>193.66246508972219</v>
      </c>
      <c r="M189" s="47">
        <f t="shared" si="67"/>
        <v>290.49369763458327</v>
      </c>
      <c r="N189" s="80">
        <v>0</v>
      </c>
      <c r="O189" s="47"/>
      <c r="P189" s="47"/>
      <c r="Q189" s="47"/>
      <c r="R189" s="47"/>
      <c r="S189" s="136"/>
      <c r="T189" s="47">
        <v>0</v>
      </c>
      <c r="U189" s="81">
        <f t="shared" si="73"/>
        <v>2313.8791328920006</v>
      </c>
      <c r="V189" s="47"/>
      <c r="W189" s="47">
        <v>0</v>
      </c>
      <c r="X189" s="47">
        <f t="shared" si="68"/>
        <v>360</v>
      </c>
      <c r="Y189" s="47">
        <f t="shared" si="61"/>
        <v>9.8000000000000007</v>
      </c>
      <c r="Z189" s="47">
        <f t="shared" si="69"/>
        <v>21</v>
      </c>
      <c r="AA189" s="47">
        <f t="shared" si="62"/>
        <v>29</v>
      </c>
      <c r="AB189" s="47">
        <f t="shared" si="63"/>
        <v>19</v>
      </c>
      <c r="AC189" s="71">
        <f t="shared" si="74"/>
        <v>438.8</v>
      </c>
      <c r="AD189" s="118">
        <f t="shared" si="75"/>
        <v>9724.5278761219997</v>
      </c>
    </row>
    <row r="190" spans="1:30" s="49" customFormat="1" ht="12.75" x14ac:dyDescent="0.2">
      <c r="A190" s="94">
        <v>185</v>
      </c>
      <c r="B190" s="36" t="s">
        <v>425</v>
      </c>
      <c r="C190" s="148">
        <v>1</v>
      </c>
      <c r="D190" s="57">
        <v>6971.8487432299989</v>
      </c>
      <c r="E190" s="79">
        <f t="shared" si="72"/>
        <v>6971.8487432299989</v>
      </c>
      <c r="F190" s="80">
        <f t="shared" si="58"/>
        <v>348.59243716149996</v>
      </c>
      <c r="G190" s="47"/>
      <c r="H190" s="47">
        <f t="shared" si="64"/>
        <v>642.95938409787766</v>
      </c>
      <c r="I190" s="47">
        <f t="shared" si="65"/>
        <v>257.18375363915106</v>
      </c>
      <c r="J190" s="47">
        <f t="shared" si="59"/>
        <v>580.98739526916654</v>
      </c>
      <c r="K190" s="47"/>
      <c r="L190" s="47">
        <f t="shared" si="66"/>
        <v>193.66246508972219</v>
      </c>
      <c r="M190" s="47">
        <f t="shared" si="67"/>
        <v>290.49369763458327</v>
      </c>
      <c r="N190" s="80">
        <v>0</v>
      </c>
      <c r="O190" s="47"/>
      <c r="P190" s="47"/>
      <c r="Q190" s="47"/>
      <c r="R190" s="47"/>
      <c r="S190" s="136"/>
      <c r="T190" s="47">
        <v>0</v>
      </c>
      <c r="U190" s="81">
        <f t="shared" si="73"/>
        <v>2313.8791328920006</v>
      </c>
      <c r="V190" s="47"/>
      <c r="W190" s="47">
        <v>0</v>
      </c>
      <c r="X190" s="47">
        <f t="shared" si="68"/>
        <v>360</v>
      </c>
      <c r="Y190" s="47">
        <f t="shared" si="61"/>
        <v>9.8000000000000007</v>
      </c>
      <c r="Z190" s="47">
        <f t="shared" si="69"/>
        <v>21</v>
      </c>
      <c r="AA190" s="47">
        <f t="shared" si="62"/>
        <v>29</v>
      </c>
      <c r="AB190" s="47">
        <f t="shared" si="63"/>
        <v>19</v>
      </c>
      <c r="AC190" s="71">
        <f t="shared" si="74"/>
        <v>438.8</v>
      </c>
      <c r="AD190" s="118">
        <f t="shared" si="75"/>
        <v>9724.5278761219997</v>
      </c>
    </row>
    <row r="191" spans="1:30" s="49" customFormat="1" ht="12.75" x14ac:dyDescent="0.2">
      <c r="A191" s="94">
        <v>186</v>
      </c>
      <c r="B191" s="36" t="s">
        <v>381</v>
      </c>
      <c r="C191" s="148">
        <v>2</v>
      </c>
      <c r="D191" s="57">
        <v>3432.9771878639999</v>
      </c>
      <c r="E191" s="79">
        <f t="shared" si="72"/>
        <v>6865.9543757279998</v>
      </c>
      <c r="F191" s="80">
        <f t="shared" si="58"/>
        <v>343.29771878640003</v>
      </c>
      <c r="G191" s="47"/>
      <c r="H191" s="47">
        <f t="shared" si="64"/>
        <v>633.19357020602672</v>
      </c>
      <c r="I191" s="47">
        <f t="shared" si="65"/>
        <v>253.27742808241069</v>
      </c>
      <c r="J191" s="47">
        <f t="shared" si="59"/>
        <v>572.16286464400002</v>
      </c>
      <c r="K191" s="47"/>
      <c r="L191" s="47">
        <f t="shared" si="66"/>
        <v>190.72095488133334</v>
      </c>
      <c r="M191" s="47">
        <f t="shared" si="67"/>
        <v>286.08143232200001</v>
      </c>
      <c r="N191" s="80">
        <v>0</v>
      </c>
      <c r="O191" s="47"/>
      <c r="P191" s="47"/>
      <c r="Q191" s="47"/>
      <c r="R191" s="47"/>
      <c r="S191" s="136"/>
      <c r="T191" s="47">
        <v>0</v>
      </c>
      <c r="U191" s="81">
        <f t="shared" si="73"/>
        <v>2278.7339689221712</v>
      </c>
      <c r="V191" s="47">
        <f t="shared" si="60"/>
        <v>328.04273745632003</v>
      </c>
      <c r="W191" s="47">
        <v>0</v>
      </c>
      <c r="X191" s="47">
        <f t="shared" si="68"/>
        <v>720</v>
      </c>
      <c r="Y191" s="47">
        <f t="shared" si="61"/>
        <v>19.600000000000001</v>
      </c>
      <c r="Z191" s="47">
        <f t="shared" si="69"/>
        <v>42</v>
      </c>
      <c r="AA191" s="47">
        <f t="shared" si="62"/>
        <v>58</v>
      </c>
      <c r="AB191" s="47">
        <f t="shared" si="63"/>
        <v>38</v>
      </c>
      <c r="AC191" s="71">
        <f t="shared" si="74"/>
        <v>1205.64273745632</v>
      </c>
      <c r="AD191" s="118">
        <f t="shared" si="75"/>
        <v>10350.331082106492</v>
      </c>
    </row>
    <row r="192" spans="1:30" s="49" customFormat="1" ht="12.75" x14ac:dyDescent="0.2">
      <c r="A192" s="94">
        <v>187</v>
      </c>
      <c r="B192" s="36" t="s">
        <v>382</v>
      </c>
      <c r="C192" s="148">
        <v>2</v>
      </c>
      <c r="D192" s="57">
        <v>3432.9771878639999</v>
      </c>
      <c r="E192" s="79">
        <f t="shared" si="72"/>
        <v>6865.9543757279998</v>
      </c>
      <c r="F192" s="80">
        <f t="shared" si="58"/>
        <v>343.29771878640003</v>
      </c>
      <c r="G192" s="47"/>
      <c r="H192" s="47">
        <f t="shared" si="64"/>
        <v>633.19357020602672</v>
      </c>
      <c r="I192" s="47">
        <f t="shared" si="65"/>
        <v>253.27742808241069</v>
      </c>
      <c r="J192" s="47">
        <f t="shared" si="59"/>
        <v>572.16286464400002</v>
      </c>
      <c r="K192" s="47"/>
      <c r="L192" s="47">
        <f t="shared" si="66"/>
        <v>190.72095488133334</v>
      </c>
      <c r="M192" s="47">
        <f t="shared" si="67"/>
        <v>286.08143232200001</v>
      </c>
      <c r="N192" s="80">
        <v>0</v>
      </c>
      <c r="O192" s="47"/>
      <c r="P192" s="47"/>
      <c r="Q192" s="47"/>
      <c r="R192" s="47"/>
      <c r="S192" s="136"/>
      <c r="T192" s="47">
        <v>0</v>
      </c>
      <c r="U192" s="81">
        <f t="shared" si="73"/>
        <v>2278.7339689221712</v>
      </c>
      <c r="V192" s="47">
        <f t="shared" si="60"/>
        <v>328.04273745632003</v>
      </c>
      <c r="W192" s="47">
        <v>0</v>
      </c>
      <c r="X192" s="47">
        <f t="shared" si="68"/>
        <v>720</v>
      </c>
      <c r="Y192" s="47">
        <f t="shared" si="61"/>
        <v>19.600000000000001</v>
      </c>
      <c r="Z192" s="47">
        <f t="shared" si="69"/>
        <v>42</v>
      </c>
      <c r="AA192" s="47">
        <f t="shared" si="62"/>
        <v>58</v>
      </c>
      <c r="AB192" s="47">
        <f t="shared" si="63"/>
        <v>38</v>
      </c>
      <c r="AC192" s="71">
        <f t="shared" si="74"/>
        <v>1205.64273745632</v>
      </c>
      <c r="AD192" s="118">
        <f t="shared" si="75"/>
        <v>10350.331082106492</v>
      </c>
    </row>
    <row r="193" spans="1:30" s="49" customFormat="1" ht="12.75" x14ac:dyDescent="0.2">
      <c r="A193" s="94">
        <v>188</v>
      </c>
      <c r="B193" s="36" t="s">
        <v>383</v>
      </c>
      <c r="C193" s="148">
        <v>1</v>
      </c>
      <c r="D193" s="57">
        <v>3432.9771878639999</v>
      </c>
      <c r="E193" s="79">
        <f t="shared" si="72"/>
        <v>3432.9771878639999</v>
      </c>
      <c r="F193" s="80">
        <f t="shared" si="58"/>
        <v>171.64885939320001</v>
      </c>
      <c r="G193" s="47"/>
      <c r="H193" s="47">
        <f t="shared" si="64"/>
        <v>316.59678510301336</v>
      </c>
      <c r="I193" s="47">
        <f t="shared" si="65"/>
        <v>126.63871404120535</v>
      </c>
      <c r="J193" s="47">
        <f t="shared" si="59"/>
        <v>286.08143232200001</v>
      </c>
      <c r="K193" s="47"/>
      <c r="L193" s="47">
        <f t="shared" si="66"/>
        <v>95.360477440666671</v>
      </c>
      <c r="M193" s="47">
        <f t="shared" si="67"/>
        <v>143.04071616100001</v>
      </c>
      <c r="N193" s="80">
        <v>0</v>
      </c>
      <c r="O193" s="47"/>
      <c r="P193" s="47"/>
      <c r="Q193" s="47"/>
      <c r="R193" s="47"/>
      <c r="S193" s="136"/>
      <c r="T193" s="47">
        <v>0</v>
      </c>
      <c r="U193" s="81">
        <f t="shared" si="73"/>
        <v>1139.3669844610856</v>
      </c>
      <c r="V193" s="47">
        <f t="shared" si="60"/>
        <v>164.02136872816001</v>
      </c>
      <c r="W193" s="47">
        <v>0</v>
      </c>
      <c r="X193" s="47">
        <f t="shared" si="68"/>
        <v>360</v>
      </c>
      <c r="Y193" s="47">
        <f t="shared" si="61"/>
        <v>9.8000000000000007</v>
      </c>
      <c r="Z193" s="47">
        <f t="shared" si="69"/>
        <v>21</v>
      </c>
      <c r="AA193" s="47">
        <f t="shared" si="62"/>
        <v>29</v>
      </c>
      <c r="AB193" s="47">
        <f t="shared" si="63"/>
        <v>19</v>
      </c>
      <c r="AC193" s="71">
        <f t="shared" si="74"/>
        <v>602.82136872816</v>
      </c>
      <c r="AD193" s="118">
        <f t="shared" si="75"/>
        <v>5175.1655410532458</v>
      </c>
    </row>
    <row r="194" spans="1:30" s="49" customFormat="1" ht="12.75" x14ac:dyDescent="0.2">
      <c r="A194" s="94">
        <v>189</v>
      </c>
      <c r="B194" s="36" t="s">
        <v>384</v>
      </c>
      <c r="C194" s="148">
        <v>2</v>
      </c>
      <c r="D194" s="57">
        <v>3432.9771878639999</v>
      </c>
      <c r="E194" s="79">
        <f t="shared" si="72"/>
        <v>6865.9543757279998</v>
      </c>
      <c r="F194" s="80">
        <f t="shared" si="58"/>
        <v>343.29771878640003</v>
      </c>
      <c r="G194" s="47"/>
      <c r="H194" s="47">
        <f t="shared" si="64"/>
        <v>633.19357020602672</v>
      </c>
      <c r="I194" s="47">
        <f t="shared" si="65"/>
        <v>253.27742808241069</v>
      </c>
      <c r="J194" s="47">
        <f t="shared" si="59"/>
        <v>572.16286464400002</v>
      </c>
      <c r="K194" s="47"/>
      <c r="L194" s="47">
        <f t="shared" si="66"/>
        <v>190.72095488133334</v>
      </c>
      <c r="M194" s="47">
        <f t="shared" si="67"/>
        <v>286.08143232200001</v>
      </c>
      <c r="N194" s="80">
        <v>0</v>
      </c>
      <c r="O194" s="47"/>
      <c r="P194" s="47"/>
      <c r="Q194" s="47"/>
      <c r="R194" s="47"/>
      <c r="S194" s="136"/>
      <c r="T194" s="47">
        <v>0</v>
      </c>
      <c r="U194" s="81">
        <f t="shared" si="73"/>
        <v>2278.7339689221712</v>
      </c>
      <c r="V194" s="47">
        <f t="shared" si="60"/>
        <v>328.04273745632003</v>
      </c>
      <c r="W194" s="47">
        <v>0</v>
      </c>
      <c r="X194" s="47">
        <f t="shared" si="68"/>
        <v>720</v>
      </c>
      <c r="Y194" s="47">
        <f t="shared" si="61"/>
        <v>19.600000000000001</v>
      </c>
      <c r="Z194" s="47">
        <f t="shared" si="69"/>
        <v>42</v>
      </c>
      <c r="AA194" s="47">
        <f t="shared" si="62"/>
        <v>58</v>
      </c>
      <c r="AB194" s="47">
        <f t="shared" si="63"/>
        <v>38</v>
      </c>
      <c r="AC194" s="71">
        <f t="shared" si="74"/>
        <v>1205.64273745632</v>
      </c>
      <c r="AD194" s="118">
        <f t="shared" si="75"/>
        <v>10350.331082106492</v>
      </c>
    </row>
    <row r="195" spans="1:30" s="49" customFormat="1" ht="12.75" x14ac:dyDescent="0.2">
      <c r="A195" s="94">
        <v>190</v>
      </c>
      <c r="B195" s="36" t="s">
        <v>385</v>
      </c>
      <c r="C195" s="148">
        <v>2</v>
      </c>
      <c r="D195" s="57">
        <v>3432.9771878639999</v>
      </c>
      <c r="E195" s="79">
        <f t="shared" si="72"/>
        <v>6865.9543757279998</v>
      </c>
      <c r="F195" s="80">
        <f t="shared" si="58"/>
        <v>343.29771878640003</v>
      </c>
      <c r="G195" s="47"/>
      <c r="H195" s="47">
        <f t="shared" si="64"/>
        <v>633.19357020602672</v>
      </c>
      <c r="I195" s="47">
        <f t="shared" si="65"/>
        <v>253.27742808241069</v>
      </c>
      <c r="J195" s="47">
        <f t="shared" si="59"/>
        <v>572.16286464400002</v>
      </c>
      <c r="K195" s="47"/>
      <c r="L195" s="47">
        <f t="shared" si="66"/>
        <v>190.72095488133334</v>
      </c>
      <c r="M195" s="47">
        <f t="shared" si="67"/>
        <v>286.08143232200001</v>
      </c>
      <c r="N195" s="80">
        <v>0</v>
      </c>
      <c r="O195" s="47"/>
      <c r="P195" s="47"/>
      <c r="Q195" s="47"/>
      <c r="R195" s="47"/>
      <c r="S195" s="136"/>
      <c r="T195" s="47">
        <v>0</v>
      </c>
      <c r="U195" s="81">
        <f t="shared" si="73"/>
        <v>2278.7339689221712</v>
      </c>
      <c r="V195" s="47">
        <f t="shared" si="60"/>
        <v>328.04273745632003</v>
      </c>
      <c r="W195" s="47">
        <v>0</v>
      </c>
      <c r="X195" s="47">
        <f t="shared" si="68"/>
        <v>720</v>
      </c>
      <c r="Y195" s="47">
        <f t="shared" si="61"/>
        <v>19.600000000000001</v>
      </c>
      <c r="Z195" s="47">
        <f t="shared" si="69"/>
        <v>42</v>
      </c>
      <c r="AA195" s="47">
        <f t="shared" si="62"/>
        <v>58</v>
      </c>
      <c r="AB195" s="47">
        <f t="shared" si="63"/>
        <v>38</v>
      </c>
      <c r="AC195" s="71">
        <f t="shared" si="74"/>
        <v>1205.64273745632</v>
      </c>
      <c r="AD195" s="118">
        <f t="shared" si="75"/>
        <v>10350.331082106492</v>
      </c>
    </row>
    <row r="196" spans="1:30" s="49" customFormat="1" ht="12.75" x14ac:dyDescent="0.2">
      <c r="A196" s="94">
        <v>191</v>
      </c>
      <c r="B196" s="36" t="s">
        <v>386</v>
      </c>
      <c r="C196" s="148">
        <v>1</v>
      </c>
      <c r="D196" s="57">
        <v>3432.9771878639999</v>
      </c>
      <c r="E196" s="79">
        <f t="shared" si="72"/>
        <v>3432.9771878639999</v>
      </c>
      <c r="F196" s="80">
        <f t="shared" si="58"/>
        <v>171.64885939320001</v>
      </c>
      <c r="G196" s="47"/>
      <c r="H196" s="47">
        <f t="shared" si="64"/>
        <v>316.59678510301336</v>
      </c>
      <c r="I196" s="47">
        <f t="shared" si="65"/>
        <v>126.63871404120535</v>
      </c>
      <c r="J196" s="47">
        <f t="shared" si="59"/>
        <v>286.08143232200001</v>
      </c>
      <c r="K196" s="47"/>
      <c r="L196" s="47">
        <f t="shared" si="66"/>
        <v>95.360477440666671</v>
      </c>
      <c r="M196" s="47">
        <f t="shared" si="67"/>
        <v>143.04071616100001</v>
      </c>
      <c r="N196" s="80">
        <v>0</v>
      </c>
      <c r="O196" s="47"/>
      <c r="P196" s="47"/>
      <c r="Q196" s="47"/>
      <c r="R196" s="47"/>
      <c r="S196" s="136"/>
      <c r="T196" s="47">
        <v>0</v>
      </c>
      <c r="U196" s="81">
        <f t="shared" si="73"/>
        <v>1139.3669844610856</v>
      </c>
      <c r="V196" s="47">
        <f t="shared" si="60"/>
        <v>164.02136872816001</v>
      </c>
      <c r="W196" s="47">
        <v>0</v>
      </c>
      <c r="X196" s="47">
        <f t="shared" si="68"/>
        <v>360</v>
      </c>
      <c r="Y196" s="47">
        <f t="shared" si="61"/>
        <v>9.8000000000000007</v>
      </c>
      <c r="Z196" s="47">
        <f t="shared" si="69"/>
        <v>21</v>
      </c>
      <c r="AA196" s="47">
        <f t="shared" si="62"/>
        <v>29</v>
      </c>
      <c r="AB196" s="47">
        <f t="shared" si="63"/>
        <v>19</v>
      </c>
      <c r="AC196" s="71">
        <f t="shared" si="74"/>
        <v>602.82136872816</v>
      </c>
      <c r="AD196" s="118">
        <f t="shared" si="75"/>
        <v>5175.1655410532458</v>
      </c>
    </row>
    <row r="197" spans="1:30" s="49" customFormat="1" ht="12.75" x14ac:dyDescent="0.2">
      <c r="A197" s="94">
        <v>192</v>
      </c>
      <c r="B197" s="36" t="s">
        <v>387</v>
      </c>
      <c r="C197" s="148">
        <v>6</v>
      </c>
      <c r="D197" s="57">
        <v>1954.7239466999999</v>
      </c>
      <c r="E197" s="79">
        <f t="shared" si="72"/>
        <v>11728.3436802</v>
      </c>
      <c r="F197" s="80">
        <f t="shared" si="58"/>
        <v>762.34233921299995</v>
      </c>
      <c r="G197" s="47"/>
      <c r="H197" s="47">
        <f t="shared" si="64"/>
        <v>1406.0980923262</v>
      </c>
      <c r="I197" s="47">
        <f t="shared" si="65"/>
        <v>562.43923693047998</v>
      </c>
      <c r="J197" s="47">
        <f t="shared" si="59"/>
        <v>1270.5705653550001</v>
      </c>
      <c r="K197" s="47"/>
      <c r="L197" s="47">
        <f t="shared" si="66"/>
        <v>423.52352178500001</v>
      </c>
      <c r="M197" s="47">
        <f t="shared" si="67"/>
        <v>635.28528267750005</v>
      </c>
      <c r="N197" s="80">
        <v>0</v>
      </c>
      <c r="O197" s="47"/>
      <c r="P197" s="47"/>
      <c r="Q197" s="47"/>
      <c r="R197" s="47">
        <f>E197*30%</f>
        <v>3518.5031040599997</v>
      </c>
      <c r="S197" s="136"/>
      <c r="T197" s="47">
        <v>0</v>
      </c>
      <c r="U197" s="81">
        <f t="shared" si="73"/>
        <v>8578.7621423471792</v>
      </c>
      <c r="V197" s="47">
        <f t="shared" si="60"/>
        <v>1516.2993791880001</v>
      </c>
      <c r="W197" s="47">
        <v>0</v>
      </c>
      <c r="X197" s="47">
        <f t="shared" si="68"/>
        <v>2160</v>
      </c>
      <c r="Y197" s="47">
        <f t="shared" si="61"/>
        <v>58.800000000000004</v>
      </c>
      <c r="Z197" s="47">
        <f t="shared" si="69"/>
        <v>126</v>
      </c>
      <c r="AA197" s="47">
        <f t="shared" si="62"/>
        <v>174</v>
      </c>
      <c r="AB197" s="47">
        <f t="shared" si="63"/>
        <v>114</v>
      </c>
      <c r="AC197" s="71">
        <f t="shared" si="74"/>
        <v>4149.0993791880001</v>
      </c>
      <c r="AD197" s="118">
        <f t="shared" si="75"/>
        <v>24456.205201735178</v>
      </c>
    </row>
    <row r="198" spans="1:30" s="49" customFormat="1" ht="12.75" x14ac:dyDescent="0.2">
      <c r="A198" s="94">
        <v>193</v>
      </c>
      <c r="B198" s="36" t="s">
        <v>388</v>
      </c>
      <c r="C198" s="148">
        <v>2</v>
      </c>
      <c r="D198" s="57">
        <v>1954.7239466999999</v>
      </c>
      <c r="E198" s="79">
        <f t="shared" si="72"/>
        <v>3909.4478933999999</v>
      </c>
      <c r="F198" s="80">
        <f t="shared" ref="F198:F233" si="76">(E198+J198+L198+K198+N198+R198+O198+S198+P198+Q198+T198)*4.5%</f>
        <v>195.47239466999997</v>
      </c>
      <c r="G198" s="47"/>
      <c r="H198" s="47">
        <f t="shared" si="64"/>
        <v>360.53797239133331</v>
      </c>
      <c r="I198" s="47">
        <f t="shared" si="65"/>
        <v>144.21518895653332</v>
      </c>
      <c r="J198" s="47">
        <f t="shared" ref="J198:J233" si="77">(E198+N198+O198+P198+Q198+R198+S198+T198)/12</f>
        <v>325.78732444999997</v>
      </c>
      <c r="K198" s="47"/>
      <c r="L198" s="47">
        <f t="shared" si="66"/>
        <v>108.59577481666666</v>
      </c>
      <c r="M198" s="47">
        <f t="shared" si="67"/>
        <v>162.89366222499999</v>
      </c>
      <c r="N198" s="80">
        <v>0</v>
      </c>
      <c r="O198" s="47"/>
      <c r="P198" s="47"/>
      <c r="Q198" s="47"/>
      <c r="R198" s="47"/>
      <c r="S198" s="136"/>
      <c r="T198" s="47">
        <v>0</v>
      </c>
      <c r="U198" s="81">
        <f t="shared" si="73"/>
        <v>1297.5023175095332</v>
      </c>
      <c r="V198" s="47">
        <f t="shared" ref="V198:V232" si="78">(370*C198)-(E198*6%)</f>
        <v>505.43312639600003</v>
      </c>
      <c r="W198" s="47">
        <v>0</v>
      </c>
      <c r="X198" s="47">
        <f t="shared" si="68"/>
        <v>720</v>
      </c>
      <c r="Y198" s="47">
        <f t="shared" ref="Y198:Y230" si="79">(9.8*C198)</f>
        <v>19.600000000000001</v>
      </c>
      <c r="Z198" s="47">
        <f t="shared" si="69"/>
        <v>42</v>
      </c>
      <c r="AA198" s="47">
        <f t="shared" ref="AA198:AA230" si="80">(C198*29)</f>
        <v>58</v>
      </c>
      <c r="AB198" s="47">
        <f t="shared" ref="AB198:AB230" si="81">(C198*19)</f>
        <v>38</v>
      </c>
      <c r="AC198" s="71">
        <f t="shared" si="74"/>
        <v>1383.0331263959999</v>
      </c>
      <c r="AD198" s="118">
        <f t="shared" si="75"/>
        <v>6589.9833373055326</v>
      </c>
    </row>
    <row r="199" spans="1:30" s="49" customFormat="1" ht="12.75" x14ac:dyDescent="0.2">
      <c r="A199" s="94">
        <v>194</v>
      </c>
      <c r="B199" s="36" t="s">
        <v>389</v>
      </c>
      <c r="C199" s="148">
        <v>2</v>
      </c>
      <c r="D199" s="57">
        <v>1604</v>
      </c>
      <c r="E199" s="79">
        <f t="shared" si="72"/>
        <v>3208</v>
      </c>
      <c r="F199" s="80">
        <f t="shared" si="76"/>
        <v>160.4</v>
      </c>
      <c r="G199" s="47"/>
      <c r="H199" s="47">
        <f t="shared" ref="H199:H233" si="82">(E199+J199+L199+K199+M199+N199+O199+P199+Q199+R199+S199+T199)*8%</f>
        <v>295.84888888888889</v>
      </c>
      <c r="I199" s="47">
        <f t="shared" ref="I199:I230" si="83">H199*40%</f>
        <v>118.33955555555556</v>
      </c>
      <c r="J199" s="47">
        <f t="shared" si="77"/>
        <v>267.33333333333331</v>
      </c>
      <c r="K199" s="47"/>
      <c r="L199" s="47">
        <f t="shared" ref="L199:L230" si="84">J199/3</f>
        <v>89.1111111111111</v>
      </c>
      <c r="M199" s="47">
        <f t="shared" ref="M199:M233" si="85">(E199+N199+O199+P199+Q199+R199+S199+T199)/12/2</f>
        <v>133.66666666666666</v>
      </c>
      <c r="N199" s="80">
        <v>0</v>
      </c>
      <c r="O199" s="47"/>
      <c r="P199" s="47"/>
      <c r="Q199" s="47"/>
      <c r="R199" s="47"/>
      <c r="S199" s="136"/>
      <c r="T199" s="47">
        <v>0</v>
      </c>
      <c r="U199" s="81">
        <f t="shared" si="73"/>
        <v>1064.6995555555557</v>
      </c>
      <c r="V199" s="47">
        <f t="shared" si="78"/>
        <v>547.52</v>
      </c>
      <c r="W199" s="47">
        <v>0</v>
      </c>
      <c r="X199" s="47">
        <f t="shared" ref="X199:X233" si="86">360*C199</f>
        <v>720</v>
      </c>
      <c r="Y199" s="47">
        <f t="shared" si="79"/>
        <v>19.600000000000001</v>
      </c>
      <c r="Z199" s="47">
        <f t="shared" ref="Z199:Z262" si="87">(C199*21)</f>
        <v>42</v>
      </c>
      <c r="AA199" s="47">
        <f t="shared" si="80"/>
        <v>58</v>
      </c>
      <c r="AB199" s="47">
        <f t="shared" si="81"/>
        <v>38</v>
      </c>
      <c r="AC199" s="71">
        <f t="shared" si="74"/>
        <v>1425.12</v>
      </c>
      <c r="AD199" s="118">
        <f t="shared" si="75"/>
        <v>5697.8195555555558</v>
      </c>
    </row>
    <row r="200" spans="1:30" s="49" customFormat="1" ht="12.75" x14ac:dyDescent="0.2">
      <c r="A200" s="94">
        <v>195</v>
      </c>
      <c r="B200" s="36" t="s">
        <v>390</v>
      </c>
      <c r="C200" s="148">
        <v>2</v>
      </c>
      <c r="D200" s="57">
        <v>2216.5886211419997</v>
      </c>
      <c r="E200" s="79">
        <f t="shared" si="72"/>
        <v>4433.1772422839995</v>
      </c>
      <c r="F200" s="80">
        <f t="shared" si="76"/>
        <v>221.65886211419999</v>
      </c>
      <c r="G200" s="47"/>
      <c r="H200" s="47">
        <f t="shared" si="82"/>
        <v>408.83745678841336</v>
      </c>
      <c r="I200" s="47">
        <f t="shared" si="83"/>
        <v>163.53498271536535</v>
      </c>
      <c r="J200" s="47">
        <f t="shared" si="77"/>
        <v>369.43143685699994</v>
      </c>
      <c r="K200" s="47"/>
      <c r="L200" s="47">
        <f t="shared" si="84"/>
        <v>123.14381228566664</v>
      </c>
      <c r="M200" s="47">
        <f t="shared" si="85"/>
        <v>184.71571842849997</v>
      </c>
      <c r="N200" s="80">
        <v>0</v>
      </c>
      <c r="O200" s="47"/>
      <c r="P200" s="47"/>
      <c r="Q200" s="47"/>
      <c r="R200" s="47"/>
      <c r="S200" s="136"/>
      <c r="T200" s="47">
        <v>0</v>
      </c>
      <c r="U200" s="81">
        <f t="shared" si="73"/>
        <v>1471.3222691891451</v>
      </c>
      <c r="V200" s="47">
        <f t="shared" si="78"/>
        <v>474.00936546296003</v>
      </c>
      <c r="W200" s="47">
        <v>0</v>
      </c>
      <c r="X200" s="47">
        <f t="shared" si="86"/>
        <v>720</v>
      </c>
      <c r="Y200" s="47">
        <f t="shared" si="79"/>
        <v>19.600000000000001</v>
      </c>
      <c r="Z200" s="47">
        <f t="shared" si="87"/>
        <v>42</v>
      </c>
      <c r="AA200" s="47">
        <f t="shared" si="80"/>
        <v>58</v>
      </c>
      <c r="AB200" s="47">
        <f t="shared" si="81"/>
        <v>38</v>
      </c>
      <c r="AC200" s="71">
        <f t="shared" si="74"/>
        <v>1351.6093654629599</v>
      </c>
      <c r="AD200" s="118">
        <f t="shared" si="75"/>
        <v>7256.1088769361049</v>
      </c>
    </row>
    <row r="201" spans="1:30" s="49" customFormat="1" ht="12.75" x14ac:dyDescent="0.2">
      <c r="A201" s="94">
        <v>196</v>
      </c>
      <c r="B201" s="367"/>
      <c r="C201" s="148"/>
      <c r="D201" s="57"/>
      <c r="E201" s="79">
        <f t="shared" si="72"/>
        <v>0</v>
      </c>
      <c r="F201" s="80">
        <f t="shared" si="76"/>
        <v>0</v>
      </c>
      <c r="G201" s="47"/>
      <c r="H201" s="47">
        <f t="shared" si="82"/>
        <v>0</v>
      </c>
      <c r="I201" s="47">
        <f t="shared" si="83"/>
        <v>0</v>
      </c>
      <c r="J201" s="47">
        <f t="shared" si="77"/>
        <v>0</v>
      </c>
      <c r="K201" s="47"/>
      <c r="L201" s="47">
        <f t="shared" si="84"/>
        <v>0</v>
      </c>
      <c r="M201" s="47">
        <f t="shared" si="85"/>
        <v>0</v>
      </c>
      <c r="N201" s="80">
        <v>0</v>
      </c>
      <c r="O201" s="47"/>
      <c r="P201" s="47"/>
      <c r="Q201" s="47"/>
      <c r="R201" s="47"/>
      <c r="S201" s="136"/>
      <c r="T201" s="47">
        <v>0</v>
      </c>
      <c r="U201" s="81">
        <f t="shared" si="73"/>
        <v>0</v>
      </c>
      <c r="V201" s="47">
        <f t="shared" si="78"/>
        <v>0</v>
      </c>
      <c r="W201" s="47">
        <v>0</v>
      </c>
      <c r="X201" s="47">
        <f t="shared" si="86"/>
        <v>0</v>
      </c>
      <c r="Y201" s="47">
        <f t="shared" si="79"/>
        <v>0</v>
      </c>
      <c r="Z201" s="47">
        <f t="shared" si="87"/>
        <v>0</v>
      </c>
      <c r="AA201" s="47">
        <f t="shared" si="80"/>
        <v>0</v>
      </c>
      <c r="AB201" s="47">
        <f t="shared" si="81"/>
        <v>0</v>
      </c>
      <c r="AC201" s="71">
        <f t="shared" si="74"/>
        <v>0</v>
      </c>
      <c r="AD201" s="118">
        <f t="shared" si="75"/>
        <v>0</v>
      </c>
    </row>
    <row r="202" spans="1:30" s="49" customFormat="1" ht="12.75" x14ac:dyDescent="0.2">
      <c r="A202" s="94">
        <v>197</v>
      </c>
      <c r="B202" s="36" t="s">
        <v>391</v>
      </c>
      <c r="C202" s="148">
        <v>32</v>
      </c>
      <c r="D202" s="57">
        <v>2475.9907000000003</v>
      </c>
      <c r="E202" s="79">
        <f t="shared" si="72"/>
        <v>79231.702400000009</v>
      </c>
      <c r="F202" s="80">
        <f t="shared" si="76"/>
        <v>6020.123787980001</v>
      </c>
      <c r="G202" s="47"/>
      <c r="H202" s="47">
        <f t="shared" si="82"/>
        <v>11103.783875607558</v>
      </c>
      <c r="I202" s="47">
        <f t="shared" si="83"/>
        <v>4441.513550243023</v>
      </c>
      <c r="J202" s="47">
        <f t="shared" si="77"/>
        <v>10033.539646633335</v>
      </c>
      <c r="K202" s="47"/>
      <c r="L202" s="47">
        <f t="shared" si="84"/>
        <v>3344.5132155444448</v>
      </c>
      <c r="M202" s="47">
        <f t="shared" si="85"/>
        <v>5016.7698233166675</v>
      </c>
      <c r="N202" s="80">
        <v>0</v>
      </c>
      <c r="O202" s="47"/>
      <c r="P202" s="47">
        <f t="shared" ref="P202:P207" si="88">(D202/200*36*2)*(C202/2)</f>
        <v>14261.706432000001</v>
      </c>
      <c r="Q202" s="47">
        <f t="shared" ref="Q202:Q207" si="89">(D202/200*2*24)/20*4*C202/2</f>
        <v>1901.5608576000002</v>
      </c>
      <c r="R202" s="47">
        <f>E202*30%</f>
        <v>23769.510720000002</v>
      </c>
      <c r="S202" s="136">
        <f>(D202*0.1)*5</f>
        <v>1237.9953500000001</v>
      </c>
      <c r="T202" s="47">
        <v>0</v>
      </c>
      <c r="U202" s="81">
        <f t="shared" si="73"/>
        <v>81131.017258925029</v>
      </c>
      <c r="V202" s="47">
        <f t="shared" si="78"/>
        <v>7086.0978559999994</v>
      </c>
      <c r="W202" s="47">
        <v>0</v>
      </c>
      <c r="X202" s="47">
        <f t="shared" si="86"/>
        <v>11520</v>
      </c>
      <c r="Y202" s="47">
        <f t="shared" si="79"/>
        <v>313.60000000000002</v>
      </c>
      <c r="Z202" s="47">
        <f t="shared" si="87"/>
        <v>672</v>
      </c>
      <c r="AA202" s="47">
        <f t="shared" si="80"/>
        <v>928</v>
      </c>
      <c r="AB202" s="47">
        <f t="shared" si="81"/>
        <v>608</v>
      </c>
      <c r="AC202" s="71">
        <f t="shared" si="74"/>
        <v>21127.697855999999</v>
      </c>
      <c r="AD202" s="118">
        <f t="shared" si="75"/>
        <v>181490.41751492501</v>
      </c>
    </row>
    <row r="203" spans="1:30" s="49" customFormat="1" ht="12.75" x14ac:dyDescent="0.2">
      <c r="A203" s="94">
        <v>198</v>
      </c>
      <c r="B203" s="36" t="s">
        <v>391</v>
      </c>
      <c r="C203" s="148">
        <v>18</v>
      </c>
      <c r="D203" s="57">
        <v>2475.9907000000003</v>
      </c>
      <c r="E203" s="79">
        <f t="shared" ref="E203:E266" si="90">C203*D203</f>
        <v>44567.832600000009</v>
      </c>
      <c r="F203" s="80">
        <f t="shared" si="76"/>
        <v>3684.8602961257088</v>
      </c>
      <c r="G203" s="47"/>
      <c r="H203" s="47">
        <f t="shared" si="82"/>
        <v>6796.5201017429754</v>
      </c>
      <c r="I203" s="47">
        <f t="shared" si="83"/>
        <v>2718.6080406971905</v>
      </c>
      <c r="J203" s="47">
        <f t="shared" si="77"/>
        <v>6141.4338268761821</v>
      </c>
      <c r="K203" s="47"/>
      <c r="L203" s="47">
        <f t="shared" si="84"/>
        <v>2047.1446089587273</v>
      </c>
      <c r="M203" s="47">
        <f t="shared" si="85"/>
        <v>3070.7169134380911</v>
      </c>
      <c r="N203" s="80">
        <f>(E203/220)*(137.13)*(20%)</f>
        <v>5555.9880767618197</v>
      </c>
      <c r="O203" s="47">
        <f>(N203/25)*5</f>
        <v>1111.197615352364</v>
      </c>
      <c r="P203" s="47">
        <f t="shared" si="88"/>
        <v>8022.2098680000008</v>
      </c>
      <c r="Q203" s="47">
        <f t="shared" si="89"/>
        <v>1069.6279824000001</v>
      </c>
      <c r="R203" s="47">
        <f>E203*30%</f>
        <v>13370.349780000002</v>
      </c>
      <c r="S203" s="136"/>
      <c r="T203" s="47">
        <v>0</v>
      </c>
      <c r="U203" s="81">
        <f t="shared" ref="U203:U266" si="91">SUM(F203:T203)</f>
        <v>53588.657110353066</v>
      </c>
      <c r="V203" s="47">
        <f t="shared" si="78"/>
        <v>3985.9300439999997</v>
      </c>
      <c r="W203" s="47">
        <v>0</v>
      </c>
      <c r="X203" s="47">
        <f t="shared" si="86"/>
        <v>6480</v>
      </c>
      <c r="Y203" s="47">
        <f t="shared" si="79"/>
        <v>176.4</v>
      </c>
      <c r="Z203" s="47">
        <f t="shared" si="87"/>
        <v>378</v>
      </c>
      <c r="AA203" s="47">
        <f t="shared" si="80"/>
        <v>522</v>
      </c>
      <c r="AB203" s="47">
        <f t="shared" si="81"/>
        <v>342</v>
      </c>
      <c r="AC203" s="71">
        <f t="shared" ref="AC203:AC266" si="92">SUM(V203:AB203)</f>
        <v>11884.330044</v>
      </c>
      <c r="AD203" s="118">
        <f t="shared" ref="AD203:AD266" si="93">E203+U203+AC203</f>
        <v>110040.81975435308</v>
      </c>
    </row>
    <row r="204" spans="1:30" s="49" customFormat="1" ht="12.75" x14ac:dyDescent="0.2">
      <c r="A204" s="94">
        <v>199</v>
      </c>
      <c r="B204" s="36" t="s">
        <v>399</v>
      </c>
      <c r="C204" s="148">
        <v>1</v>
      </c>
      <c r="D204" s="57">
        <v>4195.9728999999998</v>
      </c>
      <c r="E204" s="79">
        <f t="shared" si="90"/>
        <v>4195.9728999999998</v>
      </c>
      <c r="F204" s="80">
        <f t="shared" si="76"/>
        <v>209.79864499999996</v>
      </c>
      <c r="G204" s="47"/>
      <c r="H204" s="47">
        <f t="shared" si="82"/>
        <v>386.9619452222222</v>
      </c>
      <c r="I204" s="47">
        <f t="shared" si="83"/>
        <v>154.78477808888888</v>
      </c>
      <c r="J204" s="47">
        <f t="shared" si="77"/>
        <v>349.66440833333331</v>
      </c>
      <c r="K204" s="47"/>
      <c r="L204" s="47">
        <f t="shared" si="84"/>
        <v>116.55480277777777</v>
      </c>
      <c r="M204" s="47">
        <f t="shared" si="85"/>
        <v>174.83220416666666</v>
      </c>
      <c r="N204" s="80">
        <v>0</v>
      </c>
      <c r="O204" s="47"/>
      <c r="P204" s="47"/>
      <c r="Q204" s="47"/>
      <c r="R204" s="47"/>
      <c r="S204" s="136"/>
      <c r="T204" s="47">
        <v>0</v>
      </c>
      <c r="U204" s="81">
        <f t="shared" si="91"/>
        <v>1392.5967835888887</v>
      </c>
      <c r="V204" s="47">
        <f t="shared" si="78"/>
        <v>118.24162600000002</v>
      </c>
      <c r="W204" s="47">
        <v>0</v>
      </c>
      <c r="X204" s="47">
        <f t="shared" si="86"/>
        <v>360</v>
      </c>
      <c r="Y204" s="47">
        <f t="shared" si="79"/>
        <v>9.8000000000000007</v>
      </c>
      <c r="Z204" s="47">
        <f t="shared" si="87"/>
        <v>21</v>
      </c>
      <c r="AA204" s="47">
        <f t="shared" si="80"/>
        <v>29</v>
      </c>
      <c r="AB204" s="47">
        <f t="shared" si="81"/>
        <v>19</v>
      </c>
      <c r="AC204" s="71">
        <f t="shared" si="92"/>
        <v>557.04162599999995</v>
      </c>
      <c r="AD204" s="118">
        <f t="shared" si="93"/>
        <v>6145.6113095888886</v>
      </c>
    </row>
    <row r="205" spans="1:30" s="49" customFormat="1" ht="12.75" x14ac:dyDescent="0.2">
      <c r="A205" s="94">
        <v>200</v>
      </c>
      <c r="B205" s="36" t="s">
        <v>393</v>
      </c>
      <c r="C205" s="148">
        <v>1</v>
      </c>
      <c r="D205" s="57">
        <v>5372.2025000000003</v>
      </c>
      <c r="E205" s="79">
        <f t="shared" si="90"/>
        <v>5372.2025000000003</v>
      </c>
      <c r="F205" s="80">
        <f t="shared" si="76"/>
        <v>323.40659049999999</v>
      </c>
      <c r="G205" s="47"/>
      <c r="H205" s="47">
        <f t="shared" si="82"/>
        <v>596.50548914444448</v>
      </c>
      <c r="I205" s="47">
        <f t="shared" si="83"/>
        <v>238.6021956577778</v>
      </c>
      <c r="J205" s="47">
        <f t="shared" si="77"/>
        <v>539.01098416666662</v>
      </c>
      <c r="K205" s="47"/>
      <c r="L205" s="47">
        <f t="shared" si="84"/>
        <v>179.67032805555553</v>
      </c>
      <c r="M205" s="47">
        <f t="shared" si="85"/>
        <v>269.50549208333331</v>
      </c>
      <c r="N205" s="80">
        <v>0</v>
      </c>
      <c r="O205" s="47"/>
      <c r="P205" s="47">
        <f t="shared" si="88"/>
        <v>966.9964500000001</v>
      </c>
      <c r="Q205" s="47">
        <f t="shared" si="89"/>
        <v>128.93286000000001</v>
      </c>
      <c r="R205" s="47"/>
      <c r="S205" s="136"/>
      <c r="T205" s="47">
        <v>0</v>
      </c>
      <c r="U205" s="81">
        <f t="shared" si="91"/>
        <v>3242.6303896077779</v>
      </c>
      <c r="V205" s="47">
        <f t="shared" si="78"/>
        <v>47.667849999999987</v>
      </c>
      <c r="W205" s="47">
        <v>0</v>
      </c>
      <c r="X205" s="47">
        <f t="shared" si="86"/>
        <v>360</v>
      </c>
      <c r="Y205" s="47">
        <f t="shared" si="79"/>
        <v>9.8000000000000007</v>
      </c>
      <c r="Z205" s="47">
        <f t="shared" si="87"/>
        <v>21</v>
      </c>
      <c r="AA205" s="47">
        <f t="shared" si="80"/>
        <v>29</v>
      </c>
      <c r="AB205" s="47">
        <f t="shared" si="81"/>
        <v>19</v>
      </c>
      <c r="AC205" s="71">
        <f t="shared" si="92"/>
        <v>486.46785</v>
      </c>
      <c r="AD205" s="118">
        <f t="shared" si="93"/>
        <v>9101.3007396077774</v>
      </c>
    </row>
    <row r="206" spans="1:30" s="49" customFormat="1" ht="12.75" x14ac:dyDescent="0.2">
      <c r="A206" s="94">
        <v>201</v>
      </c>
      <c r="B206" s="36" t="s">
        <v>394</v>
      </c>
      <c r="C206" s="148">
        <v>1</v>
      </c>
      <c r="D206" s="57">
        <v>3760.5471000000002</v>
      </c>
      <c r="E206" s="79">
        <f t="shared" si="90"/>
        <v>3760.5471000000002</v>
      </c>
      <c r="F206" s="80">
        <f t="shared" si="76"/>
        <v>226.38493542000001</v>
      </c>
      <c r="G206" s="47"/>
      <c r="H206" s="47">
        <f t="shared" si="82"/>
        <v>417.55443644133339</v>
      </c>
      <c r="I206" s="47">
        <f t="shared" si="83"/>
        <v>167.02177457653337</v>
      </c>
      <c r="J206" s="47">
        <f t="shared" si="77"/>
        <v>377.30822570000009</v>
      </c>
      <c r="K206" s="47"/>
      <c r="L206" s="47">
        <f t="shared" si="84"/>
        <v>125.7694085666667</v>
      </c>
      <c r="M206" s="47">
        <f t="shared" si="85"/>
        <v>188.65411285000005</v>
      </c>
      <c r="N206" s="80">
        <v>0</v>
      </c>
      <c r="O206" s="47"/>
      <c r="P206" s="47">
        <f t="shared" si="88"/>
        <v>676.89847800000007</v>
      </c>
      <c r="Q206" s="47">
        <f t="shared" si="89"/>
        <v>90.253130400000003</v>
      </c>
      <c r="R206" s="47"/>
      <c r="S206" s="136"/>
      <c r="T206" s="47">
        <v>0</v>
      </c>
      <c r="U206" s="81">
        <f t="shared" si="91"/>
        <v>2269.8445019545338</v>
      </c>
      <c r="V206" s="47">
        <f t="shared" si="78"/>
        <v>144.36717400000001</v>
      </c>
      <c r="W206" s="47">
        <v>0</v>
      </c>
      <c r="X206" s="47">
        <f t="shared" si="86"/>
        <v>360</v>
      </c>
      <c r="Y206" s="47">
        <f t="shared" si="79"/>
        <v>9.8000000000000007</v>
      </c>
      <c r="Z206" s="47">
        <f t="shared" si="87"/>
        <v>21</v>
      </c>
      <c r="AA206" s="47">
        <f t="shared" si="80"/>
        <v>29</v>
      </c>
      <c r="AB206" s="47">
        <f t="shared" si="81"/>
        <v>19</v>
      </c>
      <c r="AC206" s="71">
        <f t="shared" si="92"/>
        <v>583.16717399999993</v>
      </c>
      <c r="AD206" s="118">
        <f t="shared" si="93"/>
        <v>6613.5587759545342</v>
      </c>
    </row>
    <row r="207" spans="1:30" s="49" customFormat="1" ht="12.75" x14ac:dyDescent="0.2">
      <c r="A207" s="94">
        <v>202</v>
      </c>
      <c r="B207" s="36" t="s">
        <v>395</v>
      </c>
      <c r="C207" s="148">
        <v>4</v>
      </c>
      <c r="D207" s="57">
        <v>1759.2515520300001</v>
      </c>
      <c r="E207" s="79">
        <f t="shared" si="90"/>
        <v>7037.0062081200003</v>
      </c>
      <c r="F207" s="80">
        <f t="shared" si="76"/>
        <v>476.2633007098874</v>
      </c>
      <c r="G207" s="47"/>
      <c r="H207" s="47">
        <f t="shared" si="82"/>
        <v>878.44119908712571</v>
      </c>
      <c r="I207" s="47">
        <f t="shared" si="83"/>
        <v>351.37647963485028</v>
      </c>
      <c r="J207" s="47">
        <f t="shared" si="77"/>
        <v>793.77216784981238</v>
      </c>
      <c r="K207" s="47"/>
      <c r="L207" s="47">
        <f t="shared" si="84"/>
        <v>264.59072261660413</v>
      </c>
      <c r="M207" s="47">
        <f t="shared" si="85"/>
        <v>396.88608392490619</v>
      </c>
      <c r="N207" s="80">
        <f>(E207/220)*(137.13)*(20%)</f>
        <v>877.25878301772343</v>
      </c>
      <c r="O207" s="47">
        <f>(N207/25)*5</f>
        <v>175.45175660354471</v>
      </c>
      <c r="P207" s="47">
        <f t="shared" si="88"/>
        <v>1266.6611174616</v>
      </c>
      <c r="Q207" s="47">
        <f t="shared" si="89"/>
        <v>168.88814899488003</v>
      </c>
      <c r="R207" s="47"/>
      <c r="S207" s="136"/>
      <c r="T207" s="47">
        <v>0</v>
      </c>
      <c r="U207" s="81">
        <f t="shared" si="91"/>
        <v>5649.589759900934</v>
      </c>
      <c r="V207" s="47">
        <f t="shared" si="78"/>
        <v>1057.7796275128001</v>
      </c>
      <c r="W207" s="47">
        <v>0</v>
      </c>
      <c r="X207" s="47">
        <f t="shared" si="86"/>
        <v>1440</v>
      </c>
      <c r="Y207" s="47">
        <f t="shared" si="79"/>
        <v>39.200000000000003</v>
      </c>
      <c r="Z207" s="47">
        <f t="shared" si="87"/>
        <v>84</v>
      </c>
      <c r="AA207" s="47">
        <f t="shared" si="80"/>
        <v>116</v>
      </c>
      <c r="AB207" s="47">
        <f t="shared" si="81"/>
        <v>76</v>
      </c>
      <c r="AC207" s="71">
        <f t="shared" si="92"/>
        <v>2812.9796275128001</v>
      </c>
      <c r="AD207" s="118">
        <f t="shared" si="93"/>
        <v>15499.575595533734</v>
      </c>
    </row>
    <row r="208" spans="1:30" s="49" customFormat="1" ht="12.75" x14ac:dyDescent="0.2">
      <c r="A208" s="94">
        <v>203</v>
      </c>
      <c r="B208" s="36" t="s">
        <v>426</v>
      </c>
      <c r="C208" s="148">
        <v>1</v>
      </c>
      <c r="D208" s="57">
        <v>4664.5671649779988</v>
      </c>
      <c r="E208" s="79">
        <f t="shared" si="90"/>
        <v>4664.5671649779988</v>
      </c>
      <c r="F208" s="80">
        <f t="shared" si="76"/>
        <v>233.22835824889995</v>
      </c>
      <c r="G208" s="47"/>
      <c r="H208" s="47">
        <f t="shared" si="82"/>
        <v>430.17674965908213</v>
      </c>
      <c r="I208" s="47">
        <f t="shared" si="83"/>
        <v>172.07069986363285</v>
      </c>
      <c r="J208" s="47">
        <f t="shared" si="77"/>
        <v>388.71393041483321</v>
      </c>
      <c r="K208" s="47"/>
      <c r="L208" s="47">
        <f t="shared" si="84"/>
        <v>129.57131013827774</v>
      </c>
      <c r="M208" s="47">
        <f t="shared" si="85"/>
        <v>194.35696520741661</v>
      </c>
      <c r="N208" s="80">
        <v>0</v>
      </c>
      <c r="O208" s="47"/>
      <c r="P208" s="47"/>
      <c r="Q208" s="47"/>
      <c r="R208" s="47"/>
      <c r="S208" s="136"/>
      <c r="T208" s="47">
        <v>0</v>
      </c>
      <c r="U208" s="81">
        <f t="shared" si="91"/>
        <v>1548.1180135321424</v>
      </c>
      <c r="V208" s="47">
        <f t="shared" si="78"/>
        <v>90.125970101320092</v>
      </c>
      <c r="W208" s="47">
        <v>0</v>
      </c>
      <c r="X208" s="47">
        <f t="shared" si="86"/>
        <v>360</v>
      </c>
      <c r="Y208" s="47">
        <f t="shared" si="79"/>
        <v>9.8000000000000007</v>
      </c>
      <c r="Z208" s="47">
        <f t="shared" si="87"/>
        <v>21</v>
      </c>
      <c r="AA208" s="47">
        <f t="shared" si="80"/>
        <v>29</v>
      </c>
      <c r="AB208" s="47">
        <f t="shared" si="81"/>
        <v>19</v>
      </c>
      <c r="AC208" s="71">
        <f t="shared" si="92"/>
        <v>528.9259701013201</v>
      </c>
      <c r="AD208" s="118">
        <f t="shared" si="93"/>
        <v>6741.6111486114605</v>
      </c>
    </row>
    <row r="209" spans="1:30" s="49" customFormat="1" ht="12.75" x14ac:dyDescent="0.2">
      <c r="A209" s="94">
        <v>204</v>
      </c>
      <c r="B209" s="36" t="s">
        <v>427</v>
      </c>
      <c r="C209" s="148">
        <v>1</v>
      </c>
      <c r="D209" s="57">
        <v>4664.5671649779988</v>
      </c>
      <c r="E209" s="79">
        <f t="shared" si="90"/>
        <v>4664.5671649779988</v>
      </c>
      <c r="F209" s="80">
        <f t="shared" si="76"/>
        <v>233.22835824889995</v>
      </c>
      <c r="G209" s="47"/>
      <c r="H209" s="47">
        <f t="shared" si="82"/>
        <v>430.17674965908213</v>
      </c>
      <c r="I209" s="47">
        <f t="shared" si="83"/>
        <v>172.07069986363285</v>
      </c>
      <c r="J209" s="47">
        <f t="shared" si="77"/>
        <v>388.71393041483321</v>
      </c>
      <c r="K209" s="47"/>
      <c r="L209" s="47">
        <f t="shared" si="84"/>
        <v>129.57131013827774</v>
      </c>
      <c r="M209" s="47">
        <f t="shared" si="85"/>
        <v>194.35696520741661</v>
      </c>
      <c r="N209" s="80">
        <v>0</v>
      </c>
      <c r="O209" s="47"/>
      <c r="P209" s="47"/>
      <c r="Q209" s="47"/>
      <c r="R209" s="47"/>
      <c r="S209" s="136"/>
      <c r="T209" s="47">
        <v>0</v>
      </c>
      <c r="U209" s="81">
        <f t="shared" si="91"/>
        <v>1548.1180135321424</v>
      </c>
      <c r="V209" s="47">
        <f t="shared" si="78"/>
        <v>90.125970101320092</v>
      </c>
      <c r="W209" s="47">
        <v>0</v>
      </c>
      <c r="X209" s="47">
        <f t="shared" si="86"/>
        <v>360</v>
      </c>
      <c r="Y209" s="47">
        <f t="shared" si="79"/>
        <v>9.8000000000000007</v>
      </c>
      <c r="Z209" s="47">
        <f t="shared" si="87"/>
        <v>21</v>
      </c>
      <c r="AA209" s="47">
        <f t="shared" si="80"/>
        <v>29</v>
      </c>
      <c r="AB209" s="47">
        <f t="shared" si="81"/>
        <v>19</v>
      </c>
      <c r="AC209" s="71">
        <f t="shared" si="92"/>
        <v>528.9259701013201</v>
      </c>
      <c r="AD209" s="118">
        <f t="shared" si="93"/>
        <v>6741.6111486114605</v>
      </c>
    </row>
    <row r="210" spans="1:30" s="49" customFormat="1" ht="12.75" x14ac:dyDescent="0.2">
      <c r="A210" s="94">
        <v>205</v>
      </c>
      <c r="B210" s="36" t="s">
        <v>428</v>
      </c>
      <c r="C210" s="148">
        <v>1</v>
      </c>
      <c r="D210" s="57">
        <v>3432.9771878639999</v>
      </c>
      <c r="E210" s="79">
        <f t="shared" si="90"/>
        <v>3432.9771878639999</v>
      </c>
      <c r="F210" s="80">
        <f t="shared" si="76"/>
        <v>171.64885939320001</v>
      </c>
      <c r="G210" s="47"/>
      <c r="H210" s="47">
        <f t="shared" si="82"/>
        <v>316.59678510301336</v>
      </c>
      <c r="I210" s="47">
        <f t="shared" si="83"/>
        <v>126.63871404120535</v>
      </c>
      <c r="J210" s="47">
        <f t="shared" si="77"/>
        <v>286.08143232200001</v>
      </c>
      <c r="K210" s="47"/>
      <c r="L210" s="47">
        <f t="shared" si="84"/>
        <v>95.360477440666671</v>
      </c>
      <c r="M210" s="47">
        <f t="shared" si="85"/>
        <v>143.04071616100001</v>
      </c>
      <c r="N210" s="80">
        <v>0</v>
      </c>
      <c r="O210" s="47"/>
      <c r="P210" s="47"/>
      <c r="Q210" s="47"/>
      <c r="R210" s="47"/>
      <c r="S210" s="136"/>
      <c r="T210" s="47">
        <v>0</v>
      </c>
      <c r="U210" s="81">
        <f t="shared" si="91"/>
        <v>1139.3669844610856</v>
      </c>
      <c r="V210" s="47">
        <f t="shared" si="78"/>
        <v>164.02136872816001</v>
      </c>
      <c r="W210" s="47">
        <v>0</v>
      </c>
      <c r="X210" s="47">
        <f t="shared" si="86"/>
        <v>360</v>
      </c>
      <c r="Y210" s="47">
        <f t="shared" si="79"/>
        <v>9.8000000000000007</v>
      </c>
      <c r="Z210" s="47">
        <f t="shared" si="87"/>
        <v>21</v>
      </c>
      <c r="AA210" s="47">
        <f t="shared" si="80"/>
        <v>29</v>
      </c>
      <c r="AB210" s="47">
        <f t="shared" si="81"/>
        <v>19</v>
      </c>
      <c r="AC210" s="71">
        <f t="shared" si="92"/>
        <v>602.82136872816</v>
      </c>
      <c r="AD210" s="118">
        <f t="shared" si="93"/>
        <v>5175.1655410532458</v>
      </c>
    </row>
    <row r="211" spans="1:30" s="49" customFormat="1" ht="12.75" hidden="1" x14ac:dyDescent="0.2">
      <c r="A211" s="94">
        <v>206</v>
      </c>
      <c r="B211" s="36"/>
      <c r="C211" s="148"/>
      <c r="D211" s="57"/>
      <c r="E211" s="79">
        <f t="shared" si="90"/>
        <v>0</v>
      </c>
      <c r="F211" s="80">
        <f t="shared" si="76"/>
        <v>0</v>
      </c>
      <c r="G211" s="47"/>
      <c r="H211" s="47">
        <f t="shared" si="82"/>
        <v>0</v>
      </c>
      <c r="I211" s="47">
        <f t="shared" si="83"/>
        <v>0</v>
      </c>
      <c r="J211" s="47">
        <f t="shared" si="77"/>
        <v>0</v>
      </c>
      <c r="K211" s="47"/>
      <c r="L211" s="47">
        <f t="shared" si="84"/>
        <v>0</v>
      </c>
      <c r="M211" s="47">
        <f t="shared" si="85"/>
        <v>0</v>
      </c>
      <c r="N211" s="80">
        <v>0</v>
      </c>
      <c r="O211" s="47"/>
      <c r="P211" s="47"/>
      <c r="Q211" s="47"/>
      <c r="R211" s="47"/>
      <c r="S211" s="136"/>
      <c r="T211" s="47">
        <v>0</v>
      </c>
      <c r="U211" s="81">
        <f t="shared" si="91"/>
        <v>0</v>
      </c>
      <c r="V211" s="47">
        <f t="shared" si="78"/>
        <v>0</v>
      </c>
      <c r="W211" s="47">
        <v>0</v>
      </c>
      <c r="X211" s="47">
        <f t="shared" si="86"/>
        <v>0</v>
      </c>
      <c r="Y211" s="47">
        <f t="shared" si="79"/>
        <v>0</v>
      </c>
      <c r="Z211" s="47">
        <f t="shared" si="87"/>
        <v>0</v>
      </c>
      <c r="AA211" s="47">
        <f t="shared" si="80"/>
        <v>0</v>
      </c>
      <c r="AB211" s="47">
        <f t="shared" si="81"/>
        <v>0</v>
      </c>
      <c r="AC211" s="71">
        <f t="shared" si="92"/>
        <v>0</v>
      </c>
      <c r="AD211" s="118">
        <f t="shared" si="93"/>
        <v>0</v>
      </c>
    </row>
    <row r="212" spans="1:30" s="49" customFormat="1" ht="12.75" hidden="1" x14ac:dyDescent="0.2">
      <c r="A212" s="94">
        <v>207</v>
      </c>
      <c r="B212" s="36"/>
      <c r="C212" s="148"/>
      <c r="D212" s="57"/>
      <c r="E212" s="79">
        <f t="shared" si="90"/>
        <v>0</v>
      </c>
      <c r="F212" s="80">
        <f t="shared" si="76"/>
        <v>0</v>
      </c>
      <c r="G212" s="47"/>
      <c r="H212" s="47">
        <f t="shared" si="82"/>
        <v>0</v>
      </c>
      <c r="I212" s="47">
        <f t="shared" si="83"/>
        <v>0</v>
      </c>
      <c r="J212" s="47">
        <f t="shared" si="77"/>
        <v>0</v>
      </c>
      <c r="K212" s="47"/>
      <c r="L212" s="47">
        <f t="shared" si="84"/>
        <v>0</v>
      </c>
      <c r="M212" s="47">
        <f t="shared" si="85"/>
        <v>0</v>
      </c>
      <c r="N212" s="80">
        <v>0</v>
      </c>
      <c r="O212" s="47"/>
      <c r="P212" s="47"/>
      <c r="Q212" s="47"/>
      <c r="R212" s="47"/>
      <c r="S212" s="136"/>
      <c r="T212" s="47">
        <v>0</v>
      </c>
      <c r="U212" s="81">
        <f t="shared" si="91"/>
        <v>0</v>
      </c>
      <c r="V212" s="47">
        <f t="shared" si="78"/>
        <v>0</v>
      </c>
      <c r="W212" s="47">
        <v>0</v>
      </c>
      <c r="X212" s="47">
        <f t="shared" si="86"/>
        <v>0</v>
      </c>
      <c r="Y212" s="47">
        <f t="shared" si="79"/>
        <v>0</v>
      </c>
      <c r="Z212" s="47">
        <f t="shared" si="87"/>
        <v>0</v>
      </c>
      <c r="AA212" s="47">
        <f t="shared" si="80"/>
        <v>0</v>
      </c>
      <c r="AB212" s="47">
        <f t="shared" si="81"/>
        <v>0</v>
      </c>
      <c r="AC212" s="71">
        <f t="shared" si="92"/>
        <v>0</v>
      </c>
      <c r="AD212" s="118">
        <f t="shared" si="93"/>
        <v>0</v>
      </c>
    </row>
    <row r="213" spans="1:30" s="49" customFormat="1" ht="12.75" hidden="1" x14ac:dyDescent="0.2">
      <c r="A213" s="94">
        <v>208</v>
      </c>
      <c r="B213" s="36"/>
      <c r="C213" s="148"/>
      <c r="D213" s="57"/>
      <c r="E213" s="79">
        <f t="shared" si="90"/>
        <v>0</v>
      </c>
      <c r="F213" s="80">
        <f t="shared" si="76"/>
        <v>0</v>
      </c>
      <c r="G213" s="47"/>
      <c r="H213" s="47">
        <f t="shared" si="82"/>
        <v>0</v>
      </c>
      <c r="I213" s="47">
        <f t="shared" si="83"/>
        <v>0</v>
      </c>
      <c r="J213" s="47">
        <f t="shared" si="77"/>
        <v>0</v>
      </c>
      <c r="K213" s="47"/>
      <c r="L213" s="47">
        <f t="shared" si="84"/>
        <v>0</v>
      </c>
      <c r="M213" s="47">
        <f t="shared" si="85"/>
        <v>0</v>
      </c>
      <c r="N213" s="80">
        <v>0</v>
      </c>
      <c r="O213" s="47"/>
      <c r="P213" s="47"/>
      <c r="Q213" s="47"/>
      <c r="R213" s="47"/>
      <c r="S213" s="136"/>
      <c r="T213" s="47">
        <v>0</v>
      </c>
      <c r="U213" s="81">
        <f t="shared" si="91"/>
        <v>0</v>
      </c>
      <c r="V213" s="47">
        <f t="shared" si="78"/>
        <v>0</v>
      </c>
      <c r="W213" s="47">
        <v>0</v>
      </c>
      <c r="X213" s="47">
        <f t="shared" si="86"/>
        <v>0</v>
      </c>
      <c r="Y213" s="47">
        <f t="shared" si="79"/>
        <v>0</v>
      </c>
      <c r="Z213" s="47">
        <f t="shared" si="87"/>
        <v>0</v>
      </c>
      <c r="AA213" s="47">
        <f t="shared" si="80"/>
        <v>0</v>
      </c>
      <c r="AB213" s="47">
        <f t="shared" si="81"/>
        <v>0</v>
      </c>
      <c r="AC213" s="71">
        <f t="shared" si="92"/>
        <v>0</v>
      </c>
      <c r="AD213" s="118">
        <f t="shared" si="93"/>
        <v>0</v>
      </c>
    </row>
    <row r="214" spans="1:30" s="49" customFormat="1" ht="12.75" hidden="1" x14ac:dyDescent="0.2">
      <c r="A214" s="94">
        <v>209</v>
      </c>
      <c r="B214" s="36"/>
      <c r="C214" s="148"/>
      <c r="D214" s="57"/>
      <c r="E214" s="79">
        <f t="shared" si="90"/>
        <v>0</v>
      </c>
      <c r="F214" s="80">
        <f t="shared" si="76"/>
        <v>0</v>
      </c>
      <c r="G214" s="47"/>
      <c r="H214" s="47">
        <f t="shared" si="82"/>
        <v>0</v>
      </c>
      <c r="I214" s="47">
        <f t="shared" si="83"/>
        <v>0</v>
      </c>
      <c r="J214" s="47">
        <f t="shared" si="77"/>
        <v>0</v>
      </c>
      <c r="K214" s="47"/>
      <c r="L214" s="47">
        <f t="shared" si="84"/>
        <v>0</v>
      </c>
      <c r="M214" s="47">
        <f t="shared" si="85"/>
        <v>0</v>
      </c>
      <c r="N214" s="80">
        <v>0</v>
      </c>
      <c r="O214" s="47"/>
      <c r="P214" s="47"/>
      <c r="Q214" s="47"/>
      <c r="R214" s="47"/>
      <c r="S214" s="136"/>
      <c r="T214" s="47">
        <v>0</v>
      </c>
      <c r="U214" s="81">
        <f t="shared" si="91"/>
        <v>0</v>
      </c>
      <c r="V214" s="47">
        <f t="shared" si="78"/>
        <v>0</v>
      </c>
      <c r="W214" s="47">
        <v>0</v>
      </c>
      <c r="X214" s="47">
        <f t="shared" si="86"/>
        <v>0</v>
      </c>
      <c r="Y214" s="47">
        <f t="shared" si="79"/>
        <v>0</v>
      </c>
      <c r="Z214" s="47">
        <f t="shared" si="87"/>
        <v>0</v>
      </c>
      <c r="AA214" s="47">
        <f t="shared" si="80"/>
        <v>0</v>
      </c>
      <c r="AB214" s="47">
        <f t="shared" si="81"/>
        <v>0</v>
      </c>
      <c r="AC214" s="71">
        <f t="shared" si="92"/>
        <v>0</v>
      </c>
      <c r="AD214" s="118">
        <f t="shared" si="93"/>
        <v>0</v>
      </c>
    </row>
    <row r="215" spans="1:30" s="49" customFormat="1" ht="12.75" x14ac:dyDescent="0.2">
      <c r="A215" s="94">
        <v>210</v>
      </c>
      <c r="B215" s="36" t="s">
        <v>429</v>
      </c>
      <c r="C215" s="148">
        <v>1</v>
      </c>
      <c r="D215" s="57">
        <v>20640.567500000001</v>
      </c>
      <c r="E215" s="79">
        <f t="shared" si="90"/>
        <v>20640.567500000001</v>
      </c>
      <c r="F215" s="80">
        <f t="shared" si="76"/>
        <v>1032.0283749999999</v>
      </c>
      <c r="G215" s="47"/>
      <c r="H215" s="47">
        <f t="shared" si="82"/>
        <v>1903.5190027777778</v>
      </c>
      <c r="I215" s="47">
        <f t="shared" si="83"/>
        <v>761.40760111111115</v>
      </c>
      <c r="J215" s="47">
        <f t="shared" si="77"/>
        <v>1720.0472916666668</v>
      </c>
      <c r="K215" s="47"/>
      <c r="L215" s="47">
        <f t="shared" si="84"/>
        <v>573.34909722222221</v>
      </c>
      <c r="M215" s="47">
        <f t="shared" si="85"/>
        <v>860.02364583333338</v>
      </c>
      <c r="N215" s="80">
        <v>0</v>
      </c>
      <c r="O215" s="47"/>
      <c r="P215" s="47"/>
      <c r="Q215" s="47"/>
      <c r="R215" s="47"/>
      <c r="S215" s="136"/>
      <c r="T215" s="47">
        <v>0</v>
      </c>
      <c r="U215" s="81">
        <f t="shared" si="91"/>
        <v>6850.3750136111121</v>
      </c>
      <c r="V215" s="47"/>
      <c r="W215" s="47">
        <f>650*C215</f>
        <v>650</v>
      </c>
      <c r="X215" s="47">
        <f t="shared" si="86"/>
        <v>360</v>
      </c>
      <c r="Y215" s="47">
        <f t="shared" si="79"/>
        <v>9.8000000000000007</v>
      </c>
      <c r="Z215" s="47">
        <f t="shared" si="87"/>
        <v>21</v>
      </c>
      <c r="AA215" s="47">
        <f t="shared" si="80"/>
        <v>29</v>
      </c>
      <c r="AB215" s="47">
        <f t="shared" si="81"/>
        <v>19</v>
      </c>
      <c r="AC215" s="71">
        <f t="shared" si="92"/>
        <v>1088.8</v>
      </c>
      <c r="AD215" s="118">
        <f t="shared" si="93"/>
        <v>28579.742513611112</v>
      </c>
    </row>
    <row r="216" spans="1:30" s="49" customFormat="1" ht="22.5" x14ac:dyDescent="0.2">
      <c r="A216" s="94">
        <v>211</v>
      </c>
      <c r="B216" s="36" t="s">
        <v>430</v>
      </c>
      <c r="C216" s="148">
        <v>1</v>
      </c>
      <c r="D216" s="57">
        <v>20640.57</v>
      </c>
      <c r="E216" s="79">
        <f t="shared" si="90"/>
        <v>20640.57</v>
      </c>
      <c r="F216" s="80">
        <f t="shared" si="76"/>
        <v>1282.0284999999999</v>
      </c>
      <c r="G216" s="47"/>
      <c r="H216" s="47">
        <f t="shared" si="82"/>
        <v>2364.6303444444443</v>
      </c>
      <c r="I216" s="47">
        <f t="shared" si="83"/>
        <v>945.85213777777778</v>
      </c>
      <c r="J216" s="47">
        <f t="shared" si="77"/>
        <v>2136.7141666666666</v>
      </c>
      <c r="K216" s="47"/>
      <c r="L216" s="47">
        <f t="shared" si="84"/>
        <v>712.23805555555555</v>
      </c>
      <c r="M216" s="47">
        <f t="shared" si="85"/>
        <v>1068.3570833333333</v>
      </c>
      <c r="N216" s="80">
        <v>0</v>
      </c>
      <c r="O216" s="47"/>
      <c r="P216" s="47"/>
      <c r="Q216" s="47"/>
      <c r="R216" s="47"/>
      <c r="S216" s="136">
        <f>5000*C216</f>
        <v>5000</v>
      </c>
      <c r="T216" s="47">
        <v>0</v>
      </c>
      <c r="U216" s="81">
        <f t="shared" si="91"/>
        <v>13509.820287777777</v>
      </c>
      <c r="V216" s="47"/>
      <c r="W216" s="47">
        <f>650*C216</f>
        <v>650</v>
      </c>
      <c r="X216" s="47">
        <f t="shared" si="86"/>
        <v>360</v>
      </c>
      <c r="Y216" s="47">
        <f t="shared" si="79"/>
        <v>9.8000000000000007</v>
      </c>
      <c r="Z216" s="47">
        <f t="shared" si="87"/>
        <v>21</v>
      </c>
      <c r="AA216" s="47">
        <f t="shared" si="80"/>
        <v>29</v>
      </c>
      <c r="AB216" s="47">
        <f t="shared" si="81"/>
        <v>19</v>
      </c>
      <c r="AC216" s="71">
        <f t="shared" si="92"/>
        <v>1088.8</v>
      </c>
      <c r="AD216" s="118">
        <f t="shared" si="93"/>
        <v>35239.190287777776</v>
      </c>
    </row>
    <row r="217" spans="1:30" s="49" customFormat="1" ht="33.75" x14ac:dyDescent="0.2">
      <c r="A217" s="94">
        <v>212</v>
      </c>
      <c r="B217" s="36" t="s">
        <v>622</v>
      </c>
      <c r="C217" s="148">
        <v>5</v>
      </c>
      <c r="D217" s="57">
        <v>14546.442773100001</v>
      </c>
      <c r="E217" s="79">
        <f t="shared" si="90"/>
        <v>72732.213865500002</v>
      </c>
      <c r="F217" s="80">
        <f t="shared" si="76"/>
        <v>4136.6106932749999</v>
      </c>
      <c r="G217" s="47"/>
      <c r="H217" s="47">
        <f t="shared" si="82"/>
        <v>7629.7486120405565</v>
      </c>
      <c r="I217" s="47">
        <f t="shared" si="83"/>
        <v>3051.899444816223</v>
      </c>
      <c r="J217" s="47">
        <f t="shared" si="77"/>
        <v>6894.3511554583338</v>
      </c>
      <c r="K217" s="47"/>
      <c r="L217" s="47">
        <f t="shared" si="84"/>
        <v>2298.1170518194444</v>
      </c>
      <c r="M217" s="47">
        <f t="shared" si="85"/>
        <v>3447.1755777291669</v>
      </c>
      <c r="N217" s="80">
        <v>0</v>
      </c>
      <c r="O217" s="47"/>
      <c r="P217" s="47"/>
      <c r="Q217" s="47"/>
      <c r="R217" s="47"/>
      <c r="S217" s="136">
        <f>2000*C217</f>
        <v>10000</v>
      </c>
      <c r="T217" s="47">
        <v>0</v>
      </c>
      <c r="U217" s="81">
        <f t="shared" si="91"/>
        <v>37457.902535138724</v>
      </c>
      <c r="V217" s="47"/>
      <c r="W217" s="47">
        <f>650*C217</f>
        <v>3250</v>
      </c>
      <c r="X217" s="47">
        <f t="shared" si="86"/>
        <v>1800</v>
      </c>
      <c r="Y217" s="47">
        <f t="shared" si="79"/>
        <v>49</v>
      </c>
      <c r="Z217" s="47">
        <f t="shared" si="87"/>
        <v>105</v>
      </c>
      <c r="AA217" s="47">
        <f t="shared" si="80"/>
        <v>145</v>
      </c>
      <c r="AB217" s="47">
        <f t="shared" si="81"/>
        <v>95</v>
      </c>
      <c r="AC217" s="71">
        <f t="shared" si="92"/>
        <v>5444</v>
      </c>
      <c r="AD217" s="118">
        <f t="shared" si="93"/>
        <v>115634.11640063873</v>
      </c>
    </row>
    <row r="218" spans="1:30" s="49" customFormat="1" ht="12.75" x14ac:dyDescent="0.2">
      <c r="A218" s="94">
        <v>213</v>
      </c>
      <c r="B218" s="36" t="s">
        <v>431</v>
      </c>
      <c r="C218" s="148">
        <v>36</v>
      </c>
      <c r="D218" s="57">
        <v>4664.5671649779988</v>
      </c>
      <c r="E218" s="79">
        <f t="shared" si="90"/>
        <v>167924.41793920795</v>
      </c>
      <c r="F218" s="80">
        <f t="shared" si="76"/>
        <v>8646.220896960398</v>
      </c>
      <c r="G218" s="47"/>
      <c r="H218" s="47">
        <f t="shared" si="82"/>
        <v>15947.474098838067</v>
      </c>
      <c r="I218" s="47">
        <f t="shared" si="83"/>
        <v>6378.9896395352271</v>
      </c>
      <c r="J218" s="47">
        <f t="shared" si="77"/>
        <v>14410.368161600663</v>
      </c>
      <c r="K218" s="47"/>
      <c r="L218" s="47">
        <f t="shared" si="84"/>
        <v>4803.4560538668875</v>
      </c>
      <c r="M218" s="47">
        <f t="shared" si="85"/>
        <v>7205.1840808003317</v>
      </c>
      <c r="N218" s="80">
        <v>0</v>
      </c>
      <c r="O218" s="47"/>
      <c r="P218" s="47"/>
      <c r="Q218" s="47"/>
      <c r="R218" s="47"/>
      <c r="S218" s="136">
        <f>1000*5</f>
        <v>5000</v>
      </c>
      <c r="T218" s="47">
        <v>0</v>
      </c>
      <c r="U218" s="81">
        <f t="shared" si="91"/>
        <v>62391.692931601574</v>
      </c>
      <c r="V218" s="47">
        <f t="shared" si="78"/>
        <v>3244.5349236475231</v>
      </c>
      <c r="W218" s="47">
        <f t="shared" ref="W218:W230" si="94">650*C218</f>
        <v>23400</v>
      </c>
      <c r="X218" s="47">
        <f t="shared" si="86"/>
        <v>12960</v>
      </c>
      <c r="Y218" s="47">
        <f t="shared" si="79"/>
        <v>352.8</v>
      </c>
      <c r="Z218" s="47">
        <f t="shared" si="87"/>
        <v>756</v>
      </c>
      <c r="AA218" s="47">
        <f t="shared" si="80"/>
        <v>1044</v>
      </c>
      <c r="AB218" s="47">
        <f t="shared" si="81"/>
        <v>684</v>
      </c>
      <c r="AC218" s="71">
        <f t="shared" si="92"/>
        <v>42441.334923647526</v>
      </c>
      <c r="AD218" s="118">
        <f t="shared" si="93"/>
        <v>272757.44579445705</v>
      </c>
    </row>
    <row r="219" spans="1:30" s="49" customFormat="1" ht="12.75" x14ac:dyDescent="0.2">
      <c r="A219" s="94">
        <v>214</v>
      </c>
      <c r="B219" s="36" t="s">
        <v>432</v>
      </c>
      <c r="C219" s="148">
        <v>10</v>
      </c>
      <c r="D219" s="57">
        <v>2327.4222481719999</v>
      </c>
      <c r="E219" s="79">
        <f t="shared" si="90"/>
        <v>23274.222481719997</v>
      </c>
      <c r="F219" s="80">
        <f t="shared" si="76"/>
        <v>1163.7111240859999</v>
      </c>
      <c r="G219" s="47"/>
      <c r="H219" s="47">
        <f t="shared" si="82"/>
        <v>2146.4005177586218</v>
      </c>
      <c r="I219" s="47">
        <f t="shared" si="83"/>
        <v>858.56020710344876</v>
      </c>
      <c r="J219" s="47">
        <f t="shared" si="77"/>
        <v>1939.518540143333</v>
      </c>
      <c r="K219" s="47"/>
      <c r="L219" s="47">
        <f t="shared" si="84"/>
        <v>646.50618004777766</v>
      </c>
      <c r="M219" s="47">
        <f t="shared" si="85"/>
        <v>969.75927007166649</v>
      </c>
      <c r="N219" s="80">
        <v>0</v>
      </c>
      <c r="O219" s="47"/>
      <c r="P219" s="47"/>
      <c r="Q219" s="47"/>
      <c r="R219" s="47"/>
      <c r="S219" s="136"/>
      <c r="T219" s="47">
        <v>0</v>
      </c>
      <c r="U219" s="81">
        <f t="shared" si="91"/>
        <v>7724.4558392108484</v>
      </c>
      <c r="V219" s="47">
        <f t="shared" si="78"/>
        <v>2303.5466510968004</v>
      </c>
      <c r="W219" s="47">
        <f t="shared" si="94"/>
        <v>6500</v>
      </c>
      <c r="X219" s="47">
        <f t="shared" si="86"/>
        <v>3600</v>
      </c>
      <c r="Y219" s="47">
        <f t="shared" si="79"/>
        <v>98</v>
      </c>
      <c r="Z219" s="47">
        <f t="shared" si="87"/>
        <v>210</v>
      </c>
      <c r="AA219" s="47">
        <f t="shared" si="80"/>
        <v>290</v>
      </c>
      <c r="AB219" s="47">
        <f t="shared" si="81"/>
        <v>190</v>
      </c>
      <c r="AC219" s="71">
        <f t="shared" si="92"/>
        <v>13191.5466510968</v>
      </c>
      <c r="AD219" s="118">
        <f t="shared" si="93"/>
        <v>44190.224972027645</v>
      </c>
    </row>
    <row r="220" spans="1:30" s="49" customFormat="1" ht="12.75" x14ac:dyDescent="0.2">
      <c r="A220" s="94">
        <v>215</v>
      </c>
      <c r="B220" s="36" t="s">
        <v>433</v>
      </c>
      <c r="C220" s="148">
        <v>1</v>
      </c>
      <c r="D220" s="57">
        <v>1800.596</v>
      </c>
      <c r="E220" s="79">
        <f t="shared" si="90"/>
        <v>1800.596</v>
      </c>
      <c r="F220" s="80">
        <f t="shared" si="76"/>
        <v>90.029799999999994</v>
      </c>
      <c r="G220" s="47"/>
      <c r="H220" s="47">
        <f t="shared" si="82"/>
        <v>166.05496444444447</v>
      </c>
      <c r="I220" s="47">
        <f t="shared" si="83"/>
        <v>66.421985777777792</v>
      </c>
      <c r="J220" s="47">
        <f t="shared" si="77"/>
        <v>150.04966666666667</v>
      </c>
      <c r="K220" s="47"/>
      <c r="L220" s="47">
        <f t="shared" si="84"/>
        <v>50.016555555555556</v>
      </c>
      <c r="M220" s="47">
        <f t="shared" si="85"/>
        <v>75.024833333333333</v>
      </c>
      <c r="N220" s="80">
        <v>0</v>
      </c>
      <c r="O220" s="47"/>
      <c r="P220" s="47"/>
      <c r="Q220" s="47"/>
      <c r="R220" s="47"/>
      <c r="S220" s="136"/>
      <c r="T220" s="47">
        <v>0</v>
      </c>
      <c r="U220" s="81">
        <f t="shared" si="91"/>
        <v>597.59780577777769</v>
      </c>
      <c r="V220" s="47">
        <f t="shared" si="78"/>
        <v>261.96424000000002</v>
      </c>
      <c r="W220" s="47">
        <f t="shared" si="94"/>
        <v>650</v>
      </c>
      <c r="X220" s="47">
        <f t="shared" si="86"/>
        <v>360</v>
      </c>
      <c r="Y220" s="47">
        <f t="shared" si="79"/>
        <v>9.8000000000000007</v>
      </c>
      <c r="Z220" s="47">
        <f t="shared" si="87"/>
        <v>21</v>
      </c>
      <c r="AA220" s="47">
        <f t="shared" si="80"/>
        <v>29</v>
      </c>
      <c r="AB220" s="47">
        <f t="shared" si="81"/>
        <v>19</v>
      </c>
      <c r="AC220" s="71">
        <f t="shared" si="92"/>
        <v>1350.76424</v>
      </c>
      <c r="AD220" s="118">
        <f t="shared" si="93"/>
        <v>3748.9580457777779</v>
      </c>
    </row>
    <row r="221" spans="1:30" s="49" customFormat="1" ht="12.75" x14ac:dyDescent="0.2">
      <c r="A221" s="94">
        <v>216</v>
      </c>
      <c r="B221" s="36" t="s">
        <v>389</v>
      </c>
      <c r="C221" s="148">
        <v>2</v>
      </c>
      <c r="D221" s="57">
        <v>1604</v>
      </c>
      <c r="E221" s="79">
        <f t="shared" si="90"/>
        <v>3208</v>
      </c>
      <c r="F221" s="80">
        <f t="shared" si="76"/>
        <v>160.4</v>
      </c>
      <c r="G221" s="47"/>
      <c r="H221" s="47">
        <f t="shared" si="82"/>
        <v>295.84888888888889</v>
      </c>
      <c r="I221" s="47">
        <f t="shared" si="83"/>
        <v>118.33955555555556</v>
      </c>
      <c r="J221" s="47">
        <f t="shared" si="77"/>
        <v>267.33333333333331</v>
      </c>
      <c r="K221" s="47"/>
      <c r="L221" s="47">
        <f t="shared" si="84"/>
        <v>89.1111111111111</v>
      </c>
      <c r="M221" s="47">
        <f t="shared" si="85"/>
        <v>133.66666666666666</v>
      </c>
      <c r="N221" s="80">
        <v>0</v>
      </c>
      <c r="O221" s="47"/>
      <c r="P221" s="47"/>
      <c r="Q221" s="47"/>
      <c r="R221" s="47"/>
      <c r="S221" s="136"/>
      <c r="T221" s="47">
        <v>0</v>
      </c>
      <c r="U221" s="81">
        <f t="shared" si="91"/>
        <v>1064.6995555555557</v>
      </c>
      <c r="V221" s="47">
        <f t="shared" si="78"/>
        <v>547.52</v>
      </c>
      <c r="W221" s="47">
        <f t="shared" si="94"/>
        <v>1300</v>
      </c>
      <c r="X221" s="47">
        <f t="shared" si="86"/>
        <v>720</v>
      </c>
      <c r="Y221" s="47">
        <f t="shared" si="79"/>
        <v>19.600000000000001</v>
      </c>
      <c r="Z221" s="47">
        <f t="shared" si="87"/>
        <v>42</v>
      </c>
      <c r="AA221" s="47">
        <f t="shared" si="80"/>
        <v>58</v>
      </c>
      <c r="AB221" s="47">
        <f t="shared" si="81"/>
        <v>38</v>
      </c>
      <c r="AC221" s="71">
        <f t="shared" si="92"/>
        <v>2725.12</v>
      </c>
      <c r="AD221" s="118">
        <f t="shared" si="93"/>
        <v>6997.8195555555558</v>
      </c>
    </row>
    <row r="222" spans="1:30" s="49" customFormat="1" ht="12.75" x14ac:dyDescent="0.2">
      <c r="A222" s="94">
        <v>217</v>
      </c>
      <c r="B222" s="36" t="s">
        <v>623</v>
      </c>
      <c r="C222" s="148">
        <v>2</v>
      </c>
      <c r="D222" s="57">
        <v>7267.7417400000004</v>
      </c>
      <c r="E222" s="79">
        <f t="shared" si="90"/>
        <v>14535.483480000001</v>
      </c>
      <c r="F222" s="80">
        <f t="shared" si="76"/>
        <v>826.77417400000013</v>
      </c>
      <c r="G222" s="47"/>
      <c r="H222" s="47">
        <f t="shared" si="82"/>
        <v>1524.9390320444445</v>
      </c>
      <c r="I222" s="47">
        <f t="shared" si="83"/>
        <v>609.9756128177778</v>
      </c>
      <c r="J222" s="47">
        <f t="shared" si="77"/>
        <v>1377.9569566666669</v>
      </c>
      <c r="K222" s="47"/>
      <c r="L222" s="47">
        <f t="shared" si="84"/>
        <v>459.31898555555563</v>
      </c>
      <c r="M222" s="47">
        <f t="shared" si="85"/>
        <v>688.97847833333344</v>
      </c>
      <c r="N222" s="80">
        <v>0</v>
      </c>
      <c r="O222" s="47"/>
      <c r="P222" s="47"/>
      <c r="Q222" s="47"/>
      <c r="R222" s="47"/>
      <c r="S222" s="136">
        <f>1000*C222</f>
        <v>2000</v>
      </c>
      <c r="T222" s="47">
        <v>0</v>
      </c>
      <c r="U222" s="81">
        <f t="shared" si="91"/>
        <v>7487.9432394177784</v>
      </c>
      <c r="V222" s="47"/>
      <c r="W222" s="47">
        <f t="shared" si="94"/>
        <v>1300</v>
      </c>
      <c r="X222" s="47">
        <f t="shared" si="86"/>
        <v>720</v>
      </c>
      <c r="Y222" s="47">
        <f t="shared" si="79"/>
        <v>19.600000000000001</v>
      </c>
      <c r="Z222" s="47">
        <f t="shared" si="87"/>
        <v>42</v>
      </c>
      <c r="AA222" s="47">
        <f t="shared" si="80"/>
        <v>58</v>
      </c>
      <c r="AB222" s="47">
        <f t="shared" si="81"/>
        <v>38</v>
      </c>
      <c r="AC222" s="71">
        <f t="shared" si="92"/>
        <v>2177.6</v>
      </c>
      <c r="AD222" s="118">
        <f t="shared" si="93"/>
        <v>24201.02671941778</v>
      </c>
    </row>
    <row r="223" spans="1:30" s="49" customFormat="1" ht="12.75" x14ac:dyDescent="0.2">
      <c r="A223" s="94">
        <v>218</v>
      </c>
      <c r="B223" s="36" t="s">
        <v>624</v>
      </c>
      <c r="C223" s="148">
        <v>1</v>
      </c>
      <c r="D223" s="57">
        <v>7267.7417400000004</v>
      </c>
      <c r="E223" s="79">
        <f t="shared" si="90"/>
        <v>7267.7417400000004</v>
      </c>
      <c r="F223" s="80">
        <f t="shared" si="76"/>
        <v>413.38708700000007</v>
      </c>
      <c r="G223" s="47"/>
      <c r="H223" s="47">
        <f t="shared" si="82"/>
        <v>762.46951602222225</v>
      </c>
      <c r="I223" s="47">
        <f t="shared" si="83"/>
        <v>304.9878064088889</v>
      </c>
      <c r="J223" s="47">
        <f t="shared" si="77"/>
        <v>688.97847833333344</v>
      </c>
      <c r="K223" s="47"/>
      <c r="L223" s="47">
        <f t="shared" si="84"/>
        <v>229.65949277777781</v>
      </c>
      <c r="M223" s="47">
        <f t="shared" si="85"/>
        <v>344.48923916666672</v>
      </c>
      <c r="N223" s="80">
        <v>0</v>
      </c>
      <c r="O223" s="47"/>
      <c r="P223" s="47"/>
      <c r="Q223" s="47"/>
      <c r="R223" s="47"/>
      <c r="S223" s="136">
        <f>1000*C223</f>
        <v>1000</v>
      </c>
      <c r="T223" s="47">
        <v>0</v>
      </c>
      <c r="U223" s="81">
        <f t="shared" si="91"/>
        <v>3743.9716197088892</v>
      </c>
      <c r="V223" s="47"/>
      <c r="W223" s="47">
        <f t="shared" si="94"/>
        <v>650</v>
      </c>
      <c r="X223" s="47">
        <f t="shared" si="86"/>
        <v>360</v>
      </c>
      <c r="Y223" s="47">
        <f t="shared" si="79"/>
        <v>9.8000000000000007</v>
      </c>
      <c r="Z223" s="47">
        <f t="shared" si="87"/>
        <v>21</v>
      </c>
      <c r="AA223" s="47">
        <f t="shared" si="80"/>
        <v>29</v>
      </c>
      <c r="AB223" s="47">
        <f t="shared" si="81"/>
        <v>19</v>
      </c>
      <c r="AC223" s="71">
        <f t="shared" si="92"/>
        <v>1088.8</v>
      </c>
      <c r="AD223" s="118">
        <f t="shared" si="93"/>
        <v>12100.51335970889</v>
      </c>
    </row>
    <row r="224" spans="1:30" s="49" customFormat="1" ht="12.75" x14ac:dyDescent="0.2">
      <c r="A224" s="94">
        <v>219</v>
      </c>
      <c r="B224" s="36" t="s">
        <v>625</v>
      </c>
      <c r="C224" s="148">
        <v>1</v>
      </c>
      <c r="D224" s="57">
        <v>7267.7417400000004</v>
      </c>
      <c r="E224" s="79">
        <f t="shared" si="90"/>
        <v>7267.7417400000004</v>
      </c>
      <c r="F224" s="80">
        <f t="shared" si="76"/>
        <v>363.38708700000007</v>
      </c>
      <c r="G224" s="47"/>
      <c r="H224" s="47">
        <f t="shared" si="82"/>
        <v>670.24729380000008</v>
      </c>
      <c r="I224" s="47">
        <f t="shared" si="83"/>
        <v>268.09891752000004</v>
      </c>
      <c r="J224" s="47">
        <f t="shared" si="77"/>
        <v>605.64514500000007</v>
      </c>
      <c r="K224" s="47"/>
      <c r="L224" s="47">
        <f t="shared" si="84"/>
        <v>201.88171500000001</v>
      </c>
      <c r="M224" s="47">
        <f t="shared" si="85"/>
        <v>302.82257250000004</v>
      </c>
      <c r="N224" s="80">
        <v>0</v>
      </c>
      <c r="O224" s="47"/>
      <c r="P224" s="47"/>
      <c r="Q224" s="47"/>
      <c r="R224" s="47"/>
      <c r="S224" s="136"/>
      <c r="T224" s="47">
        <v>0</v>
      </c>
      <c r="U224" s="81">
        <f t="shared" si="91"/>
        <v>2412.0827308200005</v>
      </c>
      <c r="V224" s="47"/>
      <c r="W224" s="47">
        <f t="shared" si="94"/>
        <v>650</v>
      </c>
      <c r="X224" s="47">
        <f t="shared" si="86"/>
        <v>360</v>
      </c>
      <c r="Y224" s="47">
        <f t="shared" si="79"/>
        <v>9.8000000000000007</v>
      </c>
      <c r="Z224" s="47">
        <f t="shared" si="87"/>
        <v>21</v>
      </c>
      <c r="AA224" s="47">
        <f t="shared" si="80"/>
        <v>29</v>
      </c>
      <c r="AB224" s="47">
        <f t="shared" si="81"/>
        <v>19</v>
      </c>
      <c r="AC224" s="71">
        <f t="shared" si="92"/>
        <v>1088.8</v>
      </c>
      <c r="AD224" s="118">
        <f t="shared" si="93"/>
        <v>10768.624470819999</v>
      </c>
    </row>
    <row r="225" spans="1:30" s="49" customFormat="1" ht="12.75" x14ac:dyDescent="0.2">
      <c r="A225" s="94">
        <v>220</v>
      </c>
      <c r="B225" s="36" t="s">
        <v>434</v>
      </c>
      <c r="C225" s="148">
        <v>6</v>
      </c>
      <c r="D225" s="57">
        <v>7267.7417400000004</v>
      </c>
      <c r="E225" s="79">
        <f t="shared" si="90"/>
        <v>43606.450440000001</v>
      </c>
      <c r="F225" s="80">
        <f t="shared" si="76"/>
        <v>2180.3225219999999</v>
      </c>
      <c r="G225" s="47"/>
      <c r="H225" s="47">
        <f t="shared" si="82"/>
        <v>4021.4837627999996</v>
      </c>
      <c r="I225" s="47">
        <f t="shared" si="83"/>
        <v>1608.5935051199999</v>
      </c>
      <c r="J225" s="47">
        <f>(E225+N225+O225+P225+Q225+R225+S225+T225)/12</f>
        <v>3633.8708700000002</v>
      </c>
      <c r="K225" s="47"/>
      <c r="L225" s="47">
        <f t="shared" si="84"/>
        <v>1211.2902900000001</v>
      </c>
      <c r="M225" s="47">
        <f t="shared" si="85"/>
        <v>1816.9354350000001</v>
      </c>
      <c r="N225" s="80">
        <v>0</v>
      </c>
      <c r="O225" s="47"/>
      <c r="P225" s="47"/>
      <c r="Q225" s="47"/>
      <c r="R225" s="47"/>
      <c r="S225" s="136"/>
      <c r="T225" s="47">
        <v>0</v>
      </c>
      <c r="U225" s="81">
        <f t="shared" si="91"/>
        <v>14472.496384919999</v>
      </c>
      <c r="V225" s="47"/>
      <c r="W225" s="47">
        <f t="shared" si="94"/>
        <v>3900</v>
      </c>
      <c r="X225" s="47">
        <f t="shared" si="86"/>
        <v>2160</v>
      </c>
      <c r="Y225" s="47">
        <f t="shared" si="79"/>
        <v>58.800000000000004</v>
      </c>
      <c r="Z225" s="47">
        <f t="shared" si="87"/>
        <v>126</v>
      </c>
      <c r="AA225" s="47">
        <f t="shared" si="80"/>
        <v>174</v>
      </c>
      <c r="AB225" s="47">
        <f t="shared" si="81"/>
        <v>114</v>
      </c>
      <c r="AC225" s="71">
        <f t="shared" si="92"/>
        <v>6532.8</v>
      </c>
      <c r="AD225" s="118">
        <f t="shared" si="93"/>
        <v>64611.746824920003</v>
      </c>
    </row>
    <row r="226" spans="1:30" s="49" customFormat="1" ht="12.75" x14ac:dyDescent="0.2">
      <c r="A226" s="94">
        <v>221</v>
      </c>
      <c r="B226" s="36" t="s">
        <v>435</v>
      </c>
      <c r="C226" s="148">
        <v>4</v>
      </c>
      <c r="D226" s="57">
        <v>7267.7417400000004</v>
      </c>
      <c r="E226" s="79">
        <f t="shared" si="90"/>
        <v>29070.966960000002</v>
      </c>
      <c r="F226" s="80">
        <f t="shared" si="76"/>
        <v>1453.5483480000003</v>
      </c>
      <c r="G226" s="47"/>
      <c r="H226" s="47">
        <f t="shared" si="82"/>
        <v>2680.9891752000003</v>
      </c>
      <c r="I226" s="47">
        <f t="shared" si="83"/>
        <v>1072.3956700800002</v>
      </c>
      <c r="J226" s="47">
        <f t="shared" si="77"/>
        <v>2422.5805800000003</v>
      </c>
      <c r="K226" s="47"/>
      <c r="L226" s="47">
        <f t="shared" si="84"/>
        <v>807.52686000000006</v>
      </c>
      <c r="M226" s="47">
        <f t="shared" si="85"/>
        <v>1211.2902900000001</v>
      </c>
      <c r="N226" s="80">
        <v>0</v>
      </c>
      <c r="O226" s="47"/>
      <c r="P226" s="47"/>
      <c r="Q226" s="47"/>
      <c r="R226" s="47"/>
      <c r="S226" s="136"/>
      <c r="T226" s="47">
        <v>0</v>
      </c>
      <c r="U226" s="81">
        <f t="shared" si="91"/>
        <v>9648.330923280002</v>
      </c>
      <c r="V226" s="47"/>
      <c r="W226" s="47">
        <f t="shared" si="94"/>
        <v>2600</v>
      </c>
      <c r="X226" s="47">
        <f t="shared" si="86"/>
        <v>1440</v>
      </c>
      <c r="Y226" s="47">
        <f t="shared" si="79"/>
        <v>39.200000000000003</v>
      </c>
      <c r="Z226" s="47">
        <f t="shared" si="87"/>
        <v>84</v>
      </c>
      <c r="AA226" s="47">
        <f t="shared" si="80"/>
        <v>116</v>
      </c>
      <c r="AB226" s="47">
        <f t="shared" si="81"/>
        <v>76</v>
      </c>
      <c r="AC226" s="71">
        <f t="shared" si="92"/>
        <v>4355.2</v>
      </c>
      <c r="AD226" s="118">
        <f t="shared" si="93"/>
        <v>43074.497883279997</v>
      </c>
    </row>
    <row r="227" spans="1:30" s="49" customFormat="1" ht="12.75" x14ac:dyDescent="0.2">
      <c r="A227" s="94">
        <v>222</v>
      </c>
      <c r="B227" s="36" t="s">
        <v>436</v>
      </c>
      <c r="C227" s="148">
        <v>1</v>
      </c>
      <c r="D227" s="57">
        <v>5734.57</v>
      </c>
      <c r="E227" s="79">
        <f t="shared" si="90"/>
        <v>5734.57</v>
      </c>
      <c r="F227" s="80">
        <f t="shared" si="76"/>
        <v>286.7285</v>
      </c>
      <c r="G227" s="47"/>
      <c r="H227" s="47">
        <f t="shared" si="82"/>
        <v>528.85478888888883</v>
      </c>
      <c r="I227" s="47">
        <f t="shared" si="83"/>
        <v>211.54191555555553</v>
      </c>
      <c r="J227" s="47">
        <f t="shared" si="77"/>
        <v>477.88083333333333</v>
      </c>
      <c r="K227" s="47"/>
      <c r="L227" s="47">
        <f t="shared" si="84"/>
        <v>159.29361111111112</v>
      </c>
      <c r="M227" s="47">
        <f t="shared" si="85"/>
        <v>238.94041666666666</v>
      </c>
      <c r="N227" s="80">
        <v>0</v>
      </c>
      <c r="O227" s="47"/>
      <c r="P227" s="47"/>
      <c r="Q227" s="47"/>
      <c r="R227" s="47"/>
      <c r="S227" s="136"/>
      <c r="T227" s="47">
        <v>0</v>
      </c>
      <c r="U227" s="81">
        <f t="shared" si="91"/>
        <v>1903.2400655555555</v>
      </c>
      <c r="V227" s="47">
        <f t="shared" si="78"/>
        <v>25.925800000000038</v>
      </c>
      <c r="W227" s="47">
        <f t="shared" si="94"/>
        <v>650</v>
      </c>
      <c r="X227" s="47">
        <f t="shared" si="86"/>
        <v>360</v>
      </c>
      <c r="Y227" s="47">
        <f t="shared" si="79"/>
        <v>9.8000000000000007</v>
      </c>
      <c r="Z227" s="47">
        <f t="shared" si="87"/>
        <v>21</v>
      </c>
      <c r="AA227" s="47">
        <f t="shared" si="80"/>
        <v>29</v>
      </c>
      <c r="AB227" s="47">
        <f t="shared" si="81"/>
        <v>19</v>
      </c>
      <c r="AC227" s="71">
        <f t="shared" si="92"/>
        <v>1114.7257999999999</v>
      </c>
      <c r="AD227" s="118">
        <f t="shared" si="93"/>
        <v>8752.5358655555556</v>
      </c>
    </row>
    <row r="228" spans="1:30" s="49" customFormat="1" ht="12.75" x14ac:dyDescent="0.2">
      <c r="A228" s="94">
        <v>223</v>
      </c>
      <c r="B228" s="36" t="s">
        <v>390</v>
      </c>
      <c r="C228" s="148">
        <v>1</v>
      </c>
      <c r="D228" s="57">
        <v>2216.5886211419997</v>
      </c>
      <c r="E228" s="79">
        <f t="shared" si="90"/>
        <v>2216.5886211419997</v>
      </c>
      <c r="F228" s="80">
        <f t="shared" si="76"/>
        <v>110.8294310571</v>
      </c>
      <c r="G228" s="47"/>
      <c r="H228" s="47">
        <f t="shared" si="82"/>
        <v>204.41872839420668</v>
      </c>
      <c r="I228" s="47">
        <f t="shared" si="83"/>
        <v>81.767491357682673</v>
      </c>
      <c r="J228" s="47">
        <f t="shared" si="77"/>
        <v>184.71571842849997</v>
      </c>
      <c r="K228" s="47"/>
      <c r="L228" s="47">
        <f t="shared" si="84"/>
        <v>61.571906142833321</v>
      </c>
      <c r="M228" s="47">
        <f t="shared" si="85"/>
        <v>92.357859214249984</v>
      </c>
      <c r="N228" s="80">
        <v>0</v>
      </c>
      <c r="O228" s="47"/>
      <c r="P228" s="47"/>
      <c r="Q228" s="47"/>
      <c r="R228" s="47"/>
      <c r="S228" s="136"/>
      <c r="T228" s="47">
        <v>0</v>
      </c>
      <c r="U228" s="81">
        <f t="shared" si="91"/>
        <v>735.66113459457256</v>
      </c>
      <c r="V228" s="47">
        <f t="shared" si="78"/>
        <v>237.00468273148002</v>
      </c>
      <c r="W228" s="47">
        <f t="shared" si="94"/>
        <v>650</v>
      </c>
      <c r="X228" s="47">
        <f t="shared" si="86"/>
        <v>360</v>
      </c>
      <c r="Y228" s="47">
        <f t="shared" si="79"/>
        <v>9.8000000000000007</v>
      </c>
      <c r="Z228" s="47">
        <f t="shared" si="87"/>
        <v>21</v>
      </c>
      <c r="AA228" s="47">
        <f t="shared" si="80"/>
        <v>29</v>
      </c>
      <c r="AB228" s="47">
        <f t="shared" si="81"/>
        <v>19</v>
      </c>
      <c r="AC228" s="71">
        <f t="shared" si="92"/>
        <v>1325.8046827314799</v>
      </c>
      <c r="AD228" s="118">
        <f t="shared" si="93"/>
        <v>4278.0544384680525</v>
      </c>
    </row>
    <row r="229" spans="1:30" s="49" customFormat="1" ht="12.75" x14ac:dyDescent="0.2">
      <c r="A229" s="94">
        <v>224</v>
      </c>
      <c r="B229" s="36" t="s">
        <v>611</v>
      </c>
      <c r="C229" s="148">
        <v>1</v>
      </c>
      <c r="D229" s="57">
        <v>4664.5671649779988</v>
      </c>
      <c r="E229" s="79">
        <f t="shared" si="90"/>
        <v>4664.5671649779988</v>
      </c>
      <c r="F229" s="80">
        <f t="shared" si="76"/>
        <v>233.22835824889995</v>
      </c>
      <c r="G229" s="47"/>
      <c r="H229" s="47">
        <f t="shared" si="82"/>
        <v>430.17674965908213</v>
      </c>
      <c r="I229" s="47">
        <f t="shared" si="83"/>
        <v>172.07069986363285</v>
      </c>
      <c r="J229" s="47">
        <f>(E229+N229+O229+P229+Q229+R229+S229+T229)/12</f>
        <v>388.71393041483321</v>
      </c>
      <c r="K229" s="47"/>
      <c r="L229" s="47">
        <f t="shared" si="84"/>
        <v>129.57131013827774</v>
      </c>
      <c r="M229" s="47">
        <f t="shared" si="85"/>
        <v>194.35696520741661</v>
      </c>
      <c r="N229" s="80">
        <v>0</v>
      </c>
      <c r="O229" s="47"/>
      <c r="P229" s="47"/>
      <c r="Q229" s="47"/>
      <c r="R229" s="47"/>
      <c r="S229" s="136"/>
      <c r="T229" s="47">
        <v>0</v>
      </c>
      <c r="U229" s="81">
        <f t="shared" si="91"/>
        <v>1548.1180135321424</v>
      </c>
      <c r="V229" s="47">
        <f t="shared" si="78"/>
        <v>90.125970101320092</v>
      </c>
      <c r="W229" s="47">
        <f t="shared" si="94"/>
        <v>650</v>
      </c>
      <c r="X229" s="47">
        <f t="shared" si="86"/>
        <v>360</v>
      </c>
      <c r="Y229" s="47">
        <f t="shared" si="79"/>
        <v>9.8000000000000007</v>
      </c>
      <c r="Z229" s="47">
        <f t="shared" si="87"/>
        <v>21</v>
      </c>
      <c r="AA229" s="47">
        <f t="shared" si="80"/>
        <v>29</v>
      </c>
      <c r="AB229" s="47">
        <f t="shared" si="81"/>
        <v>19</v>
      </c>
      <c r="AC229" s="71">
        <f t="shared" si="92"/>
        <v>1178.92597010132</v>
      </c>
      <c r="AD229" s="118">
        <f t="shared" si="93"/>
        <v>7391.6111486114605</v>
      </c>
    </row>
    <row r="230" spans="1:30" s="49" customFormat="1" ht="12.75" x14ac:dyDescent="0.2">
      <c r="A230" s="94">
        <v>225</v>
      </c>
      <c r="B230" s="36" t="s">
        <v>612</v>
      </c>
      <c r="C230" s="148">
        <v>1</v>
      </c>
      <c r="D230" s="57">
        <v>9600</v>
      </c>
      <c r="E230" s="79">
        <f t="shared" si="90"/>
        <v>9600</v>
      </c>
      <c r="F230" s="80">
        <f t="shared" si="76"/>
        <v>479.99999999999994</v>
      </c>
      <c r="G230" s="47"/>
      <c r="H230" s="47">
        <f t="shared" si="82"/>
        <v>885.33333333333326</v>
      </c>
      <c r="I230" s="47">
        <f t="shared" si="83"/>
        <v>354.13333333333333</v>
      </c>
      <c r="J230" s="47">
        <f t="shared" si="77"/>
        <v>800</v>
      </c>
      <c r="K230" s="47"/>
      <c r="L230" s="47">
        <f t="shared" si="84"/>
        <v>266.66666666666669</v>
      </c>
      <c r="M230" s="47">
        <f t="shared" si="85"/>
        <v>400</v>
      </c>
      <c r="N230" s="80">
        <v>0</v>
      </c>
      <c r="O230" s="47"/>
      <c r="P230" s="47"/>
      <c r="Q230" s="47"/>
      <c r="R230" s="47"/>
      <c r="S230" s="136"/>
      <c r="T230" s="47">
        <v>0</v>
      </c>
      <c r="U230" s="81">
        <f t="shared" si="91"/>
        <v>3186.1333333333332</v>
      </c>
      <c r="V230" s="47"/>
      <c r="W230" s="47">
        <f t="shared" si="94"/>
        <v>650</v>
      </c>
      <c r="X230" s="47">
        <f t="shared" si="86"/>
        <v>360</v>
      </c>
      <c r="Y230" s="47">
        <f t="shared" si="79"/>
        <v>9.8000000000000007</v>
      </c>
      <c r="Z230" s="47">
        <f t="shared" si="87"/>
        <v>21</v>
      </c>
      <c r="AA230" s="47">
        <f t="shared" si="80"/>
        <v>29</v>
      </c>
      <c r="AB230" s="47">
        <f t="shared" si="81"/>
        <v>19</v>
      </c>
      <c r="AC230" s="71">
        <f t="shared" si="92"/>
        <v>1088.8</v>
      </c>
      <c r="AD230" s="118">
        <f t="shared" si="93"/>
        <v>13874.933333333332</v>
      </c>
    </row>
    <row r="231" spans="1:30" s="49" customFormat="1" ht="12.75" x14ac:dyDescent="0.2">
      <c r="A231" s="94">
        <v>226</v>
      </c>
      <c r="B231" s="364" t="s">
        <v>582</v>
      </c>
      <c r="C231" s="148">
        <v>41</v>
      </c>
      <c r="D231" s="57">
        <v>760</v>
      </c>
      <c r="E231" s="79">
        <f t="shared" si="90"/>
        <v>31160</v>
      </c>
      <c r="F231" s="80">
        <f t="shared" si="76"/>
        <v>1519.0499999999997</v>
      </c>
      <c r="G231" s="47"/>
      <c r="H231" s="47">
        <f t="shared" si="82"/>
        <v>2804.4</v>
      </c>
      <c r="I231" s="47">
        <f t="shared" ref="I231:I233" si="95">H231/2</f>
        <v>1402.2</v>
      </c>
      <c r="J231" s="47">
        <f t="shared" si="77"/>
        <v>2596.6666666666665</v>
      </c>
      <c r="K231" s="47"/>
      <c r="L231" s="47">
        <f t="shared" ref="L231:L233" si="96">K231</f>
        <v>0</v>
      </c>
      <c r="M231" s="47">
        <f t="shared" si="85"/>
        <v>1298.3333333333333</v>
      </c>
      <c r="N231" s="80">
        <v>0</v>
      </c>
      <c r="O231" s="47"/>
      <c r="P231" s="47"/>
      <c r="Q231" s="47"/>
      <c r="R231" s="47"/>
      <c r="S231" s="136"/>
      <c r="T231" s="47">
        <v>0</v>
      </c>
      <c r="U231" s="81">
        <f t="shared" si="91"/>
        <v>9620.65</v>
      </c>
      <c r="V231" s="47">
        <f t="shared" si="78"/>
        <v>13300.4</v>
      </c>
      <c r="W231" s="47">
        <f>325*20</f>
        <v>6500</v>
      </c>
      <c r="X231" s="47">
        <f t="shared" si="86"/>
        <v>14760</v>
      </c>
      <c r="Y231" s="47">
        <v>0</v>
      </c>
      <c r="Z231" s="47">
        <f t="shared" si="87"/>
        <v>861</v>
      </c>
      <c r="AA231" s="47">
        <v>0</v>
      </c>
      <c r="AB231" s="47">
        <v>0</v>
      </c>
      <c r="AC231" s="71">
        <f t="shared" si="92"/>
        <v>35421.4</v>
      </c>
      <c r="AD231" s="118">
        <f t="shared" si="93"/>
        <v>76202.05</v>
      </c>
    </row>
    <row r="232" spans="1:30" s="49" customFormat="1" ht="12.75" x14ac:dyDescent="0.2">
      <c r="A232" s="94">
        <v>227</v>
      </c>
      <c r="B232" s="364" t="s">
        <v>583</v>
      </c>
      <c r="C232" s="148">
        <v>7</v>
      </c>
      <c r="D232" s="57">
        <v>2800</v>
      </c>
      <c r="E232" s="79">
        <f t="shared" si="90"/>
        <v>19600</v>
      </c>
      <c r="F232" s="80">
        <f t="shared" si="76"/>
        <v>955.49999999999989</v>
      </c>
      <c r="G232" s="47"/>
      <c r="H232" s="47">
        <f t="shared" si="82"/>
        <v>1764</v>
      </c>
      <c r="I232" s="47">
        <f t="shared" si="95"/>
        <v>882</v>
      </c>
      <c r="J232" s="47">
        <f t="shared" si="77"/>
        <v>1633.3333333333333</v>
      </c>
      <c r="K232" s="47"/>
      <c r="L232" s="47">
        <f t="shared" si="96"/>
        <v>0</v>
      </c>
      <c r="M232" s="47">
        <f t="shared" si="85"/>
        <v>816.66666666666663</v>
      </c>
      <c r="N232" s="369">
        <v>0</v>
      </c>
      <c r="O232" s="368">
        <v>0</v>
      </c>
      <c r="P232" s="368">
        <v>0</v>
      </c>
      <c r="Q232" s="368">
        <v>0</v>
      </c>
      <c r="R232" s="368">
        <v>0</v>
      </c>
      <c r="S232" s="371">
        <v>0</v>
      </c>
      <c r="T232" s="47">
        <v>0</v>
      </c>
      <c r="U232" s="81">
        <f t="shared" si="91"/>
        <v>6051.5</v>
      </c>
      <c r="V232" s="47">
        <f t="shared" si="78"/>
        <v>1414</v>
      </c>
      <c r="W232" s="47">
        <f>650*C232</f>
        <v>4550</v>
      </c>
      <c r="X232" s="47">
        <f t="shared" si="86"/>
        <v>2520</v>
      </c>
      <c r="Y232" s="47">
        <v>0</v>
      </c>
      <c r="Z232" s="47">
        <f t="shared" si="87"/>
        <v>147</v>
      </c>
      <c r="AA232" s="47">
        <v>0</v>
      </c>
      <c r="AB232" s="47">
        <v>0</v>
      </c>
      <c r="AC232" s="71">
        <f t="shared" si="92"/>
        <v>8631</v>
      </c>
      <c r="AD232" s="118">
        <f t="shared" si="93"/>
        <v>34282.5</v>
      </c>
    </row>
    <row r="233" spans="1:30" s="49" customFormat="1" ht="22.5" x14ac:dyDescent="0.2">
      <c r="A233" s="94">
        <v>228</v>
      </c>
      <c r="B233" s="364" t="s">
        <v>614</v>
      </c>
      <c r="C233" s="148">
        <v>1</v>
      </c>
      <c r="D233" s="57">
        <v>6971.8487432299989</v>
      </c>
      <c r="E233" s="79">
        <f t="shared" si="90"/>
        <v>6971.8487432299989</v>
      </c>
      <c r="F233" s="80">
        <f t="shared" si="76"/>
        <v>339.87762623246243</v>
      </c>
      <c r="G233" s="47"/>
      <c r="H233" s="47">
        <f t="shared" si="82"/>
        <v>627.46638689069994</v>
      </c>
      <c r="I233" s="47">
        <f t="shared" si="95"/>
        <v>313.73319344534997</v>
      </c>
      <c r="J233" s="47">
        <f t="shared" si="77"/>
        <v>580.98739526916654</v>
      </c>
      <c r="K233" s="47"/>
      <c r="L233" s="47">
        <f t="shared" si="96"/>
        <v>0</v>
      </c>
      <c r="M233" s="47">
        <f t="shared" si="85"/>
        <v>290.49369763458327</v>
      </c>
      <c r="N233" s="369">
        <v>0</v>
      </c>
      <c r="O233" s="368">
        <v>0</v>
      </c>
      <c r="P233" s="368">
        <v>0</v>
      </c>
      <c r="Q233" s="368">
        <v>0</v>
      </c>
      <c r="R233" s="368">
        <v>0</v>
      </c>
      <c r="S233" s="371">
        <v>0</v>
      </c>
      <c r="T233" s="47">
        <v>0</v>
      </c>
      <c r="U233" s="81">
        <f t="shared" si="91"/>
        <v>2152.5582994722622</v>
      </c>
      <c r="V233" s="47"/>
      <c r="W233" s="47">
        <f>650*C233</f>
        <v>650</v>
      </c>
      <c r="X233" s="47">
        <f t="shared" si="86"/>
        <v>360</v>
      </c>
      <c r="Y233" s="47">
        <v>0</v>
      </c>
      <c r="Z233" s="47">
        <f t="shared" si="87"/>
        <v>21</v>
      </c>
      <c r="AA233" s="47">
        <v>0</v>
      </c>
      <c r="AB233" s="47">
        <v>0</v>
      </c>
      <c r="AC233" s="71">
        <f t="shared" si="92"/>
        <v>1031</v>
      </c>
      <c r="AD233" s="118">
        <f t="shared" si="93"/>
        <v>10155.407042702262</v>
      </c>
    </row>
    <row r="234" spans="1:30" s="49" customFormat="1" ht="10.5" hidden="1" customHeight="1" x14ac:dyDescent="0.2">
      <c r="A234" s="94">
        <v>229</v>
      </c>
      <c r="B234" s="364"/>
      <c r="C234" s="365"/>
      <c r="D234" s="57"/>
      <c r="E234" s="79">
        <f t="shared" si="90"/>
        <v>0</v>
      </c>
      <c r="F234" s="80"/>
      <c r="G234" s="47"/>
      <c r="H234" s="47"/>
      <c r="I234" s="47"/>
      <c r="J234" s="47"/>
      <c r="K234" s="47"/>
      <c r="L234" s="47"/>
      <c r="M234" s="47"/>
      <c r="N234" s="369">
        <v>0</v>
      </c>
      <c r="O234" s="368">
        <v>0</v>
      </c>
      <c r="P234" s="368">
        <v>0</v>
      </c>
      <c r="Q234" s="368">
        <v>0</v>
      </c>
      <c r="R234" s="368">
        <v>0</v>
      </c>
      <c r="S234" s="371">
        <v>0</v>
      </c>
      <c r="T234" s="47">
        <v>0</v>
      </c>
      <c r="U234" s="81">
        <f t="shared" si="91"/>
        <v>0</v>
      </c>
      <c r="V234" s="47">
        <f t="shared" ref="V234:V263" si="97">(290*C234)-(E234*6%)</f>
        <v>0</v>
      </c>
      <c r="W234" s="47"/>
      <c r="X234" s="47">
        <f t="shared" ref="X234:X262" si="98">380*C234</f>
        <v>0</v>
      </c>
      <c r="Y234" s="47">
        <v>0</v>
      </c>
      <c r="Z234" s="47">
        <f t="shared" si="87"/>
        <v>0</v>
      </c>
      <c r="AA234" s="47">
        <v>0</v>
      </c>
      <c r="AB234" s="47">
        <v>0</v>
      </c>
      <c r="AC234" s="71">
        <f t="shared" si="92"/>
        <v>0</v>
      </c>
      <c r="AD234" s="118">
        <f t="shared" si="93"/>
        <v>0</v>
      </c>
    </row>
    <row r="235" spans="1:30" s="49" customFormat="1" ht="12.75" hidden="1" x14ac:dyDescent="0.2">
      <c r="A235" s="94">
        <v>230</v>
      </c>
      <c r="B235" s="364"/>
      <c r="C235" s="365"/>
      <c r="D235" s="57"/>
      <c r="E235" s="79">
        <f t="shared" si="90"/>
        <v>0</v>
      </c>
      <c r="F235" s="80"/>
      <c r="G235" s="47"/>
      <c r="H235" s="47"/>
      <c r="I235" s="47"/>
      <c r="J235" s="47"/>
      <c r="K235" s="47"/>
      <c r="L235" s="47"/>
      <c r="M235" s="47"/>
      <c r="N235" s="369">
        <v>0</v>
      </c>
      <c r="O235" s="368">
        <v>0</v>
      </c>
      <c r="P235" s="368">
        <v>0</v>
      </c>
      <c r="Q235" s="368">
        <v>0</v>
      </c>
      <c r="R235" s="368">
        <v>0</v>
      </c>
      <c r="S235" s="371">
        <v>0</v>
      </c>
      <c r="T235" s="47">
        <v>0</v>
      </c>
      <c r="U235" s="81">
        <f t="shared" si="91"/>
        <v>0</v>
      </c>
      <c r="V235" s="47">
        <f t="shared" si="97"/>
        <v>0</v>
      </c>
      <c r="W235" s="47"/>
      <c r="X235" s="47">
        <f t="shared" si="98"/>
        <v>0</v>
      </c>
      <c r="Y235" s="47">
        <v>0</v>
      </c>
      <c r="Z235" s="47">
        <f t="shared" si="87"/>
        <v>0</v>
      </c>
      <c r="AA235" s="47">
        <v>0</v>
      </c>
      <c r="AB235" s="47">
        <v>0</v>
      </c>
      <c r="AC235" s="71">
        <f t="shared" si="92"/>
        <v>0</v>
      </c>
      <c r="AD235" s="118">
        <f t="shared" si="93"/>
        <v>0</v>
      </c>
    </row>
    <row r="236" spans="1:30" s="49" customFormat="1" ht="12.75" hidden="1" x14ac:dyDescent="0.2">
      <c r="A236" s="94">
        <v>231</v>
      </c>
      <c r="B236" s="364"/>
      <c r="C236" s="365"/>
      <c r="D236" s="57"/>
      <c r="E236" s="79">
        <f t="shared" si="90"/>
        <v>0</v>
      </c>
      <c r="F236" s="80"/>
      <c r="G236" s="47"/>
      <c r="H236" s="47"/>
      <c r="I236" s="47"/>
      <c r="J236" s="47"/>
      <c r="K236" s="47"/>
      <c r="L236" s="47"/>
      <c r="M236" s="47"/>
      <c r="N236" s="369">
        <v>0</v>
      </c>
      <c r="O236" s="368">
        <v>0</v>
      </c>
      <c r="P236" s="368">
        <v>0</v>
      </c>
      <c r="Q236" s="368">
        <v>0</v>
      </c>
      <c r="R236" s="368">
        <v>0</v>
      </c>
      <c r="S236" s="371">
        <v>0</v>
      </c>
      <c r="T236" s="47">
        <v>0</v>
      </c>
      <c r="U236" s="81">
        <f t="shared" si="91"/>
        <v>0</v>
      </c>
      <c r="V236" s="47">
        <f t="shared" si="97"/>
        <v>0</v>
      </c>
      <c r="W236" s="47"/>
      <c r="X236" s="47">
        <f t="shared" si="98"/>
        <v>0</v>
      </c>
      <c r="Y236" s="47">
        <v>0</v>
      </c>
      <c r="Z236" s="47">
        <f t="shared" si="87"/>
        <v>0</v>
      </c>
      <c r="AA236" s="47">
        <v>0</v>
      </c>
      <c r="AB236" s="47">
        <v>0</v>
      </c>
      <c r="AC236" s="71">
        <f t="shared" si="92"/>
        <v>0</v>
      </c>
      <c r="AD236" s="118">
        <f t="shared" si="93"/>
        <v>0</v>
      </c>
    </row>
    <row r="237" spans="1:30" s="49" customFormat="1" ht="12.75" hidden="1" x14ac:dyDescent="0.2">
      <c r="A237" s="94">
        <v>232</v>
      </c>
      <c r="B237" s="364"/>
      <c r="C237" s="365"/>
      <c r="D237" s="57"/>
      <c r="E237" s="79">
        <f t="shared" si="90"/>
        <v>0</v>
      </c>
      <c r="F237" s="80"/>
      <c r="G237" s="47"/>
      <c r="H237" s="47"/>
      <c r="I237" s="47"/>
      <c r="J237" s="47"/>
      <c r="K237" s="47"/>
      <c r="L237" s="47"/>
      <c r="M237" s="47"/>
      <c r="N237" s="369">
        <v>0</v>
      </c>
      <c r="O237" s="368">
        <v>0</v>
      </c>
      <c r="P237" s="368">
        <v>0</v>
      </c>
      <c r="Q237" s="368">
        <v>0</v>
      </c>
      <c r="R237" s="368">
        <v>0</v>
      </c>
      <c r="S237" s="371">
        <v>0</v>
      </c>
      <c r="T237" s="47">
        <v>0</v>
      </c>
      <c r="U237" s="81">
        <f t="shared" si="91"/>
        <v>0</v>
      </c>
      <c r="V237" s="47">
        <f t="shared" si="97"/>
        <v>0</v>
      </c>
      <c r="W237" s="47"/>
      <c r="X237" s="47">
        <f t="shared" si="98"/>
        <v>0</v>
      </c>
      <c r="Y237" s="47">
        <v>0</v>
      </c>
      <c r="Z237" s="47">
        <f t="shared" si="87"/>
        <v>0</v>
      </c>
      <c r="AA237" s="47">
        <v>0</v>
      </c>
      <c r="AB237" s="47">
        <v>0</v>
      </c>
      <c r="AC237" s="71">
        <f t="shared" si="92"/>
        <v>0</v>
      </c>
      <c r="AD237" s="118">
        <f t="shared" si="93"/>
        <v>0</v>
      </c>
    </row>
    <row r="238" spans="1:30" s="49" customFormat="1" ht="12.75" hidden="1" x14ac:dyDescent="0.2">
      <c r="A238" s="94">
        <v>233</v>
      </c>
      <c r="B238" s="364"/>
      <c r="C238" s="365"/>
      <c r="D238" s="57"/>
      <c r="E238" s="79">
        <f t="shared" si="90"/>
        <v>0</v>
      </c>
      <c r="F238" s="80"/>
      <c r="G238" s="47"/>
      <c r="H238" s="47"/>
      <c r="I238" s="47"/>
      <c r="J238" s="47"/>
      <c r="K238" s="47"/>
      <c r="L238" s="47"/>
      <c r="M238" s="47"/>
      <c r="N238" s="369">
        <v>0</v>
      </c>
      <c r="O238" s="368">
        <v>0</v>
      </c>
      <c r="P238" s="368">
        <v>0</v>
      </c>
      <c r="Q238" s="368">
        <v>0</v>
      </c>
      <c r="R238" s="368">
        <v>0</v>
      </c>
      <c r="S238" s="371">
        <v>0</v>
      </c>
      <c r="T238" s="47">
        <v>0</v>
      </c>
      <c r="U238" s="81">
        <f t="shared" si="91"/>
        <v>0</v>
      </c>
      <c r="V238" s="47">
        <f t="shared" si="97"/>
        <v>0</v>
      </c>
      <c r="W238" s="47"/>
      <c r="X238" s="47">
        <f t="shared" si="98"/>
        <v>0</v>
      </c>
      <c r="Y238" s="47">
        <v>0</v>
      </c>
      <c r="Z238" s="47">
        <f t="shared" si="87"/>
        <v>0</v>
      </c>
      <c r="AA238" s="47">
        <v>0</v>
      </c>
      <c r="AB238" s="47">
        <v>0</v>
      </c>
      <c r="AC238" s="71">
        <f t="shared" si="92"/>
        <v>0</v>
      </c>
      <c r="AD238" s="118">
        <f t="shared" si="93"/>
        <v>0</v>
      </c>
    </row>
    <row r="239" spans="1:30" s="49" customFormat="1" ht="12.75" hidden="1" x14ac:dyDescent="0.2">
      <c r="A239" s="94">
        <v>234</v>
      </c>
      <c r="B239" s="364"/>
      <c r="C239" s="365"/>
      <c r="D239" s="57"/>
      <c r="E239" s="79">
        <f t="shared" si="90"/>
        <v>0</v>
      </c>
      <c r="F239" s="80"/>
      <c r="G239" s="47"/>
      <c r="H239" s="47"/>
      <c r="I239" s="47"/>
      <c r="J239" s="47"/>
      <c r="K239" s="47"/>
      <c r="L239" s="47"/>
      <c r="M239" s="47"/>
      <c r="N239" s="369">
        <v>0</v>
      </c>
      <c r="O239" s="368">
        <v>0</v>
      </c>
      <c r="P239" s="368">
        <v>0</v>
      </c>
      <c r="Q239" s="368">
        <v>0</v>
      </c>
      <c r="R239" s="368">
        <v>0</v>
      </c>
      <c r="S239" s="371">
        <v>0</v>
      </c>
      <c r="T239" s="47">
        <v>0</v>
      </c>
      <c r="U239" s="81">
        <f t="shared" si="91"/>
        <v>0</v>
      </c>
      <c r="V239" s="47">
        <f t="shared" si="97"/>
        <v>0</v>
      </c>
      <c r="W239" s="47"/>
      <c r="X239" s="47">
        <f t="shared" si="98"/>
        <v>0</v>
      </c>
      <c r="Y239" s="47">
        <v>0</v>
      </c>
      <c r="Z239" s="47">
        <f t="shared" si="87"/>
        <v>0</v>
      </c>
      <c r="AA239" s="47">
        <v>0</v>
      </c>
      <c r="AB239" s="47">
        <v>0</v>
      </c>
      <c r="AC239" s="71">
        <f t="shared" si="92"/>
        <v>0</v>
      </c>
      <c r="AD239" s="118">
        <f t="shared" si="93"/>
        <v>0</v>
      </c>
    </row>
    <row r="240" spans="1:30" s="49" customFormat="1" ht="12.75" hidden="1" x14ac:dyDescent="0.2">
      <c r="A240" s="94">
        <v>235</v>
      </c>
      <c r="B240" s="364"/>
      <c r="C240" s="365"/>
      <c r="D240" s="57"/>
      <c r="E240" s="79">
        <f t="shared" si="90"/>
        <v>0</v>
      </c>
      <c r="F240" s="80"/>
      <c r="G240" s="47"/>
      <c r="H240" s="47"/>
      <c r="I240" s="47"/>
      <c r="J240" s="47"/>
      <c r="K240" s="47"/>
      <c r="L240" s="47"/>
      <c r="M240" s="47"/>
      <c r="N240" s="369">
        <v>0</v>
      </c>
      <c r="O240" s="368">
        <v>0</v>
      </c>
      <c r="P240" s="368">
        <v>0</v>
      </c>
      <c r="Q240" s="368">
        <v>0</v>
      </c>
      <c r="R240" s="368">
        <v>0</v>
      </c>
      <c r="S240" s="371">
        <v>0</v>
      </c>
      <c r="T240" s="47">
        <v>0</v>
      </c>
      <c r="U240" s="81">
        <f t="shared" si="91"/>
        <v>0</v>
      </c>
      <c r="V240" s="47">
        <f t="shared" si="97"/>
        <v>0</v>
      </c>
      <c r="W240" s="47"/>
      <c r="X240" s="47">
        <f t="shared" si="98"/>
        <v>0</v>
      </c>
      <c r="Y240" s="47">
        <v>0</v>
      </c>
      <c r="Z240" s="47">
        <f t="shared" si="87"/>
        <v>0</v>
      </c>
      <c r="AA240" s="47">
        <v>0</v>
      </c>
      <c r="AB240" s="47">
        <v>0</v>
      </c>
      <c r="AC240" s="71">
        <f t="shared" si="92"/>
        <v>0</v>
      </c>
      <c r="AD240" s="118">
        <f t="shared" si="93"/>
        <v>0</v>
      </c>
    </row>
    <row r="241" spans="1:30" s="49" customFormat="1" ht="12.75" hidden="1" x14ac:dyDescent="0.2">
      <c r="A241" s="94">
        <v>236</v>
      </c>
      <c r="B241" s="364"/>
      <c r="C241" s="365"/>
      <c r="D241" s="57"/>
      <c r="E241" s="79">
        <f t="shared" si="90"/>
        <v>0</v>
      </c>
      <c r="F241" s="80"/>
      <c r="G241" s="47"/>
      <c r="H241" s="47"/>
      <c r="I241" s="47"/>
      <c r="J241" s="47"/>
      <c r="K241" s="47"/>
      <c r="L241" s="47"/>
      <c r="M241" s="47"/>
      <c r="N241" s="369">
        <v>0</v>
      </c>
      <c r="O241" s="368">
        <v>0</v>
      </c>
      <c r="P241" s="368">
        <v>0</v>
      </c>
      <c r="Q241" s="368">
        <v>0</v>
      </c>
      <c r="R241" s="47">
        <f>E241*30%</f>
        <v>0</v>
      </c>
      <c r="S241" s="371">
        <v>0</v>
      </c>
      <c r="T241" s="47">
        <v>0</v>
      </c>
      <c r="U241" s="81">
        <f t="shared" si="91"/>
        <v>0</v>
      </c>
      <c r="V241" s="47">
        <f t="shared" si="97"/>
        <v>0</v>
      </c>
      <c r="W241" s="47"/>
      <c r="X241" s="47">
        <f t="shared" si="98"/>
        <v>0</v>
      </c>
      <c r="Y241" s="47">
        <v>0</v>
      </c>
      <c r="Z241" s="47">
        <f t="shared" si="87"/>
        <v>0</v>
      </c>
      <c r="AA241" s="47">
        <v>0</v>
      </c>
      <c r="AB241" s="47">
        <v>0</v>
      </c>
      <c r="AC241" s="71">
        <f t="shared" si="92"/>
        <v>0</v>
      </c>
      <c r="AD241" s="118">
        <f t="shared" si="93"/>
        <v>0</v>
      </c>
    </row>
    <row r="242" spans="1:30" s="49" customFormat="1" ht="12.75" hidden="1" x14ac:dyDescent="0.2">
      <c r="A242" s="94">
        <v>237</v>
      </c>
      <c r="B242" s="364"/>
      <c r="C242" s="365"/>
      <c r="D242" s="57"/>
      <c r="E242" s="79">
        <f t="shared" si="90"/>
        <v>0</v>
      </c>
      <c r="F242" s="80"/>
      <c r="G242" s="47"/>
      <c r="H242" s="47"/>
      <c r="I242" s="47"/>
      <c r="J242" s="47"/>
      <c r="K242" s="47"/>
      <c r="L242" s="47"/>
      <c r="M242" s="47"/>
      <c r="N242" s="369">
        <v>0</v>
      </c>
      <c r="O242" s="368">
        <v>0</v>
      </c>
      <c r="P242" s="368">
        <v>0</v>
      </c>
      <c r="Q242" s="368">
        <v>0</v>
      </c>
      <c r="R242" s="368">
        <v>0</v>
      </c>
      <c r="S242" s="371">
        <v>0</v>
      </c>
      <c r="T242" s="47">
        <v>0</v>
      </c>
      <c r="U242" s="81">
        <f t="shared" si="91"/>
        <v>0</v>
      </c>
      <c r="V242" s="47">
        <f t="shared" si="97"/>
        <v>0</v>
      </c>
      <c r="W242" s="47"/>
      <c r="X242" s="47">
        <f t="shared" si="98"/>
        <v>0</v>
      </c>
      <c r="Y242" s="47">
        <v>0</v>
      </c>
      <c r="Z242" s="47">
        <f t="shared" si="87"/>
        <v>0</v>
      </c>
      <c r="AA242" s="47">
        <v>0</v>
      </c>
      <c r="AB242" s="47">
        <v>0</v>
      </c>
      <c r="AC242" s="71">
        <f t="shared" si="92"/>
        <v>0</v>
      </c>
      <c r="AD242" s="118">
        <f t="shared" si="93"/>
        <v>0</v>
      </c>
    </row>
    <row r="243" spans="1:30" s="49" customFormat="1" ht="12.75" hidden="1" x14ac:dyDescent="0.2">
      <c r="A243" s="94">
        <v>238</v>
      </c>
      <c r="B243" s="364"/>
      <c r="C243" s="365"/>
      <c r="D243" s="57"/>
      <c r="E243" s="79">
        <f t="shared" si="90"/>
        <v>0</v>
      </c>
      <c r="F243" s="80"/>
      <c r="G243" s="47"/>
      <c r="H243" s="47"/>
      <c r="I243" s="47"/>
      <c r="J243" s="47"/>
      <c r="K243" s="47"/>
      <c r="L243" s="47"/>
      <c r="M243" s="47"/>
      <c r="N243" s="369">
        <v>0</v>
      </c>
      <c r="O243" s="368">
        <v>0</v>
      </c>
      <c r="P243" s="368">
        <v>0</v>
      </c>
      <c r="Q243" s="368">
        <v>0</v>
      </c>
      <c r="R243" s="368">
        <v>0</v>
      </c>
      <c r="S243" s="371">
        <v>0</v>
      </c>
      <c r="T243" s="47">
        <v>0</v>
      </c>
      <c r="U243" s="81">
        <f t="shared" si="91"/>
        <v>0</v>
      </c>
      <c r="V243" s="47">
        <f t="shared" si="97"/>
        <v>0</v>
      </c>
      <c r="W243" s="47"/>
      <c r="X243" s="47">
        <f t="shared" si="98"/>
        <v>0</v>
      </c>
      <c r="Y243" s="47">
        <v>0</v>
      </c>
      <c r="Z243" s="47">
        <f t="shared" si="87"/>
        <v>0</v>
      </c>
      <c r="AA243" s="47">
        <v>0</v>
      </c>
      <c r="AB243" s="47">
        <v>0</v>
      </c>
      <c r="AC243" s="71">
        <f t="shared" si="92"/>
        <v>0</v>
      </c>
      <c r="AD243" s="118">
        <f t="shared" si="93"/>
        <v>0</v>
      </c>
    </row>
    <row r="244" spans="1:30" s="49" customFormat="1" ht="12.75" hidden="1" x14ac:dyDescent="0.2">
      <c r="A244" s="94">
        <v>239</v>
      </c>
      <c r="B244" s="364"/>
      <c r="C244" s="365"/>
      <c r="D244" s="57"/>
      <c r="E244" s="79">
        <f t="shared" si="90"/>
        <v>0</v>
      </c>
      <c r="F244" s="80"/>
      <c r="G244" s="47"/>
      <c r="H244" s="47"/>
      <c r="I244" s="47"/>
      <c r="J244" s="47"/>
      <c r="K244" s="47"/>
      <c r="L244" s="47"/>
      <c r="M244" s="47"/>
      <c r="N244" s="369">
        <v>0</v>
      </c>
      <c r="O244" s="368">
        <v>0</v>
      </c>
      <c r="P244" s="368">
        <v>0</v>
      </c>
      <c r="Q244" s="368">
        <v>0</v>
      </c>
      <c r="R244" s="368">
        <v>0</v>
      </c>
      <c r="S244" s="371">
        <v>0</v>
      </c>
      <c r="T244" s="47">
        <v>0</v>
      </c>
      <c r="U244" s="81">
        <f t="shared" si="91"/>
        <v>0</v>
      </c>
      <c r="V244" s="47">
        <f t="shared" si="97"/>
        <v>0</v>
      </c>
      <c r="W244" s="47"/>
      <c r="X244" s="47">
        <f t="shared" si="98"/>
        <v>0</v>
      </c>
      <c r="Y244" s="47">
        <v>0</v>
      </c>
      <c r="Z244" s="47">
        <f t="shared" si="87"/>
        <v>0</v>
      </c>
      <c r="AA244" s="47">
        <v>0</v>
      </c>
      <c r="AB244" s="47">
        <v>0</v>
      </c>
      <c r="AC244" s="71">
        <f t="shared" si="92"/>
        <v>0</v>
      </c>
      <c r="AD244" s="118">
        <f t="shared" si="93"/>
        <v>0</v>
      </c>
    </row>
    <row r="245" spans="1:30" s="49" customFormat="1" ht="12.75" hidden="1" x14ac:dyDescent="0.2">
      <c r="A245" s="94">
        <v>240</v>
      </c>
      <c r="B245" s="364"/>
      <c r="C245" s="365"/>
      <c r="D245" s="57"/>
      <c r="E245" s="79">
        <f t="shared" si="90"/>
        <v>0</v>
      </c>
      <c r="F245" s="80"/>
      <c r="G245" s="47"/>
      <c r="H245" s="47"/>
      <c r="I245" s="47"/>
      <c r="J245" s="47"/>
      <c r="K245" s="47"/>
      <c r="L245" s="47"/>
      <c r="M245" s="47"/>
      <c r="N245" s="369"/>
      <c r="O245" s="368"/>
      <c r="P245" s="47"/>
      <c r="Q245" s="47"/>
      <c r="R245" s="47"/>
      <c r="S245" s="371"/>
      <c r="T245" s="47">
        <v>0</v>
      </c>
      <c r="U245" s="81">
        <f t="shared" si="91"/>
        <v>0</v>
      </c>
      <c r="V245" s="47">
        <f t="shared" si="97"/>
        <v>0</v>
      </c>
      <c r="W245" s="47"/>
      <c r="X245" s="47">
        <f t="shared" si="98"/>
        <v>0</v>
      </c>
      <c r="Y245" s="47">
        <v>0</v>
      </c>
      <c r="Z245" s="47">
        <f t="shared" si="87"/>
        <v>0</v>
      </c>
      <c r="AA245" s="47">
        <v>0</v>
      </c>
      <c r="AB245" s="47">
        <v>0</v>
      </c>
      <c r="AC245" s="71">
        <f t="shared" si="92"/>
        <v>0</v>
      </c>
      <c r="AD245" s="118">
        <f t="shared" si="93"/>
        <v>0</v>
      </c>
    </row>
    <row r="246" spans="1:30" s="49" customFormat="1" ht="12.75" hidden="1" x14ac:dyDescent="0.2">
      <c r="A246" s="94">
        <v>241</v>
      </c>
      <c r="B246" s="364"/>
      <c r="C246" s="365"/>
      <c r="D246" s="57"/>
      <c r="E246" s="79">
        <f t="shared" si="90"/>
        <v>0</v>
      </c>
      <c r="F246" s="80"/>
      <c r="G246" s="47"/>
      <c r="H246" s="47"/>
      <c r="I246" s="47"/>
      <c r="J246" s="47"/>
      <c r="K246" s="47"/>
      <c r="L246" s="47"/>
      <c r="M246" s="47"/>
      <c r="N246" s="369"/>
      <c r="O246" s="368"/>
      <c r="P246" s="47"/>
      <c r="Q246" s="47"/>
      <c r="R246" s="47"/>
      <c r="S246" s="371"/>
      <c r="T246" s="47">
        <v>0</v>
      </c>
      <c r="U246" s="81">
        <f t="shared" si="91"/>
        <v>0</v>
      </c>
      <c r="V246" s="47">
        <f t="shared" si="97"/>
        <v>0</v>
      </c>
      <c r="W246" s="47"/>
      <c r="X246" s="47">
        <f t="shared" si="98"/>
        <v>0</v>
      </c>
      <c r="Y246" s="47">
        <v>0</v>
      </c>
      <c r="Z246" s="47">
        <f t="shared" si="87"/>
        <v>0</v>
      </c>
      <c r="AA246" s="47">
        <v>0</v>
      </c>
      <c r="AB246" s="47">
        <v>0</v>
      </c>
      <c r="AC246" s="71">
        <f t="shared" si="92"/>
        <v>0</v>
      </c>
      <c r="AD246" s="118">
        <f t="shared" si="93"/>
        <v>0</v>
      </c>
    </row>
    <row r="247" spans="1:30" s="49" customFormat="1" ht="12.75" hidden="1" x14ac:dyDescent="0.2">
      <c r="A247" s="94">
        <v>242</v>
      </c>
      <c r="B247" s="364"/>
      <c r="C247" s="365"/>
      <c r="D247" s="57"/>
      <c r="E247" s="79">
        <f t="shared" si="90"/>
        <v>0</v>
      </c>
      <c r="F247" s="80"/>
      <c r="G247" s="47"/>
      <c r="H247" s="47"/>
      <c r="I247" s="47"/>
      <c r="J247" s="47"/>
      <c r="K247" s="47"/>
      <c r="L247" s="47"/>
      <c r="M247" s="47"/>
      <c r="N247" s="369"/>
      <c r="O247" s="368"/>
      <c r="P247" s="47"/>
      <c r="Q247" s="47"/>
      <c r="R247" s="368"/>
      <c r="S247" s="371"/>
      <c r="T247" s="47">
        <v>0</v>
      </c>
      <c r="U247" s="81">
        <f t="shared" si="91"/>
        <v>0</v>
      </c>
      <c r="V247" s="47"/>
      <c r="W247" s="47"/>
      <c r="X247" s="47">
        <f t="shared" si="98"/>
        <v>0</v>
      </c>
      <c r="Y247" s="47">
        <v>0</v>
      </c>
      <c r="Z247" s="47">
        <f t="shared" si="87"/>
        <v>0</v>
      </c>
      <c r="AA247" s="47">
        <v>0</v>
      </c>
      <c r="AB247" s="47">
        <v>0</v>
      </c>
      <c r="AC247" s="71">
        <f t="shared" si="92"/>
        <v>0</v>
      </c>
      <c r="AD247" s="118">
        <f t="shared" si="93"/>
        <v>0</v>
      </c>
    </row>
    <row r="248" spans="1:30" s="49" customFormat="1" ht="12.75" hidden="1" x14ac:dyDescent="0.2">
      <c r="A248" s="94">
        <v>243</v>
      </c>
      <c r="B248" s="364"/>
      <c r="C248" s="365"/>
      <c r="D248" s="57"/>
      <c r="E248" s="79">
        <f t="shared" si="90"/>
        <v>0</v>
      </c>
      <c r="F248" s="80"/>
      <c r="G248" s="47"/>
      <c r="H248" s="47"/>
      <c r="I248" s="47"/>
      <c r="J248" s="47"/>
      <c r="K248" s="47"/>
      <c r="L248" s="47"/>
      <c r="M248" s="47"/>
      <c r="N248" s="369"/>
      <c r="O248" s="368"/>
      <c r="P248" s="47"/>
      <c r="Q248" s="47"/>
      <c r="R248" s="368"/>
      <c r="S248" s="371"/>
      <c r="T248" s="47">
        <v>0</v>
      </c>
      <c r="U248" s="81">
        <f t="shared" si="91"/>
        <v>0</v>
      </c>
      <c r="V248" s="47">
        <f t="shared" si="97"/>
        <v>0</v>
      </c>
      <c r="W248" s="47"/>
      <c r="X248" s="47">
        <f t="shared" si="98"/>
        <v>0</v>
      </c>
      <c r="Y248" s="47">
        <v>0</v>
      </c>
      <c r="Z248" s="47">
        <f t="shared" si="87"/>
        <v>0</v>
      </c>
      <c r="AA248" s="47">
        <v>0</v>
      </c>
      <c r="AB248" s="47">
        <v>0</v>
      </c>
      <c r="AC248" s="71">
        <f t="shared" si="92"/>
        <v>0</v>
      </c>
      <c r="AD248" s="118">
        <f t="shared" si="93"/>
        <v>0</v>
      </c>
    </row>
    <row r="249" spans="1:30" s="49" customFormat="1" ht="12.75" hidden="1" x14ac:dyDescent="0.2">
      <c r="A249" s="94">
        <v>244</v>
      </c>
      <c r="B249" s="364"/>
      <c r="C249" s="365"/>
      <c r="D249" s="57"/>
      <c r="E249" s="79">
        <f t="shared" si="90"/>
        <v>0</v>
      </c>
      <c r="F249" s="80"/>
      <c r="G249" s="47"/>
      <c r="H249" s="47"/>
      <c r="I249" s="47"/>
      <c r="J249" s="47"/>
      <c r="K249" s="47"/>
      <c r="L249" s="47"/>
      <c r="M249" s="47"/>
      <c r="N249" s="369"/>
      <c r="O249" s="368"/>
      <c r="P249" s="47"/>
      <c r="Q249" s="47"/>
      <c r="R249" s="368"/>
      <c r="S249" s="371"/>
      <c r="T249" s="47">
        <v>0</v>
      </c>
      <c r="U249" s="81">
        <f t="shared" si="91"/>
        <v>0</v>
      </c>
      <c r="V249" s="47">
        <f t="shared" si="97"/>
        <v>0</v>
      </c>
      <c r="W249" s="47"/>
      <c r="X249" s="47">
        <f t="shared" si="98"/>
        <v>0</v>
      </c>
      <c r="Y249" s="47">
        <v>0</v>
      </c>
      <c r="Z249" s="47">
        <f t="shared" si="87"/>
        <v>0</v>
      </c>
      <c r="AA249" s="47">
        <v>0</v>
      </c>
      <c r="AB249" s="47">
        <v>0</v>
      </c>
      <c r="AC249" s="71">
        <f t="shared" si="92"/>
        <v>0</v>
      </c>
      <c r="AD249" s="118">
        <f t="shared" si="93"/>
        <v>0</v>
      </c>
    </row>
    <row r="250" spans="1:30" s="49" customFormat="1" ht="12.75" hidden="1" x14ac:dyDescent="0.2">
      <c r="A250" s="94">
        <v>245</v>
      </c>
      <c r="B250" s="367"/>
      <c r="C250" s="365"/>
      <c r="D250" s="57"/>
      <c r="E250" s="79">
        <f t="shared" si="90"/>
        <v>0</v>
      </c>
      <c r="F250" s="80"/>
      <c r="G250" s="47"/>
      <c r="H250" s="47"/>
      <c r="I250" s="47"/>
      <c r="J250" s="47"/>
      <c r="K250" s="47"/>
      <c r="L250" s="47"/>
      <c r="M250" s="47"/>
      <c r="N250" s="369"/>
      <c r="O250" s="368"/>
      <c r="P250" s="47"/>
      <c r="Q250" s="368"/>
      <c r="R250" s="368"/>
      <c r="S250" s="371"/>
      <c r="T250" s="47">
        <v>0</v>
      </c>
      <c r="U250" s="81">
        <f t="shared" si="91"/>
        <v>0</v>
      </c>
      <c r="V250" s="47"/>
      <c r="W250" s="47"/>
      <c r="X250" s="47">
        <f t="shared" si="98"/>
        <v>0</v>
      </c>
      <c r="Y250" s="47">
        <v>0</v>
      </c>
      <c r="Z250" s="47">
        <f t="shared" si="87"/>
        <v>0</v>
      </c>
      <c r="AA250" s="47">
        <v>0</v>
      </c>
      <c r="AB250" s="47">
        <v>0</v>
      </c>
      <c r="AC250" s="71">
        <f t="shared" si="92"/>
        <v>0</v>
      </c>
      <c r="AD250" s="118">
        <f t="shared" si="93"/>
        <v>0</v>
      </c>
    </row>
    <row r="251" spans="1:30" s="49" customFormat="1" ht="12.75" hidden="1" x14ac:dyDescent="0.2">
      <c r="A251" s="94">
        <v>246</v>
      </c>
      <c r="B251" s="367"/>
      <c r="C251" s="365"/>
      <c r="D251" s="57"/>
      <c r="E251" s="79">
        <f t="shared" si="90"/>
        <v>0</v>
      </c>
      <c r="F251" s="80"/>
      <c r="G251" s="47"/>
      <c r="H251" s="47"/>
      <c r="I251" s="47"/>
      <c r="J251" s="47"/>
      <c r="K251" s="47"/>
      <c r="L251" s="47"/>
      <c r="M251" s="47"/>
      <c r="N251" s="369">
        <v>0</v>
      </c>
      <c r="O251" s="368">
        <v>0</v>
      </c>
      <c r="P251" s="368">
        <v>0</v>
      </c>
      <c r="Q251" s="368">
        <v>0</v>
      </c>
      <c r="R251" s="368">
        <v>0</v>
      </c>
      <c r="S251" s="371">
        <v>0</v>
      </c>
      <c r="T251" s="47">
        <v>0</v>
      </c>
      <c r="U251" s="81">
        <f t="shared" si="91"/>
        <v>0</v>
      </c>
      <c r="V251" s="47"/>
      <c r="W251" s="47"/>
      <c r="X251" s="47">
        <f t="shared" si="98"/>
        <v>0</v>
      </c>
      <c r="Y251" s="47">
        <v>0</v>
      </c>
      <c r="Z251" s="47">
        <f t="shared" si="87"/>
        <v>0</v>
      </c>
      <c r="AA251" s="47">
        <v>0</v>
      </c>
      <c r="AB251" s="47">
        <v>0</v>
      </c>
      <c r="AC251" s="71">
        <f t="shared" si="92"/>
        <v>0</v>
      </c>
      <c r="AD251" s="118">
        <f t="shared" si="93"/>
        <v>0</v>
      </c>
    </row>
    <row r="252" spans="1:30" s="49" customFormat="1" ht="12.75" hidden="1" x14ac:dyDescent="0.2">
      <c r="A252" s="94">
        <v>247</v>
      </c>
      <c r="B252" s="367"/>
      <c r="C252" s="365"/>
      <c r="D252" s="57"/>
      <c r="E252" s="79">
        <f t="shared" si="90"/>
        <v>0</v>
      </c>
      <c r="F252" s="80"/>
      <c r="G252" s="47"/>
      <c r="H252" s="47"/>
      <c r="I252" s="47"/>
      <c r="J252" s="47"/>
      <c r="K252" s="47"/>
      <c r="L252" s="47"/>
      <c r="M252" s="47"/>
      <c r="N252" s="369">
        <v>0</v>
      </c>
      <c r="O252" s="368">
        <v>0</v>
      </c>
      <c r="P252" s="368">
        <v>0</v>
      </c>
      <c r="Q252" s="368">
        <v>0</v>
      </c>
      <c r="R252" s="368">
        <v>0</v>
      </c>
      <c r="S252" s="371">
        <v>0</v>
      </c>
      <c r="T252" s="47">
        <v>0</v>
      </c>
      <c r="U252" s="81">
        <f t="shared" si="91"/>
        <v>0</v>
      </c>
      <c r="V252" s="47"/>
      <c r="W252" s="47"/>
      <c r="X252" s="47">
        <f t="shared" si="98"/>
        <v>0</v>
      </c>
      <c r="Y252" s="47">
        <v>0</v>
      </c>
      <c r="Z252" s="47">
        <f t="shared" si="87"/>
        <v>0</v>
      </c>
      <c r="AA252" s="47">
        <v>0</v>
      </c>
      <c r="AB252" s="47">
        <v>0</v>
      </c>
      <c r="AC252" s="71">
        <f t="shared" si="92"/>
        <v>0</v>
      </c>
      <c r="AD252" s="118">
        <f t="shared" si="93"/>
        <v>0</v>
      </c>
    </row>
    <row r="253" spans="1:30" s="49" customFormat="1" ht="12.75" hidden="1" x14ac:dyDescent="0.2">
      <c r="A253" s="94">
        <v>248</v>
      </c>
      <c r="B253" s="364"/>
      <c r="C253" s="365"/>
      <c r="D253" s="57"/>
      <c r="E253" s="79">
        <f t="shared" si="90"/>
        <v>0</v>
      </c>
      <c r="F253" s="80"/>
      <c r="G253" s="47"/>
      <c r="H253" s="47"/>
      <c r="I253" s="47"/>
      <c r="J253" s="47"/>
      <c r="K253" s="47"/>
      <c r="L253" s="47"/>
      <c r="M253" s="47"/>
      <c r="N253" s="369">
        <v>0</v>
      </c>
      <c r="O253" s="368">
        <v>0</v>
      </c>
      <c r="P253" s="368">
        <v>0</v>
      </c>
      <c r="Q253" s="368">
        <v>0</v>
      </c>
      <c r="R253" s="368">
        <v>0</v>
      </c>
      <c r="S253" s="371">
        <v>0</v>
      </c>
      <c r="T253" s="47">
        <v>0</v>
      </c>
      <c r="U253" s="81">
        <f t="shared" si="91"/>
        <v>0</v>
      </c>
      <c r="V253" s="47">
        <f t="shared" si="97"/>
        <v>0</v>
      </c>
      <c r="W253" s="47"/>
      <c r="X253" s="47">
        <f t="shared" si="98"/>
        <v>0</v>
      </c>
      <c r="Y253" s="47">
        <v>0</v>
      </c>
      <c r="Z253" s="47">
        <f t="shared" si="87"/>
        <v>0</v>
      </c>
      <c r="AA253" s="47">
        <v>0</v>
      </c>
      <c r="AB253" s="47">
        <v>0</v>
      </c>
      <c r="AC253" s="71">
        <f t="shared" si="92"/>
        <v>0</v>
      </c>
      <c r="AD253" s="118">
        <f t="shared" si="93"/>
        <v>0</v>
      </c>
    </row>
    <row r="254" spans="1:30" s="49" customFormat="1" ht="12.75" hidden="1" x14ac:dyDescent="0.2">
      <c r="A254" s="94">
        <v>249</v>
      </c>
      <c r="B254" s="364"/>
      <c r="C254" s="365"/>
      <c r="D254" s="57"/>
      <c r="E254" s="79">
        <f t="shared" si="90"/>
        <v>0</v>
      </c>
      <c r="F254" s="80"/>
      <c r="G254" s="47"/>
      <c r="H254" s="47"/>
      <c r="I254" s="47"/>
      <c r="J254" s="47"/>
      <c r="K254" s="47"/>
      <c r="L254" s="47"/>
      <c r="M254" s="47"/>
      <c r="N254" s="369">
        <v>0</v>
      </c>
      <c r="O254" s="368">
        <v>0</v>
      </c>
      <c r="P254" s="368">
        <v>0</v>
      </c>
      <c r="Q254" s="368">
        <v>0</v>
      </c>
      <c r="R254" s="368">
        <v>0</v>
      </c>
      <c r="S254" s="371">
        <v>0</v>
      </c>
      <c r="T254" s="47">
        <v>0</v>
      </c>
      <c r="U254" s="81">
        <f t="shared" si="91"/>
        <v>0</v>
      </c>
      <c r="V254" s="47">
        <f t="shared" si="97"/>
        <v>0</v>
      </c>
      <c r="W254" s="47"/>
      <c r="X254" s="47">
        <f t="shared" si="98"/>
        <v>0</v>
      </c>
      <c r="Y254" s="47">
        <v>0</v>
      </c>
      <c r="Z254" s="47">
        <f t="shared" si="87"/>
        <v>0</v>
      </c>
      <c r="AA254" s="47">
        <v>0</v>
      </c>
      <c r="AB254" s="47">
        <v>0</v>
      </c>
      <c r="AC254" s="71">
        <f t="shared" si="92"/>
        <v>0</v>
      </c>
      <c r="AD254" s="118">
        <f t="shared" si="93"/>
        <v>0</v>
      </c>
    </row>
    <row r="255" spans="1:30" s="49" customFormat="1" ht="12.75" hidden="1" x14ac:dyDescent="0.2">
      <c r="A255" s="94">
        <v>250</v>
      </c>
      <c r="B255" s="364"/>
      <c r="C255" s="365"/>
      <c r="D255" s="57"/>
      <c r="E255" s="79">
        <f t="shared" si="90"/>
        <v>0</v>
      </c>
      <c r="F255" s="80"/>
      <c r="G255" s="47"/>
      <c r="H255" s="47"/>
      <c r="I255" s="47"/>
      <c r="J255" s="47"/>
      <c r="K255" s="47"/>
      <c r="L255" s="47"/>
      <c r="M255" s="47"/>
      <c r="N255" s="369">
        <v>0</v>
      </c>
      <c r="O255" s="368">
        <v>0</v>
      </c>
      <c r="P255" s="368">
        <v>0</v>
      </c>
      <c r="Q255" s="368">
        <v>0</v>
      </c>
      <c r="R255" s="368">
        <v>0</v>
      </c>
      <c r="S255" s="371">
        <v>0</v>
      </c>
      <c r="T255" s="47">
        <v>0</v>
      </c>
      <c r="U255" s="81">
        <f t="shared" si="91"/>
        <v>0</v>
      </c>
      <c r="V255" s="47">
        <f t="shared" si="97"/>
        <v>0</v>
      </c>
      <c r="W255" s="47"/>
      <c r="X255" s="47">
        <f t="shared" si="98"/>
        <v>0</v>
      </c>
      <c r="Y255" s="47">
        <v>0</v>
      </c>
      <c r="Z255" s="47">
        <f t="shared" si="87"/>
        <v>0</v>
      </c>
      <c r="AA255" s="47">
        <v>0</v>
      </c>
      <c r="AB255" s="47">
        <v>0</v>
      </c>
      <c r="AC255" s="71">
        <f t="shared" si="92"/>
        <v>0</v>
      </c>
      <c r="AD255" s="118">
        <f t="shared" si="93"/>
        <v>0</v>
      </c>
    </row>
    <row r="256" spans="1:30" s="49" customFormat="1" ht="12.75" hidden="1" x14ac:dyDescent="0.2">
      <c r="A256" s="94">
        <v>251</v>
      </c>
      <c r="B256" s="364"/>
      <c r="C256" s="365"/>
      <c r="D256" s="57"/>
      <c r="E256" s="79">
        <f t="shared" si="90"/>
        <v>0</v>
      </c>
      <c r="F256" s="80"/>
      <c r="G256" s="47"/>
      <c r="H256" s="47"/>
      <c r="I256" s="47"/>
      <c r="J256" s="47"/>
      <c r="K256" s="47"/>
      <c r="L256" s="47"/>
      <c r="M256" s="47"/>
      <c r="N256" s="369">
        <v>0</v>
      </c>
      <c r="O256" s="368">
        <v>0</v>
      </c>
      <c r="P256" s="368">
        <v>0</v>
      </c>
      <c r="Q256" s="368">
        <v>0</v>
      </c>
      <c r="R256" s="368">
        <v>0</v>
      </c>
      <c r="S256" s="371">
        <v>0</v>
      </c>
      <c r="T256" s="47">
        <v>0</v>
      </c>
      <c r="U256" s="81">
        <f t="shared" si="91"/>
        <v>0</v>
      </c>
      <c r="V256" s="47">
        <f t="shared" si="97"/>
        <v>0</v>
      </c>
      <c r="W256" s="47"/>
      <c r="X256" s="47">
        <f t="shared" si="98"/>
        <v>0</v>
      </c>
      <c r="Y256" s="47">
        <v>0</v>
      </c>
      <c r="Z256" s="47">
        <f t="shared" si="87"/>
        <v>0</v>
      </c>
      <c r="AA256" s="47">
        <v>0</v>
      </c>
      <c r="AB256" s="47">
        <v>0</v>
      </c>
      <c r="AC256" s="71">
        <f t="shared" si="92"/>
        <v>0</v>
      </c>
      <c r="AD256" s="118">
        <f t="shared" si="93"/>
        <v>0</v>
      </c>
    </row>
    <row r="257" spans="1:30" s="49" customFormat="1" ht="12.75" hidden="1" x14ac:dyDescent="0.2">
      <c r="A257" s="94">
        <v>252</v>
      </c>
      <c r="B257" s="364"/>
      <c r="C257" s="365"/>
      <c r="D257" s="57"/>
      <c r="E257" s="79">
        <f t="shared" si="90"/>
        <v>0</v>
      </c>
      <c r="F257" s="80"/>
      <c r="G257" s="47"/>
      <c r="H257" s="47"/>
      <c r="I257" s="47"/>
      <c r="J257" s="47"/>
      <c r="K257" s="47"/>
      <c r="L257" s="47"/>
      <c r="M257" s="47"/>
      <c r="N257" s="369">
        <v>0</v>
      </c>
      <c r="O257" s="368">
        <v>0</v>
      </c>
      <c r="P257" s="368">
        <v>0</v>
      </c>
      <c r="Q257" s="368">
        <v>0</v>
      </c>
      <c r="R257" s="368">
        <v>0</v>
      </c>
      <c r="S257" s="371">
        <v>0</v>
      </c>
      <c r="T257" s="47">
        <v>0</v>
      </c>
      <c r="U257" s="81">
        <f t="shared" si="91"/>
        <v>0</v>
      </c>
      <c r="V257" s="47">
        <f t="shared" si="97"/>
        <v>0</v>
      </c>
      <c r="W257" s="47"/>
      <c r="X257" s="47">
        <f t="shared" si="98"/>
        <v>0</v>
      </c>
      <c r="Y257" s="47">
        <v>0</v>
      </c>
      <c r="Z257" s="47">
        <f t="shared" si="87"/>
        <v>0</v>
      </c>
      <c r="AA257" s="47">
        <v>0</v>
      </c>
      <c r="AB257" s="47">
        <v>0</v>
      </c>
      <c r="AC257" s="71">
        <f t="shared" si="92"/>
        <v>0</v>
      </c>
      <c r="AD257" s="118">
        <f t="shared" si="93"/>
        <v>0</v>
      </c>
    </row>
    <row r="258" spans="1:30" s="49" customFormat="1" ht="12.75" hidden="1" x14ac:dyDescent="0.2">
      <c r="A258" s="94">
        <v>253</v>
      </c>
      <c r="B258" s="364"/>
      <c r="C258" s="365"/>
      <c r="D258" s="57"/>
      <c r="E258" s="79">
        <f t="shared" si="90"/>
        <v>0</v>
      </c>
      <c r="F258" s="80"/>
      <c r="G258" s="47"/>
      <c r="H258" s="47"/>
      <c r="I258" s="47"/>
      <c r="J258" s="47"/>
      <c r="K258" s="47"/>
      <c r="L258" s="47"/>
      <c r="M258" s="47"/>
      <c r="N258" s="369">
        <v>0</v>
      </c>
      <c r="O258" s="368">
        <v>0</v>
      </c>
      <c r="P258" s="368">
        <v>0</v>
      </c>
      <c r="Q258" s="368">
        <v>0</v>
      </c>
      <c r="R258" s="368">
        <v>0</v>
      </c>
      <c r="S258" s="371">
        <v>0</v>
      </c>
      <c r="T258" s="47">
        <v>0</v>
      </c>
      <c r="U258" s="81">
        <f t="shared" si="91"/>
        <v>0</v>
      </c>
      <c r="V258" s="47">
        <f t="shared" si="97"/>
        <v>0</v>
      </c>
      <c r="W258" s="47"/>
      <c r="X258" s="47">
        <f t="shared" si="98"/>
        <v>0</v>
      </c>
      <c r="Y258" s="47">
        <v>0</v>
      </c>
      <c r="Z258" s="47">
        <f t="shared" si="87"/>
        <v>0</v>
      </c>
      <c r="AA258" s="47">
        <v>0</v>
      </c>
      <c r="AB258" s="47">
        <v>0</v>
      </c>
      <c r="AC258" s="71">
        <f t="shared" si="92"/>
        <v>0</v>
      </c>
      <c r="AD258" s="118">
        <f t="shared" si="93"/>
        <v>0</v>
      </c>
    </row>
    <row r="259" spans="1:30" s="49" customFormat="1" ht="12.75" hidden="1" x14ac:dyDescent="0.2">
      <c r="A259" s="94">
        <v>254</v>
      </c>
      <c r="B259" s="364"/>
      <c r="C259" s="365"/>
      <c r="D259" s="57"/>
      <c r="E259" s="79">
        <f t="shared" si="90"/>
        <v>0</v>
      </c>
      <c r="F259" s="80"/>
      <c r="G259" s="47"/>
      <c r="H259" s="47"/>
      <c r="I259" s="47"/>
      <c r="J259" s="47"/>
      <c r="K259" s="47"/>
      <c r="L259" s="47"/>
      <c r="M259" s="47"/>
      <c r="N259" s="369">
        <v>0</v>
      </c>
      <c r="O259" s="368">
        <v>0</v>
      </c>
      <c r="P259" s="368">
        <v>0</v>
      </c>
      <c r="Q259" s="368">
        <v>0</v>
      </c>
      <c r="R259" s="47">
        <f>E259*30%</f>
        <v>0</v>
      </c>
      <c r="S259" s="371">
        <v>0</v>
      </c>
      <c r="T259" s="47">
        <v>0</v>
      </c>
      <c r="U259" s="81">
        <f t="shared" si="91"/>
        <v>0</v>
      </c>
      <c r="V259" s="47">
        <f t="shared" si="97"/>
        <v>0</v>
      </c>
      <c r="W259" s="47"/>
      <c r="X259" s="47">
        <f t="shared" si="98"/>
        <v>0</v>
      </c>
      <c r="Y259" s="47">
        <v>0</v>
      </c>
      <c r="Z259" s="47">
        <f t="shared" si="87"/>
        <v>0</v>
      </c>
      <c r="AA259" s="47">
        <v>0</v>
      </c>
      <c r="AB259" s="47">
        <v>0</v>
      </c>
      <c r="AC259" s="71">
        <f t="shared" si="92"/>
        <v>0</v>
      </c>
      <c r="AD259" s="118">
        <f t="shared" si="93"/>
        <v>0</v>
      </c>
    </row>
    <row r="260" spans="1:30" s="49" customFormat="1" ht="12.75" hidden="1" x14ac:dyDescent="0.2">
      <c r="A260" s="94">
        <v>255</v>
      </c>
      <c r="B260" s="364"/>
      <c r="C260" s="365"/>
      <c r="D260" s="57"/>
      <c r="E260" s="79">
        <f t="shared" si="90"/>
        <v>0</v>
      </c>
      <c r="F260" s="80"/>
      <c r="G260" s="47"/>
      <c r="H260" s="47"/>
      <c r="I260" s="47"/>
      <c r="J260" s="47"/>
      <c r="K260" s="47"/>
      <c r="L260" s="47"/>
      <c r="M260" s="47"/>
      <c r="N260" s="369">
        <v>0</v>
      </c>
      <c r="O260" s="368">
        <v>0</v>
      </c>
      <c r="P260" s="368">
        <v>0</v>
      </c>
      <c r="Q260" s="368">
        <v>0</v>
      </c>
      <c r="R260" s="47"/>
      <c r="S260" s="371">
        <v>0</v>
      </c>
      <c r="T260" s="47">
        <v>0</v>
      </c>
      <c r="U260" s="81">
        <f t="shared" si="91"/>
        <v>0</v>
      </c>
      <c r="V260" s="47">
        <f t="shared" si="97"/>
        <v>0</v>
      </c>
      <c r="W260" s="47"/>
      <c r="X260" s="47">
        <f t="shared" si="98"/>
        <v>0</v>
      </c>
      <c r="Y260" s="47">
        <v>0</v>
      </c>
      <c r="Z260" s="47">
        <f t="shared" si="87"/>
        <v>0</v>
      </c>
      <c r="AA260" s="47">
        <v>0</v>
      </c>
      <c r="AB260" s="47">
        <v>0</v>
      </c>
      <c r="AC260" s="71">
        <f t="shared" si="92"/>
        <v>0</v>
      </c>
      <c r="AD260" s="118">
        <f t="shared" si="93"/>
        <v>0</v>
      </c>
    </row>
    <row r="261" spans="1:30" s="49" customFormat="1" ht="12.75" hidden="1" x14ac:dyDescent="0.2">
      <c r="A261" s="94">
        <v>256</v>
      </c>
      <c r="B261" s="364"/>
      <c r="C261" s="365"/>
      <c r="D261" s="57"/>
      <c r="E261" s="79">
        <f t="shared" si="90"/>
        <v>0</v>
      </c>
      <c r="F261" s="80"/>
      <c r="G261" s="47"/>
      <c r="H261" s="47"/>
      <c r="I261" s="47"/>
      <c r="J261" s="47"/>
      <c r="K261" s="47"/>
      <c r="L261" s="47"/>
      <c r="M261" s="47"/>
      <c r="N261" s="369">
        <v>0</v>
      </c>
      <c r="O261" s="368">
        <v>0</v>
      </c>
      <c r="P261" s="368">
        <v>0</v>
      </c>
      <c r="Q261" s="368">
        <v>0</v>
      </c>
      <c r="R261" s="368">
        <v>0</v>
      </c>
      <c r="S261" s="371">
        <v>0</v>
      </c>
      <c r="T261" s="47">
        <v>0</v>
      </c>
      <c r="U261" s="81">
        <f t="shared" si="91"/>
        <v>0</v>
      </c>
      <c r="V261" s="47">
        <f t="shared" si="97"/>
        <v>0</v>
      </c>
      <c r="W261" s="47"/>
      <c r="X261" s="47">
        <f t="shared" si="98"/>
        <v>0</v>
      </c>
      <c r="Y261" s="47">
        <v>0</v>
      </c>
      <c r="Z261" s="47">
        <f t="shared" si="87"/>
        <v>0</v>
      </c>
      <c r="AA261" s="47">
        <v>0</v>
      </c>
      <c r="AB261" s="47">
        <v>0</v>
      </c>
      <c r="AC261" s="71">
        <f t="shared" si="92"/>
        <v>0</v>
      </c>
      <c r="AD261" s="118">
        <f t="shared" si="93"/>
        <v>0</v>
      </c>
    </row>
    <row r="262" spans="1:30" s="49" customFormat="1" ht="12.75" hidden="1" x14ac:dyDescent="0.2">
      <c r="A262" s="94">
        <v>257</v>
      </c>
      <c r="B262" s="364"/>
      <c r="C262" s="365"/>
      <c r="D262" s="57"/>
      <c r="E262" s="79">
        <f t="shared" si="90"/>
        <v>0</v>
      </c>
      <c r="F262" s="80"/>
      <c r="G262" s="47"/>
      <c r="H262" s="47"/>
      <c r="I262" s="47"/>
      <c r="J262" s="47"/>
      <c r="K262" s="47"/>
      <c r="L262" s="47"/>
      <c r="M262" s="47"/>
      <c r="N262" s="369">
        <v>0</v>
      </c>
      <c r="O262" s="368">
        <v>0</v>
      </c>
      <c r="P262" s="368">
        <v>0</v>
      </c>
      <c r="Q262" s="368">
        <v>0</v>
      </c>
      <c r="R262" s="368">
        <v>0</v>
      </c>
      <c r="S262" s="371">
        <v>0</v>
      </c>
      <c r="T262" s="47">
        <v>0</v>
      </c>
      <c r="U262" s="81">
        <f t="shared" si="91"/>
        <v>0</v>
      </c>
      <c r="V262" s="47">
        <f t="shared" si="97"/>
        <v>0</v>
      </c>
      <c r="W262" s="47"/>
      <c r="X262" s="47">
        <f t="shared" si="98"/>
        <v>0</v>
      </c>
      <c r="Y262" s="47">
        <v>0</v>
      </c>
      <c r="Z262" s="47">
        <f t="shared" si="87"/>
        <v>0</v>
      </c>
      <c r="AA262" s="47">
        <v>0</v>
      </c>
      <c r="AB262" s="47">
        <v>0</v>
      </c>
      <c r="AC262" s="71">
        <f t="shared" si="92"/>
        <v>0</v>
      </c>
      <c r="AD262" s="118">
        <f t="shared" si="93"/>
        <v>0</v>
      </c>
    </row>
    <row r="263" spans="1:30" s="49" customFormat="1" ht="12.75" hidden="1" x14ac:dyDescent="0.2">
      <c r="A263" s="94">
        <v>258</v>
      </c>
      <c r="B263" s="364"/>
      <c r="C263" s="365"/>
      <c r="D263" s="57"/>
      <c r="E263" s="79">
        <f t="shared" si="90"/>
        <v>0</v>
      </c>
      <c r="F263" s="80"/>
      <c r="G263" s="47"/>
      <c r="H263" s="47"/>
      <c r="I263" s="47"/>
      <c r="J263" s="47"/>
      <c r="K263" s="47"/>
      <c r="L263" s="47"/>
      <c r="M263" s="47"/>
      <c r="N263" s="369">
        <v>0</v>
      </c>
      <c r="O263" s="368">
        <v>0</v>
      </c>
      <c r="P263" s="47">
        <f>(D263/200*36*2)*(C263/2)</f>
        <v>0</v>
      </c>
      <c r="Q263" s="47">
        <f>(D263/200*2*24)/20*4*C263/2</f>
        <v>0</v>
      </c>
      <c r="R263" s="47">
        <f>E263*30%</f>
        <v>0</v>
      </c>
      <c r="S263" s="371">
        <v>0</v>
      </c>
      <c r="T263" s="47">
        <v>0</v>
      </c>
      <c r="U263" s="81">
        <f t="shared" si="91"/>
        <v>0</v>
      </c>
      <c r="V263" s="47">
        <f t="shared" si="97"/>
        <v>0</v>
      </c>
      <c r="W263" s="47"/>
      <c r="X263" s="47">
        <f t="shared" ref="X263:X312" si="99">380*C263</f>
        <v>0</v>
      </c>
      <c r="Y263" s="47">
        <v>0</v>
      </c>
      <c r="Z263" s="47">
        <f t="shared" ref="Z263:Z326" si="100">(C263*21)</f>
        <v>0</v>
      </c>
      <c r="AA263" s="47">
        <v>0</v>
      </c>
      <c r="AB263" s="47">
        <v>0</v>
      </c>
      <c r="AC263" s="71">
        <f t="shared" si="92"/>
        <v>0</v>
      </c>
      <c r="AD263" s="118">
        <f t="shared" si="93"/>
        <v>0</v>
      </c>
    </row>
    <row r="264" spans="1:30" s="49" customFormat="1" ht="12.75" hidden="1" x14ac:dyDescent="0.2">
      <c r="A264" s="94">
        <v>259</v>
      </c>
      <c r="B264" s="364"/>
      <c r="C264" s="365"/>
      <c r="D264" s="57"/>
      <c r="E264" s="79">
        <f t="shared" si="90"/>
        <v>0</v>
      </c>
      <c r="F264" s="80"/>
      <c r="G264" s="47"/>
      <c r="H264" s="47"/>
      <c r="I264" s="47"/>
      <c r="J264" s="47"/>
      <c r="K264" s="47"/>
      <c r="L264" s="47"/>
      <c r="M264" s="47"/>
      <c r="N264" s="369">
        <v>0</v>
      </c>
      <c r="O264" s="368">
        <v>0</v>
      </c>
      <c r="P264" s="47">
        <f>(D264/200*36*2)*(C264/2)</f>
        <v>0</v>
      </c>
      <c r="Q264" s="47">
        <f>(D264/200*2*24)/20*4*C264/2</f>
        <v>0</v>
      </c>
      <c r="R264" s="47">
        <f>E264*30%</f>
        <v>0</v>
      </c>
      <c r="S264" s="371">
        <f>D264*0.11*5</f>
        <v>0</v>
      </c>
      <c r="T264" s="47">
        <v>0</v>
      </c>
      <c r="U264" s="81">
        <f t="shared" si="91"/>
        <v>0</v>
      </c>
      <c r="V264" s="47">
        <f t="shared" ref="V264:V327" si="101">(290*C264)-(E264*6%)</f>
        <v>0</v>
      </c>
      <c r="W264" s="47"/>
      <c r="X264" s="47">
        <f t="shared" si="99"/>
        <v>0</v>
      </c>
      <c r="Y264" s="47">
        <v>0</v>
      </c>
      <c r="Z264" s="47">
        <f t="shared" si="100"/>
        <v>0</v>
      </c>
      <c r="AA264" s="47">
        <v>0</v>
      </c>
      <c r="AB264" s="47">
        <v>0</v>
      </c>
      <c r="AC264" s="71">
        <f t="shared" si="92"/>
        <v>0</v>
      </c>
      <c r="AD264" s="118">
        <f t="shared" si="93"/>
        <v>0</v>
      </c>
    </row>
    <row r="265" spans="1:30" s="49" customFormat="1" ht="12.75" hidden="1" x14ac:dyDescent="0.2">
      <c r="A265" s="94">
        <v>260</v>
      </c>
      <c r="B265" s="364"/>
      <c r="C265" s="365"/>
      <c r="D265" s="57"/>
      <c r="E265" s="79">
        <f t="shared" si="90"/>
        <v>0</v>
      </c>
      <c r="F265" s="80"/>
      <c r="G265" s="47"/>
      <c r="H265" s="47"/>
      <c r="I265" s="47"/>
      <c r="J265" s="47"/>
      <c r="K265" s="47"/>
      <c r="L265" s="47"/>
      <c r="M265" s="47"/>
      <c r="N265" s="369"/>
      <c r="O265" s="368"/>
      <c r="P265" s="47">
        <f>(D265/200*36*2)*(C265/2)</f>
        <v>0</v>
      </c>
      <c r="Q265" s="47">
        <f>(D265/200*2*24)/20*4*C265/2</f>
        <v>0</v>
      </c>
      <c r="R265" s="47">
        <f>E265*30%</f>
        <v>0</v>
      </c>
      <c r="S265" s="371">
        <v>0</v>
      </c>
      <c r="T265" s="47">
        <v>0</v>
      </c>
      <c r="U265" s="81">
        <f t="shared" si="91"/>
        <v>0</v>
      </c>
      <c r="V265" s="47">
        <f t="shared" si="101"/>
        <v>0</v>
      </c>
      <c r="W265" s="47"/>
      <c r="X265" s="47">
        <f t="shared" si="99"/>
        <v>0</v>
      </c>
      <c r="Y265" s="47">
        <v>0</v>
      </c>
      <c r="Z265" s="47">
        <f t="shared" si="100"/>
        <v>0</v>
      </c>
      <c r="AA265" s="47">
        <v>0</v>
      </c>
      <c r="AB265" s="47">
        <v>0</v>
      </c>
      <c r="AC265" s="71">
        <f t="shared" si="92"/>
        <v>0</v>
      </c>
      <c r="AD265" s="118">
        <f t="shared" si="93"/>
        <v>0</v>
      </c>
    </row>
    <row r="266" spans="1:30" s="49" customFormat="1" ht="12.75" hidden="1" x14ac:dyDescent="0.2">
      <c r="A266" s="94">
        <v>261</v>
      </c>
      <c r="B266" s="364"/>
      <c r="C266" s="365"/>
      <c r="D266" s="57"/>
      <c r="E266" s="79">
        <f t="shared" si="90"/>
        <v>0</v>
      </c>
      <c r="F266" s="80"/>
      <c r="G266" s="47"/>
      <c r="H266" s="47"/>
      <c r="I266" s="47"/>
      <c r="J266" s="47"/>
      <c r="K266" s="47"/>
      <c r="L266" s="47"/>
      <c r="M266" s="47"/>
      <c r="N266" s="369">
        <v>0</v>
      </c>
      <c r="O266" s="368">
        <v>0</v>
      </c>
      <c r="P266" s="368">
        <v>0</v>
      </c>
      <c r="Q266" s="368">
        <v>0</v>
      </c>
      <c r="R266" s="368">
        <v>0</v>
      </c>
      <c r="S266" s="371">
        <v>0</v>
      </c>
      <c r="T266" s="47">
        <v>0</v>
      </c>
      <c r="U266" s="81">
        <f t="shared" si="91"/>
        <v>0</v>
      </c>
      <c r="V266" s="47"/>
      <c r="W266" s="47"/>
      <c r="X266" s="47">
        <f t="shared" si="99"/>
        <v>0</v>
      </c>
      <c r="Y266" s="47">
        <v>0</v>
      </c>
      <c r="Z266" s="47">
        <f t="shared" si="100"/>
        <v>0</v>
      </c>
      <c r="AA266" s="47">
        <v>0</v>
      </c>
      <c r="AB266" s="47">
        <v>0</v>
      </c>
      <c r="AC266" s="71">
        <f t="shared" si="92"/>
        <v>0</v>
      </c>
      <c r="AD266" s="118">
        <f t="shared" si="93"/>
        <v>0</v>
      </c>
    </row>
    <row r="267" spans="1:30" s="49" customFormat="1" ht="12.75" hidden="1" x14ac:dyDescent="0.2">
      <c r="A267" s="94">
        <v>262</v>
      </c>
      <c r="B267" s="364"/>
      <c r="C267" s="365"/>
      <c r="D267" s="57"/>
      <c r="E267" s="79">
        <f t="shared" ref="E267:E330" si="102">C267*D267</f>
        <v>0</v>
      </c>
      <c r="F267" s="80"/>
      <c r="G267" s="47"/>
      <c r="H267" s="47"/>
      <c r="I267" s="47"/>
      <c r="J267" s="47"/>
      <c r="K267" s="47"/>
      <c r="L267" s="47"/>
      <c r="M267" s="47"/>
      <c r="N267" s="369">
        <v>0</v>
      </c>
      <c r="O267" s="368">
        <v>0</v>
      </c>
      <c r="P267" s="47">
        <f>(D267/200*36*2)*(C267/2)</f>
        <v>0</v>
      </c>
      <c r="Q267" s="47">
        <f>(D267/200*2*24)/20*4*C267/2</f>
        <v>0</v>
      </c>
      <c r="R267" s="368">
        <v>0</v>
      </c>
      <c r="S267" s="371">
        <v>0</v>
      </c>
      <c r="T267" s="47">
        <v>0</v>
      </c>
      <c r="U267" s="81">
        <f t="shared" ref="U267:U330" si="103">SUM(F267:T267)</f>
        <v>0</v>
      </c>
      <c r="V267" s="47">
        <f t="shared" si="101"/>
        <v>0</v>
      </c>
      <c r="W267" s="47"/>
      <c r="X267" s="47">
        <f t="shared" si="99"/>
        <v>0</v>
      </c>
      <c r="Y267" s="47">
        <v>0</v>
      </c>
      <c r="Z267" s="47">
        <f t="shared" si="100"/>
        <v>0</v>
      </c>
      <c r="AA267" s="47">
        <v>0</v>
      </c>
      <c r="AB267" s="47">
        <v>0</v>
      </c>
      <c r="AC267" s="71">
        <f t="shared" ref="AC267:AC330" si="104">SUM(V267:AB267)</f>
        <v>0</v>
      </c>
      <c r="AD267" s="118">
        <f t="shared" ref="AD267:AD330" si="105">E267+U267+AC267</f>
        <v>0</v>
      </c>
    </row>
    <row r="268" spans="1:30" s="49" customFormat="1" ht="12.75" hidden="1" x14ac:dyDescent="0.2">
      <c r="A268" s="94">
        <v>263</v>
      </c>
      <c r="B268" s="364"/>
      <c r="C268" s="365"/>
      <c r="D268" s="57"/>
      <c r="E268" s="79">
        <f t="shared" si="102"/>
        <v>0</v>
      </c>
      <c r="F268" s="80"/>
      <c r="G268" s="47"/>
      <c r="H268" s="47"/>
      <c r="I268" s="47"/>
      <c r="J268" s="47"/>
      <c r="K268" s="47"/>
      <c r="L268" s="47"/>
      <c r="M268" s="47"/>
      <c r="N268" s="369">
        <v>0</v>
      </c>
      <c r="O268" s="368">
        <v>0</v>
      </c>
      <c r="P268" s="47">
        <f>(D268/200*36*2)*(C268/2)</f>
        <v>0</v>
      </c>
      <c r="Q268" s="47">
        <f>(D268/200*2*24)/20*4*C268/2</f>
        <v>0</v>
      </c>
      <c r="R268" s="368">
        <v>0</v>
      </c>
      <c r="S268" s="371">
        <v>0</v>
      </c>
      <c r="T268" s="47">
        <v>0</v>
      </c>
      <c r="U268" s="81">
        <f t="shared" si="103"/>
        <v>0</v>
      </c>
      <c r="V268" s="47">
        <f t="shared" si="101"/>
        <v>0</v>
      </c>
      <c r="W268" s="47"/>
      <c r="X268" s="47">
        <f t="shared" si="99"/>
        <v>0</v>
      </c>
      <c r="Y268" s="47">
        <v>0</v>
      </c>
      <c r="Z268" s="47">
        <f t="shared" si="100"/>
        <v>0</v>
      </c>
      <c r="AA268" s="47">
        <v>0</v>
      </c>
      <c r="AB268" s="47">
        <v>0</v>
      </c>
      <c r="AC268" s="71">
        <f t="shared" si="104"/>
        <v>0</v>
      </c>
      <c r="AD268" s="118">
        <f t="shared" si="105"/>
        <v>0</v>
      </c>
    </row>
    <row r="269" spans="1:30" s="49" customFormat="1" ht="12.75" hidden="1" x14ac:dyDescent="0.2">
      <c r="A269" s="94">
        <v>264</v>
      </c>
      <c r="B269" s="367"/>
      <c r="C269" s="365"/>
      <c r="D269" s="57"/>
      <c r="E269" s="79">
        <f t="shared" si="102"/>
        <v>0</v>
      </c>
      <c r="F269" s="80"/>
      <c r="G269" s="47"/>
      <c r="H269" s="47"/>
      <c r="I269" s="47"/>
      <c r="J269" s="47"/>
      <c r="K269" s="47"/>
      <c r="L269" s="47"/>
      <c r="M269" s="47"/>
      <c r="N269" s="369"/>
      <c r="O269" s="368"/>
      <c r="P269" s="47"/>
      <c r="Q269" s="368"/>
      <c r="R269" s="368">
        <v>0</v>
      </c>
      <c r="S269" s="371">
        <v>0</v>
      </c>
      <c r="T269" s="47">
        <v>0</v>
      </c>
      <c r="U269" s="81">
        <f t="shared" si="103"/>
        <v>0</v>
      </c>
      <c r="V269" s="47"/>
      <c r="W269" s="47"/>
      <c r="X269" s="47">
        <f t="shared" si="99"/>
        <v>0</v>
      </c>
      <c r="Y269" s="47">
        <v>0</v>
      </c>
      <c r="Z269" s="47">
        <f t="shared" si="100"/>
        <v>0</v>
      </c>
      <c r="AA269" s="47">
        <v>0</v>
      </c>
      <c r="AB269" s="47">
        <v>0</v>
      </c>
      <c r="AC269" s="71">
        <f t="shared" si="104"/>
        <v>0</v>
      </c>
      <c r="AD269" s="118">
        <f t="shared" si="105"/>
        <v>0</v>
      </c>
    </row>
    <row r="270" spans="1:30" s="49" customFormat="1" ht="12.75" hidden="1" x14ac:dyDescent="0.2">
      <c r="A270" s="94">
        <v>265</v>
      </c>
      <c r="B270" s="367"/>
      <c r="C270" s="365"/>
      <c r="D270" s="57"/>
      <c r="E270" s="79">
        <f t="shared" si="102"/>
        <v>0</v>
      </c>
      <c r="F270" s="80"/>
      <c r="G270" s="47"/>
      <c r="H270" s="47"/>
      <c r="I270" s="47"/>
      <c r="J270" s="47"/>
      <c r="K270" s="47"/>
      <c r="L270" s="47"/>
      <c r="M270" s="47"/>
      <c r="N270" s="369">
        <v>0</v>
      </c>
      <c r="O270" s="368">
        <v>0</v>
      </c>
      <c r="P270" s="368">
        <v>0</v>
      </c>
      <c r="Q270" s="368">
        <v>0</v>
      </c>
      <c r="R270" s="368">
        <v>0</v>
      </c>
      <c r="S270" s="371">
        <v>0</v>
      </c>
      <c r="T270" s="47">
        <v>0</v>
      </c>
      <c r="U270" s="81">
        <f t="shared" si="103"/>
        <v>0</v>
      </c>
      <c r="V270" s="47"/>
      <c r="W270" s="47"/>
      <c r="X270" s="47">
        <f t="shared" si="99"/>
        <v>0</v>
      </c>
      <c r="Y270" s="47">
        <v>0</v>
      </c>
      <c r="Z270" s="47">
        <f t="shared" si="100"/>
        <v>0</v>
      </c>
      <c r="AA270" s="47">
        <v>0</v>
      </c>
      <c r="AB270" s="47">
        <v>0</v>
      </c>
      <c r="AC270" s="71">
        <f t="shared" si="104"/>
        <v>0</v>
      </c>
      <c r="AD270" s="118">
        <f t="shared" si="105"/>
        <v>0</v>
      </c>
    </row>
    <row r="271" spans="1:30" s="49" customFormat="1" ht="12.75" hidden="1" x14ac:dyDescent="0.2">
      <c r="A271" s="94">
        <v>266</v>
      </c>
      <c r="B271" s="367"/>
      <c r="C271" s="365"/>
      <c r="D271" s="57"/>
      <c r="E271" s="79">
        <f t="shared" si="102"/>
        <v>0</v>
      </c>
      <c r="F271" s="80"/>
      <c r="G271" s="47"/>
      <c r="H271" s="47"/>
      <c r="I271" s="47"/>
      <c r="J271" s="47"/>
      <c r="K271" s="47"/>
      <c r="L271" s="47"/>
      <c r="M271" s="47"/>
      <c r="N271" s="369">
        <v>0</v>
      </c>
      <c r="O271" s="368">
        <v>0</v>
      </c>
      <c r="P271" s="368">
        <v>0</v>
      </c>
      <c r="Q271" s="368">
        <v>0</v>
      </c>
      <c r="R271" s="368">
        <v>0</v>
      </c>
      <c r="S271" s="371">
        <v>0</v>
      </c>
      <c r="T271" s="47">
        <v>0</v>
      </c>
      <c r="U271" s="81">
        <f t="shared" si="103"/>
        <v>0</v>
      </c>
      <c r="V271" s="47"/>
      <c r="W271" s="47"/>
      <c r="X271" s="47">
        <f t="shared" si="99"/>
        <v>0</v>
      </c>
      <c r="Y271" s="47">
        <v>0</v>
      </c>
      <c r="Z271" s="47">
        <f t="shared" si="100"/>
        <v>0</v>
      </c>
      <c r="AA271" s="47">
        <v>0</v>
      </c>
      <c r="AB271" s="47">
        <v>0</v>
      </c>
      <c r="AC271" s="71">
        <f t="shared" si="104"/>
        <v>0</v>
      </c>
      <c r="AD271" s="118">
        <f t="shared" si="105"/>
        <v>0</v>
      </c>
    </row>
    <row r="272" spans="1:30" s="49" customFormat="1" ht="12.75" hidden="1" x14ac:dyDescent="0.2">
      <c r="A272" s="94">
        <v>267</v>
      </c>
      <c r="B272" s="364"/>
      <c r="C272" s="365"/>
      <c r="D272" s="57"/>
      <c r="E272" s="79">
        <f t="shared" si="102"/>
        <v>0</v>
      </c>
      <c r="F272" s="80"/>
      <c r="G272" s="47"/>
      <c r="H272" s="47"/>
      <c r="I272" s="47"/>
      <c r="J272" s="47"/>
      <c r="K272" s="47"/>
      <c r="L272" s="47"/>
      <c r="M272" s="47"/>
      <c r="N272" s="369">
        <v>0</v>
      </c>
      <c r="O272" s="368">
        <v>0</v>
      </c>
      <c r="P272" s="368">
        <v>0</v>
      </c>
      <c r="Q272" s="368">
        <v>0</v>
      </c>
      <c r="R272" s="368">
        <v>0</v>
      </c>
      <c r="S272" s="371">
        <v>0</v>
      </c>
      <c r="T272" s="47">
        <v>0</v>
      </c>
      <c r="U272" s="81">
        <f t="shared" si="103"/>
        <v>0</v>
      </c>
      <c r="V272" s="47">
        <f t="shared" si="101"/>
        <v>0</v>
      </c>
      <c r="W272" s="47"/>
      <c r="X272" s="47">
        <f t="shared" si="99"/>
        <v>0</v>
      </c>
      <c r="Y272" s="47">
        <v>0</v>
      </c>
      <c r="Z272" s="47">
        <f t="shared" si="100"/>
        <v>0</v>
      </c>
      <c r="AA272" s="47">
        <v>0</v>
      </c>
      <c r="AB272" s="47">
        <v>0</v>
      </c>
      <c r="AC272" s="71">
        <f t="shared" si="104"/>
        <v>0</v>
      </c>
      <c r="AD272" s="118">
        <f t="shared" si="105"/>
        <v>0</v>
      </c>
    </row>
    <row r="273" spans="1:30" s="49" customFormat="1" ht="12.75" hidden="1" x14ac:dyDescent="0.2">
      <c r="A273" s="94">
        <v>268</v>
      </c>
      <c r="B273" s="364"/>
      <c r="C273" s="365"/>
      <c r="D273" s="57"/>
      <c r="E273" s="79">
        <f t="shared" si="102"/>
        <v>0</v>
      </c>
      <c r="F273" s="80"/>
      <c r="G273" s="47"/>
      <c r="H273" s="47"/>
      <c r="I273" s="47"/>
      <c r="J273" s="47"/>
      <c r="K273" s="47"/>
      <c r="L273" s="47"/>
      <c r="M273" s="47"/>
      <c r="N273" s="369">
        <v>0</v>
      </c>
      <c r="O273" s="368">
        <v>0</v>
      </c>
      <c r="P273" s="368">
        <v>0</v>
      </c>
      <c r="Q273" s="368">
        <v>0</v>
      </c>
      <c r="R273" s="368">
        <v>0</v>
      </c>
      <c r="S273" s="371">
        <v>0</v>
      </c>
      <c r="T273" s="47">
        <v>0</v>
      </c>
      <c r="U273" s="81">
        <f t="shared" si="103"/>
        <v>0</v>
      </c>
      <c r="V273" s="47">
        <f t="shared" si="101"/>
        <v>0</v>
      </c>
      <c r="W273" s="47"/>
      <c r="X273" s="47">
        <f t="shared" si="99"/>
        <v>0</v>
      </c>
      <c r="Y273" s="47">
        <v>0</v>
      </c>
      <c r="Z273" s="47">
        <f t="shared" si="100"/>
        <v>0</v>
      </c>
      <c r="AA273" s="47">
        <v>0</v>
      </c>
      <c r="AB273" s="47">
        <v>0</v>
      </c>
      <c r="AC273" s="71">
        <f t="shared" si="104"/>
        <v>0</v>
      </c>
      <c r="AD273" s="118">
        <f t="shared" si="105"/>
        <v>0</v>
      </c>
    </row>
    <row r="274" spans="1:30" s="49" customFormat="1" ht="12.75" hidden="1" x14ac:dyDescent="0.2">
      <c r="A274" s="94">
        <v>269</v>
      </c>
      <c r="B274" s="364"/>
      <c r="C274" s="365"/>
      <c r="D274" s="57"/>
      <c r="E274" s="79">
        <f t="shared" si="102"/>
        <v>0</v>
      </c>
      <c r="F274" s="80"/>
      <c r="G274" s="47"/>
      <c r="H274" s="47"/>
      <c r="I274" s="47"/>
      <c r="J274" s="47"/>
      <c r="K274" s="47"/>
      <c r="L274" s="47"/>
      <c r="M274" s="47"/>
      <c r="N274" s="369">
        <v>0</v>
      </c>
      <c r="O274" s="368">
        <v>0</v>
      </c>
      <c r="P274" s="368">
        <v>0</v>
      </c>
      <c r="Q274" s="368">
        <v>0</v>
      </c>
      <c r="R274" s="368">
        <v>0</v>
      </c>
      <c r="S274" s="371">
        <v>0</v>
      </c>
      <c r="T274" s="47">
        <v>0</v>
      </c>
      <c r="U274" s="81">
        <f t="shared" si="103"/>
        <v>0</v>
      </c>
      <c r="V274" s="47">
        <f t="shared" si="101"/>
        <v>0</v>
      </c>
      <c r="W274" s="47"/>
      <c r="X274" s="47">
        <f t="shared" si="99"/>
        <v>0</v>
      </c>
      <c r="Y274" s="47">
        <v>0</v>
      </c>
      <c r="Z274" s="47">
        <f t="shared" si="100"/>
        <v>0</v>
      </c>
      <c r="AA274" s="47">
        <v>0</v>
      </c>
      <c r="AB274" s="47">
        <v>0</v>
      </c>
      <c r="AC274" s="71">
        <f t="shared" si="104"/>
        <v>0</v>
      </c>
      <c r="AD274" s="118">
        <f t="shared" si="105"/>
        <v>0</v>
      </c>
    </row>
    <row r="275" spans="1:30" s="49" customFormat="1" ht="12.75" hidden="1" x14ac:dyDescent="0.2">
      <c r="A275" s="94">
        <v>270</v>
      </c>
      <c r="B275" s="364"/>
      <c r="C275" s="365"/>
      <c r="D275" s="57"/>
      <c r="E275" s="79">
        <f t="shared" si="102"/>
        <v>0</v>
      </c>
      <c r="F275" s="80"/>
      <c r="G275" s="47"/>
      <c r="H275" s="47"/>
      <c r="I275" s="47"/>
      <c r="J275" s="47"/>
      <c r="K275" s="47"/>
      <c r="L275" s="47"/>
      <c r="M275" s="47"/>
      <c r="N275" s="369">
        <v>0</v>
      </c>
      <c r="O275" s="368">
        <v>0</v>
      </c>
      <c r="P275" s="368">
        <v>0</v>
      </c>
      <c r="Q275" s="368">
        <v>0</v>
      </c>
      <c r="R275" s="368">
        <v>0</v>
      </c>
      <c r="S275" s="371">
        <v>0</v>
      </c>
      <c r="T275" s="47">
        <v>0</v>
      </c>
      <c r="U275" s="81">
        <f t="shared" si="103"/>
        <v>0</v>
      </c>
      <c r="V275" s="47">
        <f t="shared" si="101"/>
        <v>0</v>
      </c>
      <c r="W275" s="47"/>
      <c r="X275" s="47">
        <f t="shared" si="99"/>
        <v>0</v>
      </c>
      <c r="Y275" s="47">
        <v>0</v>
      </c>
      <c r="Z275" s="47">
        <f t="shared" si="100"/>
        <v>0</v>
      </c>
      <c r="AA275" s="47">
        <v>0</v>
      </c>
      <c r="AB275" s="47">
        <v>0</v>
      </c>
      <c r="AC275" s="71">
        <f t="shared" si="104"/>
        <v>0</v>
      </c>
      <c r="AD275" s="118">
        <f t="shared" si="105"/>
        <v>0</v>
      </c>
    </row>
    <row r="276" spans="1:30" s="49" customFormat="1" ht="12.75" hidden="1" x14ac:dyDescent="0.2">
      <c r="A276" s="94">
        <v>271</v>
      </c>
      <c r="B276" s="364"/>
      <c r="C276" s="365"/>
      <c r="D276" s="57"/>
      <c r="E276" s="79">
        <f t="shared" si="102"/>
        <v>0</v>
      </c>
      <c r="F276" s="80"/>
      <c r="G276" s="47"/>
      <c r="H276" s="47"/>
      <c r="I276" s="47"/>
      <c r="J276" s="47"/>
      <c r="K276" s="47"/>
      <c r="L276" s="47"/>
      <c r="M276" s="47"/>
      <c r="N276" s="369">
        <v>0</v>
      </c>
      <c r="O276" s="368">
        <v>0</v>
      </c>
      <c r="P276" s="368">
        <v>0</v>
      </c>
      <c r="Q276" s="368">
        <v>0</v>
      </c>
      <c r="R276" s="368">
        <v>0</v>
      </c>
      <c r="S276" s="371">
        <v>0</v>
      </c>
      <c r="T276" s="47">
        <v>0</v>
      </c>
      <c r="U276" s="81">
        <f t="shared" si="103"/>
        <v>0</v>
      </c>
      <c r="V276" s="47">
        <f t="shared" si="101"/>
        <v>0</v>
      </c>
      <c r="W276" s="47"/>
      <c r="X276" s="47">
        <f t="shared" si="99"/>
        <v>0</v>
      </c>
      <c r="Y276" s="47">
        <v>0</v>
      </c>
      <c r="Z276" s="47">
        <f t="shared" si="100"/>
        <v>0</v>
      </c>
      <c r="AA276" s="47">
        <v>0</v>
      </c>
      <c r="AB276" s="47">
        <v>0</v>
      </c>
      <c r="AC276" s="71">
        <f t="shared" si="104"/>
        <v>0</v>
      </c>
      <c r="AD276" s="118">
        <f t="shared" si="105"/>
        <v>0</v>
      </c>
    </row>
    <row r="277" spans="1:30" s="49" customFormat="1" ht="12.75" hidden="1" x14ac:dyDescent="0.2">
      <c r="A277" s="94">
        <v>272</v>
      </c>
      <c r="B277" s="364"/>
      <c r="C277" s="365"/>
      <c r="D277" s="57"/>
      <c r="E277" s="79">
        <f t="shared" si="102"/>
        <v>0</v>
      </c>
      <c r="F277" s="80"/>
      <c r="G277" s="47"/>
      <c r="H277" s="47"/>
      <c r="I277" s="47"/>
      <c r="J277" s="47"/>
      <c r="K277" s="47"/>
      <c r="L277" s="47"/>
      <c r="M277" s="47"/>
      <c r="N277" s="369">
        <v>0</v>
      </c>
      <c r="O277" s="368">
        <v>0</v>
      </c>
      <c r="P277" s="368">
        <v>0</v>
      </c>
      <c r="Q277" s="368">
        <v>0</v>
      </c>
      <c r="R277" s="368">
        <v>0</v>
      </c>
      <c r="S277" s="371">
        <v>0</v>
      </c>
      <c r="T277" s="47">
        <v>0</v>
      </c>
      <c r="U277" s="81">
        <f t="shared" si="103"/>
        <v>0</v>
      </c>
      <c r="V277" s="47">
        <f t="shared" si="101"/>
        <v>0</v>
      </c>
      <c r="W277" s="47"/>
      <c r="X277" s="47">
        <f t="shared" si="99"/>
        <v>0</v>
      </c>
      <c r="Y277" s="47">
        <v>0</v>
      </c>
      <c r="Z277" s="47">
        <f t="shared" si="100"/>
        <v>0</v>
      </c>
      <c r="AA277" s="47">
        <v>0</v>
      </c>
      <c r="AB277" s="47">
        <v>0</v>
      </c>
      <c r="AC277" s="71">
        <f t="shared" si="104"/>
        <v>0</v>
      </c>
      <c r="AD277" s="118">
        <f t="shared" si="105"/>
        <v>0</v>
      </c>
    </row>
    <row r="278" spans="1:30" s="49" customFormat="1" ht="12.75" hidden="1" x14ac:dyDescent="0.2">
      <c r="A278" s="94">
        <v>273</v>
      </c>
      <c r="B278" s="364"/>
      <c r="C278" s="365"/>
      <c r="D278" s="57"/>
      <c r="E278" s="79">
        <f t="shared" si="102"/>
        <v>0</v>
      </c>
      <c r="F278" s="80"/>
      <c r="G278" s="47"/>
      <c r="H278" s="47"/>
      <c r="I278" s="47"/>
      <c r="J278" s="47"/>
      <c r="K278" s="47"/>
      <c r="L278" s="47"/>
      <c r="M278" s="47"/>
      <c r="N278" s="369">
        <v>0</v>
      </c>
      <c r="O278" s="368">
        <v>0</v>
      </c>
      <c r="P278" s="368">
        <v>0</v>
      </c>
      <c r="Q278" s="368">
        <v>0</v>
      </c>
      <c r="R278" s="368"/>
      <c r="S278" s="371">
        <v>0</v>
      </c>
      <c r="T278" s="47">
        <v>0</v>
      </c>
      <c r="U278" s="81">
        <f t="shared" si="103"/>
        <v>0</v>
      </c>
      <c r="V278" s="47">
        <f t="shared" si="101"/>
        <v>0</v>
      </c>
      <c r="W278" s="47"/>
      <c r="X278" s="47">
        <f t="shared" si="99"/>
        <v>0</v>
      </c>
      <c r="Y278" s="47">
        <v>0</v>
      </c>
      <c r="Z278" s="47">
        <f t="shared" si="100"/>
        <v>0</v>
      </c>
      <c r="AA278" s="47">
        <v>0</v>
      </c>
      <c r="AB278" s="47">
        <v>0</v>
      </c>
      <c r="AC278" s="71">
        <f t="shared" si="104"/>
        <v>0</v>
      </c>
      <c r="AD278" s="118">
        <f t="shared" si="105"/>
        <v>0</v>
      </c>
    </row>
    <row r="279" spans="1:30" s="49" customFormat="1" ht="12.75" hidden="1" x14ac:dyDescent="0.2">
      <c r="A279" s="94">
        <v>274</v>
      </c>
      <c r="B279" s="364"/>
      <c r="C279" s="365"/>
      <c r="D279" s="57"/>
      <c r="E279" s="79">
        <f t="shared" si="102"/>
        <v>0</v>
      </c>
      <c r="F279" s="80"/>
      <c r="G279" s="47"/>
      <c r="H279" s="47"/>
      <c r="I279" s="47"/>
      <c r="J279" s="47"/>
      <c r="K279" s="47"/>
      <c r="L279" s="47"/>
      <c r="M279" s="47"/>
      <c r="N279" s="369">
        <v>0</v>
      </c>
      <c r="O279" s="368">
        <v>0</v>
      </c>
      <c r="P279" s="368">
        <v>0</v>
      </c>
      <c r="Q279" s="368">
        <v>0</v>
      </c>
      <c r="R279" s="368"/>
      <c r="S279" s="371">
        <v>0</v>
      </c>
      <c r="T279" s="47">
        <v>0</v>
      </c>
      <c r="U279" s="81">
        <f t="shared" si="103"/>
        <v>0</v>
      </c>
      <c r="V279" s="47">
        <f t="shared" si="101"/>
        <v>0</v>
      </c>
      <c r="W279" s="47"/>
      <c r="X279" s="47">
        <f t="shared" si="99"/>
        <v>0</v>
      </c>
      <c r="Y279" s="47">
        <v>0</v>
      </c>
      <c r="Z279" s="47">
        <f t="shared" si="100"/>
        <v>0</v>
      </c>
      <c r="AA279" s="47">
        <v>0</v>
      </c>
      <c r="AB279" s="47">
        <v>0</v>
      </c>
      <c r="AC279" s="71">
        <f t="shared" si="104"/>
        <v>0</v>
      </c>
      <c r="AD279" s="118">
        <f t="shared" si="105"/>
        <v>0</v>
      </c>
    </row>
    <row r="280" spans="1:30" s="49" customFormat="1" ht="12.75" hidden="1" x14ac:dyDescent="0.2">
      <c r="A280" s="94">
        <v>275</v>
      </c>
      <c r="B280" s="364"/>
      <c r="C280" s="365"/>
      <c r="D280" s="57"/>
      <c r="E280" s="79">
        <f t="shared" si="102"/>
        <v>0</v>
      </c>
      <c r="F280" s="80"/>
      <c r="G280" s="47"/>
      <c r="H280" s="47"/>
      <c r="I280" s="47"/>
      <c r="J280" s="47"/>
      <c r="K280" s="47"/>
      <c r="L280" s="47"/>
      <c r="M280" s="47"/>
      <c r="N280" s="369">
        <v>0</v>
      </c>
      <c r="O280" s="368">
        <v>0</v>
      </c>
      <c r="P280" s="368">
        <v>0</v>
      </c>
      <c r="Q280" s="368">
        <v>0</v>
      </c>
      <c r="R280" s="368">
        <v>0</v>
      </c>
      <c r="S280" s="371">
        <v>0</v>
      </c>
      <c r="T280" s="47">
        <v>0</v>
      </c>
      <c r="U280" s="81">
        <f t="shared" si="103"/>
        <v>0</v>
      </c>
      <c r="V280" s="47">
        <f t="shared" si="101"/>
        <v>0</v>
      </c>
      <c r="W280" s="47"/>
      <c r="X280" s="47">
        <f t="shared" si="99"/>
        <v>0</v>
      </c>
      <c r="Y280" s="47">
        <v>0</v>
      </c>
      <c r="Z280" s="47">
        <f t="shared" si="100"/>
        <v>0</v>
      </c>
      <c r="AA280" s="47">
        <v>0</v>
      </c>
      <c r="AB280" s="47">
        <v>0</v>
      </c>
      <c r="AC280" s="71">
        <f t="shared" si="104"/>
        <v>0</v>
      </c>
      <c r="AD280" s="118">
        <f t="shared" si="105"/>
        <v>0</v>
      </c>
    </row>
    <row r="281" spans="1:30" s="49" customFormat="1" ht="12.75" hidden="1" x14ac:dyDescent="0.2">
      <c r="A281" s="94">
        <v>276</v>
      </c>
      <c r="B281" s="364"/>
      <c r="C281" s="365"/>
      <c r="D281" s="57"/>
      <c r="E281" s="79">
        <f t="shared" si="102"/>
        <v>0</v>
      </c>
      <c r="F281" s="80"/>
      <c r="G281" s="47"/>
      <c r="H281" s="47"/>
      <c r="I281" s="47"/>
      <c r="J281" s="47"/>
      <c r="K281" s="47"/>
      <c r="L281" s="47"/>
      <c r="M281" s="47"/>
      <c r="N281" s="369">
        <v>0</v>
      </c>
      <c r="O281" s="368">
        <v>0</v>
      </c>
      <c r="P281" s="368">
        <v>0</v>
      </c>
      <c r="Q281" s="368">
        <v>0</v>
      </c>
      <c r="R281" s="368">
        <v>0</v>
      </c>
      <c r="S281" s="371">
        <v>0</v>
      </c>
      <c r="T281" s="47">
        <v>0</v>
      </c>
      <c r="U281" s="81">
        <f t="shared" si="103"/>
        <v>0</v>
      </c>
      <c r="V281" s="47">
        <f t="shared" si="101"/>
        <v>0</v>
      </c>
      <c r="W281" s="47"/>
      <c r="X281" s="47">
        <f t="shared" si="99"/>
        <v>0</v>
      </c>
      <c r="Y281" s="47">
        <v>0</v>
      </c>
      <c r="Z281" s="47">
        <f t="shared" si="100"/>
        <v>0</v>
      </c>
      <c r="AA281" s="47">
        <v>0</v>
      </c>
      <c r="AB281" s="47">
        <v>0</v>
      </c>
      <c r="AC281" s="71">
        <f t="shared" si="104"/>
        <v>0</v>
      </c>
      <c r="AD281" s="118">
        <f t="shared" si="105"/>
        <v>0</v>
      </c>
    </row>
    <row r="282" spans="1:30" s="49" customFormat="1" ht="12.75" hidden="1" x14ac:dyDescent="0.2">
      <c r="A282" s="94">
        <v>277</v>
      </c>
      <c r="B282" s="364"/>
      <c r="C282" s="365"/>
      <c r="D282" s="57"/>
      <c r="E282" s="79">
        <f t="shared" si="102"/>
        <v>0</v>
      </c>
      <c r="F282" s="80"/>
      <c r="G282" s="47"/>
      <c r="H282" s="47"/>
      <c r="I282" s="47"/>
      <c r="J282" s="47"/>
      <c r="K282" s="47"/>
      <c r="L282" s="47"/>
      <c r="M282" s="47"/>
      <c r="N282" s="369">
        <v>0</v>
      </c>
      <c r="O282" s="368">
        <v>0</v>
      </c>
      <c r="P282" s="47">
        <f>(D282/200*36*2)*(C282/2)</f>
        <v>0</v>
      </c>
      <c r="Q282" s="47">
        <f>(D282/200*2*24)/20*4*C282/2</f>
        <v>0</v>
      </c>
      <c r="R282" s="47">
        <f>E282*30%</f>
        <v>0</v>
      </c>
      <c r="S282" s="371">
        <v>0</v>
      </c>
      <c r="T282" s="47">
        <v>0</v>
      </c>
      <c r="U282" s="81">
        <f t="shared" si="103"/>
        <v>0</v>
      </c>
      <c r="V282" s="47">
        <f t="shared" si="101"/>
        <v>0</v>
      </c>
      <c r="W282" s="47"/>
      <c r="X282" s="47">
        <f t="shared" si="99"/>
        <v>0</v>
      </c>
      <c r="Y282" s="47">
        <v>0</v>
      </c>
      <c r="Z282" s="47">
        <f t="shared" si="100"/>
        <v>0</v>
      </c>
      <c r="AA282" s="47">
        <v>0</v>
      </c>
      <c r="AB282" s="47">
        <v>0</v>
      </c>
      <c r="AC282" s="71">
        <f t="shared" si="104"/>
        <v>0</v>
      </c>
      <c r="AD282" s="118">
        <f t="shared" si="105"/>
        <v>0</v>
      </c>
    </row>
    <row r="283" spans="1:30" s="49" customFormat="1" ht="12.75" hidden="1" x14ac:dyDescent="0.2">
      <c r="A283" s="94">
        <v>278</v>
      </c>
      <c r="B283" s="364"/>
      <c r="C283" s="365"/>
      <c r="D283" s="57"/>
      <c r="E283" s="79">
        <f t="shared" si="102"/>
        <v>0</v>
      </c>
      <c r="F283" s="80"/>
      <c r="G283" s="47"/>
      <c r="H283" s="47"/>
      <c r="I283" s="47"/>
      <c r="J283" s="47"/>
      <c r="K283" s="47"/>
      <c r="L283" s="47"/>
      <c r="M283" s="47"/>
      <c r="N283" s="369">
        <v>0</v>
      </c>
      <c r="O283" s="368">
        <v>0</v>
      </c>
      <c r="P283" s="47">
        <f>(D283/200*36*2)*(C283/2)</f>
        <v>0</v>
      </c>
      <c r="Q283" s="47">
        <f>(D283/200*2*24)/20*4*C283/2</f>
        <v>0</v>
      </c>
      <c r="R283" s="47">
        <f>E283*30%</f>
        <v>0</v>
      </c>
      <c r="S283" s="371">
        <f>D283*0.1*5</f>
        <v>0</v>
      </c>
      <c r="T283" s="47">
        <v>0</v>
      </c>
      <c r="U283" s="81">
        <f t="shared" si="103"/>
        <v>0</v>
      </c>
      <c r="V283" s="47">
        <f t="shared" si="101"/>
        <v>0</v>
      </c>
      <c r="W283" s="47"/>
      <c r="X283" s="47">
        <f t="shared" si="99"/>
        <v>0</v>
      </c>
      <c r="Y283" s="47">
        <v>0</v>
      </c>
      <c r="Z283" s="47">
        <f t="shared" si="100"/>
        <v>0</v>
      </c>
      <c r="AA283" s="47">
        <v>0</v>
      </c>
      <c r="AB283" s="47">
        <v>0</v>
      </c>
      <c r="AC283" s="71">
        <f t="shared" si="104"/>
        <v>0</v>
      </c>
      <c r="AD283" s="118">
        <f t="shared" si="105"/>
        <v>0</v>
      </c>
    </row>
    <row r="284" spans="1:30" s="49" customFormat="1" ht="12.75" hidden="1" x14ac:dyDescent="0.2">
      <c r="A284" s="94">
        <v>279</v>
      </c>
      <c r="B284" s="364"/>
      <c r="C284" s="365"/>
      <c r="D284" s="57"/>
      <c r="E284" s="79">
        <f t="shared" si="102"/>
        <v>0</v>
      </c>
      <c r="F284" s="80"/>
      <c r="G284" s="47"/>
      <c r="H284" s="47"/>
      <c r="I284" s="47"/>
      <c r="J284" s="47"/>
      <c r="K284" s="47"/>
      <c r="L284" s="47"/>
      <c r="M284" s="47"/>
      <c r="N284" s="369"/>
      <c r="O284" s="368"/>
      <c r="P284" s="47">
        <f>(D284/200*36*2)*(C284/2)</f>
        <v>0</v>
      </c>
      <c r="Q284" s="47">
        <f>(D284/200*2*24)/20*4*C284/2</f>
        <v>0</v>
      </c>
      <c r="R284" s="47">
        <f>E284*30%</f>
        <v>0</v>
      </c>
      <c r="S284" s="371">
        <v>0</v>
      </c>
      <c r="T284" s="47">
        <v>0</v>
      </c>
      <c r="U284" s="81">
        <f t="shared" si="103"/>
        <v>0</v>
      </c>
      <c r="V284" s="47">
        <f t="shared" si="101"/>
        <v>0</v>
      </c>
      <c r="W284" s="47"/>
      <c r="X284" s="47">
        <f t="shared" si="99"/>
        <v>0</v>
      </c>
      <c r="Y284" s="47">
        <v>0</v>
      </c>
      <c r="Z284" s="47">
        <f t="shared" si="100"/>
        <v>0</v>
      </c>
      <c r="AA284" s="47">
        <v>0</v>
      </c>
      <c r="AB284" s="47">
        <v>0</v>
      </c>
      <c r="AC284" s="71">
        <f t="shared" si="104"/>
        <v>0</v>
      </c>
      <c r="AD284" s="118">
        <f t="shared" si="105"/>
        <v>0</v>
      </c>
    </row>
    <row r="285" spans="1:30" s="49" customFormat="1" ht="12.75" hidden="1" x14ac:dyDescent="0.2">
      <c r="A285" s="94">
        <v>280</v>
      </c>
      <c r="B285" s="364"/>
      <c r="C285" s="365"/>
      <c r="D285" s="57"/>
      <c r="E285" s="79">
        <f t="shared" si="102"/>
        <v>0</v>
      </c>
      <c r="F285" s="80"/>
      <c r="G285" s="47"/>
      <c r="H285" s="47"/>
      <c r="I285" s="47"/>
      <c r="J285" s="47"/>
      <c r="K285" s="47"/>
      <c r="L285" s="47"/>
      <c r="M285" s="47"/>
      <c r="N285" s="369">
        <v>0</v>
      </c>
      <c r="O285" s="368">
        <v>0</v>
      </c>
      <c r="P285" s="368">
        <v>0</v>
      </c>
      <c r="Q285" s="368">
        <v>0</v>
      </c>
      <c r="R285" s="368">
        <v>0</v>
      </c>
      <c r="S285" s="371">
        <v>0</v>
      </c>
      <c r="T285" s="47">
        <v>0</v>
      </c>
      <c r="U285" s="81">
        <f t="shared" si="103"/>
        <v>0</v>
      </c>
      <c r="V285" s="47"/>
      <c r="W285" s="47"/>
      <c r="X285" s="47">
        <f t="shared" si="99"/>
        <v>0</v>
      </c>
      <c r="Y285" s="47">
        <v>0</v>
      </c>
      <c r="Z285" s="47">
        <f t="shared" si="100"/>
        <v>0</v>
      </c>
      <c r="AA285" s="47">
        <v>0</v>
      </c>
      <c r="AB285" s="47">
        <v>0</v>
      </c>
      <c r="AC285" s="71">
        <f t="shared" si="104"/>
        <v>0</v>
      </c>
      <c r="AD285" s="118">
        <f t="shared" si="105"/>
        <v>0</v>
      </c>
    </row>
    <row r="286" spans="1:30" s="49" customFormat="1" ht="12.75" hidden="1" x14ac:dyDescent="0.2">
      <c r="A286" s="94">
        <v>281</v>
      </c>
      <c r="B286" s="364"/>
      <c r="C286" s="365"/>
      <c r="D286" s="57"/>
      <c r="E286" s="79">
        <f t="shared" si="102"/>
        <v>0</v>
      </c>
      <c r="F286" s="80"/>
      <c r="G286" s="47"/>
      <c r="H286" s="47"/>
      <c r="I286" s="47"/>
      <c r="J286" s="47"/>
      <c r="K286" s="47"/>
      <c r="L286" s="47"/>
      <c r="M286" s="47"/>
      <c r="N286" s="369">
        <v>0</v>
      </c>
      <c r="O286" s="368">
        <v>0</v>
      </c>
      <c r="P286" s="47">
        <f>(D286/200*36*2)*(C286/2)</f>
        <v>0</v>
      </c>
      <c r="Q286" s="47">
        <f>(D286/200*2*24)/20*4*C286/2</f>
        <v>0</v>
      </c>
      <c r="R286" s="368">
        <v>0</v>
      </c>
      <c r="S286" s="371">
        <v>0</v>
      </c>
      <c r="T286" s="47">
        <v>0</v>
      </c>
      <c r="U286" s="81">
        <f t="shared" si="103"/>
        <v>0</v>
      </c>
      <c r="V286" s="47">
        <f t="shared" si="101"/>
        <v>0</v>
      </c>
      <c r="W286" s="47"/>
      <c r="X286" s="47">
        <f t="shared" si="99"/>
        <v>0</v>
      </c>
      <c r="Y286" s="47">
        <v>0</v>
      </c>
      <c r="Z286" s="47">
        <f t="shared" si="100"/>
        <v>0</v>
      </c>
      <c r="AA286" s="47">
        <v>0</v>
      </c>
      <c r="AB286" s="47">
        <v>0</v>
      </c>
      <c r="AC286" s="71">
        <f t="shared" si="104"/>
        <v>0</v>
      </c>
      <c r="AD286" s="118">
        <f t="shared" si="105"/>
        <v>0</v>
      </c>
    </row>
    <row r="287" spans="1:30" s="49" customFormat="1" ht="12.75" hidden="1" x14ac:dyDescent="0.2">
      <c r="A287" s="94">
        <v>282</v>
      </c>
      <c r="B287" s="366"/>
      <c r="C287" s="365"/>
      <c r="D287" s="57"/>
      <c r="E287" s="79">
        <f t="shared" si="102"/>
        <v>0</v>
      </c>
      <c r="F287" s="80"/>
      <c r="G287" s="47"/>
      <c r="H287" s="47"/>
      <c r="I287" s="47"/>
      <c r="J287" s="47"/>
      <c r="K287" s="47"/>
      <c r="L287" s="47"/>
      <c r="M287" s="47"/>
      <c r="N287" s="369">
        <v>0</v>
      </c>
      <c r="O287" s="368">
        <v>0</v>
      </c>
      <c r="P287" s="47">
        <f>(D287/200*36*2)*(C287/2)</f>
        <v>0</v>
      </c>
      <c r="Q287" s="47">
        <f>(D287/200*2*24)/20*4*C287/2</f>
        <v>0</v>
      </c>
      <c r="R287" s="368">
        <v>0</v>
      </c>
      <c r="S287" s="371">
        <v>0</v>
      </c>
      <c r="T287" s="47">
        <v>0</v>
      </c>
      <c r="U287" s="81">
        <f t="shared" si="103"/>
        <v>0</v>
      </c>
      <c r="V287" s="47">
        <f t="shared" si="101"/>
        <v>0</v>
      </c>
      <c r="W287" s="47"/>
      <c r="X287" s="47">
        <f t="shared" si="99"/>
        <v>0</v>
      </c>
      <c r="Y287" s="47">
        <v>0</v>
      </c>
      <c r="Z287" s="47">
        <f t="shared" si="100"/>
        <v>0</v>
      </c>
      <c r="AA287" s="47">
        <v>0</v>
      </c>
      <c r="AB287" s="47">
        <v>0</v>
      </c>
      <c r="AC287" s="71">
        <f t="shared" si="104"/>
        <v>0</v>
      </c>
      <c r="AD287" s="118">
        <f t="shared" si="105"/>
        <v>0</v>
      </c>
    </row>
    <row r="288" spans="1:30" s="49" customFormat="1" ht="12.75" hidden="1" x14ac:dyDescent="0.2">
      <c r="A288" s="94">
        <v>283</v>
      </c>
      <c r="B288" s="36"/>
      <c r="C288" s="148"/>
      <c r="D288" s="57"/>
      <c r="E288" s="79">
        <f t="shared" si="102"/>
        <v>0</v>
      </c>
      <c r="F288" s="80"/>
      <c r="G288" s="47"/>
      <c r="H288" s="47"/>
      <c r="I288" s="47"/>
      <c r="J288" s="47"/>
      <c r="K288" s="47"/>
      <c r="L288" s="47"/>
      <c r="M288" s="47"/>
      <c r="N288" s="369"/>
      <c r="O288" s="368"/>
      <c r="P288" s="47"/>
      <c r="Q288" s="47"/>
      <c r="R288" s="368">
        <v>0</v>
      </c>
      <c r="S288" s="371">
        <v>0</v>
      </c>
      <c r="T288" s="47">
        <v>0</v>
      </c>
      <c r="U288" s="81">
        <f t="shared" si="103"/>
        <v>0</v>
      </c>
      <c r="V288" s="47">
        <f t="shared" si="101"/>
        <v>0</v>
      </c>
      <c r="W288" s="47"/>
      <c r="X288" s="47">
        <f t="shared" si="99"/>
        <v>0</v>
      </c>
      <c r="Y288" s="47">
        <v>0</v>
      </c>
      <c r="Z288" s="47">
        <f t="shared" si="100"/>
        <v>0</v>
      </c>
      <c r="AA288" s="47">
        <v>0</v>
      </c>
      <c r="AB288" s="47">
        <v>0</v>
      </c>
      <c r="AC288" s="71">
        <f t="shared" si="104"/>
        <v>0</v>
      </c>
      <c r="AD288" s="118">
        <f t="shared" si="105"/>
        <v>0</v>
      </c>
    </row>
    <row r="289" spans="1:30" s="49" customFormat="1" ht="12.75" hidden="1" x14ac:dyDescent="0.2">
      <c r="A289" s="94">
        <v>284</v>
      </c>
      <c r="B289" s="36"/>
      <c r="C289" s="148"/>
      <c r="D289" s="57"/>
      <c r="E289" s="79">
        <f t="shared" si="102"/>
        <v>0</v>
      </c>
      <c r="F289" s="80"/>
      <c r="G289" s="47"/>
      <c r="H289" s="47"/>
      <c r="I289" s="47"/>
      <c r="J289" s="47"/>
      <c r="K289" s="47"/>
      <c r="L289" s="47"/>
      <c r="M289" s="47"/>
      <c r="N289" s="80">
        <v>0</v>
      </c>
      <c r="O289" s="47"/>
      <c r="P289" s="47"/>
      <c r="Q289" s="47"/>
      <c r="R289" s="47"/>
      <c r="S289" s="136"/>
      <c r="T289" s="47">
        <v>0</v>
      </c>
      <c r="U289" s="81">
        <f t="shared" si="103"/>
        <v>0</v>
      </c>
      <c r="V289" s="47">
        <f t="shared" si="101"/>
        <v>0</v>
      </c>
      <c r="W289" s="47">
        <f>650*C289</f>
        <v>0</v>
      </c>
      <c r="X289" s="47">
        <f t="shared" si="99"/>
        <v>0</v>
      </c>
      <c r="Y289" s="47">
        <v>0</v>
      </c>
      <c r="Z289" s="47">
        <f t="shared" si="100"/>
        <v>0</v>
      </c>
      <c r="AA289" s="47">
        <v>0</v>
      </c>
      <c r="AB289" s="47">
        <v>0</v>
      </c>
      <c r="AC289" s="71">
        <f t="shared" si="104"/>
        <v>0</v>
      </c>
      <c r="AD289" s="118">
        <f t="shared" si="105"/>
        <v>0</v>
      </c>
    </row>
    <row r="290" spans="1:30" s="49" customFormat="1" ht="12.75" hidden="1" x14ac:dyDescent="0.2">
      <c r="A290" s="94">
        <v>285</v>
      </c>
      <c r="B290" s="36"/>
      <c r="C290" s="148"/>
      <c r="D290" s="57"/>
      <c r="E290" s="79">
        <f t="shared" si="102"/>
        <v>0</v>
      </c>
      <c r="F290" s="80"/>
      <c r="G290" s="47"/>
      <c r="H290" s="47"/>
      <c r="I290" s="47"/>
      <c r="J290" s="47"/>
      <c r="K290" s="47"/>
      <c r="L290" s="47"/>
      <c r="M290" s="47"/>
      <c r="N290" s="80">
        <v>0</v>
      </c>
      <c r="O290" s="47"/>
      <c r="P290" s="47"/>
      <c r="Q290" s="47"/>
      <c r="R290" s="47"/>
      <c r="S290" s="136"/>
      <c r="T290" s="47">
        <v>0</v>
      </c>
      <c r="U290" s="81">
        <f t="shared" si="103"/>
        <v>0</v>
      </c>
      <c r="V290" s="47">
        <f t="shared" si="101"/>
        <v>0</v>
      </c>
      <c r="W290" s="47"/>
      <c r="X290" s="47">
        <f t="shared" si="99"/>
        <v>0</v>
      </c>
      <c r="Y290" s="47">
        <v>0</v>
      </c>
      <c r="Z290" s="47">
        <f t="shared" si="100"/>
        <v>0</v>
      </c>
      <c r="AA290" s="47">
        <v>0</v>
      </c>
      <c r="AB290" s="47">
        <v>0</v>
      </c>
      <c r="AC290" s="71">
        <f t="shared" si="104"/>
        <v>0</v>
      </c>
      <c r="AD290" s="118">
        <f t="shared" si="105"/>
        <v>0</v>
      </c>
    </row>
    <row r="291" spans="1:30" s="49" customFormat="1" ht="12.75" hidden="1" x14ac:dyDescent="0.2">
      <c r="A291" s="94">
        <v>286</v>
      </c>
      <c r="B291" s="36"/>
      <c r="C291" s="148"/>
      <c r="D291" s="57"/>
      <c r="E291" s="79">
        <f t="shared" si="102"/>
        <v>0</v>
      </c>
      <c r="F291" s="80"/>
      <c r="G291" s="47"/>
      <c r="H291" s="47"/>
      <c r="I291" s="47"/>
      <c r="J291" s="47"/>
      <c r="K291" s="47"/>
      <c r="L291" s="47"/>
      <c r="M291" s="47"/>
      <c r="N291" s="80">
        <v>0</v>
      </c>
      <c r="O291" s="47"/>
      <c r="P291" s="47"/>
      <c r="Q291" s="47"/>
      <c r="R291" s="47"/>
      <c r="S291" s="136"/>
      <c r="T291" s="47">
        <v>0</v>
      </c>
      <c r="U291" s="81">
        <f t="shared" si="103"/>
        <v>0</v>
      </c>
      <c r="V291" s="47"/>
      <c r="W291" s="47"/>
      <c r="X291" s="47">
        <f t="shared" si="99"/>
        <v>0</v>
      </c>
      <c r="Y291" s="47">
        <v>0</v>
      </c>
      <c r="Z291" s="47">
        <f t="shared" si="100"/>
        <v>0</v>
      </c>
      <c r="AA291" s="47">
        <v>0</v>
      </c>
      <c r="AB291" s="47">
        <v>0</v>
      </c>
      <c r="AC291" s="71">
        <f t="shared" si="104"/>
        <v>0</v>
      </c>
      <c r="AD291" s="118">
        <f t="shared" si="105"/>
        <v>0</v>
      </c>
    </row>
    <row r="292" spans="1:30" s="49" customFormat="1" ht="12.75" hidden="1" x14ac:dyDescent="0.2">
      <c r="A292" s="94">
        <v>287</v>
      </c>
      <c r="B292" s="36"/>
      <c r="C292" s="148"/>
      <c r="D292" s="57"/>
      <c r="E292" s="79">
        <f t="shared" si="102"/>
        <v>0</v>
      </c>
      <c r="F292" s="80"/>
      <c r="G292" s="47"/>
      <c r="H292" s="47"/>
      <c r="I292" s="47"/>
      <c r="J292" s="47"/>
      <c r="K292" s="47"/>
      <c r="L292" s="47"/>
      <c r="M292" s="47"/>
      <c r="N292" s="80">
        <v>0</v>
      </c>
      <c r="O292" s="47"/>
      <c r="P292" s="47"/>
      <c r="Q292" s="47"/>
      <c r="R292" s="47"/>
      <c r="S292" s="136"/>
      <c r="T292" s="47">
        <v>0</v>
      </c>
      <c r="U292" s="81">
        <f t="shared" si="103"/>
        <v>0</v>
      </c>
      <c r="V292" s="47">
        <f t="shared" si="101"/>
        <v>0</v>
      </c>
      <c r="W292" s="47"/>
      <c r="X292" s="47">
        <f t="shared" si="99"/>
        <v>0</v>
      </c>
      <c r="Y292" s="47">
        <v>0</v>
      </c>
      <c r="Z292" s="47">
        <f t="shared" si="100"/>
        <v>0</v>
      </c>
      <c r="AA292" s="47">
        <v>0</v>
      </c>
      <c r="AB292" s="47">
        <v>0</v>
      </c>
      <c r="AC292" s="71">
        <f t="shared" si="104"/>
        <v>0</v>
      </c>
      <c r="AD292" s="118">
        <f t="shared" si="105"/>
        <v>0</v>
      </c>
    </row>
    <row r="293" spans="1:30" s="49" customFormat="1" ht="12.75" hidden="1" x14ac:dyDescent="0.2">
      <c r="A293" s="94">
        <v>288</v>
      </c>
      <c r="B293" s="36"/>
      <c r="C293" s="148"/>
      <c r="D293" s="57"/>
      <c r="E293" s="79">
        <f t="shared" si="102"/>
        <v>0</v>
      </c>
      <c r="F293" s="80"/>
      <c r="G293" s="47"/>
      <c r="H293" s="47"/>
      <c r="I293" s="47"/>
      <c r="J293" s="47"/>
      <c r="K293" s="47"/>
      <c r="L293" s="47"/>
      <c r="M293" s="47"/>
      <c r="N293" s="80">
        <v>0</v>
      </c>
      <c r="O293" s="47"/>
      <c r="P293" s="47"/>
      <c r="Q293" s="47"/>
      <c r="R293" s="47"/>
      <c r="S293" s="136"/>
      <c r="T293" s="47">
        <v>0</v>
      </c>
      <c r="U293" s="81">
        <f t="shared" si="103"/>
        <v>0</v>
      </c>
      <c r="V293" s="47"/>
      <c r="W293" s="47"/>
      <c r="X293" s="47">
        <f t="shared" si="99"/>
        <v>0</v>
      </c>
      <c r="Y293" s="47">
        <v>0</v>
      </c>
      <c r="Z293" s="47">
        <f t="shared" si="100"/>
        <v>0</v>
      </c>
      <c r="AA293" s="47">
        <v>0</v>
      </c>
      <c r="AB293" s="47">
        <v>0</v>
      </c>
      <c r="AC293" s="71">
        <f t="shared" si="104"/>
        <v>0</v>
      </c>
      <c r="AD293" s="118">
        <f t="shared" si="105"/>
        <v>0</v>
      </c>
    </row>
    <row r="294" spans="1:30" s="49" customFormat="1" ht="12.75" hidden="1" x14ac:dyDescent="0.2">
      <c r="A294" s="94">
        <v>289</v>
      </c>
      <c r="B294" s="36"/>
      <c r="C294" s="148"/>
      <c r="D294" s="57"/>
      <c r="E294" s="79">
        <f t="shared" si="102"/>
        <v>0</v>
      </c>
      <c r="F294" s="80"/>
      <c r="G294" s="47"/>
      <c r="H294" s="47"/>
      <c r="I294" s="47"/>
      <c r="J294" s="47"/>
      <c r="K294" s="47"/>
      <c r="L294" s="47"/>
      <c r="M294" s="47"/>
      <c r="N294" s="80">
        <v>0</v>
      </c>
      <c r="O294" s="47"/>
      <c r="P294" s="47"/>
      <c r="Q294" s="47"/>
      <c r="R294" s="47"/>
      <c r="S294" s="136"/>
      <c r="T294" s="47">
        <v>0</v>
      </c>
      <c r="U294" s="81">
        <f t="shared" si="103"/>
        <v>0</v>
      </c>
      <c r="V294" s="47">
        <f t="shared" si="101"/>
        <v>0</v>
      </c>
      <c r="W294" s="47"/>
      <c r="X294" s="47">
        <f t="shared" si="99"/>
        <v>0</v>
      </c>
      <c r="Y294" s="47">
        <v>0</v>
      </c>
      <c r="Z294" s="47">
        <f t="shared" si="100"/>
        <v>0</v>
      </c>
      <c r="AA294" s="47">
        <v>0</v>
      </c>
      <c r="AB294" s="47">
        <v>0</v>
      </c>
      <c r="AC294" s="71">
        <f t="shared" si="104"/>
        <v>0</v>
      </c>
      <c r="AD294" s="118">
        <f t="shared" si="105"/>
        <v>0</v>
      </c>
    </row>
    <row r="295" spans="1:30" s="49" customFormat="1" ht="12.75" hidden="1" x14ac:dyDescent="0.2">
      <c r="A295" s="94">
        <v>290</v>
      </c>
      <c r="B295" s="36"/>
      <c r="C295" s="148"/>
      <c r="D295" s="57"/>
      <c r="E295" s="79">
        <f t="shared" si="102"/>
        <v>0</v>
      </c>
      <c r="F295" s="80"/>
      <c r="G295" s="47"/>
      <c r="H295" s="47"/>
      <c r="I295" s="47"/>
      <c r="J295" s="47"/>
      <c r="K295" s="47"/>
      <c r="L295" s="47"/>
      <c r="M295" s="47"/>
      <c r="N295" s="80">
        <v>0</v>
      </c>
      <c r="O295" s="47">
        <v>0</v>
      </c>
      <c r="P295" s="47"/>
      <c r="Q295" s="47"/>
      <c r="R295" s="47"/>
      <c r="S295" s="136"/>
      <c r="T295" s="47">
        <v>0</v>
      </c>
      <c r="U295" s="81">
        <f t="shared" si="103"/>
        <v>0</v>
      </c>
      <c r="V295" s="47">
        <f t="shared" si="101"/>
        <v>0</v>
      </c>
      <c r="W295" s="47"/>
      <c r="X295" s="47">
        <f t="shared" si="99"/>
        <v>0</v>
      </c>
      <c r="Y295" s="47">
        <v>0</v>
      </c>
      <c r="Z295" s="47">
        <f t="shared" si="100"/>
        <v>0</v>
      </c>
      <c r="AA295" s="47">
        <v>0</v>
      </c>
      <c r="AB295" s="47">
        <v>0</v>
      </c>
      <c r="AC295" s="71">
        <f t="shared" si="104"/>
        <v>0</v>
      </c>
      <c r="AD295" s="118">
        <f t="shared" si="105"/>
        <v>0</v>
      </c>
    </row>
    <row r="296" spans="1:30" s="49" customFormat="1" ht="12.75" hidden="1" x14ac:dyDescent="0.2">
      <c r="A296" s="94">
        <v>291</v>
      </c>
      <c r="B296" s="36"/>
      <c r="C296" s="148"/>
      <c r="D296" s="57"/>
      <c r="E296" s="79">
        <f t="shared" si="102"/>
        <v>0</v>
      </c>
      <c r="F296" s="80"/>
      <c r="G296" s="47"/>
      <c r="H296" s="47"/>
      <c r="I296" s="47"/>
      <c r="J296" s="47"/>
      <c r="K296" s="47"/>
      <c r="L296" s="47"/>
      <c r="M296" s="47"/>
      <c r="N296" s="80">
        <v>0</v>
      </c>
      <c r="O296" s="47">
        <v>0</v>
      </c>
      <c r="P296" s="47"/>
      <c r="Q296" s="47"/>
      <c r="R296" s="47"/>
      <c r="S296" s="136"/>
      <c r="T296" s="47">
        <v>0</v>
      </c>
      <c r="U296" s="81">
        <f t="shared" si="103"/>
        <v>0</v>
      </c>
      <c r="V296" s="47">
        <f t="shared" si="101"/>
        <v>0</v>
      </c>
      <c r="W296" s="47"/>
      <c r="X296" s="47">
        <f t="shared" si="99"/>
        <v>0</v>
      </c>
      <c r="Y296" s="47">
        <v>0</v>
      </c>
      <c r="Z296" s="47">
        <f t="shared" si="100"/>
        <v>0</v>
      </c>
      <c r="AA296" s="47">
        <v>0</v>
      </c>
      <c r="AB296" s="47">
        <v>0</v>
      </c>
      <c r="AC296" s="71">
        <f t="shared" si="104"/>
        <v>0</v>
      </c>
      <c r="AD296" s="118">
        <f t="shared" si="105"/>
        <v>0</v>
      </c>
    </row>
    <row r="297" spans="1:30" s="49" customFormat="1" ht="12.75" hidden="1" x14ac:dyDescent="0.2">
      <c r="A297" s="94">
        <v>292</v>
      </c>
      <c r="B297" s="36"/>
      <c r="C297" s="148"/>
      <c r="D297" s="57"/>
      <c r="E297" s="79">
        <f t="shared" si="102"/>
        <v>0</v>
      </c>
      <c r="F297" s="80"/>
      <c r="G297" s="47"/>
      <c r="H297" s="47"/>
      <c r="I297" s="47"/>
      <c r="J297" s="47"/>
      <c r="K297" s="47"/>
      <c r="L297" s="47"/>
      <c r="M297" s="47"/>
      <c r="N297" s="80">
        <v>0</v>
      </c>
      <c r="O297" s="47">
        <v>0</v>
      </c>
      <c r="P297" s="47"/>
      <c r="Q297" s="47"/>
      <c r="R297" s="47"/>
      <c r="S297" s="136"/>
      <c r="T297" s="47">
        <v>0</v>
      </c>
      <c r="U297" s="81">
        <f t="shared" si="103"/>
        <v>0</v>
      </c>
      <c r="V297" s="47">
        <f t="shared" si="101"/>
        <v>0</v>
      </c>
      <c r="W297" s="47"/>
      <c r="X297" s="47">
        <f t="shared" si="99"/>
        <v>0</v>
      </c>
      <c r="Y297" s="47">
        <v>0</v>
      </c>
      <c r="Z297" s="47">
        <f t="shared" si="100"/>
        <v>0</v>
      </c>
      <c r="AA297" s="47">
        <v>0</v>
      </c>
      <c r="AB297" s="47">
        <v>0</v>
      </c>
      <c r="AC297" s="71">
        <f t="shared" si="104"/>
        <v>0</v>
      </c>
      <c r="AD297" s="118">
        <f t="shared" si="105"/>
        <v>0</v>
      </c>
    </row>
    <row r="298" spans="1:30" s="49" customFormat="1" ht="12.75" hidden="1" x14ac:dyDescent="0.2">
      <c r="A298" s="94">
        <v>293</v>
      </c>
      <c r="B298" s="36"/>
      <c r="C298" s="148"/>
      <c r="D298" s="57"/>
      <c r="E298" s="79">
        <f t="shared" si="102"/>
        <v>0</v>
      </c>
      <c r="F298" s="80"/>
      <c r="G298" s="47"/>
      <c r="H298" s="47"/>
      <c r="I298" s="47"/>
      <c r="J298" s="47"/>
      <c r="K298" s="47"/>
      <c r="L298" s="47"/>
      <c r="M298" s="47"/>
      <c r="N298" s="80">
        <v>0</v>
      </c>
      <c r="O298" s="47">
        <v>0</v>
      </c>
      <c r="P298" s="47"/>
      <c r="Q298" s="47"/>
      <c r="R298" s="47"/>
      <c r="S298" s="136"/>
      <c r="T298" s="47">
        <v>0</v>
      </c>
      <c r="U298" s="81">
        <f t="shared" si="103"/>
        <v>0</v>
      </c>
      <c r="V298" s="47">
        <f t="shared" si="101"/>
        <v>0</v>
      </c>
      <c r="W298" s="47"/>
      <c r="X298" s="47">
        <f t="shared" si="99"/>
        <v>0</v>
      </c>
      <c r="Y298" s="47">
        <v>0</v>
      </c>
      <c r="Z298" s="47">
        <f t="shared" si="100"/>
        <v>0</v>
      </c>
      <c r="AA298" s="47">
        <v>0</v>
      </c>
      <c r="AB298" s="47">
        <v>0</v>
      </c>
      <c r="AC298" s="71">
        <f t="shared" si="104"/>
        <v>0</v>
      </c>
      <c r="AD298" s="118">
        <f t="shared" si="105"/>
        <v>0</v>
      </c>
    </row>
    <row r="299" spans="1:30" s="49" customFormat="1" ht="12.75" hidden="1" x14ac:dyDescent="0.2">
      <c r="A299" s="94">
        <v>294</v>
      </c>
      <c r="B299" s="36"/>
      <c r="C299" s="148"/>
      <c r="D299" s="57"/>
      <c r="E299" s="79">
        <f t="shared" si="102"/>
        <v>0</v>
      </c>
      <c r="F299" s="80"/>
      <c r="G299" s="47"/>
      <c r="H299" s="47"/>
      <c r="I299" s="47"/>
      <c r="J299" s="47"/>
      <c r="K299" s="47"/>
      <c r="L299" s="47"/>
      <c r="M299" s="47"/>
      <c r="N299" s="80">
        <v>0</v>
      </c>
      <c r="O299" s="47">
        <v>0</v>
      </c>
      <c r="P299" s="47"/>
      <c r="Q299" s="47"/>
      <c r="R299" s="47"/>
      <c r="S299" s="136"/>
      <c r="T299" s="47">
        <v>0</v>
      </c>
      <c r="U299" s="81">
        <f t="shared" si="103"/>
        <v>0</v>
      </c>
      <c r="V299" s="47">
        <f t="shared" si="101"/>
        <v>0</v>
      </c>
      <c r="W299" s="47"/>
      <c r="X299" s="47">
        <f t="shared" si="99"/>
        <v>0</v>
      </c>
      <c r="Y299" s="47">
        <v>0</v>
      </c>
      <c r="Z299" s="47">
        <f t="shared" si="100"/>
        <v>0</v>
      </c>
      <c r="AA299" s="47">
        <v>0</v>
      </c>
      <c r="AB299" s="47">
        <v>0</v>
      </c>
      <c r="AC299" s="71">
        <f t="shared" si="104"/>
        <v>0</v>
      </c>
      <c r="AD299" s="118">
        <f t="shared" si="105"/>
        <v>0</v>
      </c>
    </row>
    <row r="300" spans="1:30" s="49" customFormat="1" ht="12.75" hidden="1" x14ac:dyDescent="0.2">
      <c r="A300" s="94">
        <v>295</v>
      </c>
      <c r="B300" s="36"/>
      <c r="C300" s="148"/>
      <c r="D300" s="57"/>
      <c r="E300" s="79">
        <f t="shared" si="102"/>
        <v>0</v>
      </c>
      <c r="F300" s="80"/>
      <c r="G300" s="47"/>
      <c r="H300" s="47"/>
      <c r="I300" s="47"/>
      <c r="J300" s="47"/>
      <c r="K300" s="47"/>
      <c r="L300" s="47"/>
      <c r="M300" s="47"/>
      <c r="N300" s="80">
        <v>0</v>
      </c>
      <c r="O300" s="47">
        <v>0</v>
      </c>
      <c r="P300" s="47"/>
      <c r="Q300" s="47"/>
      <c r="R300" s="47">
        <f>E300*30%</f>
        <v>0</v>
      </c>
      <c r="S300" s="136"/>
      <c r="T300" s="47">
        <v>0</v>
      </c>
      <c r="U300" s="81">
        <f t="shared" si="103"/>
        <v>0</v>
      </c>
      <c r="V300" s="47">
        <f t="shared" si="101"/>
        <v>0</v>
      </c>
      <c r="W300" s="47"/>
      <c r="X300" s="47">
        <f t="shared" si="99"/>
        <v>0</v>
      </c>
      <c r="Y300" s="47">
        <v>0</v>
      </c>
      <c r="Z300" s="47">
        <f t="shared" si="100"/>
        <v>0</v>
      </c>
      <c r="AA300" s="47">
        <v>0</v>
      </c>
      <c r="AB300" s="47">
        <v>0</v>
      </c>
      <c r="AC300" s="71">
        <f t="shared" si="104"/>
        <v>0</v>
      </c>
      <c r="AD300" s="118">
        <f t="shared" si="105"/>
        <v>0</v>
      </c>
    </row>
    <row r="301" spans="1:30" s="49" customFormat="1" ht="12.75" hidden="1" x14ac:dyDescent="0.2">
      <c r="A301" s="94">
        <v>296</v>
      </c>
      <c r="B301" s="36"/>
      <c r="C301" s="148"/>
      <c r="D301" s="57"/>
      <c r="E301" s="79">
        <f t="shared" si="102"/>
        <v>0</v>
      </c>
      <c r="F301" s="80"/>
      <c r="G301" s="47"/>
      <c r="H301" s="47"/>
      <c r="I301" s="47"/>
      <c r="J301" s="47"/>
      <c r="K301" s="47"/>
      <c r="L301" s="47"/>
      <c r="M301" s="47"/>
      <c r="N301" s="80">
        <v>0</v>
      </c>
      <c r="O301" s="47">
        <v>0</v>
      </c>
      <c r="P301" s="47"/>
      <c r="Q301" s="47"/>
      <c r="R301" s="47"/>
      <c r="S301" s="136"/>
      <c r="T301" s="47">
        <v>0</v>
      </c>
      <c r="U301" s="81">
        <f t="shared" si="103"/>
        <v>0</v>
      </c>
      <c r="V301" s="47">
        <f t="shared" si="101"/>
        <v>0</v>
      </c>
      <c r="W301" s="47"/>
      <c r="X301" s="47">
        <f t="shared" si="99"/>
        <v>0</v>
      </c>
      <c r="Y301" s="47">
        <v>0</v>
      </c>
      <c r="Z301" s="47">
        <f t="shared" si="100"/>
        <v>0</v>
      </c>
      <c r="AA301" s="47">
        <v>0</v>
      </c>
      <c r="AB301" s="47">
        <v>0</v>
      </c>
      <c r="AC301" s="71">
        <f t="shared" si="104"/>
        <v>0</v>
      </c>
      <c r="AD301" s="118">
        <f t="shared" si="105"/>
        <v>0</v>
      </c>
    </row>
    <row r="302" spans="1:30" s="49" customFormat="1" ht="12.75" hidden="1" x14ac:dyDescent="0.2">
      <c r="A302" s="94">
        <v>297</v>
      </c>
      <c r="B302" s="36"/>
      <c r="C302" s="148"/>
      <c r="D302" s="57"/>
      <c r="E302" s="79">
        <f t="shared" si="102"/>
        <v>0</v>
      </c>
      <c r="F302" s="80"/>
      <c r="G302" s="47"/>
      <c r="H302" s="47"/>
      <c r="I302" s="47"/>
      <c r="J302" s="47"/>
      <c r="K302" s="47"/>
      <c r="L302" s="47"/>
      <c r="M302" s="47"/>
      <c r="N302" s="80">
        <v>0</v>
      </c>
      <c r="O302" s="47">
        <v>0</v>
      </c>
      <c r="P302" s="47"/>
      <c r="Q302" s="47"/>
      <c r="R302" s="47"/>
      <c r="S302" s="136"/>
      <c r="T302" s="47">
        <v>0</v>
      </c>
      <c r="U302" s="81">
        <f t="shared" si="103"/>
        <v>0</v>
      </c>
      <c r="V302" s="47">
        <f t="shared" si="101"/>
        <v>0</v>
      </c>
      <c r="W302" s="47"/>
      <c r="X302" s="47">
        <f t="shared" si="99"/>
        <v>0</v>
      </c>
      <c r="Y302" s="47">
        <v>0</v>
      </c>
      <c r="Z302" s="47">
        <f t="shared" si="100"/>
        <v>0</v>
      </c>
      <c r="AA302" s="47">
        <v>0</v>
      </c>
      <c r="AB302" s="47">
        <v>0</v>
      </c>
      <c r="AC302" s="71">
        <f t="shared" si="104"/>
        <v>0</v>
      </c>
      <c r="AD302" s="118">
        <f t="shared" si="105"/>
        <v>0</v>
      </c>
    </row>
    <row r="303" spans="1:30" s="49" customFormat="1" ht="12.75" hidden="1" x14ac:dyDescent="0.2">
      <c r="A303" s="94">
        <v>298</v>
      </c>
      <c r="B303" s="36"/>
      <c r="C303" s="148"/>
      <c r="D303" s="57"/>
      <c r="E303" s="79">
        <f t="shared" si="102"/>
        <v>0</v>
      </c>
      <c r="F303" s="80"/>
      <c r="G303" s="47"/>
      <c r="H303" s="47"/>
      <c r="I303" s="47"/>
      <c r="J303" s="47"/>
      <c r="K303" s="47"/>
      <c r="L303" s="47"/>
      <c r="M303" s="47"/>
      <c r="N303" s="80">
        <v>0</v>
      </c>
      <c r="O303" s="47">
        <v>0</v>
      </c>
      <c r="P303" s="47"/>
      <c r="Q303" s="47"/>
      <c r="R303" s="47"/>
      <c r="S303" s="136"/>
      <c r="T303" s="47">
        <v>0</v>
      </c>
      <c r="U303" s="81">
        <f t="shared" si="103"/>
        <v>0</v>
      </c>
      <c r="V303" s="47">
        <f t="shared" si="101"/>
        <v>0</v>
      </c>
      <c r="W303" s="47"/>
      <c r="X303" s="47">
        <f t="shared" si="99"/>
        <v>0</v>
      </c>
      <c r="Y303" s="47">
        <v>0</v>
      </c>
      <c r="Z303" s="47">
        <f t="shared" si="100"/>
        <v>0</v>
      </c>
      <c r="AA303" s="47">
        <v>0</v>
      </c>
      <c r="AB303" s="47">
        <v>0</v>
      </c>
      <c r="AC303" s="71">
        <f t="shared" si="104"/>
        <v>0</v>
      </c>
      <c r="AD303" s="118">
        <f t="shared" si="105"/>
        <v>0</v>
      </c>
    </row>
    <row r="304" spans="1:30" s="49" customFormat="1" ht="12.75" hidden="1" x14ac:dyDescent="0.2">
      <c r="A304" s="94">
        <v>299</v>
      </c>
      <c r="B304" s="36"/>
      <c r="C304" s="148"/>
      <c r="D304" s="57"/>
      <c r="E304" s="79">
        <f t="shared" si="102"/>
        <v>0</v>
      </c>
      <c r="F304" s="80"/>
      <c r="G304" s="47"/>
      <c r="H304" s="47"/>
      <c r="I304" s="47"/>
      <c r="J304" s="47"/>
      <c r="K304" s="47"/>
      <c r="L304" s="47"/>
      <c r="M304" s="47"/>
      <c r="N304" s="80">
        <v>0</v>
      </c>
      <c r="O304" s="47">
        <v>0</v>
      </c>
      <c r="P304" s="47">
        <v>0</v>
      </c>
      <c r="Q304" s="47">
        <v>0</v>
      </c>
      <c r="R304" s="47">
        <v>0</v>
      </c>
      <c r="S304" s="136">
        <v>0</v>
      </c>
      <c r="T304" s="47">
        <v>0</v>
      </c>
      <c r="U304" s="81">
        <f t="shared" si="103"/>
        <v>0</v>
      </c>
      <c r="V304" s="47"/>
      <c r="W304" s="47"/>
      <c r="X304" s="47">
        <f t="shared" si="99"/>
        <v>0</v>
      </c>
      <c r="Y304" s="47">
        <v>0</v>
      </c>
      <c r="Z304" s="47">
        <f t="shared" si="100"/>
        <v>0</v>
      </c>
      <c r="AA304" s="47">
        <v>0</v>
      </c>
      <c r="AB304" s="47">
        <v>0</v>
      </c>
      <c r="AC304" s="71">
        <f t="shared" si="104"/>
        <v>0</v>
      </c>
      <c r="AD304" s="118">
        <f t="shared" si="105"/>
        <v>0</v>
      </c>
    </row>
    <row r="305" spans="1:30" s="49" customFormat="1" ht="12.75" hidden="1" x14ac:dyDescent="0.2">
      <c r="A305" s="94">
        <v>300</v>
      </c>
      <c r="B305" s="36"/>
      <c r="C305" s="148"/>
      <c r="D305" s="57"/>
      <c r="E305" s="79">
        <f t="shared" si="102"/>
        <v>0</v>
      </c>
      <c r="F305" s="80"/>
      <c r="G305" s="47"/>
      <c r="H305" s="47"/>
      <c r="I305" s="47"/>
      <c r="J305" s="47"/>
      <c r="K305" s="47"/>
      <c r="L305" s="47"/>
      <c r="M305" s="47"/>
      <c r="N305" s="369"/>
      <c r="O305" s="368"/>
      <c r="P305" s="47"/>
      <c r="Q305" s="368"/>
      <c r="R305" s="47"/>
      <c r="S305" s="136"/>
      <c r="T305" s="47">
        <v>0</v>
      </c>
      <c r="U305" s="81">
        <f t="shared" si="103"/>
        <v>0</v>
      </c>
      <c r="V305" s="47">
        <f t="shared" si="101"/>
        <v>0</v>
      </c>
      <c r="W305" s="47"/>
      <c r="X305" s="47">
        <f t="shared" si="99"/>
        <v>0</v>
      </c>
      <c r="Y305" s="47">
        <v>0</v>
      </c>
      <c r="Z305" s="47">
        <f t="shared" si="100"/>
        <v>0</v>
      </c>
      <c r="AA305" s="47">
        <v>0</v>
      </c>
      <c r="AB305" s="47">
        <v>0</v>
      </c>
      <c r="AC305" s="71">
        <f t="shared" si="104"/>
        <v>0</v>
      </c>
      <c r="AD305" s="118">
        <f t="shared" si="105"/>
        <v>0</v>
      </c>
    </row>
    <row r="306" spans="1:30" s="49" customFormat="1" ht="12.75" hidden="1" x14ac:dyDescent="0.2">
      <c r="A306" s="94">
        <v>301</v>
      </c>
      <c r="B306" s="364"/>
      <c r="C306" s="148"/>
      <c r="D306" s="57"/>
      <c r="E306" s="79">
        <f t="shared" si="102"/>
        <v>0</v>
      </c>
      <c r="F306" s="80"/>
      <c r="G306" s="47"/>
      <c r="H306" s="47"/>
      <c r="I306" s="47"/>
      <c r="J306" s="47"/>
      <c r="K306" s="47"/>
      <c r="L306" s="47"/>
      <c r="M306" s="47"/>
      <c r="N306" s="369"/>
      <c r="O306" s="368"/>
      <c r="P306" s="47"/>
      <c r="Q306" s="47"/>
      <c r="R306" s="47"/>
      <c r="S306" s="136"/>
      <c r="T306" s="47">
        <v>0</v>
      </c>
      <c r="U306" s="81">
        <f t="shared" si="103"/>
        <v>0</v>
      </c>
      <c r="V306" s="47">
        <f t="shared" si="101"/>
        <v>0</v>
      </c>
      <c r="W306" s="47"/>
      <c r="X306" s="47">
        <f t="shared" si="99"/>
        <v>0</v>
      </c>
      <c r="Y306" s="47">
        <v>0</v>
      </c>
      <c r="Z306" s="47">
        <f t="shared" si="100"/>
        <v>0</v>
      </c>
      <c r="AA306" s="47">
        <v>0</v>
      </c>
      <c r="AB306" s="47">
        <v>0</v>
      </c>
      <c r="AC306" s="71">
        <f t="shared" si="104"/>
        <v>0</v>
      </c>
      <c r="AD306" s="118">
        <f t="shared" si="105"/>
        <v>0</v>
      </c>
    </row>
    <row r="307" spans="1:30" s="49" customFormat="1" ht="12.75" hidden="1" x14ac:dyDescent="0.2">
      <c r="A307" s="94">
        <v>302</v>
      </c>
      <c r="B307" s="36"/>
      <c r="C307" s="148"/>
      <c r="D307" s="57"/>
      <c r="E307" s="79">
        <f t="shared" si="102"/>
        <v>0</v>
      </c>
      <c r="F307" s="80"/>
      <c r="G307" s="47"/>
      <c r="H307" s="47"/>
      <c r="I307" s="47"/>
      <c r="J307" s="47"/>
      <c r="K307" s="47"/>
      <c r="L307" s="47"/>
      <c r="M307" s="47"/>
      <c r="N307" s="80"/>
      <c r="O307" s="47"/>
      <c r="P307" s="47"/>
      <c r="Q307" s="368"/>
      <c r="R307" s="47"/>
      <c r="S307" s="136"/>
      <c r="T307" s="47">
        <v>0</v>
      </c>
      <c r="U307" s="81">
        <f t="shared" si="103"/>
        <v>0</v>
      </c>
      <c r="V307" s="47">
        <f t="shared" si="101"/>
        <v>0</v>
      </c>
      <c r="W307" s="47"/>
      <c r="X307" s="47">
        <f t="shared" si="99"/>
        <v>0</v>
      </c>
      <c r="Y307" s="47">
        <v>0</v>
      </c>
      <c r="Z307" s="47">
        <f t="shared" si="100"/>
        <v>0</v>
      </c>
      <c r="AA307" s="47">
        <v>0</v>
      </c>
      <c r="AB307" s="47">
        <v>0</v>
      </c>
      <c r="AC307" s="71">
        <f t="shared" si="104"/>
        <v>0</v>
      </c>
      <c r="AD307" s="118">
        <f t="shared" si="105"/>
        <v>0</v>
      </c>
    </row>
    <row r="308" spans="1:30" s="49" customFormat="1" ht="12.75" hidden="1" x14ac:dyDescent="0.2">
      <c r="A308" s="94">
        <v>303</v>
      </c>
      <c r="B308" s="36"/>
      <c r="C308" s="148"/>
      <c r="D308" s="57"/>
      <c r="E308" s="79">
        <f t="shared" si="102"/>
        <v>0</v>
      </c>
      <c r="F308" s="80"/>
      <c r="G308" s="47"/>
      <c r="H308" s="47"/>
      <c r="I308" s="47"/>
      <c r="J308" s="47"/>
      <c r="K308" s="47"/>
      <c r="L308" s="47"/>
      <c r="M308" s="47"/>
      <c r="N308" s="80"/>
      <c r="O308" s="47"/>
      <c r="P308" s="47"/>
      <c r="Q308" s="368"/>
      <c r="R308" s="47"/>
      <c r="S308" s="136"/>
      <c r="T308" s="47">
        <v>0</v>
      </c>
      <c r="U308" s="81">
        <f t="shared" si="103"/>
        <v>0</v>
      </c>
      <c r="V308" s="47"/>
      <c r="W308" s="47"/>
      <c r="X308" s="47">
        <f t="shared" si="99"/>
        <v>0</v>
      </c>
      <c r="Y308" s="47">
        <v>0</v>
      </c>
      <c r="Z308" s="47">
        <f t="shared" si="100"/>
        <v>0</v>
      </c>
      <c r="AA308" s="47">
        <v>0</v>
      </c>
      <c r="AB308" s="47">
        <v>0</v>
      </c>
      <c r="AC308" s="71">
        <f t="shared" si="104"/>
        <v>0</v>
      </c>
      <c r="AD308" s="118">
        <f t="shared" si="105"/>
        <v>0</v>
      </c>
    </row>
    <row r="309" spans="1:30" s="49" customFormat="1" ht="12.75" hidden="1" x14ac:dyDescent="0.2">
      <c r="A309" s="94">
        <v>304</v>
      </c>
      <c r="B309" s="36"/>
      <c r="C309" s="148"/>
      <c r="D309" s="57"/>
      <c r="E309" s="79">
        <f t="shared" si="102"/>
        <v>0</v>
      </c>
      <c r="F309" s="80"/>
      <c r="G309" s="47"/>
      <c r="H309" s="47"/>
      <c r="I309" s="47"/>
      <c r="J309" s="47"/>
      <c r="K309" s="47"/>
      <c r="L309" s="47"/>
      <c r="M309" s="47"/>
      <c r="N309" s="80"/>
      <c r="O309" s="47"/>
      <c r="P309" s="47"/>
      <c r="Q309" s="368"/>
      <c r="R309" s="47"/>
      <c r="S309" s="136"/>
      <c r="T309" s="47">
        <v>0</v>
      </c>
      <c r="U309" s="81">
        <f t="shared" si="103"/>
        <v>0</v>
      </c>
      <c r="V309" s="47">
        <f t="shared" si="101"/>
        <v>0</v>
      </c>
      <c r="W309" s="47"/>
      <c r="X309" s="47">
        <f t="shared" si="99"/>
        <v>0</v>
      </c>
      <c r="Y309" s="47">
        <v>0</v>
      </c>
      <c r="Z309" s="47">
        <f t="shared" si="100"/>
        <v>0</v>
      </c>
      <c r="AA309" s="47">
        <v>0</v>
      </c>
      <c r="AB309" s="47">
        <v>0</v>
      </c>
      <c r="AC309" s="71">
        <f t="shared" si="104"/>
        <v>0</v>
      </c>
      <c r="AD309" s="118">
        <f t="shared" si="105"/>
        <v>0</v>
      </c>
    </row>
    <row r="310" spans="1:30" s="49" customFormat="1" ht="12.75" hidden="1" x14ac:dyDescent="0.2">
      <c r="A310" s="94">
        <v>305</v>
      </c>
      <c r="B310" s="36"/>
      <c r="C310" s="148"/>
      <c r="D310" s="57"/>
      <c r="E310" s="79">
        <f t="shared" si="102"/>
        <v>0</v>
      </c>
      <c r="F310" s="80"/>
      <c r="G310" s="47"/>
      <c r="H310" s="47"/>
      <c r="I310" s="47"/>
      <c r="J310" s="47"/>
      <c r="K310" s="47"/>
      <c r="L310" s="47"/>
      <c r="M310" s="47"/>
      <c r="N310" s="80">
        <v>0</v>
      </c>
      <c r="O310" s="47">
        <v>0</v>
      </c>
      <c r="P310" s="47">
        <v>0</v>
      </c>
      <c r="Q310" s="47">
        <v>0</v>
      </c>
      <c r="R310" s="47">
        <v>0</v>
      </c>
      <c r="S310" s="136">
        <v>0</v>
      </c>
      <c r="T310" s="47">
        <v>0</v>
      </c>
      <c r="U310" s="81">
        <f t="shared" si="103"/>
        <v>0</v>
      </c>
      <c r="V310" s="47">
        <f t="shared" si="101"/>
        <v>0</v>
      </c>
      <c r="W310" s="47"/>
      <c r="X310" s="47">
        <f t="shared" si="99"/>
        <v>0</v>
      </c>
      <c r="Y310" s="47">
        <v>0</v>
      </c>
      <c r="Z310" s="47">
        <f t="shared" si="100"/>
        <v>0</v>
      </c>
      <c r="AA310" s="47">
        <v>0</v>
      </c>
      <c r="AB310" s="47">
        <v>0</v>
      </c>
      <c r="AC310" s="71">
        <f t="shared" si="104"/>
        <v>0</v>
      </c>
      <c r="AD310" s="118">
        <f t="shared" si="105"/>
        <v>0</v>
      </c>
    </row>
    <row r="311" spans="1:30" s="49" customFormat="1" ht="12.75" hidden="1" x14ac:dyDescent="0.2">
      <c r="A311" s="94">
        <v>306</v>
      </c>
      <c r="B311" s="36"/>
      <c r="C311" s="148"/>
      <c r="D311" s="57"/>
      <c r="E311" s="79">
        <f t="shared" si="102"/>
        <v>0</v>
      </c>
      <c r="F311" s="80"/>
      <c r="G311" s="47"/>
      <c r="H311" s="47"/>
      <c r="I311" s="47"/>
      <c r="J311" s="47"/>
      <c r="K311" s="47"/>
      <c r="L311" s="47"/>
      <c r="M311" s="47"/>
      <c r="N311" s="80">
        <v>0</v>
      </c>
      <c r="O311" s="47">
        <v>0</v>
      </c>
      <c r="P311" s="47">
        <v>0</v>
      </c>
      <c r="Q311" s="47">
        <v>0</v>
      </c>
      <c r="R311" s="47">
        <v>0</v>
      </c>
      <c r="S311" s="136">
        <v>0</v>
      </c>
      <c r="T311" s="47">
        <v>0</v>
      </c>
      <c r="U311" s="81">
        <f t="shared" si="103"/>
        <v>0</v>
      </c>
      <c r="V311" s="47">
        <f t="shared" si="101"/>
        <v>0</v>
      </c>
      <c r="W311" s="47"/>
      <c r="X311" s="47">
        <f t="shared" si="99"/>
        <v>0</v>
      </c>
      <c r="Y311" s="47">
        <v>0</v>
      </c>
      <c r="Z311" s="47">
        <f t="shared" si="100"/>
        <v>0</v>
      </c>
      <c r="AA311" s="47">
        <v>0</v>
      </c>
      <c r="AB311" s="47">
        <v>0</v>
      </c>
      <c r="AC311" s="71">
        <f t="shared" si="104"/>
        <v>0</v>
      </c>
      <c r="AD311" s="118">
        <f t="shared" si="105"/>
        <v>0</v>
      </c>
    </row>
    <row r="312" spans="1:30" s="49" customFormat="1" ht="12.75" hidden="1" x14ac:dyDescent="0.2">
      <c r="A312" s="94">
        <v>307</v>
      </c>
      <c r="B312" s="36"/>
      <c r="C312" s="148"/>
      <c r="D312" s="57"/>
      <c r="E312" s="79">
        <f t="shared" si="102"/>
        <v>0</v>
      </c>
      <c r="F312" s="80"/>
      <c r="G312" s="47"/>
      <c r="H312" s="47"/>
      <c r="I312" s="47"/>
      <c r="J312" s="47"/>
      <c r="K312" s="47"/>
      <c r="L312" s="47"/>
      <c r="M312" s="47"/>
      <c r="N312" s="80">
        <v>0</v>
      </c>
      <c r="O312" s="47">
        <v>0</v>
      </c>
      <c r="P312" s="47">
        <v>0</v>
      </c>
      <c r="Q312" s="47">
        <v>0</v>
      </c>
      <c r="R312" s="47">
        <v>0</v>
      </c>
      <c r="S312" s="136">
        <v>0</v>
      </c>
      <c r="T312" s="47">
        <v>0</v>
      </c>
      <c r="U312" s="81">
        <f t="shared" si="103"/>
        <v>0</v>
      </c>
      <c r="V312" s="47">
        <f t="shared" si="101"/>
        <v>0</v>
      </c>
      <c r="W312" s="47"/>
      <c r="X312" s="47">
        <f t="shared" si="99"/>
        <v>0</v>
      </c>
      <c r="Y312" s="47">
        <v>0</v>
      </c>
      <c r="Z312" s="47">
        <f t="shared" si="100"/>
        <v>0</v>
      </c>
      <c r="AA312" s="47">
        <v>0</v>
      </c>
      <c r="AB312" s="47">
        <v>0</v>
      </c>
      <c r="AC312" s="71">
        <f t="shared" si="104"/>
        <v>0</v>
      </c>
      <c r="AD312" s="118">
        <f t="shared" si="105"/>
        <v>0</v>
      </c>
    </row>
    <row r="313" spans="1:30" s="49" customFormat="1" ht="12.75" hidden="1" x14ac:dyDescent="0.2">
      <c r="A313" s="94">
        <v>308</v>
      </c>
      <c r="B313" s="367"/>
      <c r="C313" s="148"/>
      <c r="D313" s="57"/>
      <c r="E313" s="79">
        <f t="shared" si="102"/>
        <v>0</v>
      </c>
      <c r="F313" s="80"/>
      <c r="G313" s="47"/>
      <c r="H313" s="47"/>
      <c r="I313" s="47"/>
      <c r="J313" s="47"/>
      <c r="K313" s="47"/>
      <c r="L313" s="47"/>
      <c r="M313" s="47"/>
      <c r="N313" s="80">
        <v>0</v>
      </c>
      <c r="O313" s="47">
        <v>0</v>
      </c>
      <c r="P313" s="47">
        <v>0</v>
      </c>
      <c r="Q313" s="47">
        <v>0</v>
      </c>
      <c r="R313" s="47">
        <v>0</v>
      </c>
      <c r="S313" s="136">
        <v>0</v>
      </c>
      <c r="T313" s="47">
        <v>0</v>
      </c>
      <c r="U313" s="81">
        <f t="shared" si="103"/>
        <v>0</v>
      </c>
      <c r="V313" s="47">
        <f t="shared" si="101"/>
        <v>0</v>
      </c>
      <c r="W313" s="47">
        <f t="shared" ref="W313:W343" si="106">600*C313</f>
        <v>0</v>
      </c>
      <c r="X313" s="47">
        <f t="shared" ref="X313:X326" si="107">320*C313</f>
        <v>0</v>
      </c>
      <c r="Y313" s="47">
        <v>0</v>
      </c>
      <c r="Z313" s="47">
        <f t="shared" si="100"/>
        <v>0</v>
      </c>
      <c r="AA313" s="47">
        <v>0</v>
      </c>
      <c r="AB313" s="47">
        <v>0</v>
      </c>
      <c r="AC313" s="71">
        <f t="shared" si="104"/>
        <v>0</v>
      </c>
      <c r="AD313" s="118">
        <f t="shared" si="105"/>
        <v>0</v>
      </c>
    </row>
    <row r="314" spans="1:30" s="49" customFormat="1" ht="12.75" hidden="1" x14ac:dyDescent="0.2">
      <c r="A314" s="94">
        <v>309</v>
      </c>
      <c r="B314" s="36"/>
      <c r="C314" s="148"/>
      <c r="D314" s="57"/>
      <c r="E314" s="79">
        <f t="shared" si="102"/>
        <v>0</v>
      </c>
      <c r="F314" s="80">
        <f t="shared" ref="F314:F325" si="108">(E314+J314+L314+K314+N314+R314+O314+S314+P314+Q314+T314)*4.5%</f>
        <v>0</v>
      </c>
      <c r="G314" s="47">
        <f t="shared" ref="G314:G329" si="109">(E314+J314+L314+K314+M314)*1%</f>
        <v>0</v>
      </c>
      <c r="H314" s="47">
        <f t="shared" ref="H314:H326" si="110">(E314+J314+L314+K314+M314+N314+O314+P314+Q314+R314+S314+T314)*8%</f>
        <v>0</v>
      </c>
      <c r="I314" s="47">
        <f t="shared" ref="I314:I329" si="111">H314/2</f>
        <v>0</v>
      </c>
      <c r="J314" s="47">
        <f t="shared" ref="J314:J325" si="112">(E314+N314+O314+P314+Q314+R314+S314+T314)/12</f>
        <v>0</v>
      </c>
      <c r="K314" s="47">
        <f t="shared" ref="K314:K326" si="113">(E314+N314+O314+P314+Q314+R314+S314+T314)/12/3</f>
        <v>0</v>
      </c>
      <c r="L314" s="47">
        <f t="shared" ref="L314:L326" si="114">K314</f>
        <v>0</v>
      </c>
      <c r="M314" s="47">
        <f t="shared" ref="M314:M326" si="115">(E314+N314+O314+P314+Q314+R314+S314+T314)/12/1.3</f>
        <v>0</v>
      </c>
      <c r="N314" s="80">
        <v>0</v>
      </c>
      <c r="O314" s="47">
        <v>0</v>
      </c>
      <c r="P314" s="47">
        <v>0</v>
      </c>
      <c r="Q314" s="47">
        <v>0</v>
      </c>
      <c r="R314" s="47">
        <v>0</v>
      </c>
      <c r="S314" s="136">
        <v>0</v>
      </c>
      <c r="T314" s="47">
        <v>0</v>
      </c>
      <c r="U314" s="81">
        <f t="shared" si="103"/>
        <v>0</v>
      </c>
      <c r="V314" s="47">
        <f t="shared" si="101"/>
        <v>0</v>
      </c>
      <c r="W314" s="47">
        <f t="shared" si="106"/>
        <v>0</v>
      </c>
      <c r="X314" s="47">
        <f t="shared" si="107"/>
        <v>0</v>
      </c>
      <c r="Y314" s="47">
        <v>0</v>
      </c>
      <c r="Z314" s="47">
        <f t="shared" si="100"/>
        <v>0</v>
      </c>
      <c r="AA314" s="47">
        <v>0</v>
      </c>
      <c r="AB314" s="47">
        <v>0</v>
      </c>
      <c r="AC314" s="71">
        <f t="shared" si="104"/>
        <v>0</v>
      </c>
      <c r="AD314" s="118">
        <f t="shared" si="105"/>
        <v>0</v>
      </c>
    </row>
    <row r="315" spans="1:30" s="49" customFormat="1" ht="12.75" hidden="1" x14ac:dyDescent="0.2">
      <c r="A315" s="94">
        <v>310</v>
      </c>
      <c r="B315" s="36"/>
      <c r="C315" s="148"/>
      <c r="D315" s="57"/>
      <c r="E315" s="79">
        <f t="shared" si="102"/>
        <v>0</v>
      </c>
      <c r="F315" s="80">
        <f t="shared" si="108"/>
        <v>0</v>
      </c>
      <c r="G315" s="47">
        <f t="shared" si="109"/>
        <v>0</v>
      </c>
      <c r="H315" s="47">
        <f t="shared" si="110"/>
        <v>0</v>
      </c>
      <c r="I315" s="47">
        <f t="shared" si="111"/>
        <v>0</v>
      </c>
      <c r="J315" s="47">
        <f t="shared" si="112"/>
        <v>0</v>
      </c>
      <c r="K315" s="47">
        <f t="shared" si="113"/>
        <v>0</v>
      </c>
      <c r="L315" s="47">
        <f t="shared" si="114"/>
        <v>0</v>
      </c>
      <c r="M315" s="47">
        <f t="shared" si="115"/>
        <v>0</v>
      </c>
      <c r="N315" s="80">
        <v>0</v>
      </c>
      <c r="O315" s="47">
        <v>0</v>
      </c>
      <c r="P315" s="47">
        <v>0</v>
      </c>
      <c r="Q315" s="47">
        <v>0</v>
      </c>
      <c r="R315" s="47">
        <v>0</v>
      </c>
      <c r="S315" s="136">
        <v>0</v>
      </c>
      <c r="T315" s="47">
        <v>0</v>
      </c>
      <c r="U315" s="81">
        <f t="shared" si="103"/>
        <v>0</v>
      </c>
      <c r="V315" s="47">
        <f t="shared" si="101"/>
        <v>0</v>
      </c>
      <c r="W315" s="47">
        <f t="shared" si="106"/>
        <v>0</v>
      </c>
      <c r="X315" s="47">
        <f t="shared" si="107"/>
        <v>0</v>
      </c>
      <c r="Y315" s="47">
        <v>0</v>
      </c>
      <c r="Z315" s="47">
        <f t="shared" si="100"/>
        <v>0</v>
      </c>
      <c r="AA315" s="47">
        <v>0</v>
      </c>
      <c r="AB315" s="47">
        <v>0</v>
      </c>
      <c r="AC315" s="71">
        <f t="shared" si="104"/>
        <v>0</v>
      </c>
      <c r="AD315" s="118">
        <f t="shared" si="105"/>
        <v>0</v>
      </c>
    </row>
    <row r="316" spans="1:30" s="49" customFormat="1" ht="12.75" hidden="1" x14ac:dyDescent="0.2">
      <c r="A316" s="94">
        <v>311</v>
      </c>
      <c r="B316" s="36"/>
      <c r="C316" s="148"/>
      <c r="D316" s="57"/>
      <c r="E316" s="79">
        <f t="shared" si="102"/>
        <v>0</v>
      </c>
      <c r="F316" s="80">
        <f t="shared" si="108"/>
        <v>0</v>
      </c>
      <c r="G316" s="47">
        <f t="shared" si="109"/>
        <v>0</v>
      </c>
      <c r="H316" s="47">
        <f t="shared" si="110"/>
        <v>0</v>
      </c>
      <c r="I316" s="47">
        <f t="shared" si="111"/>
        <v>0</v>
      </c>
      <c r="J316" s="47">
        <f t="shared" si="112"/>
        <v>0</v>
      </c>
      <c r="K316" s="47">
        <f t="shared" si="113"/>
        <v>0</v>
      </c>
      <c r="L316" s="47">
        <f t="shared" si="114"/>
        <v>0</v>
      </c>
      <c r="M316" s="47">
        <f t="shared" si="115"/>
        <v>0</v>
      </c>
      <c r="N316" s="80">
        <v>0</v>
      </c>
      <c r="O316" s="47">
        <v>0</v>
      </c>
      <c r="P316" s="47">
        <v>0</v>
      </c>
      <c r="Q316" s="47">
        <v>0</v>
      </c>
      <c r="R316" s="47">
        <v>0</v>
      </c>
      <c r="S316" s="136">
        <v>0</v>
      </c>
      <c r="T316" s="47">
        <v>0</v>
      </c>
      <c r="U316" s="81">
        <f t="shared" si="103"/>
        <v>0</v>
      </c>
      <c r="V316" s="47">
        <f t="shared" si="101"/>
        <v>0</v>
      </c>
      <c r="W316" s="47">
        <f t="shared" si="106"/>
        <v>0</v>
      </c>
      <c r="X316" s="47">
        <f t="shared" si="107"/>
        <v>0</v>
      </c>
      <c r="Y316" s="47">
        <v>0</v>
      </c>
      <c r="Z316" s="47">
        <f t="shared" si="100"/>
        <v>0</v>
      </c>
      <c r="AA316" s="47">
        <v>0</v>
      </c>
      <c r="AB316" s="47">
        <v>0</v>
      </c>
      <c r="AC316" s="71">
        <f t="shared" si="104"/>
        <v>0</v>
      </c>
      <c r="AD316" s="118">
        <f t="shared" si="105"/>
        <v>0</v>
      </c>
    </row>
    <row r="317" spans="1:30" s="49" customFormat="1" ht="12.75" hidden="1" x14ac:dyDescent="0.2">
      <c r="A317" s="94">
        <v>312</v>
      </c>
      <c r="B317" s="36"/>
      <c r="C317" s="148"/>
      <c r="D317" s="57"/>
      <c r="E317" s="79">
        <f t="shared" si="102"/>
        <v>0</v>
      </c>
      <c r="F317" s="80">
        <f t="shared" si="108"/>
        <v>0</v>
      </c>
      <c r="G317" s="47">
        <f t="shared" si="109"/>
        <v>0</v>
      </c>
      <c r="H317" s="47">
        <f t="shared" si="110"/>
        <v>0</v>
      </c>
      <c r="I317" s="47">
        <f t="shared" si="111"/>
        <v>0</v>
      </c>
      <c r="J317" s="47">
        <f t="shared" si="112"/>
        <v>0</v>
      </c>
      <c r="K317" s="47">
        <f t="shared" si="113"/>
        <v>0</v>
      </c>
      <c r="L317" s="47">
        <f t="shared" si="114"/>
        <v>0</v>
      </c>
      <c r="M317" s="47">
        <f t="shared" si="115"/>
        <v>0</v>
      </c>
      <c r="N317" s="80">
        <v>0</v>
      </c>
      <c r="O317" s="47">
        <v>0</v>
      </c>
      <c r="P317" s="47">
        <v>0</v>
      </c>
      <c r="Q317" s="47">
        <v>0</v>
      </c>
      <c r="R317" s="47">
        <v>0</v>
      </c>
      <c r="S317" s="136">
        <v>0</v>
      </c>
      <c r="T317" s="47">
        <v>0</v>
      </c>
      <c r="U317" s="81">
        <f t="shared" si="103"/>
        <v>0</v>
      </c>
      <c r="V317" s="47">
        <f t="shared" si="101"/>
        <v>0</v>
      </c>
      <c r="W317" s="47">
        <f t="shared" si="106"/>
        <v>0</v>
      </c>
      <c r="X317" s="47">
        <f t="shared" si="107"/>
        <v>0</v>
      </c>
      <c r="Y317" s="47">
        <v>0</v>
      </c>
      <c r="Z317" s="47">
        <f t="shared" si="100"/>
        <v>0</v>
      </c>
      <c r="AA317" s="47">
        <v>0</v>
      </c>
      <c r="AB317" s="47">
        <v>0</v>
      </c>
      <c r="AC317" s="71">
        <f t="shared" si="104"/>
        <v>0</v>
      </c>
      <c r="AD317" s="118">
        <f t="shared" si="105"/>
        <v>0</v>
      </c>
    </row>
    <row r="318" spans="1:30" s="49" customFormat="1" ht="12.75" hidden="1" x14ac:dyDescent="0.2">
      <c r="A318" s="94">
        <v>313</v>
      </c>
      <c r="B318" s="36"/>
      <c r="C318" s="148"/>
      <c r="D318" s="57"/>
      <c r="E318" s="79">
        <f t="shared" si="102"/>
        <v>0</v>
      </c>
      <c r="F318" s="80">
        <f t="shared" si="108"/>
        <v>0</v>
      </c>
      <c r="G318" s="47">
        <f t="shared" si="109"/>
        <v>0</v>
      </c>
      <c r="H318" s="47">
        <f t="shared" si="110"/>
        <v>0</v>
      </c>
      <c r="I318" s="47">
        <f t="shared" si="111"/>
        <v>0</v>
      </c>
      <c r="J318" s="47">
        <f t="shared" si="112"/>
        <v>0</v>
      </c>
      <c r="K318" s="47">
        <f t="shared" si="113"/>
        <v>0</v>
      </c>
      <c r="L318" s="47">
        <f t="shared" si="114"/>
        <v>0</v>
      </c>
      <c r="M318" s="47">
        <f t="shared" si="115"/>
        <v>0</v>
      </c>
      <c r="N318" s="80">
        <v>0</v>
      </c>
      <c r="O318" s="47">
        <v>0</v>
      </c>
      <c r="P318" s="47">
        <v>0</v>
      </c>
      <c r="Q318" s="47">
        <v>0</v>
      </c>
      <c r="R318" s="47">
        <v>0</v>
      </c>
      <c r="S318" s="136">
        <v>0</v>
      </c>
      <c r="T318" s="47">
        <v>0</v>
      </c>
      <c r="U318" s="81">
        <f t="shared" si="103"/>
        <v>0</v>
      </c>
      <c r="V318" s="47">
        <f t="shared" si="101"/>
        <v>0</v>
      </c>
      <c r="W318" s="47">
        <f t="shared" si="106"/>
        <v>0</v>
      </c>
      <c r="X318" s="47">
        <f t="shared" si="107"/>
        <v>0</v>
      </c>
      <c r="Y318" s="47">
        <v>0</v>
      </c>
      <c r="Z318" s="47">
        <f t="shared" si="100"/>
        <v>0</v>
      </c>
      <c r="AA318" s="47">
        <v>0</v>
      </c>
      <c r="AB318" s="47">
        <v>0</v>
      </c>
      <c r="AC318" s="71">
        <f t="shared" si="104"/>
        <v>0</v>
      </c>
      <c r="AD318" s="118">
        <f t="shared" si="105"/>
        <v>0</v>
      </c>
    </row>
    <row r="319" spans="1:30" s="49" customFormat="1" ht="12.75" hidden="1" x14ac:dyDescent="0.2">
      <c r="A319" s="94">
        <v>314</v>
      </c>
      <c r="B319" s="36"/>
      <c r="C319" s="148"/>
      <c r="D319" s="57"/>
      <c r="E319" s="79">
        <f t="shared" si="102"/>
        <v>0</v>
      </c>
      <c r="F319" s="80">
        <f t="shared" si="108"/>
        <v>0</v>
      </c>
      <c r="G319" s="47">
        <f t="shared" si="109"/>
        <v>0</v>
      </c>
      <c r="H319" s="47">
        <f t="shared" si="110"/>
        <v>0</v>
      </c>
      <c r="I319" s="47">
        <f t="shared" si="111"/>
        <v>0</v>
      </c>
      <c r="J319" s="47">
        <f t="shared" si="112"/>
        <v>0</v>
      </c>
      <c r="K319" s="47">
        <f t="shared" si="113"/>
        <v>0</v>
      </c>
      <c r="L319" s="47">
        <f t="shared" si="114"/>
        <v>0</v>
      </c>
      <c r="M319" s="47">
        <f t="shared" si="115"/>
        <v>0</v>
      </c>
      <c r="N319" s="80">
        <v>0</v>
      </c>
      <c r="O319" s="47">
        <v>0</v>
      </c>
      <c r="P319" s="47">
        <v>0</v>
      </c>
      <c r="Q319" s="47">
        <v>0</v>
      </c>
      <c r="R319" s="47">
        <v>0</v>
      </c>
      <c r="S319" s="136">
        <v>0</v>
      </c>
      <c r="T319" s="47">
        <v>0</v>
      </c>
      <c r="U319" s="81">
        <f t="shared" si="103"/>
        <v>0</v>
      </c>
      <c r="V319" s="47">
        <f t="shared" si="101"/>
        <v>0</v>
      </c>
      <c r="W319" s="47">
        <f t="shared" si="106"/>
        <v>0</v>
      </c>
      <c r="X319" s="47">
        <f t="shared" si="107"/>
        <v>0</v>
      </c>
      <c r="Y319" s="47">
        <v>0</v>
      </c>
      <c r="Z319" s="47">
        <f t="shared" si="100"/>
        <v>0</v>
      </c>
      <c r="AA319" s="47">
        <v>0</v>
      </c>
      <c r="AB319" s="47">
        <v>0</v>
      </c>
      <c r="AC319" s="71">
        <f t="shared" si="104"/>
        <v>0</v>
      </c>
      <c r="AD319" s="118">
        <f t="shared" si="105"/>
        <v>0</v>
      </c>
    </row>
    <row r="320" spans="1:30" s="49" customFormat="1" ht="12.75" hidden="1" x14ac:dyDescent="0.2">
      <c r="A320" s="94">
        <v>315</v>
      </c>
      <c r="B320" s="36"/>
      <c r="C320" s="148"/>
      <c r="D320" s="57"/>
      <c r="E320" s="79">
        <f t="shared" si="102"/>
        <v>0</v>
      </c>
      <c r="F320" s="80">
        <f t="shared" si="108"/>
        <v>0</v>
      </c>
      <c r="G320" s="47">
        <f t="shared" si="109"/>
        <v>0</v>
      </c>
      <c r="H320" s="47">
        <f t="shared" si="110"/>
        <v>0</v>
      </c>
      <c r="I320" s="47">
        <f t="shared" si="111"/>
        <v>0</v>
      </c>
      <c r="J320" s="47">
        <f t="shared" si="112"/>
        <v>0</v>
      </c>
      <c r="K320" s="47">
        <f t="shared" si="113"/>
        <v>0</v>
      </c>
      <c r="L320" s="47">
        <f t="shared" si="114"/>
        <v>0</v>
      </c>
      <c r="M320" s="47">
        <f t="shared" si="115"/>
        <v>0</v>
      </c>
      <c r="N320" s="80">
        <v>0</v>
      </c>
      <c r="O320" s="47">
        <v>0</v>
      </c>
      <c r="P320" s="47">
        <v>0</v>
      </c>
      <c r="Q320" s="47">
        <v>0</v>
      </c>
      <c r="R320" s="47">
        <v>0</v>
      </c>
      <c r="S320" s="136">
        <v>0</v>
      </c>
      <c r="T320" s="47">
        <v>0</v>
      </c>
      <c r="U320" s="81">
        <f t="shared" si="103"/>
        <v>0</v>
      </c>
      <c r="V320" s="47">
        <f t="shared" si="101"/>
        <v>0</v>
      </c>
      <c r="W320" s="47">
        <f t="shared" si="106"/>
        <v>0</v>
      </c>
      <c r="X320" s="47">
        <f t="shared" si="107"/>
        <v>0</v>
      </c>
      <c r="Y320" s="47">
        <v>0</v>
      </c>
      <c r="Z320" s="47">
        <f t="shared" si="100"/>
        <v>0</v>
      </c>
      <c r="AA320" s="47">
        <v>0</v>
      </c>
      <c r="AB320" s="47">
        <v>0</v>
      </c>
      <c r="AC320" s="71">
        <f t="shared" si="104"/>
        <v>0</v>
      </c>
      <c r="AD320" s="118">
        <f t="shared" si="105"/>
        <v>0</v>
      </c>
    </row>
    <row r="321" spans="1:30" s="49" customFormat="1" ht="12.75" hidden="1" x14ac:dyDescent="0.2">
      <c r="A321" s="94">
        <v>316</v>
      </c>
      <c r="B321" s="36"/>
      <c r="C321" s="148"/>
      <c r="D321" s="57"/>
      <c r="E321" s="79">
        <f t="shared" si="102"/>
        <v>0</v>
      </c>
      <c r="F321" s="80">
        <f t="shared" si="108"/>
        <v>0</v>
      </c>
      <c r="G321" s="47">
        <f t="shared" si="109"/>
        <v>0</v>
      </c>
      <c r="H321" s="47">
        <f t="shared" si="110"/>
        <v>0</v>
      </c>
      <c r="I321" s="47">
        <f t="shared" si="111"/>
        <v>0</v>
      </c>
      <c r="J321" s="47">
        <f t="shared" si="112"/>
        <v>0</v>
      </c>
      <c r="K321" s="47">
        <f t="shared" si="113"/>
        <v>0</v>
      </c>
      <c r="L321" s="47">
        <f t="shared" si="114"/>
        <v>0</v>
      </c>
      <c r="M321" s="47">
        <f t="shared" si="115"/>
        <v>0</v>
      </c>
      <c r="N321" s="80">
        <v>0</v>
      </c>
      <c r="O321" s="47">
        <v>0</v>
      </c>
      <c r="P321" s="47">
        <v>0</v>
      </c>
      <c r="Q321" s="47">
        <v>0</v>
      </c>
      <c r="R321" s="47">
        <v>0</v>
      </c>
      <c r="S321" s="136">
        <v>0</v>
      </c>
      <c r="T321" s="47">
        <v>0</v>
      </c>
      <c r="U321" s="81">
        <f t="shared" si="103"/>
        <v>0</v>
      </c>
      <c r="V321" s="47">
        <f t="shared" si="101"/>
        <v>0</v>
      </c>
      <c r="W321" s="47">
        <f t="shared" si="106"/>
        <v>0</v>
      </c>
      <c r="X321" s="47">
        <f t="shared" si="107"/>
        <v>0</v>
      </c>
      <c r="Y321" s="47">
        <v>0</v>
      </c>
      <c r="Z321" s="47">
        <f t="shared" si="100"/>
        <v>0</v>
      </c>
      <c r="AA321" s="47">
        <v>0</v>
      </c>
      <c r="AB321" s="47">
        <v>0</v>
      </c>
      <c r="AC321" s="71">
        <f t="shared" si="104"/>
        <v>0</v>
      </c>
      <c r="AD321" s="118">
        <f t="shared" si="105"/>
        <v>0</v>
      </c>
    </row>
    <row r="322" spans="1:30" s="49" customFormat="1" ht="12.75" hidden="1" x14ac:dyDescent="0.2">
      <c r="A322" s="94">
        <v>317</v>
      </c>
      <c r="B322" s="36"/>
      <c r="C322" s="148"/>
      <c r="D322" s="57"/>
      <c r="E322" s="79">
        <f t="shared" si="102"/>
        <v>0</v>
      </c>
      <c r="F322" s="80">
        <f t="shared" si="108"/>
        <v>0</v>
      </c>
      <c r="G322" s="47">
        <f t="shared" si="109"/>
        <v>0</v>
      </c>
      <c r="H322" s="47">
        <f t="shared" si="110"/>
        <v>0</v>
      </c>
      <c r="I322" s="47">
        <f t="shared" si="111"/>
        <v>0</v>
      </c>
      <c r="J322" s="47">
        <f t="shared" si="112"/>
        <v>0</v>
      </c>
      <c r="K322" s="47">
        <f t="shared" si="113"/>
        <v>0</v>
      </c>
      <c r="L322" s="47">
        <f t="shared" si="114"/>
        <v>0</v>
      </c>
      <c r="M322" s="47">
        <f t="shared" si="115"/>
        <v>0</v>
      </c>
      <c r="N322" s="80">
        <v>0</v>
      </c>
      <c r="O322" s="47">
        <v>0</v>
      </c>
      <c r="P322" s="47">
        <v>0</v>
      </c>
      <c r="Q322" s="47">
        <v>0</v>
      </c>
      <c r="R322" s="47">
        <v>0</v>
      </c>
      <c r="S322" s="136">
        <v>0</v>
      </c>
      <c r="T322" s="47">
        <v>0</v>
      </c>
      <c r="U322" s="81">
        <f t="shared" si="103"/>
        <v>0</v>
      </c>
      <c r="V322" s="47">
        <f t="shared" si="101"/>
        <v>0</v>
      </c>
      <c r="W322" s="47">
        <f t="shared" si="106"/>
        <v>0</v>
      </c>
      <c r="X322" s="47">
        <f t="shared" si="107"/>
        <v>0</v>
      </c>
      <c r="Y322" s="47">
        <v>0</v>
      </c>
      <c r="Z322" s="47">
        <f t="shared" si="100"/>
        <v>0</v>
      </c>
      <c r="AA322" s="47">
        <v>0</v>
      </c>
      <c r="AB322" s="47">
        <v>0</v>
      </c>
      <c r="AC322" s="71">
        <f t="shared" si="104"/>
        <v>0</v>
      </c>
      <c r="AD322" s="118">
        <f t="shared" si="105"/>
        <v>0</v>
      </c>
    </row>
    <row r="323" spans="1:30" s="49" customFormat="1" ht="12.75" hidden="1" x14ac:dyDescent="0.2">
      <c r="A323" s="94">
        <v>318</v>
      </c>
      <c r="B323" s="36"/>
      <c r="C323" s="148"/>
      <c r="D323" s="57"/>
      <c r="E323" s="79">
        <f t="shared" si="102"/>
        <v>0</v>
      </c>
      <c r="F323" s="80">
        <f t="shared" si="108"/>
        <v>0</v>
      </c>
      <c r="G323" s="47">
        <f t="shared" si="109"/>
        <v>0</v>
      </c>
      <c r="H323" s="47">
        <f t="shared" si="110"/>
        <v>0</v>
      </c>
      <c r="I323" s="47">
        <f t="shared" si="111"/>
        <v>0</v>
      </c>
      <c r="J323" s="47">
        <f t="shared" si="112"/>
        <v>0</v>
      </c>
      <c r="K323" s="47">
        <f t="shared" si="113"/>
        <v>0</v>
      </c>
      <c r="L323" s="47">
        <f t="shared" si="114"/>
        <v>0</v>
      </c>
      <c r="M323" s="47">
        <f t="shared" si="115"/>
        <v>0</v>
      </c>
      <c r="N323" s="80">
        <v>0</v>
      </c>
      <c r="O323" s="47">
        <v>0</v>
      </c>
      <c r="P323" s="47">
        <v>0</v>
      </c>
      <c r="Q323" s="47">
        <v>0</v>
      </c>
      <c r="R323" s="47">
        <v>0</v>
      </c>
      <c r="S323" s="136">
        <v>0</v>
      </c>
      <c r="T323" s="47">
        <v>0</v>
      </c>
      <c r="U323" s="81">
        <f t="shared" si="103"/>
        <v>0</v>
      </c>
      <c r="V323" s="47">
        <f t="shared" si="101"/>
        <v>0</v>
      </c>
      <c r="W323" s="47">
        <f t="shared" si="106"/>
        <v>0</v>
      </c>
      <c r="X323" s="47">
        <f t="shared" si="107"/>
        <v>0</v>
      </c>
      <c r="Y323" s="47">
        <v>0</v>
      </c>
      <c r="Z323" s="47">
        <f t="shared" si="100"/>
        <v>0</v>
      </c>
      <c r="AA323" s="47">
        <v>0</v>
      </c>
      <c r="AB323" s="47">
        <v>0</v>
      </c>
      <c r="AC323" s="71">
        <f t="shared" si="104"/>
        <v>0</v>
      </c>
      <c r="AD323" s="118">
        <f t="shared" si="105"/>
        <v>0</v>
      </c>
    </row>
    <row r="324" spans="1:30" s="49" customFormat="1" ht="12.75" hidden="1" x14ac:dyDescent="0.2">
      <c r="A324" s="94">
        <v>319</v>
      </c>
      <c r="B324" s="36"/>
      <c r="C324" s="148"/>
      <c r="D324" s="57"/>
      <c r="E324" s="79">
        <f t="shared" si="102"/>
        <v>0</v>
      </c>
      <c r="F324" s="80">
        <f t="shared" si="108"/>
        <v>0</v>
      </c>
      <c r="G324" s="47">
        <f t="shared" si="109"/>
        <v>0</v>
      </c>
      <c r="H324" s="47">
        <f t="shared" si="110"/>
        <v>0</v>
      </c>
      <c r="I324" s="47">
        <f t="shared" si="111"/>
        <v>0</v>
      </c>
      <c r="J324" s="47">
        <f t="shared" si="112"/>
        <v>0</v>
      </c>
      <c r="K324" s="47">
        <f t="shared" si="113"/>
        <v>0</v>
      </c>
      <c r="L324" s="47">
        <f t="shared" si="114"/>
        <v>0</v>
      </c>
      <c r="M324" s="47">
        <f t="shared" si="115"/>
        <v>0</v>
      </c>
      <c r="N324" s="80">
        <v>0</v>
      </c>
      <c r="O324" s="47">
        <v>0</v>
      </c>
      <c r="P324" s="47">
        <v>0</v>
      </c>
      <c r="Q324" s="47">
        <v>0</v>
      </c>
      <c r="R324" s="47">
        <v>0</v>
      </c>
      <c r="S324" s="136">
        <v>0</v>
      </c>
      <c r="T324" s="47">
        <v>0</v>
      </c>
      <c r="U324" s="81">
        <f t="shared" si="103"/>
        <v>0</v>
      </c>
      <c r="V324" s="47">
        <f t="shared" si="101"/>
        <v>0</v>
      </c>
      <c r="W324" s="47">
        <f t="shared" si="106"/>
        <v>0</v>
      </c>
      <c r="X324" s="47">
        <f t="shared" si="107"/>
        <v>0</v>
      </c>
      <c r="Y324" s="47">
        <v>0</v>
      </c>
      <c r="Z324" s="47">
        <f t="shared" si="100"/>
        <v>0</v>
      </c>
      <c r="AA324" s="47">
        <v>0</v>
      </c>
      <c r="AB324" s="47">
        <v>0</v>
      </c>
      <c r="AC324" s="71">
        <f t="shared" si="104"/>
        <v>0</v>
      </c>
      <c r="AD324" s="118">
        <f t="shared" si="105"/>
        <v>0</v>
      </c>
    </row>
    <row r="325" spans="1:30" s="49" customFormat="1" ht="12.75" hidden="1" x14ac:dyDescent="0.2">
      <c r="A325" s="94">
        <v>320</v>
      </c>
      <c r="B325" s="36"/>
      <c r="C325" s="148"/>
      <c r="D325" s="57"/>
      <c r="E325" s="79">
        <f t="shared" si="102"/>
        <v>0</v>
      </c>
      <c r="F325" s="80">
        <f t="shared" si="108"/>
        <v>0</v>
      </c>
      <c r="G325" s="47">
        <f t="shared" si="109"/>
        <v>0</v>
      </c>
      <c r="H325" s="47">
        <f t="shared" si="110"/>
        <v>0</v>
      </c>
      <c r="I325" s="47">
        <f t="shared" si="111"/>
        <v>0</v>
      </c>
      <c r="J325" s="47">
        <f t="shared" si="112"/>
        <v>0</v>
      </c>
      <c r="K325" s="47">
        <f t="shared" si="113"/>
        <v>0</v>
      </c>
      <c r="L325" s="47">
        <f t="shared" si="114"/>
        <v>0</v>
      </c>
      <c r="M325" s="47">
        <f t="shared" si="115"/>
        <v>0</v>
      </c>
      <c r="N325" s="80">
        <v>0</v>
      </c>
      <c r="O325" s="47">
        <v>0</v>
      </c>
      <c r="P325" s="47">
        <v>0</v>
      </c>
      <c r="Q325" s="47">
        <v>0</v>
      </c>
      <c r="R325" s="47">
        <v>0</v>
      </c>
      <c r="S325" s="136">
        <v>0</v>
      </c>
      <c r="T325" s="47">
        <v>0</v>
      </c>
      <c r="U325" s="81">
        <f t="shared" si="103"/>
        <v>0</v>
      </c>
      <c r="V325" s="47">
        <f t="shared" si="101"/>
        <v>0</v>
      </c>
      <c r="W325" s="47">
        <f t="shared" si="106"/>
        <v>0</v>
      </c>
      <c r="X325" s="47">
        <f t="shared" si="107"/>
        <v>0</v>
      </c>
      <c r="Y325" s="47">
        <v>0</v>
      </c>
      <c r="Z325" s="47">
        <f t="shared" si="100"/>
        <v>0</v>
      </c>
      <c r="AA325" s="47">
        <v>0</v>
      </c>
      <c r="AB325" s="47">
        <v>0</v>
      </c>
      <c r="AC325" s="71">
        <f t="shared" si="104"/>
        <v>0</v>
      </c>
      <c r="AD325" s="118">
        <f t="shared" si="105"/>
        <v>0</v>
      </c>
    </row>
    <row r="326" spans="1:30" s="49" customFormat="1" ht="12.75" hidden="1" x14ac:dyDescent="0.2">
      <c r="A326" s="94">
        <v>321</v>
      </c>
      <c r="B326" s="36"/>
      <c r="C326" s="148"/>
      <c r="D326" s="57"/>
      <c r="E326" s="79">
        <f t="shared" si="102"/>
        <v>0</v>
      </c>
      <c r="F326" s="80">
        <f t="shared" ref="F326:F389" si="116">(E326+J326+L326+K326+N326+R326+O326+S326+P326+Q326+T326)*4.5%</f>
        <v>0</v>
      </c>
      <c r="G326" s="47">
        <f t="shared" si="109"/>
        <v>0</v>
      </c>
      <c r="H326" s="47">
        <f t="shared" si="110"/>
        <v>0</v>
      </c>
      <c r="I326" s="47">
        <f t="shared" si="111"/>
        <v>0</v>
      </c>
      <c r="J326" s="47">
        <f t="shared" ref="J326:J389" si="117">(E326+N326+O326+P326+Q326+R326+S326+T326)/12</f>
        <v>0</v>
      </c>
      <c r="K326" s="47">
        <f t="shared" si="113"/>
        <v>0</v>
      </c>
      <c r="L326" s="47">
        <f t="shared" si="114"/>
        <v>0</v>
      </c>
      <c r="M326" s="47">
        <f t="shared" si="115"/>
        <v>0</v>
      </c>
      <c r="N326" s="80">
        <v>0</v>
      </c>
      <c r="O326" s="47">
        <v>0</v>
      </c>
      <c r="P326" s="47">
        <v>0</v>
      </c>
      <c r="Q326" s="47">
        <v>0</v>
      </c>
      <c r="R326" s="47">
        <v>0</v>
      </c>
      <c r="S326" s="136">
        <v>0</v>
      </c>
      <c r="T326" s="47">
        <v>0</v>
      </c>
      <c r="U326" s="81">
        <f t="shared" si="103"/>
        <v>0</v>
      </c>
      <c r="V326" s="47">
        <f t="shared" si="101"/>
        <v>0</v>
      </c>
      <c r="W326" s="47">
        <f t="shared" si="106"/>
        <v>0</v>
      </c>
      <c r="X326" s="47">
        <f t="shared" si="107"/>
        <v>0</v>
      </c>
      <c r="Y326" s="47">
        <v>0</v>
      </c>
      <c r="Z326" s="47">
        <f t="shared" si="100"/>
        <v>0</v>
      </c>
      <c r="AA326" s="47">
        <v>0</v>
      </c>
      <c r="AB326" s="47">
        <v>0</v>
      </c>
      <c r="AC326" s="71">
        <f t="shared" si="104"/>
        <v>0</v>
      </c>
      <c r="AD326" s="118">
        <f t="shared" si="105"/>
        <v>0</v>
      </c>
    </row>
    <row r="327" spans="1:30" s="49" customFormat="1" ht="12.75" hidden="1" x14ac:dyDescent="0.2">
      <c r="A327" s="94">
        <v>322</v>
      </c>
      <c r="B327" s="36"/>
      <c r="C327" s="148"/>
      <c r="D327" s="57"/>
      <c r="E327" s="79">
        <f t="shared" si="102"/>
        <v>0</v>
      </c>
      <c r="F327" s="80">
        <f t="shared" si="116"/>
        <v>0</v>
      </c>
      <c r="G327" s="47">
        <f t="shared" si="109"/>
        <v>0</v>
      </c>
      <c r="H327" s="47">
        <f t="shared" ref="H327:H390" si="118">(E327+J327+L327+K327+M327+N327+O327+P327+Q327+R327+S327+T327)*8%</f>
        <v>0</v>
      </c>
      <c r="I327" s="47">
        <f t="shared" si="111"/>
        <v>0</v>
      </c>
      <c r="J327" s="47">
        <f t="shared" si="117"/>
        <v>0</v>
      </c>
      <c r="K327" s="47">
        <f t="shared" ref="K327:K390" si="119">(E327+N327+O327+P327+Q327+R327+S327+T327)/12/3</f>
        <v>0</v>
      </c>
      <c r="L327" s="47">
        <f t="shared" ref="L327:L390" si="120">K327</f>
        <v>0</v>
      </c>
      <c r="M327" s="47">
        <f t="shared" ref="M327:M390" si="121">(E327+N327+O327+P327+Q327+R327+S327+T327)/12/1.3</f>
        <v>0</v>
      </c>
      <c r="N327" s="80">
        <v>0</v>
      </c>
      <c r="O327" s="47">
        <v>0</v>
      </c>
      <c r="P327" s="47">
        <v>0</v>
      </c>
      <c r="Q327" s="47">
        <v>0</v>
      </c>
      <c r="R327" s="47">
        <v>0</v>
      </c>
      <c r="S327" s="136">
        <v>0</v>
      </c>
      <c r="T327" s="47">
        <v>0</v>
      </c>
      <c r="U327" s="81">
        <f t="shared" si="103"/>
        <v>0</v>
      </c>
      <c r="V327" s="47">
        <f t="shared" si="101"/>
        <v>0</v>
      </c>
      <c r="W327" s="47">
        <f t="shared" si="106"/>
        <v>0</v>
      </c>
      <c r="X327" s="47">
        <f t="shared" ref="X327:X390" si="122">320*C327</f>
        <v>0</v>
      </c>
      <c r="Y327" s="47">
        <v>0</v>
      </c>
      <c r="Z327" s="47">
        <f t="shared" ref="Z327:Z390" si="123">(C327*21)</f>
        <v>0</v>
      </c>
      <c r="AA327" s="47">
        <v>0</v>
      </c>
      <c r="AB327" s="47">
        <v>0</v>
      </c>
      <c r="AC327" s="71">
        <f t="shared" si="104"/>
        <v>0</v>
      </c>
      <c r="AD327" s="118">
        <f t="shared" si="105"/>
        <v>0</v>
      </c>
    </row>
    <row r="328" spans="1:30" s="49" customFormat="1" ht="12.75" hidden="1" x14ac:dyDescent="0.2">
      <c r="A328" s="94">
        <v>323</v>
      </c>
      <c r="B328" s="36"/>
      <c r="C328" s="148"/>
      <c r="D328" s="57"/>
      <c r="E328" s="79">
        <f t="shared" si="102"/>
        <v>0</v>
      </c>
      <c r="F328" s="80">
        <f t="shared" si="116"/>
        <v>0</v>
      </c>
      <c r="G328" s="47">
        <f t="shared" si="109"/>
        <v>0</v>
      </c>
      <c r="H328" s="47">
        <f t="shared" si="118"/>
        <v>0</v>
      </c>
      <c r="I328" s="47">
        <f t="shared" si="111"/>
        <v>0</v>
      </c>
      <c r="J328" s="47">
        <f t="shared" si="117"/>
        <v>0</v>
      </c>
      <c r="K328" s="47">
        <f t="shared" si="119"/>
        <v>0</v>
      </c>
      <c r="L328" s="47">
        <f t="shared" si="120"/>
        <v>0</v>
      </c>
      <c r="M328" s="47">
        <f t="shared" si="121"/>
        <v>0</v>
      </c>
      <c r="N328" s="80">
        <v>0</v>
      </c>
      <c r="O328" s="47">
        <v>0</v>
      </c>
      <c r="P328" s="47">
        <v>0</v>
      </c>
      <c r="Q328" s="47">
        <v>0</v>
      </c>
      <c r="R328" s="47">
        <v>0</v>
      </c>
      <c r="S328" s="136">
        <v>0</v>
      </c>
      <c r="T328" s="47">
        <v>0</v>
      </c>
      <c r="U328" s="81">
        <f t="shared" si="103"/>
        <v>0</v>
      </c>
      <c r="V328" s="47">
        <f t="shared" ref="V328:V391" si="124">(290*C328)-(E328*6%)</f>
        <v>0</v>
      </c>
      <c r="W328" s="47">
        <f t="shared" si="106"/>
        <v>0</v>
      </c>
      <c r="X328" s="47">
        <f t="shared" si="122"/>
        <v>0</v>
      </c>
      <c r="Y328" s="47">
        <v>0</v>
      </c>
      <c r="Z328" s="47">
        <f t="shared" si="123"/>
        <v>0</v>
      </c>
      <c r="AA328" s="47">
        <v>0</v>
      </c>
      <c r="AB328" s="47">
        <v>0</v>
      </c>
      <c r="AC328" s="71">
        <f t="shared" si="104"/>
        <v>0</v>
      </c>
      <c r="AD328" s="118">
        <f t="shared" si="105"/>
        <v>0</v>
      </c>
    </row>
    <row r="329" spans="1:30" s="49" customFormat="1" ht="12.75" hidden="1" x14ac:dyDescent="0.2">
      <c r="A329" s="94">
        <v>324</v>
      </c>
      <c r="B329" s="36"/>
      <c r="C329" s="148"/>
      <c r="D329" s="57"/>
      <c r="E329" s="79">
        <f t="shared" si="102"/>
        <v>0</v>
      </c>
      <c r="F329" s="80">
        <f t="shared" si="116"/>
        <v>0</v>
      </c>
      <c r="G329" s="47">
        <f t="shared" si="109"/>
        <v>0</v>
      </c>
      <c r="H329" s="47">
        <f t="shared" si="118"/>
        <v>0</v>
      </c>
      <c r="I329" s="47">
        <f t="shared" si="111"/>
        <v>0</v>
      </c>
      <c r="J329" s="47">
        <f t="shared" si="117"/>
        <v>0</v>
      </c>
      <c r="K329" s="47">
        <f t="shared" si="119"/>
        <v>0</v>
      </c>
      <c r="L329" s="47">
        <f t="shared" si="120"/>
        <v>0</v>
      </c>
      <c r="M329" s="47">
        <f t="shared" si="121"/>
        <v>0</v>
      </c>
      <c r="N329" s="80">
        <v>0</v>
      </c>
      <c r="O329" s="47">
        <v>0</v>
      </c>
      <c r="P329" s="47">
        <v>0</v>
      </c>
      <c r="Q329" s="47">
        <v>0</v>
      </c>
      <c r="R329" s="47">
        <v>0</v>
      </c>
      <c r="S329" s="136">
        <v>0</v>
      </c>
      <c r="T329" s="47">
        <v>0</v>
      </c>
      <c r="U329" s="81">
        <f t="shared" si="103"/>
        <v>0</v>
      </c>
      <c r="V329" s="47">
        <f t="shared" si="124"/>
        <v>0</v>
      </c>
      <c r="W329" s="47">
        <f t="shared" si="106"/>
        <v>0</v>
      </c>
      <c r="X329" s="47">
        <f t="shared" si="122"/>
        <v>0</v>
      </c>
      <c r="Y329" s="47">
        <v>0</v>
      </c>
      <c r="Z329" s="47">
        <f t="shared" si="123"/>
        <v>0</v>
      </c>
      <c r="AA329" s="47">
        <v>0</v>
      </c>
      <c r="AB329" s="47">
        <v>0</v>
      </c>
      <c r="AC329" s="71">
        <f t="shared" si="104"/>
        <v>0</v>
      </c>
      <c r="AD329" s="118">
        <f t="shared" si="105"/>
        <v>0</v>
      </c>
    </row>
    <row r="330" spans="1:30" s="49" customFormat="1" ht="12.75" hidden="1" x14ac:dyDescent="0.2">
      <c r="A330" s="94">
        <v>325</v>
      </c>
      <c r="B330" s="36"/>
      <c r="C330" s="148"/>
      <c r="D330" s="57"/>
      <c r="E330" s="79">
        <f t="shared" si="102"/>
        <v>0</v>
      </c>
      <c r="F330" s="80">
        <f t="shared" si="116"/>
        <v>0</v>
      </c>
      <c r="G330" s="47">
        <f t="shared" ref="G330:G393" si="125">(E330+J330+L330+K330+M330)*1%</f>
        <v>0</v>
      </c>
      <c r="H330" s="47">
        <f t="shared" si="118"/>
        <v>0</v>
      </c>
      <c r="I330" s="47">
        <f t="shared" ref="I330:I393" si="126">H330/2</f>
        <v>0</v>
      </c>
      <c r="J330" s="47">
        <f t="shared" si="117"/>
        <v>0</v>
      </c>
      <c r="K330" s="47">
        <f t="shared" si="119"/>
        <v>0</v>
      </c>
      <c r="L330" s="47">
        <f t="shared" si="120"/>
        <v>0</v>
      </c>
      <c r="M330" s="47">
        <f t="shared" si="121"/>
        <v>0</v>
      </c>
      <c r="N330" s="80">
        <v>0</v>
      </c>
      <c r="O330" s="47">
        <v>0</v>
      </c>
      <c r="P330" s="47">
        <v>0</v>
      </c>
      <c r="Q330" s="47">
        <v>0</v>
      </c>
      <c r="R330" s="47">
        <v>0</v>
      </c>
      <c r="S330" s="136">
        <v>0</v>
      </c>
      <c r="T330" s="47">
        <v>0</v>
      </c>
      <c r="U330" s="81">
        <f t="shared" si="103"/>
        <v>0</v>
      </c>
      <c r="V330" s="47">
        <f t="shared" si="124"/>
        <v>0</v>
      </c>
      <c r="W330" s="47">
        <f t="shared" si="106"/>
        <v>0</v>
      </c>
      <c r="X330" s="47">
        <f t="shared" si="122"/>
        <v>0</v>
      </c>
      <c r="Y330" s="47">
        <v>0</v>
      </c>
      <c r="Z330" s="47">
        <f t="shared" si="123"/>
        <v>0</v>
      </c>
      <c r="AA330" s="47">
        <v>0</v>
      </c>
      <c r="AB330" s="47">
        <v>0</v>
      </c>
      <c r="AC330" s="71">
        <f t="shared" si="104"/>
        <v>0</v>
      </c>
      <c r="AD330" s="118">
        <f t="shared" si="105"/>
        <v>0</v>
      </c>
    </row>
    <row r="331" spans="1:30" s="49" customFormat="1" ht="12.75" hidden="1" x14ac:dyDescent="0.2">
      <c r="A331" s="94">
        <v>326</v>
      </c>
      <c r="B331" s="36"/>
      <c r="C331" s="148"/>
      <c r="D331" s="57"/>
      <c r="E331" s="79">
        <f t="shared" ref="E331:E394" si="127">C331*D331</f>
        <v>0</v>
      </c>
      <c r="F331" s="80">
        <f t="shared" si="116"/>
        <v>0</v>
      </c>
      <c r="G331" s="47">
        <f t="shared" si="125"/>
        <v>0</v>
      </c>
      <c r="H331" s="47">
        <f t="shared" si="118"/>
        <v>0</v>
      </c>
      <c r="I331" s="47">
        <f t="shared" si="126"/>
        <v>0</v>
      </c>
      <c r="J331" s="47">
        <f t="shared" si="117"/>
        <v>0</v>
      </c>
      <c r="K331" s="47">
        <f t="shared" si="119"/>
        <v>0</v>
      </c>
      <c r="L331" s="47">
        <f t="shared" si="120"/>
        <v>0</v>
      </c>
      <c r="M331" s="47">
        <f t="shared" si="121"/>
        <v>0</v>
      </c>
      <c r="N331" s="80">
        <v>0</v>
      </c>
      <c r="O331" s="47">
        <v>0</v>
      </c>
      <c r="P331" s="47">
        <v>0</v>
      </c>
      <c r="Q331" s="47">
        <v>0</v>
      </c>
      <c r="R331" s="47">
        <v>0</v>
      </c>
      <c r="S331" s="136">
        <v>0</v>
      </c>
      <c r="T331" s="47">
        <v>0</v>
      </c>
      <c r="U331" s="81">
        <f t="shared" ref="U331:U394" si="128">SUM(F331:T331)</f>
        <v>0</v>
      </c>
      <c r="V331" s="47">
        <f t="shared" si="124"/>
        <v>0</v>
      </c>
      <c r="W331" s="47">
        <f t="shared" si="106"/>
        <v>0</v>
      </c>
      <c r="X331" s="47">
        <f t="shared" si="122"/>
        <v>0</v>
      </c>
      <c r="Y331" s="47">
        <v>0</v>
      </c>
      <c r="Z331" s="47">
        <f t="shared" si="123"/>
        <v>0</v>
      </c>
      <c r="AA331" s="47">
        <v>0</v>
      </c>
      <c r="AB331" s="47">
        <v>0</v>
      </c>
      <c r="AC331" s="71">
        <f t="shared" ref="AC331:AC394" si="129">SUM(V331:AB331)</f>
        <v>0</v>
      </c>
      <c r="AD331" s="118">
        <f t="shared" ref="AD331:AD394" si="130">E331+U331+AC331</f>
        <v>0</v>
      </c>
    </row>
    <row r="332" spans="1:30" s="49" customFormat="1" ht="12.75" hidden="1" x14ac:dyDescent="0.2">
      <c r="A332" s="94">
        <v>327</v>
      </c>
      <c r="B332" s="36"/>
      <c r="C332" s="148"/>
      <c r="D332" s="57"/>
      <c r="E332" s="79">
        <f t="shared" si="127"/>
        <v>0</v>
      </c>
      <c r="F332" s="80">
        <f t="shared" si="116"/>
        <v>0</v>
      </c>
      <c r="G332" s="47">
        <f t="shared" si="125"/>
        <v>0</v>
      </c>
      <c r="H332" s="47">
        <f t="shared" si="118"/>
        <v>0</v>
      </c>
      <c r="I332" s="47">
        <f t="shared" si="126"/>
        <v>0</v>
      </c>
      <c r="J332" s="47">
        <f t="shared" si="117"/>
        <v>0</v>
      </c>
      <c r="K332" s="47">
        <f t="shared" si="119"/>
        <v>0</v>
      </c>
      <c r="L332" s="47">
        <f t="shared" si="120"/>
        <v>0</v>
      </c>
      <c r="M332" s="47">
        <f t="shared" si="121"/>
        <v>0</v>
      </c>
      <c r="N332" s="80">
        <v>0</v>
      </c>
      <c r="O332" s="47">
        <v>0</v>
      </c>
      <c r="P332" s="47">
        <v>0</v>
      </c>
      <c r="Q332" s="47">
        <v>0</v>
      </c>
      <c r="R332" s="47">
        <v>0</v>
      </c>
      <c r="S332" s="136">
        <v>0</v>
      </c>
      <c r="T332" s="47">
        <v>0</v>
      </c>
      <c r="U332" s="81">
        <f t="shared" si="128"/>
        <v>0</v>
      </c>
      <c r="V332" s="47">
        <f t="shared" si="124"/>
        <v>0</v>
      </c>
      <c r="W332" s="47">
        <f t="shared" si="106"/>
        <v>0</v>
      </c>
      <c r="X332" s="47">
        <f t="shared" si="122"/>
        <v>0</v>
      </c>
      <c r="Y332" s="47">
        <v>0</v>
      </c>
      <c r="Z332" s="47">
        <f t="shared" si="123"/>
        <v>0</v>
      </c>
      <c r="AA332" s="47">
        <v>0</v>
      </c>
      <c r="AB332" s="47">
        <v>0</v>
      </c>
      <c r="AC332" s="71">
        <f t="shared" si="129"/>
        <v>0</v>
      </c>
      <c r="AD332" s="118">
        <f t="shared" si="130"/>
        <v>0</v>
      </c>
    </row>
    <row r="333" spans="1:30" s="49" customFormat="1" ht="12.75" hidden="1" x14ac:dyDescent="0.2">
      <c r="A333" s="94">
        <v>328</v>
      </c>
      <c r="B333" s="36"/>
      <c r="C333" s="148"/>
      <c r="D333" s="57"/>
      <c r="E333" s="79">
        <f t="shared" si="127"/>
        <v>0</v>
      </c>
      <c r="F333" s="80">
        <f t="shared" si="116"/>
        <v>0</v>
      </c>
      <c r="G333" s="47">
        <f t="shared" si="125"/>
        <v>0</v>
      </c>
      <c r="H333" s="47">
        <f t="shared" si="118"/>
        <v>0</v>
      </c>
      <c r="I333" s="47">
        <f t="shared" si="126"/>
        <v>0</v>
      </c>
      <c r="J333" s="47">
        <f t="shared" si="117"/>
        <v>0</v>
      </c>
      <c r="K333" s="47">
        <f t="shared" si="119"/>
        <v>0</v>
      </c>
      <c r="L333" s="47">
        <f t="shared" si="120"/>
        <v>0</v>
      </c>
      <c r="M333" s="47">
        <f t="shared" si="121"/>
        <v>0</v>
      </c>
      <c r="N333" s="80">
        <v>0</v>
      </c>
      <c r="O333" s="47">
        <v>0</v>
      </c>
      <c r="P333" s="47">
        <v>0</v>
      </c>
      <c r="Q333" s="47">
        <v>0</v>
      </c>
      <c r="R333" s="47">
        <v>0</v>
      </c>
      <c r="S333" s="136">
        <v>0</v>
      </c>
      <c r="T333" s="47">
        <v>0</v>
      </c>
      <c r="U333" s="81">
        <f t="shared" si="128"/>
        <v>0</v>
      </c>
      <c r="V333" s="47">
        <f t="shared" si="124"/>
        <v>0</v>
      </c>
      <c r="W333" s="47">
        <f t="shared" si="106"/>
        <v>0</v>
      </c>
      <c r="X333" s="47">
        <f t="shared" si="122"/>
        <v>0</v>
      </c>
      <c r="Y333" s="47">
        <v>0</v>
      </c>
      <c r="Z333" s="47">
        <f t="shared" si="123"/>
        <v>0</v>
      </c>
      <c r="AA333" s="47">
        <v>0</v>
      </c>
      <c r="AB333" s="47">
        <v>0</v>
      </c>
      <c r="AC333" s="71">
        <f t="shared" si="129"/>
        <v>0</v>
      </c>
      <c r="AD333" s="118">
        <f t="shared" si="130"/>
        <v>0</v>
      </c>
    </row>
    <row r="334" spans="1:30" s="49" customFormat="1" ht="12.75" hidden="1" x14ac:dyDescent="0.2">
      <c r="A334" s="94">
        <v>329</v>
      </c>
      <c r="B334" s="36"/>
      <c r="C334" s="148"/>
      <c r="D334" s="57"/>
      <c r="E334" s="79">
        <f t="shared" si="127"/>
        <v>0</v>
      </c>
      <c r="F334" s="80">
        <f t="shared" si="116"/>
        <v>0</v>
      </c>
      <c r="G334" s="47">
        <f t="shared" si="125"/>
        <v>0</v>
      </c>
      <c r="H334" s="47">
        <f t="shared" si="118"/>
        <v>0</v>
      </c>
      <c r="I334" s="47">
        <f t="shared" si="126"/>
        <v>0</v>
      </c>
      <c r="J334" s="47">
        <f t="shared" si="117"/>
        <v>0</v>
      </c>
      <c r="K334" s="47">
        <f t="shared" si="119"/>
        <v>0</v>
      </c>
      <c r="L334" s="47">
        <f t="shared" si="120"/>
        <v>0</v>
      </c>
      <c r="M334" s="47">
        <f t="shared" si="121"/>
        <v>0</v>
      </c>
      <c r="N334" s="80">
        <v>0</v>
      </c>
      <c r="O334" s="47">
        <v>0</v>
      </c>
      <c r="P334" s="47">
        <v>0</v>
      </c>
      <c r="Q334" s="47">
        <v>0</v>
      </c>
      <c r="R334" s="47">
        <v>0</v>
      </c>
      <c r="S334" s="136">
        <v>0</v>
      </c>
      <c r="T334" s="47">
        <v>0</v>
      </c>
      <c r="U334" s="81">
        <f t="shared" si="128"/>
        <v>0</v>
      </c>
      <c r="V334" s="47">
        <f t="shared" si="124"/>
        <v>0</v>
      </c>
      <c r="W334" s="47">
        <f t="shared" si="106"/>
        <v>0</v>
      </c>
      <c r="X334" s="47">
        <f t="shared" si="122"/>
        <v>0</v>
      </c>
      <c r="Y334" s="47">
        <v>0</v>
      </c>
      <c r="Z334" s="47">
        <f t="shared" si="123"/>
        <v>0</v>
      </c>
      <c r="AA334" s="47">
        <v>0</v>
      </c>
      <c r="AB334" s="47">
        <v>0</v>
      </c>
      <c r="AC334" s="71">
        <f t="shared" si="129"/>
        <v>0</v>
      </c>
      <c r="AD334" s="118">
        <f t="shared" si="130"/>
        <v>0</v>
      </c>
    </row>
    <row r="335" spans="1:30" s="49" customFormat="1" ht="12.75" hidden="1" x14ac:dyDescent="0.2">
      <c r="A335" s="94">
        <v>330</v>
      </c>
      <c r="B335" s="36"/>
      <c r="C335" s="148"/>
      <c r="D335" s="57"/>
      <c r="E335" s="79">
        <f t="shared" si="127"/>
        <v>0</v>
      </c>
      <c r="F335" s="80">
        <f t="shared" si="116"/>
        <v>0</v>
      </c>
      <c r="G335" s="47">
        <f t="shared" si="125"/>
        <v>0</v>
      </c>
      <c r="H335" s="47">
        <f t="shared" si="118"/>
        <v>0</v>
      </c>
      <c r="I335" s="47">
        <f t="shared" si="126"/>
        <v>0</v>
      </c>
      <c r="J335" s="47">
        <f t="shared" si="117"/>
        <v>0</v>
      </c>
      <c r="K335" s="47">
        <f t="shared" si="119"/>
        <v>0</v>
      </c>
      <c r="L335" s="47">
        <f t="shared" si="120"/>
        <v>0</v>
      </c>
      <c r="M335" s="47">
        <f t="shared" si="121"/>
        <v>0</v>
      </c>
      <c r="N335" s="80">
        <v>0</v>
      </c>
      <c r="O335" s="47">
        <v>0</v>
      </c>
      <c r="P335" s="47">
        <v>0</v>
      </c>
      <c r="Q335" s="47">
        <v>0</v>
      </c>
      <c r="R335" s="47">
        <v>0</v>
      </c>
      <c r="S335" s="136">
        <v>0</v>
      </c>
      <c r="T335" s="47">
        <v>0</v>
      </c>
      <c r="U335" s="81">
        <f t="shared" si="128"/>
        <v>0</v>
      </c>
      <c r="V335" s="47">
        <f t="shared" si="124"/>
        <v>0</v>
      </c>
      <c r="W335" s="47">
        <f t="shared" si="106"/>
        <v>0</v>
      </c>
      <c r="X335" s="47">
        <f t="shared" si="122"/>
        <v>0</v>
      </c>
      <c r="Y335" s="47">
        <v>0</v>
      </c>
      <c r="Z335" s="47">
        <f t="shared" si="123"/>
        <v>0</v>
      </c>
      <c r="AA335" s="47">
        <v>0</v>
      </c>
      <c r="AB335" s="47">
        <v>0</v>
      </c>
      <c r="AC335" s="71">
        <f t="shared" si="129"/>
        <v>0</v>
      </c>
      <c r="AD335" s="118">
        <f t="shared" si="130"/>
        <v>0</v>
      </c>
    </row>
    <row r="336" spans="1:30" s="49" customFormat="1" ht="12.75" hidden="1" x14ac:dyDescent="0.2">
      <c r="A336" s="94">
        <v>331</v>
      </c>
      <c r="B336" s="36"/>
      <c r="C336" s="148"/>
      <c r="D336" s="57"/>
      <c r="E336" s="79">
        <f t="shared" si="127"/>
        <v>0</v>
      </c>
      <c r="F336" s="80">
        <f t="shared" si="116"/>
        <v>0</v>
      </c>
      <c r="G336" s="47">
        <f t="shared" si="125"/>
        <v>0</v>
      </c>
      <c r="H336" s="47">
        <f t="shared" si="118"/>
        <v>0</v>
      </c>
      <c r="I336" s="47">
        <f t="shared" si="126"/>
        <v>0</v>
      </c>
      <c r="J336" s="47">
        <f t="shared" si="117"/>
        <v>0</v>
      </c>
      <c r="K336" s="47">
        <f t="shared" si="119"/>
        <v>0</v>
      </c>
      <c r="L336" s="47">
        <f t="shared" si="120"/>
        <v>0</v>
      </c>
      <c r="M336" s="47">
        <f t="shared" si="121"/>
        <v>0</v>
      </c>
      <c r="N336" s="80">
        <v>0</v>
      </c>
      <c r="O336" s="47">
        <v>0</v>
      </c>
      <c r="P336" s="47">
        <v>0</v>
      </c>
      <c r="Q336" s="47">
        <v>0</v>
      </c>
      <c r="R336" s="47">
        <v>0</v>
      </c>
      <c r="S336" s="136">
        <v>0</v>
      </c>
      <c r="T336" s="47">
        <v>0</v>
      </c>
      <c r="U336" s="81">
        <f t="shared" si="128"/>
        <v>0</v>
      </c>
      <c r="V336" s="47">
        <f t="shared" si="124"/>
        <v>0</v>
      </c>
      <c r="W336" s="47">
        <f t="shared" si="106"/>
        <v>0</v>
      </c>
      <c r="X336" s="47">
        <f t="shared" si="122"/>
        <v>0</v>
      </c>
      <c r="Y336" s="47">
        <v>0</v>
      </c>
      <c r="Z336" s="47">
        <f t="shared" si="123"/>
        <v>0</v>
      </c>
      <c r="AA336" s="47">
        <v>0</v>
      </c>
      <c r="AB336" s="47">
        <v>0</v>
      </c>
      <c r="AC336" s="71">
        <f t="shared" si="129"/>
        <v>0</v>
      </c>
      <c r="AD336" s="118">
        <f t="shared" si="130"/>
        <v>0</v>
      </c>
    </row>
    <row r="337" spans="1:30" s="49" customFormat="1" ht="12.75" hidden="1" x14ac:dyDescent="0.2">
      <c r="A337" s="94">
        <v>332</v>
      </c>
      <c r="B337" s="36"/>
      <c r="C337" s="148"/>
      <c r="D337" s="57"/>
      <c r="E337" s="79">
        <f t="shared" si="127"/>
        <v>0</v>
      </c>
      <c r="F337" s="80">
        <f t="shared" si="116"/>
        <v>0</v>
      </c>
      <c r="G337" s="47">
        <f t="shared" si="125"/>
        <v>0</v>
      </c>
      <c r="H337" s="47">
        <f t="shared" si="118"/>
        <v>0</v>
      </c>
      <c r="I337" s="47">
        <f t="shared" si="126"/>
        <v>0</v>
      </c>
      <c r="J337" s="47">
        <f t="shared" si="117"/>
        <v>0</v>
      </c>
      <c r="K337" s="47">
        <f t="shared" si="119"/>
        <v>0</v>
      </c>
      <c r="L337" s="47">
        <f t="shared" si="120"/>
        <v>0</v>
      </c>
      <c r="M337" s="47">
        <f t="shared" si="121"/>
        <v>0</v>
      </c>
      <c r="N337" s="80">
        <v>0</v>
      </c>
      <c r="O337" s="47">
        <v>0</v>
      </c>
      <c r="P337" s="47">
        <v>0</v>
      </c>
      <c r="Q337" s="47">
        <v>0</v>
      </c>
      <c r="R337" s="47">
        <v>0</v>
      </c>
      <c r="S337" s="136">
        <v>0</v>
      </c>
      <c r="T337" s="47">
        <v>0</v>
      </c>
      <c r="U337" s="81">
        <f t="shared" si="128"/>
        <v>0</v>
      </c>
      <c r="V337" s="47">
        <f t="shared" si="124"/>
        <v>0</v>
      </c>
      <c r="W337" s="47">
        <f t="shared" si="106"/>
        <v>0</v>
      </c>
      <c r="X337" s="47">
        <f t="shared" si="122"/>
        <v>0</v>
      </c>
      <c r="Y337" s="47">
        <v>0</v>
      </c>
      <c r="Z337" s="47">
        <f t="shared" si="123"/>
        <v>0</v>
      </c>
      <c r="AA337" s="47">
        <v>0</v>
      </c>
      <c r="AB337" s="47">
        <v>0</v>
      </c>
      <c r="AC337" s="71">
        <f t="shared" si="129"/>
        <v>0</v>
      </c>
      <c r="AD337" s="118">
        <f t="shared" si="130"/>
        <v>0</v>
      </c>
    </row>
    <row r="338" spans="1:30" s="49" customFormat="1" ht="12.75" hidden="1" x14ac:dyDescent="0.2">
      <c r="A338" s="94">
        <v>333</v>
      </c>
      <c r="B338" s="36"/>
      <c r="C338" s="148"/>
      <c r="D338" s="57"/>
      <c r="E338" s="79">
        <f t="shared" si="127"/>
        <v>0</v>
      </c>
      <c r="F338" s="80">
        <f t="shared" si="116"/>
        <v>0</v>
      </c>
      <c r="G338" s="47">
        <f t="shared" si="125"/>
        <v>0</v>
      </c>
      <c r="H338" s="47">
        <f t="shared" si="118"/>
        <v>0</v>
      </c>
      <c r="I338" s="47">
        <f t="shared" si="126"/>
        <v>0</v>
      </c>
      <c r="J338" s="47">
        <f t="shared" si="117"/>
        <v>0</v>
      </c>
      <c r="K338" s="47">
        <f t="shared" si="119"/>
        <v>0</v>
      </c>
      <c r="L338" s="47">
        <f t="shared" si="120"/>
        <v>0</v>
      </c>
      <c r="M338" s="47">
        <f t="shared" si="121"/>
        <v>0</v>
      </c>
      <c r="N338" s="80">
        <v>0</v>
      </c>
      <c r="O338" s="47">
        <v>0</v>
      </c>
      <c r="P338" s="47">
        <v>0</v>
      </c>
      <c r="Q338" s="47">
        <v>0</v>
      </c>
      <c r="R338" s="47">
        <v>0</v>
      </c>
      <c r="S338" s="136">
        <v>0</v>
      </c>
      <c r="T338" s="47">
        <v>0</v>
      </c>
      <c r="U338" s="81">
        <f t="shared" si="128"/>
        <v>0</v>
      </c>
      <c r="V338" s="47">
        <f t="shared" si="124"/>
        <v>0</v>
      </c>
      <c r="W338" s="47">
        <f t="shared" si="106"/>
        <v>0</v>
      </c>
      <c r="X338" s="47">
        <f t="shared" si="122"/>
        <v>0</v>
      </c>
      <c r="Y338" s="47">
        <v>0</v>
      </c>
      <c r="Z338" s="47">
        <f t="shared" si="123"/>
        <v>0</v>
      </c>
      <c r="AA338" s="47">
        <v>0</v>
      </c>
      <c r="AB338" s="47">
        <v>0</v>
      </c>
      <c r="AC338" s="71">
        <f t="shared" si="129"/>
        <v>0</v>
      </c>
      <c r="AD338" s="118">
        <f t="shared" si="130"/>
        <v>0</v>
      </c>
    </row>
    <row r="339" spans="1:30" s="49" customFormat="1" ht="12.75" hidden="1" x14ac:dyDescent="0.2">
      <c r="A339" s="94">
        <v>334</v>
      </c>
      <c r="B339" s="36"/>
      <c r="C339" s="148"/>
      <c r="D339" s="57"/>
      <c r="E339" s="79">
        <f t="shared" si="127"/>
        <v>0</v>
      </c>
      <c r="F339" s="80">
        <f t="shared" si="116"/>
        <v>0</v>
      </c>
      <c r="G339" s="47">
        <f t="shared" si="125"/>
        <v>0</v>
      </c>
      <c r="H339" s="47">
        <f t="shared" si="118"/>
        <v>0</v>
      </c>
      <c r="I339" s="47">
        <f t="shared" si="126"/>
        <v>0</v>
      </c>
      <c r="J339" s="47">
        <f t="shared" si="117"/>
        <v>0</v>
      </c>
      <c r="K339" s="47">
        <f t="shared" si="119"/>
        <v>0</v>
      </c>
      <c r="L339" s="47">
        <f t="shared" si="120"/>
        <v>0</v>
      </c>
      <c r="M339" s="47">
        <f t="shared" si="121"/>
        <v>0</v>
      </c>
      <c r="N339" s="80">
        <v>0</v>
      </c>
      <c r="O339" s="47">
        <v>0</v>
      </c>
      <c r="P339" s="47">
        <v>0</v>
      </c>
      <c r="Q339" s="47">
        <v>0</v>
      </c>
      <c r="R339" s="47">
        <v>0</v>
      </c>
      <c r="S339" s="136">
        <v>0</v>
      </c>
      <c r="T339" s="47">
        <v>0</v>
      </c>
      <c r="U339" s="81">
        <f t="shared" si="128"/>
        <v>0</v>
      </c>
      <c r="V339" s="47">
        <f t="shared" si="124"/>
        <v>0</v>
      </c>
      <c r="W339" s="47">
        <f t="shared" si="106"/>
        <v>0</v>
      </c>
      <c r="X339" s="47">
        <f t="shared" si="122"/>
        <v>0</v>
      </c>
      <c r="Y339" s="47">
        <v>0</v>
      </c>
      <c r="Z339" s="47">
        <f t="shared" si="123"/>
        <v>0</v>
      </c>
      <c r="AA339" s="47">
        <v>0</v>
      </c>
      <c r="AB339" s="47">
        <v>0</v>
      </c>
      <c r="AC339" s="71">
        <f t="shared" si="129"/>
        <v>0</v>
      </c>
      <c r="AD339" s="118">
        <f t="shared" si="130"/>
        <v>0</v>
      </c>
    </row>
    <row r="340" spans="1:30" s="49" customFormat="1" ht="12.75" hidden="1" x14ac:dyDescent="0.2">
      <c r="A340" s="94">
        <v>335</v>
      </c>
      <c r="B340" s="36"/>
      <c r="C340" s="148"/>
      <c r="D340" s="57"/>
      <c r="E340" s="79">
        <f t="shared" si="127"/>
        <v>0</v>
      </c>
      <c r="F340" s="80">
        <f t="shared" si="116"/>
        <v>0</v>
      </c>
      <c r="G340" s="47">
        <f t="shared" si="125"/>
        <v>0</v>
      </c>
      <c r="H340" s="47">
        <f t="shared" si="118"/>
        <v>0</v>
      </c>
      <c r="I340" s="47">
        <f t="shared" si="126"/>
        <v>0</v>
      </c>
      <c r="J340" s="47">
        <f t="shared" si="117"/>
        <v>0</v>
      </c>
      <c r="K340" s="47">
        <f t="shared" si="119"/>
        <v>0</v>
      </c>
      <c r="L340" s="47">
        <f t="shared" si="120"/>
        <v>0</v>
      </c>
      <c r="M340" s="47">
        <f t="shared" si="121"/>
        <v>0</v>
      </c>
      <c r="N340" s="80">
        <v>0</v>
      </c>
      <c r="O340" s="47">
        <v>0</v>
      </c>
      <c r="P340" s="47">
        <v>0</v>
      </c>
      <c r="Q340" s="47">
        <v>0</v>
      </c>
      <c r="R340" s="47">
        <v>0</v>
      </c>
      <c r="S340" s="136">
        <v>0</v>
      </c>
      <c r="T340" s="47">
        <v>0</v>
      </c>
      <c r="U340" s="81">
        <f t="shared" si="128"/>
        <v>0</v>
      </c>
      <c r="V340" s="47">
        <f t="shared" si="124"/>
        <v>0</v>
      </c>
      <c r="W340" s="47">
        <f t="shared" si="106"/>
        <v>0</v>
      </c>
      <c r="X340" s="47">
        <f t="shared" si="122"/>
        <v>0</v>
      </c>
      <c r="Y340" s="47">
        <v>0</v>
      </c>
      <c r="Z340" s="47">
        <f t="shared" si="123"/>
        <v>0</v>
      </c>
      <c r="AA340" s="47">
        <v>0</v>
      </c>
      <c r="AB340" s="47">
        <v>0</v>
      </c>
      <c r="AC340" s="71">
        <f t="shared" si="129"/>
        <v>0</v>
      </c>
      <c r="AD340" s="118">
        <f t="shared" si="130"/>
        <v>0</v>
      </c>
    </row>
    <row r="341" spans="1:30" s="49" customFormat="1" ht="12.75" hidden="1" x14ac:dyDescent="0.2">
      <c r="A341" s="94">
        <v>336</v>
      </c>
      <c r="B341" s="36"/>
      <c r="C341" s="148"/>
      <c r="D341" s="57"/>
      <c r="E341" s="79">
        <f t="shared" si="127"/>
        <v>0</v>
      </c>
      <c r="F341" s="80">
        <f t="shared" si="116"/>
        <v>0</v>
      </c>
      <c r="G341" s="47">
        <f t="shared" si="125"/>
        <v>0</v>
      </c>
      <c r="H341" s="47">
        <f t="shared" si="118"/>
        <v>0</v>
      </c>
      <c r="I341" s="47">
        <f t="shared" si="126"/>
        <v>0</v>
      </c>
      <c r="J341" s="47">
        <f t="shared" si="117"/>
        <v>0</v>
      </c>
      <c r="K341" s="47">
        <f t="shared" si="119"/>
        <v>0</v>
      </c>
      <c r="L341" s="47">
        <f t="shared" si="120"/>
        <v>0</v>
      </c>
      <c r="M341" s="47">
        <f t="shared" si="121"/>
        <v>0</v>
      </c>
      <c r="N341" s="80">
        <v>0</v>
      </c>
      <c r="O341" s="47">
        <v>0</v>
      </c>
      <c r="P341" s="47">
        <v>0</v>
      </c>
      <c r="Q341" s="47">
        <v>0</v>
      </c>
      <c r="R341" s="47">
        <v>0</v>
      </c>
      <c r="S341" s="136">
        <v>0</v>
      </c>
      <c r="T341" s="47">
        <v>0</v>
      </c>
      <c r="U341" s="81">
        <f t="shared" si="128"/>
        <v>0</v>
      </c>
      <c r="V341" s="47">
        <f t="shared" si="124"/>
        <v>0</v>
      </c>
      <c r="W341" s="47">
        <f t="shared" si="106"/>
        <v>0</v>
      </c>
      <c r="X341" s="47">
        <f t="shared" si="122"/>
        <v>0</v>
      </c>
      <c r="Y341" s="47">
        <v>0</v>
      </c>
      <c r="Z341" s="47">
        <f t="shared" si="123"/>
        <v>0</v>
      </c>
      <c r="AA341" s="47">
        <v>0</v>
      </c>
      <c r="AB341" s="47">
        <v>0</v>
      </c>
      <c r="AC341" s="71">
        <f t="shared" si="129"/>
        <v>0</v>
      </c>
      <c r="AD341" s="118">
        <f t="shared" si="130"/>
        <v>0</v>
      </c>
    </row>
    <row r="342" spans="1:30" s="49" customFormat="1" ht="12.75" hidden="1" x14ac:dyDescent="0.2">
      <c r="A342" s="94">
        <v>337</v>
      </c>
      <c r="B342" s="36"/>
      <c r="C342" s="148"/>
      <c r="D342" s="57"/>
      <c r="E342" s="79">
        <f t="shared" si="127"/>
        <v>0</v>
      </c>
      <c r="F342" s="80">
        <f t="shared" si="116"/>
        <v>0</v>
      </c>
      <c r="G342" s="47">
        <f t="shared" si="125"/>
        <v>0</v>
      </c>
      <c r="H342" s="47">
        <f t="shared" si="118"/>
        <v>0</v>
      </c>
      <c r="I342" s="47">
        <f t="shared" si="126"/>
        <v>0</v>
      </c>
      <c r="J342" s="47">
        <f t="shared" si="117"/>
        <v>0</v>
      </c>
      <c r="K342" s="47">
        <f t="shared" si="119"/>
        <v>0</v>
      </c>
      <c r="L342" s="47">
        <f t="shared" si="120"/>
        <v>0</v>
      </c>
      <c r="M342" s="47">
        <f t="shared" si="121"/>
        <v>0</v>
      </c>
      <c r="N342" s="80">
        <v>0</v>
      </c>
      <c r="O342" s="47">
        <v>0</v>
      </c>
      <c r="P342" s="47">
        <v>0</v>
      </c>
      <c r="Q342" s="47">
        <v>0</v>
      </c>
      <c r="R342" s="47">
        <v>0</v>
      </c>
      <c r="S342" s="136">
        <v>0</v>
      </c>
      <c r="T342" s="47">
        <v>0</v>
      </c>
      <c r="U342" s="81">
        <f t="shared" si="128"/>
        <v>0</v>
      </c>
      <c r="V342" s="47">
        <f t="shared" si="124"/>
        <v>0</v>
      </c>
      <c r="W342" s="47">
        <f t="shared" si="106"/>
        <v>0</v>
      </c>
      <c r="X342" s="47">
        <f t="shared" si="122"/>
        <v>0</v>
      </c>
      <c r="Y342" s="47">
        <v>0</v>
      </c>
      <c r="Z342" s="47">
        <f t="shared" si="123"/>
        <v>0</v>
      </c>
      <c r="AA342" s="47">
        <v>0</v>
      </c>
      <c r="AB342" s="47">
        <v>0</v>
      </c>
      <c r="AC342" s="71">
        <f t="shared" si="129"/>
        <v>0</v>
      </c>
      <c r="AD342" s="118">
        <f t="shared" si="130"/>
        <v>0</v>
      </c>
    </row>
    <row r="343" spans="1:30" s="49" customFormat="1" ht="12.75" hidden="1" x14ac:dyDescent="0.2">
      <c r="A343" s="94">
        <v>338</v>
      </c>
      <c r="B343" s="36"/>
      <c r="C343" s="148"/>
      <c r="D343" s="57"/>
      <c r="E343" s="79">
        <f t="shared" si="127"/>
        <v>0</v>
      </c>
      <c r="F343" s="80">
        <f t="shared" si="116"/>
        <v>0</v>
      </c>
      <c r="G343" s="47">
        <f t="shared" si="125"/>
        <v>0</v>
      </c>
      <c r="H343" s="47">
        <f t="shared" si="118"/>
        <v>0</v>
      </c>
      <c r="I343" s="47">
        <f t="shared" si="126"/>
        <v>0</v>
      </c>
      <c r="J343" s="47">
        <f t="shared" si="117"/>
        <v>0</v>
      </c>
      <c r="K343" s="47">
        <f t="shared" si="119"/>
        <v>0</v>
      </c>
      <c r="L343" s="47">
        <f t="shared" si="120"/>
        <v>0</v>
      </c>
      <c r="M343" s="47">
        <f t="shared" si="121"/>
        <v>0</v>
      </c>
      <c r="N343" s="80">
        <v>0</v>
      </c>
      <c r="O343" s="47">
        <v>0</v>
      </c>
      <c r="P343" s="47">
        <v>0</v>
      </c>
      <c r="Q343" s="47">
        <v>0</v>
      </c>
      <c r="R343" s="47">
        <v>0</v>
      </c>
      <c r="S343" s="136">
        <v>0</v>
      </c>
      <c r="T343" s="47">
        <v>0</v>
      </c>
      <c r="U343" s="81">
        <f t="shared" si="128"/>
        <v>0</v>
      </c>
      <c r="V343" s="47">
        <f t="shared" si="124"/>
        <v>0</v>
      </c>
      <c r="W343" s="47">
        <f t="shared" si="106"/>
        <v>0</v>
      </c>
      <c r="X343" s="47">
        <f t="shared" si="122"/>
        <v>0</v>
      </c>
      <c r="Y343" s="47">
        <v>0</v>
      </c>
      <c r="Z343" s="47">
        <f t="shared" si="123"/>
        <v>0</v>
      </c>
      <c r="AA343" s="47">
        <v>0</v>
      </c>
      <c r="AB343" s="47">
        <v>0</v>
      </c>
      <c r="AC343" s="71">
        <f t="shared" si="129"/>
        <v>0</v>
      </c>
      <c r="AD343" s="118">
        <f t="shared" si="130"/>
        <v>0</v>
      </c>
    </row>
    <row r="344" spans="1:30" s="49" customFormat="1" ht="12.75" hidden="1" x14ac:dyDescent="0.2">
      <c r="A344" s="94">
        <v>339</v>
      </c>
      <c r="B344" s="36"/>
      <c r="C344" s="148"/>
      <c r="D344" s="57"/>
      <c r="E344" s="79">
        <f t="shared" si="127"/>
        <v>0</v>
      </c>
      <c r="F344" s="80">
        <f t="shared" si="116"/>
        <v>0</v>
      </c>
      <c r="G344" s="47">
        <f t="shared" si="125"/>
        <v>0</v>
      </c>
      <c r="H344" s="47">
        <f t="shared" si="118"/>
        <v>0</v>
      </c>
      <c r="I344" s="47">
        <f t="shared" si="126"/>
        <v>0</v>
      </c>
      <c r="J344" s="47">
        <f t="shared" si="117"/>
        <v>0</v>
      </c>
      <c r="K344" s="47">
        <f t="shared" si="119"/>
        <v>0</v>
      </c>
      <c r="L344" s="47">
        <f t="shared" si="120"/>
        <v>0</v>
      </c>
      <c r="M344" s="47">
        <f t="shared" si="121"/>
        <v>0</v>
      </c>
      <c r="N344" s="80">
        <v>0</v>
      </c>
      <c r="O344" s="47">
        <v>0</v>
      </c>
      <c r="P344" s="47">
        <v>0</v>
      </c>
      <c r="Q344" s="47">
        <v>0</v>
      </c>
      <c r="R344" s="47">
        <v>0</v>
      </c>
      <c r="S344" s="136">
        <v>0</v>
      </c>
      <c r="T344" s="47">
        <v>0</v>
      </c>
      <c r="U344" s="81">
        <f t="shared" si="128"/>
        <v>0</v>
      </c>
      <c r="V344" s="47">
        <f t="shared" si="124"/>
        <v>0</v>
      </c>
      <c r="W344" s="47">
        <f t="shared" ref="W344:W407" si="131">600*C344</f>
        <v>0</v>
      </c>
      <c r="X344" s="47">
        <f t="shared" si="122"/>
        <v>0</v>
      </c>
      <c r="Y344" s="47">
        <v>0</v>
      </c>
      <c r="Z344" s="47">
        <f t="shared" si="123"/>
        <v>0</v>
      </c>
      <c r="AA344" s="47">
        <v>0</v>
      </c>
      <c r="AB344" s="47">
        <v>0</v>
      </c>
      <c r="AC344" s="71">
        <f t="shared" si="129"/>
        <v>0</v>
      </c>
      <c r="AD344" s="118">
        <f t="shared" si="130"/>
        <v>0</v>
      </c>
    </row>
    <row r="345" spans="1:30" s="49" customFormat="1" ht="12.75" hidden="1" x14ac:dyDescent="0.2">
      <c r="A345" s="94">
        <v>340</v>
      </c>
      <c r="B345" s="36"/>
      <c r="C345" s="148"/>
      <c r="D345" s="57"/>
      <c r="E345" s="79">
        <f t="shared" si="127"/>
        <v>0</v>
      </c>
      <c r="F345" s="80">
        <f t="shared" si="116"/>
        <v>0</v>
      </c>
      <c r="G345" s="47">
        <f t="shared" si="125"/>
        <v>0</v>
      </c>
      <c r="H345" s="47">
        <f t="shared" si="118"/>
        <v>0</v>
      </c>
      <c r="I345" s="47">
        <f t="shared" si="126"/>
        <v>0</v>
      </c>
      <c r="J345" s="47">
        <f t="shared" si="117"/>
        <v>0</v>
      </c>
      <c r="K345" s="47">
        <f t="shared" si="119"/>
        <v>0</v>
      </c>
      <c r="L345" s="47">
        <f t="shared" si="120"/>
        <v>0</v>
      </c>
      <c r="M345" s="47">
        <f t="shared" si="121"/>
        <v>0</v>
      </c>
      <c r="N345" s="80">
        <v>0</v>
      </c>
      <c r="O345" s="47">
        <v>0</v>
      </c>
      <c r="P345" s="47">
        <v>0</v>
      </c>
      <c r="Q345" s="47">
        <v>0</v>
      </c>
      <c r="R345" s="47">
        <v>0</v>
      </c>
      <c r="S345" s="136">
        <v>0</v>
      </c>
      <c r="T345" s="47">
        <v>0</v>
      </c>
      <c r="U345" s="81">
        <f t="shared" si="128"/>
        <v>0</v>
      </c>
      <c r="V345" s="47">
        <f t="shared" si="124"/>
        <v>0</v>
      </c>
      <c r="W345" s="47">
        <f t="shared" si="131"/>
        <v>0</v>
      </c>
      <c r="X345" s="47">
        <f t="shared" si="122"/>
        <v>0</v>
      </c>
      <c r="Y345" s="47">
        <v>0</v>
      </c>
      <c r="Z345" s="47">
        <f t="shared" si="123"/>
        <v>0</v>
      </c>
      <c r="AA345" s="47">
        <v>0</v>
      </c>
      <c r="AB345" s="47">
        <v>0</v>
      </c>
      <c r="AC345" s="71">
        <f t="shared" si="129"/>
        <v>0</v>
      </c>
      <c r="AD345" s="118">
        <f t="shared" si="130"/>
        <v>0</v>
      </c>
    </row>
    <row r="346" spans="1:30" s="49" customFormat="1" ht="12.75" hidden="1" x14ac:dyDescent="0.2">
      <c r="A346" s="94">
        <v>341</v>
      </c>
      <c r="B346" s="36"/>
      <c r="C346" s="148"/>
      <c r="D346" s="57"/>
      <c r="E346" s="79">
        <f t="shared" si="127"/>
        <v>0</v>
      </c>
      <c r="F346" s="80">
        <f t="shared" si="116"/>
        <v>0</v>
      </c>
      <c r="G346" s="47">
        <f t="shared" si="125"/>
        <v>0</v>
      </c>
      <c r="H346" s="47">
        <f t="shared" si="118"/>
        <v>0</v>
      </c>
      <c r="I346" s="47">
        <f t="shared" si="126"/>
        <v>0</v>
      </c>
      <c r="J346" s="47">
        <f t="shared" si="117"/>
        <v>0</v>
      </c>
      <c r="K346" s="47">
        <f t="shared" si="119"/>
        <v>0</v>
      </c>
      <c r="L346" s="47">
        <f t="shared" si="120"/>
        <v>0</v>
      </c>
      <c r="M346" s="47">
        <f t="shared" si="121"/>
        <v>0</v>
      </c>
      <c r="N346" s="80">
        <v>0</v>
      </c>
      <c r="O346" s="47">
        <v>0</v>
      </c>
      <c r="P346" s="47">
        <v>0</v>
      </c>
      <c r="Q346" s="47">
        <v>0</v>
      </c>
      <c r="R346" s="47">
        <v>0</v>
      </c>
      <c r="S346" s="136">
        <v>0</v>
      </c>
      <c r="T346" s="47">
        <v>0</v>
      </c>
      <c r="U346" s="81">
        <f t="shared" si="128"/>
        <v>0</v>
      </c>
      <c r="V346" s="47">
        <f t="shared" si="124"/>
        <v>0</v>
      </c>
      <c r="W346" s="47">
        <f t="shared" si="131"/>
        <v>0</v>
      </c>
      <c r="X346" s="47">
        <f t="shared" si="122"/>
        <v>0</v>
      </c>
      <c r="Y346" s="47">
        <v>0</v>
      </c>
      <c r="Z346" s="47">
        <f t="shared" si="123"/>
        <v>0</v>
      </c>
      <c r="AA346" s="47">
        <v>0</v>
      </c>
      <c r="AB346" s="47">
        <v>0</v>
      </c>
      <c r="AC346" s="71">
        <f t="shared" si="129"/>
        <v>0</v>
      </c>
      <c r="AD346" s="118">
        <f t="shared" si="130"/>
        <v>0</v>
      </c>
    </row>
    <row r="347" spans="1:30" s="49" customFormat="1" ht="12.75" hidden="1" x14ac:dyDescent="0.2">
      <c r="A347" s="94">
        <v>342</v>
      </c>
      <c r="B347" s="36"/>
      <c r="C347" s="148"/>
      <c r="D347" s="57"/>
      <c r="E347" s="79">
        <f t="shared" si="127"/>
        <v>0</v>
      </c>
      <c r="F347" s="80">
        <f t="shared" si="116"/>
        <v>0</v>
      </c>
      <c r="G347" s="47">
        <f t="shared" si="125"/>
        <v>0</v>
      </c>
      <c r="H347" s="47">
        <f t="shared" si="118"/>
        <v>0</v>
      </c>
      <c r="I347" s="47">
        <f t="shared" si="126"/>
        <v>0</v>
      </c>
      <c r="J347" s="47">
        <f t="shared" si="117"/>
        <v>0</v>
      </c>
      <c r="K347" s="47">
        <f t="shared" si="119"/>
        <v>0</v>
      </c>
      <c r="L347" s="47">
        <f t="shared" si="120"/>
        <v>0</v>
      </c>
      <c r="M347" s="47">
        <f t="shared" si="121"/>
        <v>0</v>
      </c>
      <c r="N347" s="80">
        <v>0</v>
      </c>
      <c r="O347" s="47">
        <v>0</v>
      </c>
      <c r="P347" s="47">
        <v>0</v>
      </c>
      <c r="Q347" s="47">
        <v>0</v>
      </c>
      <c r="R347" s="47">
        <v>0</v>
      </c>
      <c r="S347" s="136">
        <v>0</v>
      </c>
      <c r="T347" s="47">
        <v>0</v>
      </c>
      <c r="U347" s="81">
        <f t="shared" si="128"/>
        <v>0</v>
      </c>
      <c r="V347" s="47">
        <f t="shared" si="124"/>
        <v>0</v>
      </c>
      <c r="W347" s="47">
        <f t="shared" si="131"/>
        <v>0</v>
      </c>
      <c r="X347" s="47">
        <f t="shared" si="122"/>
        <v>0</v>
      </c>
      <c r="Y347" s="47">
        <v>0</v>
      </c>
      <c r="Z347" s="47">
        <f t="shared" si="123"/>
        <v>0</v>
      </c>
      <c r="AA347" s="47">
        <v>0</v>
      </c>
      <c r="AB347" s="47">
        <v>0</v>
      </c>
      <c r="AC347" s="71">
        <f t="shared" si="129"/>
        <v>0</v>
      </c>
      <c r="AD347" s="118">
        <f t="shared" si="130"/>
        <v>0</v>
      </c>
    </row>
    <row r="348" spans="1:30" s="49" customFormat="1" ht="12.75" hidden="1" x14ac:dyDescent="0.2">
      <c r="A348" s="94">
        <v>343</v>
      </c>
      <c r="B348" s="36"/>
      <c r="C348" s="148"/>
      <c r="D348" s="57"/>
      <c r="E348" s="79">
        <f t="shared" si="127"/>
        <v>0</v>
      </c>
      <c r="F348" s="80">
        <f t="shared" si="116"/>
        <v>0</v>
      </c>
      <c r="G348" s="47">
        <f t="shared" si="125"/>
        <v>0</v>
      </c>
      <c r="H348" s="47">
        <f t="shared" si="118"/>
        <v>0</v>
      </c>
      <c r="I348" s="47">
        <f t="shared" si="126"/>
        <v>0</v>
      </c>
      <c r="J348" s="47">
        <f t="shared" si="117"/>
        <v>0</v>
      </c>
      <c r="K348" s="47">
        <f t="shared" si="119"/>
        <v>0</v>
      </c>
      <c r="L348" s="47">
        <f t="shared" si="120"/>
        <v>0</v>
      </c>
      <c r="M348" s="47">
        <f t="shared" si="121"/>
        <v>0</v>
      </c>
      <c r="N348" s="80">
        <v>0</v>
      </c>
      <c r="O348" s="47">
        <v>0</v>
      </c>
      <c r="P348" s="47">
        <v>0</v>
      </c>
      <c r="Q348" s="47">
        <v>0</v>
      </c>
      <c r="R348" s="47">
        <v>0</v>
      </c>
      <c r="S348" s="136">
        <v>0</v>
      </c>
      <c r="T348" s="47">
        <v>0</v>
      </c>
      <c r="U348" s="81">
        <f t="shared" si="128"/>
        <v>0</v>
      </c>
      <c r="V348" s="47">
        <f t="shared" si="124"/>
        <v>0</v>
      </c>
      <c r="W348" s="47">
        <f t="shared" si="131"/>
        <v>0</v>
      </c>
      <c r="X348" s="47">
        <f t="shared" si="122"/>
        <v>0</v>
      </c>
      <c r="Y348" s="47">
        <v>0</v>
      </c>
      <c r="Z348" s="47">
        <f t="shared" si="123"/>
        <v>0</v>
      </c>
      <c r="AA348" s="47">
        <v>0</v>
      </c>
      <c r="AB348" s="47">
        <v>0</v>
      </c>
      <c r="AC348" s="71">
        <f t="shared" si="129"/>
        <v>0</v>
      </c>
      <c r="AD348" s="118">
        <f t="shared" si="130"/>
        <v>0</v>
      </c>
    </row>
    <row r="349" spans="1:30" s="49" customFormat="1" ht="12.75" hidden="1" x14ac:dyDescent="0.2">
      <c r="A349" s="94">
        <v>344</v>
      </c>
      <c r="B349" s="36"/>
      <c r="C349" s="148"/>
      <c r="D349" s="57"/>
      <c r="E349" s="79">
        <f t="shared" si="127"/>
        <v>0</v>
      </c>
      <c r="F349" s="80">
        <f t="shared" si="116"/>
        <v>0</v>
      </c>
      <c r="G349" s="47">
        <f t="shared" si="125"/>
        <v>0</v>
      </c>
      <c r="H349" s="47">
        <f t="shared" si="118"/>
        <v>0</v>
      </c>
      <c r="I349" s="47">
        <f t="shared" si="126"/>
        <v>0</v>
      </c>
      <c r="J349" s="47">
        <f t="shared" si="117"/>
        <v>0</v>
      </c>
      <c r="K349" s="47">
        <f t="shared" si="119"/>
        <v>0</v>
      </c>
      <c r="L349" s="47">
        <f t="shared" si="120"/>
        <v>0</v>
      </c>
      <c r="M349" s="47">
        <f t="shared" si="121"/>
        <v>0</v>
      </c>
      <c r="N349" s="80">
        <v>0</v>
      </c>
      <c r="O349" s="47">
        <v>0</v>
      </c>
      <c r="P349" s="47">
        <v>0</v>
      </c>
      <c r="Q349" s="47">
        <v>0</v>
      </c>
      <c r="R349" s="47">
        <v>0</v>
      </c>
      <c r="S349" s="136">
        <v>0</v>
      </c>
      <c r="T349" s="47">
        <v>0</v>
      </c>
      <c r="U349" s="81">
        <f t="shared" si="128"/>
        <v>0</v>
      </c>
      <c r="V349" s="47">
        <f t="shared" si="124"/>
        <v>0</v>
      </c>
      <c r="W349" s="47">
        <f t="shared" si="131"/>
        <v>0</v>
      </c>
      <c r="X349" s="47">
        <f t="shared" si="122"/>
        <v>0</v>
      </c>
      <c r="Y349" s="47">
        <v>0</v>
      </c>
      <c r="Z349" s="47">
        <f t="shared" si="123"/>
        <v>0</v>
      </c>
      <c r="AA349" s="47">
        <v>0</v>
      </c>
      <c r="AB349" s="47">
        <v>0</v>
      </c>
      <c r="AC349" s="71">
        <f t="shared" si="129"/>
        <v>0</v>
      </c>
      <c r="AD349" s="118">
        <f t="shared" si="130"/>
        <v>0</v>
      </c>
    </row>
    <row r="350" spans="1:30" s="49" customFormat="1" ht="12.75" hidden="1" x14ac:dyDescent="0.2">
      <c r="A350" s="94">
        <v>345</v>
      </c>
      <c r="B350" s="36"/>
      <c r="C350" s="148"/>
      <c r="D350" s="57"/>
      <c r="E350" s="79">
        <f t="shared" si="127"/>
        <v>0</v>
      </c>
      <c r="F350" s="80">
        <f t="shared" si="116"/>
        <v>0</v>
      </c>
      <c r="G350" s="47">
        <f t="shared" si="125"/>
        <v>0</v>
      </c>
      <c r="H350" s="47">
        <f t="shared" si="118"/>
        <v>0</v>
      </c>
      <c r="I350" s="47">
        <f t="shared" si="126"/>
        <v>0</v>
      </c>
      <c r="J350" s="47">
        <f t="shared" si="117"/>
        <v>0</v>
      </c>
      <c r="K350" s="47">
        <f t="shared" si="119"/>
        <v>0</v>
      </c>
      <c r="L350" s="47">
        <f t="shared" si="120"/>
        <v>0</v>
      </c>
      <c r="M350" s="47">
        <f t="shared" si="121"/>
        <v>0</v>
      </c>
      <c r="N350" s="80">
        <v>0</v>
      </c>
      <c r="O350" s="47">
        <v>0</v>
      </c>
      <c r="P350" s="47">
        <v>0</v>
      </c>
      <c r="Q350" s="47">
        <v>0</v>
      </c>
      <c r="R350" s="47">
        <v>0</v>
      </c>
      <c r="S350" s="136">
        <v>0</v>
      </c>
      <c r="T350" s="47">
        <v>0</v>
      </c>
      <c r="U350" s="81">
        <f t="shared" si="128"/>
        <v>0</v>
      </c>
      <c r="V350" s="47">
        <f t="shared" si="124"/>
        <v>0</v>
      </c>
      <c r="W350" s="47">
        <f t="shared" si="131"/>
        <v>0</v>
      </c>
      <c r="X350" s="47">
        <f t="shared" si="122"/>
        <v>0</v>
      </c>
      <c r="Y350" s="47">
        <v>0</v>
      </c>
      <c r="Z350" s="47">
        <f t="shared" si="123"/>
        <v>0</v>
      </c>
      <c r="AA350" s="47">
        <v>0</v>
      </c>
      <c r="AB350" s="47">
        <v>0</v>
      </c>
      <c r="AC350" s="71">
        <f t="shared" si="129"/>
        <v>0</v>
      </c>
      <c r="AD350" s="118">
        <f t="shared" si="130"/>
        <v>0</v>
      </c>
    </row>
    <row r="351" spans="1:30" s="49" customFormat="1" ht="12.75" hidden="1" x14ac:dyDescent="0.2">
      <c r="A351" s="94">
        <v>346</v>
      </c>
      <c r="B351" s="36"/>
      <c r="C351" s="148"/>
      <c r="D351" s="57"/>
      <c r="E351" s="79">
        <f t="shared" si="127"/>
        <v>0</v>
      </c>
      <c r="F351" s="80">
        <f t="shared" si="116"/>
        <v>0</v>
      </c>
      <c r="G351" s="47">
        <f t="shared" si="125"/>
        <v>0</v>
      </c>
      <c r="H351" s="47">
        <f t="shared" si="118"/>
        <v>0</v>
      </c>
      <c r="I351" s="47">
        <f t="shared" si="126"/>
        <v>0</v>
      </c>
      <c r="J351" s="47">
        <f t="shared" si="117"/>
        <v>0</v>
      </c>
      <c r="K351" s="47">
        <f t="shared" si="119"/>
        <v>0</v>
      </c>
      <c r="L351" s="47">
        <f t="shared" si="120"/>
        <v>0</v>
      </c>
      <c r="M351" s="47">
        <f t="shared" si="121"/>
        <v>0</v>
      </c>
      <c r="N351" s="80">
        <v>0</v>
      </c>
      <c r="O351" s="47">
        <v>0</v>
      </c>
      <c r="P351" s="47">
        <v>0</v>
      </c>
      <c r="Q351" s="47">
        <v>0</v>
      </c>
      <c r="R351" s="47">
        <v>0</v>
      </c>
      <c r="S351" s="136">
        <v>0</v>
      </c>
      <c r="T351" s="47">
        <v>0</v>
      </c>
      <c r="U351" s="81">
        <f t="shared" si="128"/>
        <v>0</v>
      </c>
      <c r="V351" s="47">
        <f t="shared" si="124"/>
        <v>0</v>
      </c>
      <c r="W351" s="47">
        <f t="shared" si="131"/>
        <v>0</v>
      </c>
      <c r="X351" s="47">
        <f t="shared" si="122"/>
        <v>0</v>
      </c>
      <c r="Y351" s="47">
        <v>0</v>
      </c>
      <c r="Z351" s="47">
        <f t="shared" si="123"/>
        <v>0</v>
      </c>
      <c r="AA351" s="47">
        <v>0</v>
      </c>
      <c r="AB351" s="47">
        <v>0</v>
      </c>
      <c r="AC351" s="71">
        <f t="shared" si="129"/>
        <v>0</v>
      </c>
      <c r="AD351" s="118">
        <f t="shared" si="130"/>
        <v>0</v>
      </c>
    </row>
    <row r="352" spans="1:30" s="49" customFormat="1" ht="12.75" hidden="1" x14ac:dyDescent="0.2">
      <c r="A352" s="94">
        <v>347</v>
      </c>
      <c r="B352" s="36"/>
      <c r="C352" s="148"/>
      <c r="D352" s="57"/>
      <c r="E352" s="79">
        <f t="shared" si="127"/>
        <v>0</v>
      </c>
      <c r="F352" s="80">
        <f t="shared" si="116"/>
        <v>0</v>
      </c>
      <c r="G352" s="47">
        <f t="shared" si="125"/>
        <v>0</v>
      </c>
      <c r="H352" s="47">
        <f t="shared" si="118"/>
        <v>0</v>
      </c>
      <c r="I352" s="47">
        <f t="shared" si="126"/>
        <v>0</v>
      </c>
      <c r="J352" s="47">
        <f t="shared" si="117"/>
        <v>0</v>
      </c>
      <c r="K352" s="47">
        <f t="shared" si="119"/>
        <v>0</v>
      </c>
      <c r="L352" s="47">
        <f t="shared" si="120"/>
        <v>0</v>
      </c>
      <c r="M352" s="47">
        <f t="shared" si="121"/>
        <v>0</v>
      </c>
      <c r="N352" s="80">
        <v>0</v>
      </c>
      <c r="O352" s="47">
        <v>0</v>
      </c>
      <c r="P352" s="47">
        <v>0</v>
      </c>
      <c r="Q352" s="47">
        <v>0</v>
      </c>
      <c r="R352" s="47">
        <v>0</v>
      </c>
      <c r="S352" s="136">
        <v>0</v>
      </c>
      <c r="T352" s="47">
        <v>0</v>
      </c>
      <c r="U352" s="81">
        <f t="shared" si="128"/>
        <v>0</v>
      </c>
      <c r="V352" s="47">
        <f t="shared" si="124"/>
        <v>0</v>
      </c>
      <c r="W352" s="47">
        <f t="shared" si="131"/>
        <v>0</v>
      </c>
      <c r="X352" s="47">
        <f t="shared" si="122"/>
        <v>0</v>
      </c>
      <c r="Y352" s="47">
        <v>0</v>
      </c>
      <c r="Z352" s="47">
        <f t="shared" si="123"/>
        <v>0</v>
      </c>
      <c r="AA352" s="47">
        <v>0</v>
      </c>
      <c r="AB352" s="47">
        <v>0</v>
      </c>
      <c r="AC352" s="71">
        <f t="shared" si="129"/>
        <v>0</v>
      </c>
      <c r="AD352" s="118">
        <f t="shared" si="130"/>
        <v>0</v>
      </c>
    </row>
    <row r="353" spans="1:30" s="49" customFormat="1" ht="12.75" hidden="1" x14ac:dyDescent="0.2">
      <c r="A353" s="94">
        <v>348</v>
      </c>
      <c r="B353" s="36"/>
      <c r="C353" s="148"/>
      <c r="D353" s="57"/>
      <c r="E353" s="79">
        <f t="shared" si="127"/>
        <v>0</v>
      </c>
      <c r="F353" s="80">
        <f t="shared" si="116"/>
        <v>0</v>
      </c>
      <c r="G353" s="47">
        <f t="shared" si="125"/>
        <v>0</v>
      </c>
      <c r="H353" s="47">
        <f t="shared" si="118"/>
        <v>0</v>
      </c>
      <c r="I353" s="47">
        <f t="shared" si="126"/>
        <v>0</v>
      </c>
      <c r="J353" s="47">
        <f t="shared" si="117"/>
        <v>0</v>
      </c>
      <c r="K353" s="47">
        <f t="shared" si="119"/>
        <v>0</v>
      </c>
      <c r="L353" s="47">
        <f t="shared" si="120"/>
        <v>0</v>
      </c>
      <c r="M353" s="47">
        <f t="shared" si="121"/>
        <v>0</v>
      </c>
      <c r="N353" s="80">
        <v>0</v>
      </c>
      <c r="O353" s="47">
        <v>0</v>
      </c>
      <c r="P353" s="47">
        <v>0</v>
      </c>
      <c r="Q353" s="47">
        <v>0</v>
      </c>
      <c r="R353" s="47">
        <v>0</v>
      </c>
      <c r="S353" s="136">
        <v>0</v>
      </c>
      <c r="T353" s="47">
        <v>0</v>
      </c>
      <c r="U353" s="81">
        <f t="shared" si="128"/>
        <v>0</v>
      </c>
      <c r="V353" s="47">
        <f t="shared" si="124"/>
        <v>0</v>
      </c>
      <c r="W353" s="47">
        <f t="shared" si="131"/>
        <v>0</v>
      </c>
      <c r="X353" s="47">
        <f t="shared" si="122"/>
        <v>0</v>
      </c>
      <c r="Y353" s="47">
        <v>0</v>
      </c>
      <c r="Z353" s="47">
        <f t="shared" si="123"/>
        <v>0</v>
      </c>
      <c r="AA353" s="47">
        <v>0</v>
      </c>
      <c r="AB353" s="47">
        <v>0</v>
      </c>
      <c r="AC353" s="71">
        <f t="shared" si="129"/>
        <v>0</v>
      </c>
      <c r="AD353" s="118">
        <f t="shared" si="130"/>
        <v>0</v>
      </c>
    </row>
    <row r="354" spans="1:30" s="49" customFormat="1" ht="12.75" hidden="1" x14ac:dyDescent="0.2">
      <c r="A354" s="94">
        <v>349</v>
      </c>
      <c r="B354" s="36"/>
      <c r="C354" s="148"/>
      <c r="D354" s="57"/>
      <c r="E354" s="79">
        <f t="shared" si="127"/>
        <v>0</v>
      </c>
      <c r="F354" s="80">
        <f t="shared" si="116"/>
        <v>0</v>
      </c>
      <c r="G354" s="47">
        <f t="shared" si="125"/>
        <v>0</v>
      </c>
      <c r="H354" s="47">
        <f t="shared" si="118"/>
        <v>0</v>
      </c>
      <c r="I354" s="47">
        <f t="shared" si="126"/>
        <v>0</v>
      </c>
      <c r="J354" s="47">
        <f t="shared" si="117"/>
        <v>0</v>
      </c>
      <c r="K354" s="47">
        <f t="shared" si="119"/>
        <v>0</v>
      </c>
      <c r="L354" s="47">
        <f t="shared" si="120"/>
        <v>0</v>
      </c>
      <c r="M354" s="47">
        <f t="shared" si="121"/>
        <v>0</v>
      </c>
      <c r="N354" s="80">
        <v>0</v>
      </c>
      <c r="O354" s="47">
        <v>0</v>
      </c>
      <c r="P354" s="47">
        <v>0</v>
      </c>
      <c r="Q354" s="47">
        <v>0</v>
      </c>
      <c r="R354" s="47">
        <v>0</v>
      </c>
      <c r="S354" s="136">
        <v>0</v>
      </c>
      <c r="T354" s="47">
        <v>0</v>
      </c>
      <c r="U354" s="81">
        <f t="shared" si="128"/>
        <v>0</v>
      </c>
      <c r="V354" s="47">
        <f t="shared" si="124"/>
        <v>0</v>
      </c>
      <c r="W354" s="47">
        <f t="shared" si="131"/>
        <v>0</v>
      </c>
      <c r="X354" s="47">
        <f t="shared" si="122"/>
        <v>0</v>
      </c>
      <c r="Y354" s="47">
        <v>0</v>
      </c>
      <c r="Z354" s="47">
        <f t="shared" si="123"/>
        <v>0</v>
      </c>
      <c r="AA354" s="47">
        <v>0</v>
      </c>
      <c r="AB354" s="47">
        <v>0</v>
      </c>
      <c r="AC354" s="71">
        <f t="shared" si="129"/>
        <v>0</v>
      </c>
      <c r="AD354" s="118">
        <f t="shared" si="130"/>
        <v>0</v>
      </c>
    </row>
    <row r="355" spans="1:30" s="49" customFormat="1" ht="12.75" hidden="1" x14ac:dyDescent="0.2">
      <c r="A355" s="94">
        <v>350</v>
      </c>
      <c r="B355" s="36"/>
      <c r="C355" s="148"/>
      <c r="D355" s="57"/>
      <c r="E355" s="79">
        <f t="shared" si="127"/>
        <v>0</v>
      </c>
      <c r="F355" s="80">
        <f t="shared" si="116"/>
        <v>0</v>
      </c>
      <c r="G355" s="47">
        <f t="shared" si="125"/>
        <v>0</v>
      </c>
      <c r="H355" s="47">
        <f t="shared" si="118"/>
        <v>0</v>
      </c>
      <c r="I355" s="47">
        <f t="shared" si="126"/>
        <v>0</v>
      </c>
      <c r="J355" s="47">
        <f t="shared" si="117"/>
        <v>0</v>
      </c>
      <c r="K355" s="47">
        <f t="shared" si="119"/>
        <v>0</v>
      </c>
      <c r="L355" s="47">
        <f t="shared" si="120"/>
        <v>0</v>
      </c>
      <c r="M355" s="47">
        <f t="shared" si="121"/>
        <v>0</v>
      </c>
      <c r="N355" s="80">
        <v>0</v>
      </c>
      <c r="O355" s="47">
        <v>0</v>
      </c>
      <c r="P355" s="47">
        <v>0</v>
      </c>
      <c r="Q355" s="47">
        <v>0</v>
      </c>
      <c r="R355" s="47">
        <v>0</v>
      </c>
      <c r="S355" s="136">
        <v>0</v>
      </c>
      <c r="T355" s="47">
        <v>0</v>
      </c>
      <c r="U355" s="81">
        <f t="shared" si="128"/>
        <v>0</v>
      </c>
      <c r="V355" s="47">
        <f t="shared" si="124"/>
        <v>0</v>
      </c>
      <c r="W355" s="47">
        <f t="shared" si="131"/>
        <v>0</v>
      </c>
      <c r="X355" s="47">
        <f t="shared" si="122"/>
        <v>0</v>
      </c>
      <c r="Y355" s="47">
        <v>0</v>
      </c>
      <c r="Z355" s="47">
        <f t="shared" si="123"/>
        <v>0</v>
      </c>
      <c r="AA355" s="47">
        <v>0</v>
      </c>
      <c r="AB355" s="47">
        <v>0</v>
      </c>
      <c r="AC355" s="71">
        <f t="shared" si="129"/>
        <v>0</v>
      </c>
      <c r="AD355" s="118">
        <f t="shared" si="130"/>
        <v>0</v>
      </c>
    </row>
    <row r="356" spans="1:30" s="49" customFormat="1" ht="12.75" hidden="1" x14ac:dyDescent="0.2">
      <c r="A356" s="94">
        <v>351</v>
      </c>
      <c r="B356" s="36"/>
      <c r="C356" s="148"/>
      <c r="D356" s="57"/>
      <c r="E356" s="79">
        <f t="shared" si="127"/>
        <v>0</v>
      </c>
      <c r="F356" s="80">
        <f t="shared" si="116"/>
        <v>0</v>
      </c>
      <c r="G356" s="47">
        <f t="shared" si="125"/>
        <v>0</v>
      </c>
      <c r="H356" s="47">
        <f t="shared" si="118"/>
        <v>0</v>
      </c>
      <c r="I356" s="47">
        <f t="shared" si="126"/>
        <v>0</v>
      </c>
      <c r="J356" s="47">
        <f t="shared" si="117"/>
        <v>0</v>
      </c>
      <c r="K356" s="47">
        <f t="shared" si="119"/>
        <v>0</v>
      </c>
      <c r="L356" s="47">
        <f t="shared" si="120"/>
        <v>0</v>
      </c>
      <c r="M356" s="47">
        <f t="shared" si="121"/>
        <v>0</v>
      </c>
      <c r="N356" s="80">
        <v>0</v>
      </c>
      <c r="O356" s="47">
        <v>0</v>
      </c>
      <c r="P356" s="47">
        <v>0</v>
      </c>
      <c r="Q356" s="47">
        <v>0</v>
      </c>
      <c r="R356" s="47">
        <v>0</v>
      </c>
      <c r="S356" s="136">
        <v>0</v>
      </c>
      <c r="T356" s="47">
        <v>0</v>
      </c>
      <c r="U356" s="81">
        <f t="shared" si="128"/>
        <v>0</v>
      </c>
      <c r="V356" s="47">
        <f t="shared" si="124"/>
        <v>0</v>
      </c>
      <c r="W356" s="47">
        <f t="shared" si="131"/>
        <v>0</v>
      </c>
      <c r="X356" s="47">
        <f t="shared" si="122"/>
        <v>0</v>
      </c>
      <c r="Y356" s="47">
        <v>0</v>
      </c>
      <c r="Z356" s="47">
        <f t="shared" si="123"/>
        <v>0</v>
      </c>
      <c r="AA356" s="47">
        <v>0</v>
      </c>
      <c r="AB356" s="47">
        <v>0</v>
      </c>
      <c r="AC356" s="71">
        <f t="shared" si="129"/>
        <v>0</v>
      </c>
      <c r="AD356" s="118">
        <f t="shared" si="130"/>
        <v>0</v>
      </c>
    </row>
    <row r="357" spans="1:30" s="49" customFormat="1" ht="12.75" hidden="1" x14ac:dyDescent="0.2">
      <c r="A357" s="94">
        <v>352</v>
      </c>
      <c r="B357" s="36"/>
      <c r="C357" s="148"/>
      <c r="D357" s="57"/>
      <c r="E357" s="79">
        <f t="shared" si="127"/>
        <v>0</v>
      </c>
      <c r="F357" s="80">
        <f t="shared" si="116"/>
        <v>0</v>
      </c>
      <c r="G357" s="47">
        <f t="shared" si="125"/>
        <v>0</v>
      </c>
      <c r="H357" s="47">
        <f t="shared" si="118"/>
        <v>0</v>
      </c>
      <c r="I357" s="47">
        <f t="shared" si="126"/>
        <v>0</v>
      </c>
      <c r="J357" s="47">
        <f t="shared" si="117"/>
        <v>0</v>
      </c>
      <c r="K357" s="47">
        <f t="shared" si="119"/>
        <v>0</v>
      </c>
      <c r="L357" s="47">
        <f t="shared" si="120"/>
        <v>0</v>
      </c>
      <c r="M357" s="47">
        <f t="shared" si="121"/>
        <v>0</v>
      </c>
      <c r="N357" s="80">
        <v>0</v>
      </c>
      <c r="O357" s="47">
        <v>0</v>
      </c>
      <c r="P357" s="47">
        <v>0</v>
      </c>
      <c r="Q357" s="47">
        <v>0</v>
      </c>
      <c r="R357" s="47">
        <v>0</v>
      </c>
      <c r="S357" s="136">
        <v>0</v>
      </c>
      <c r="T357" s="47">
        <v>0</v>
      </c>
      <c r="U357" s="81">
        <f t="shared" si="128"/>
        <v>0</v>
      </c>
      <c r="V357" s="47">
        <f t="shared" si="124"/>
        <v>0</v>
      </c>
      <c r="W357" s="47">
        <f t="shared" si="131"/>
        <v>0</v>
      </c>
      <c r="X357" s="47">
        <f t="shared" si="122"/>
        <v>0</v>
      </c>
      <c r="Y357" s="47">
        <v>0</v>
      </c>
      <c r="Z357" s="47">
        <f t="shared" si="123"/>
        <v>0</v>
      </c>
      <c r="AA357" s="47">
        <v>0</v>
      </c>
      <c r="AB357" s="47">
        <v>0</v>
      </c>
      <c r="AC357" s="71">
        <f t="shared" si="129"/>
        <v>0</v>
      </c>
      <c r="AD357" s="118">
        <f t="shared" si="130"/>
        <v>0</v>
      </c>
    </row>
    <row r="358" spans="1:30" s="49" customFormat="1" ht="12.75" hidden="1" x14ac:dyDescent="0.2">
      <c r="A358" s="94">
        <v>353</v>
      </c>
      <c r="B358" s="36"/>
      <c r="C358" s="148"/>
      <c r="D358" s="57"/>
      <c r="E358" s="79">
        <f t="shared" si="127"/>
        <v>0</v>
      </c>
      <c r="F358" s="80">
        <f t="shared" si="116"/>
        <v>0</v>
      </c>
      <c r="G358" s="47">
        <f t="shared" si="125"/>
        <v>0</v>
      </c>
      <c r="H358" s="47">
        <f t="shared" si="118"/>
        <v>0</v>
      </c>
      <c r="I358" s="47">
        <f t="shared" si="126"/>
        <v>0</v>
      </c>
      <c r="J358" s="47">
        <f t="shared" si="117"/>
        <v>0</v>
      </c>
      <c r="K358" s="47">
        <f t="shared" si="119"/>
        <v>0</v>
      </c>
      <c r="L358" s="47">
        <f t="shared" si="120"/>
        <v>0</v>
      </c>
      <c r="M358" s="47">
        <f t="shared" si="121"/>
        <v>0</v>
      </c>
      <c r="N358" s="80">
        <v>0</v>
      </c>
      <c r="O358" s="47">
        <v>0</v>
      </c>
      <c r="P358" s="47">
        <v>0</v>
      </c>
      <c r="Q358" s="47">
        <v>0</v>
      </c>
      <c r="R358" s="47">
        <v>0</v>
      </c>
      <c r="S358" s="136">
        <v>0</v>
      </c>
      <c r="T358" s="47">
        <v>0</v>
      </c>
      <c r="U358" s="81">
        <f t="shared" si="128"/>
        <v>0</v>
      </c>
      <c r="V358" s="47">
        <f t="shared" si="124"/>
        <v>0</v>
      </c>
      <c r="W358" s="47">
        <f t="shared" si="131"/>
        <v>0</v>
      </c>
      <c r="X358" s="47">
        <f t="shared" si="122"/>
        <v>0</v>
      </c>
      <c r="Y358" s="47">
        <v>0</v>
      </c>
      <c r="Z358" s="47">
        <f t="shared" si="123"/>
        <v>0</v>
      </c>
      <c r="AA358" s="47">
        <v>0</v>
      </c>
      <c r="AB358" s="47">
        <v>0</v>
      </c>
      <c r="AC358" s="71">
        <f t="shared" si="129"/>
        <v>0</v>
      </c>
      <c r="AD358" s="118">
        <f t="shared" si="130"/>
        <v>0</v>
      </c>
    </row>
    <row r="359" spans="1:30" s="49" customFormat="1" ht="12.75" hidden="1" x14ac:dyDescent="0.2">
      <c r="A359" s="94">
        <v>354</v>
      </c>
      <c r="B359" s="36"/>
      <c r="C359" s="148"/>
      <c r="D359" s="57"/>
      <c r="E359" s="79">
        <f t="shared" si="127"/>
        <v>0</v>
      </c>
      <c r="F359" s="80">
        <f t="shared" si="116"/>
        <v>0</v>
      </c>
      <c r="G359" s="47">
        <f t="shared" si="125"/>
        <v>0</v>
      </c>
      <c r="H359" s="47">
        <f t="shared" si="118"/>
        <v>0</v>
      </c>
      <c r="I359" s="47">
        <f t="shared" si="126"/>
        <v>0</v>
      </c>
      <c r="J359" s="47">
        <f t="shared" si="117"/>
        <v>0</v>
      </c>
      <c r="K359" s="47">
        <f t="shared" si="119"/>
        <v>0</v>
      </c>
      <c r="L359" s="47">
        <f t="shared" si="120"/>
        <v>0</v>
      </c>
      <c r="M359" s="47">
        <f t="shared" si="121"/>
        <v>0</v>
      </c>
      <c r="N359" s="80">
        <v>0</v>
      </c>
      <c r="O359" s="47">
        <v>0</v>
      </c>
      <c r="P359" s="47">
        <v>0</v>
      </c>
      <c r="Q359" s="47">
        <v>0</v>
      </c>
      <c r="R359" s="47">
        <v>0</v>
      </c>
      <c r="S359" s="136">
        <v>0</v>
      </c>
      <c r="T359" s="47">
        <v>0</v>
      </c>
      <c r="U359" s="81">
        <f t="shared" si="128"/>
        <v>0</v>
      </c>
      <c r="V359" s="47">
        <f t="shared" si="124"/>
        <v>0</v>
      </c>
      <c r="W359" s="47">
        <f t="shared" si="131"/>
        <v>0</v>
      </c>
      <c r="X359" s="47">
        <f t="shared" si="122"/>
        <v>0</v>
      </c>
      <c r="Y359" s="47">
        <v>0</v>
      </c>
      <c r="Z359" s="47">
        <f t="shared" si="123"/>
        <v>0</v>
      </c>
      <c r="AA359" s="47">
        <v>0</v>
      </c>
      <c r="AB359" s="47">
        <v>0</v>
      </c>
      <c r="AC359" s="71">
        <f t="shared" si="129"/>
        <v>0</v>
      </c>
      <c r="AD359" s="118">
        <f t="shared" si="130"/>
        <v>0</v>
      </c>
    </row>
    <row r="360" spans="1:30" s="49" customFormat="1" ht="12.75" hidden="1" x14ac:dyDescent="0.2">
      <c r="A360" s="94">
        <v>355</v>
      </c>
      <c r="B360" s="36"/>
      <c r="C360" s="148"/>
      <c r="D360" s="57"/>
      <c r="E360" s="79">
        <f t="shared" si="127"/>
        <v>0</v>
      </c>
      <c r="F360" s="80">
        <f t="shared" si="116"/>
        <v>0</v>
      </c>
      <c r="G360" s="47">
        <f t="shared" si="125"/>
        <v>0</v>
      </c>
      <c r="H360" s="47">
        <f t="shared" si="118"/>
        <v>0</v>
      </c>
      <c r="I360" s="47">
        <f t="shared" si="126"/>
        <v>0</v>
      </c>
      <c r="J360" s="47">
        <f t="shared" si="117"/>
        <v>0</v>
      </c>
      <c r="K360" s="47">
        <f t="shared" si="119"/>
        <v>0</v>
      </c>
      <c r="L360" s="47">
        <f t="shared" si="120"/>
        <v>0</v>
      </c>
      <c r="M360" s="47">
        <f t="shared" si="121"/>
        <v>0</v>
      </c>
      <c r="N360" s="80">
        <v>0</v>
      </c>
      <c r="O360" s="47">
        <v>0</v>
      </c>
      <c r="P360" s="47">
        <v>0</v>
      </c>
      <c r="Q360" s="47">
        <v>0</v>
      </c>
      <c r="R360" s="47">
        <v>0</v>
      </c>
      <c r="S360" s="136">
        <v>0</v>
      </c>
      <c r="T360" s="47">
        <v>0</v>
      </c>
      <c r="U360" s="81">
        <f t="shared" si="128"/>
        <v>0</v>
      </c>
      <c r="V360" s="47">
        <f t="shared" si="124"/>
        <v>0</v>
      </c>
      <c r="W360" s="47">
        <f t="shared" si="131"/>
        <v>0</v>
      </c>
      <c r="X360" s="47">
        <f t="shared" si="122"/>
        <v>0</v>
      </c>
      <c r="Y360" s="47">
        <v>0</v>
      </c>
      <c r="Z360" s="47">
        <f t="shared" si="123"/>
        <v>0</v>
      </c>
      <c r="AA360" s="47">
        <v>0</v>
      </c>
      <c r="AB360" s="47">
        <v>0</v>
      </c>
      <c r="AC360" s="71">
        <f t="shared" si="129"/>
        <v>0</v>
      </c>
      <c r="AD360" s="118">
        <f t="shared" si="130"/>
        <v>0</v>
      </c>
    </row>
    <row r="361" spans="1:30" s="49" customFormat="1" ht="12.75" hidden="1" x14ac:dyDescent="0.2">
      <c r="A361" s="94">
        <v>356</v>
      </c>
      <c r="B361" s="36"/>
      <c r="C361" s="148"/>
      <c r="D361" s="57"/>
      <c r="E361" s="79">
        <f t="shared" si="127"/>
        <v>0</v>
      </c>
      <c r="F361" s="80">
        <f t="shared" si="116"/>
        <v>0</v>
      </c>
      <c r="G361" s="47">
        <f t="shared" si="125"/>
        <v>0</v>
      </c>
      <c r="H361" s="47">
        <f t="shared" si="118"/>
        <v>0</v>
      </c>
      <c r="I361" s="47">
        <f t="shared" si="126"/>
        <v>0</v>
      </c>
      <c r="J361" s="47">
        <f t="shared" si="117"/>
        <v>0</v>
      </c>
      <c r="K361" s="47">
        <f t="shared" si="119"/>
        <v>0</v>
      </c>
      <c r="L361" s="47">
        <f t="shared" si="120"/>
        <v>0</v>
      </c>
      <c r="M361" s="47">
        <f t="shared" si="121"/>
        <v>0</v>
      </c>
      <c r="N361" s="80">
        <v>0</v>
      </c>
      <c r="O361" s="47">
        <v>0</v>
      </c>
      <c r="P361" s="47">
        <v>0</v>
      </c>
      <c r="Q361" s="47">
        <v>0</v>
      </c>
      <c r="R361" s="47">
        <v>0</v>
      </c>
      <c r="S361" s="136">
        <v>0</v>
      </c>
      <c r="T361" s="47">
        <v>0</v>
      </c>
      <c r="U361" s="81">
        <f t="shared" si="128"/>
        <v>0</v>
      </c>
      <c r="V361" s="47">
        <f t="shared" si="124"/>
        <v>0</v>
      </c>
      <c r="W361" s="47">
        <f t="shared" si="131"/>
        <v>0</v>
      </c>
      <c r="X361" s="47">
        <f t="shared" si="122"/>
        <v>0</v>
      </c>
      <c r="Y361" s="47">
        <v>0</v>
      </c>
      <c r="Z361" s="47">
        <f t="shared" si="123"/>
        <v>0</v>
      </c>
      <c r="AA361" s="47">
        <v>0</v>
      </c>
      <c r="AB361" s="47">
        <v>0</v>
      </c>
      <c r="AC361" s="71">
        <f t="shared" si="129"/>
        <v>0</v>
      </c>
      <c r="AD361" s="118">
        <f t="shared" si="130"/>
        <v>0</v>
      </c>
    </row>
    <row r="362" spans="1:30" s="49" customFormat="1" ht="12.75" hidden="1" x14ac:dyDescent="0.2">
      <c r="A362" s="94">
        <v>357</v>
      </c>
      <c r="B362" s="36"/>
      <c r="C362" s="148"/>
      <c r="D362" s="57"/>
      <c r="E362" s="79">
        <f t="shared" si="127"/>
        <v>0</v>
      </c>
      <c r="F362" s="80">
        <f t="shared" si="116"/>
        <v>0</v>
      </c>
      <c r="G362" s="47">
        <f t="shared" si="125"/>
        <v>0</v>
      </c>
      <c r="H362" s="47">
        <f t="shared" si="118"/>
        <v>0</v>
      </c>
      <c r="I362" s="47">
        <f t="shared" si="126"/>
        <v>0</v>
      </c>
      <c r="J362" s="47">
        <f t="shared" si="117"/>
        <v>0</v>
      </c>
      <c r="K362" s="47">
        <f t="shared" si="119"/>
        <v>0</v>
      </c>
      <c r="L362" s="47">
        <f t="shared" si="120"/>
        <v>0</v>
      </c>
      <c r="M362" s="47">
        <f t="shared" si="121"/>
        <v>0</v>
      </c>
      <c r="N362" s="80">
        <v>0</v>
      </c>
      <c r="O362" s="47">
        <v>0</v>
      </c>
      <c r="P362" s="47">
        <v>0</v>
      </c>
      <c r="Q362" s="47">
        <v>0</v>
      </c>
      <c r="R362" s="47">
        <v>0</v>
      </c>
      <c r="S362" s="136">
        <v>0</v>
      </c>
      <c r="T362" s="47">
        <v>0</v>
      </c>
      <c r="U362" s="81">
        <f t="shared" si="128"/>
        <v>0</v>
      </c>
      <c r="V362" s="47">
        <f t="shared" si="124"/>
        <v>0</v>
      </c>
      <c r="W362" s="47">
        <f t="shared" si="131"/>
        <v>0</v>
      </c>
      <c r="X362" s="47">
        <f t="shared" si="122"/>
        <v>0</v>
      </c>
      <c r="Y362" s="47">
        <v>0</v>
      </c>
      <c r="Z362" s="47">
        <f t="shared" si="123"/>
        <v>0</v>
      </c>
      <c r="AA362" s="47">
        <v>0</v>
      </c>
      <c r="AB362" s="47">
        <v>0</v>
      </c>
      <c r="AC362" s="71">
        <f t="shared" si="129"/>
        <v>0</v>
      </c>
      <c r="AD362" s="118">
        <f t="shared" si="130"/>
        <v>0</v>
      </c>
    </row>
    <row r="363" spans="1:30" s="49" customFormat="1" ht="12.75" hidden="1" x14ac:dyDescent="0.2">
      <c r="A363" s="94">
        <v>358</v>
      </c>
      <c r="B363" s="36"/>
      <c r="C363" s="148"/>
      <c r="D363" s="57"/>
      <c r="E363" s="79">
        <f t="shared" si="127"/>
        <v>0</v>
      </c>
      <c r="F363" s="80">
        <f t="shared" si="116"/>
        <v>0</v>
      </c>
      <c r="G363" s="47">
        <f t="shared" si="125"/>
        <v>0</v>
      </c>
      <c r="H363" s="47">
        <f t="shared" si="118"/>
        <v>0</v>
      </c>
      <c r="I363" s="47">
        <f t="shared" si="126"/>
        <v>0</v>
      </c>
      <c r="J363" s="47">
        <f t="shared" si="117"/>
        <v>0</v>
      </c>
      <c r="K363" s="47">
        <f t="shared" si="119"/>
        <v>0</v>
      </c>
      <c r="L363" s="47">
        <f t="shared" si="120"/>
        <v>0</v>
      </c>
      <c r="M363" s="47">
        <f t="shared" si="121"/>
        <v>0</v>
      </c>
      <c r="N363" s="80">
        <v>0</v>
      </c>
      <c r="O363" s="47">
        <v>0</v>
      </c>
      <c r="P363" s="47">
        <v>0</v>
      </c>
      <c r="Q363" s="47">
        <v>0</v>
      </c>
      <c r="R363" s="47">
        <v>0</v>
      </c>
      <c r="S363" s="136">
        <v>0</v>
      </c>
      <c r="T363" s="47">
        <v>0</v>
      </c>
      <c r="U363" s="81">
        <f t="shared" si="128"/>
        <v>0</v>
      </c>
      <c r="V363" s="47">
        <f t="shared" si="124"/>
        <v>0</v>
      </c>
      <c r="W363" s="47">
        <f t="shared" si="131"/>
        <v>0</v>
      </c>
      <c r="X363" s="47">
        <f t="shared" si="122"/>
        <v>0</v>
      </c>
      <c r="Y363" s="47">
        <v>0</v>
      </c>
      <c r="Z363" s="47">
        <f t="shared" si="123"/>
        <v>0</v>
      </c>
      <c r="AA363" s="47">
        <v>0</v>
      </c>
      <c r="AB363" s="47">
        <v>0</v>
      </c>
      <c r="AC363" s="71">
        <f t="shared" si="129"/>
        <v>0</v>
      </c>
      <c r="AD363" s="118">
        <f t="shared" si="130"/>
        <v>0</v>
      </c>
    </row>
    <row r="364" spans="1:30" s="49" customFormat="1" ht="12.75" hidden="1" x14ac:dyDescent="0.2">
      <c r="A364" s="94">
        <v>359</v>
      </c>
      <c r="B364" s="36"/>
      <c r="C364" s="148"/>
      <c r="D364" s="57"/>
      <c r="E364" s="79">
        <f t="shared" si="127"/>
        <v>0</v>
      </c>
      <c r="F364" s="80">
        <f t="shared" si="116"/>
        <v>0</v>
      </c>
      <c r="G364" s="47">
        <f t="shared" si="125"/>
        <v>0</v>
      </c>
      <c r="H364" s="47">
        <f t="shared" si="118"/>
        <v>0</v>
      </c>
      <c r="I364" s="47">
        <f t="shared" si="126"/>
        <v>0</v>
      </c>
      <c r="J364" s="47">
        <f t="shared" si="117"/>
        <v>0</v>
      </c>
      <c r="K364" s="47">
        <f t="shared" si="119"/>
        <v>0</v>
      </c>
      <c r="L364" s="47">
        <f t="shared" si="120"/>
        <v>0</v>
      </c>
      <c r="M364" s="47">
        <f t="shared" si="121"/>
        <v>0</v>
      </c>
      <c r="N364" s="80">
        <v>0</v>
      </c>
      <c r="O364" s="47">
        <v>0</v>
      </c>
      <c r="P364" s="47">
        <v>0</v>
      </c>
      <c r="Q364" s="47">
        <v>0</v>
      </c>
      <c r="R364" s="47">
        <v>0</v>
      </c>
      <c r="S364" s="136">
        <v>0</v>
      </c>
      <c r="T364" s="47">
        <v>0</v>
      </c>
      <c r="U364" s="81">
        <f t="shared" si="128"/>
        <v>0</v>
      </c>
      <c r="V364" s="47">
        <f t="shared" si="124"/>
        <v>0</v>
      </c>
      <c r="W364" s="47">
        <f t="shared" si="131"/>
        <v>0</v>
      </c>
      <c r="X364" s="47">
        <f t="shared" si="122"/>
        <v>0</v>
      </c>
      <c r="Y364" s="47">
        <v>0</v>
      </c>
      <c r="Z364" s="47">
        <f t="shared" si="123"/>
        <v>0</v>
      </c>
      <c r="AA364" s="47">
        <v>0</v>
      </c>
      <c r="AB364" s="47">
        <v>0</v>
      </c>
      <c r="AC364" s="71">
        <f t="shared" si="129"/>
        <v>0</v>
      </c>
      <c r="AD364" s="118">
        <f t="shared" si="130"/>
        <v>0</v>
      </c>
    </row>
    <row r="365" spans="1:30" s="49" customFormat="1" ht="12.75" hidden="1" x14ac:dyDescent="0.2">
      <c r="A365" s="94">
        <v>360</v>
      </c>
      <c r="B365" s="36"/>
      <c r="C365" s="148"/>
      <c r="D365" s="57"/>
      <c r="E365" s="79">
        <f t="shared" si="127"/>
        <v>0</v>
      </c>
      <c r="F365" s="80">
        <f t="shared" si="116"/>
        <v>0</v>
      </c>
      <c r="G365" s="47">
        <f t="shared" si="125"/>
        <v>0</v>
      </c>
      <c r="H365" s="47">
        <f t="shared" si="118"/>
        <v>0</v>
      </c>
      <c r="I365" s="47">
        <f t="shared" si="126"/>
        <v>0</v>
      </c>
      <c r="J365" s="47">
        <f t="shared" si="117"/>
        <v>0</v>
      </c>
      <c r="K365" s="47">
        <f t="shared" si="119"/>
        <v>0</v>
      </c>
      <c r="L365" s="47">
        <f t="shared" si="120"/>
        <v>0</v>
      </c>
      <c r="M365" s="47">
        <f t="shared" si="121"/>
        <v>0</v>
      </c>
      <c r="N365" s="80">
        <v>0</v>
      </c>
      <c r="O365" s="47">
        <v>0</v>
      </c>
      <c r="P365" s="47">
        <v>0</v>
      </c>
      <c r="Q365" s="47">
        <v>0</v>
      </c>
      <c r="R365" s="47">
        <v>0</v>
      </c>
      <c r="S365" s="136">
        <v>0</v>
      </c>
      <c r="T365" s="47">
        <v>0</v>
      </c>
      <c r="U365" s="81">
        <f t="shared" si="128"/>
        <v>0</v>
      </c>
      <c r="V365" s="47">
        <f t="shared" si="124"/>
        <v>0</v>
      </c>
      <c r="W365" s="47">
        <f t="shared" si="131"/>
        <v>0</v>
      </c>
      <c r="X365" s="47">
        <f t="shared" si="122"/>
        <v>0</v>
      </c>
      <c r="Y365" s="47">
        <v>0</v>
      </c>
      <c r="Z365" s="47">
        <f t="shared" si="123"/>
        <v>0</v>
      </c>
      <c r="AA365" s="47">
        <v>0</v>
      </c>
      <c r="AB365" s="47">
        <v>0</v>
      </c>
      <c r="AC365" s="71">
        <f t="shared" si="129"/>
        <v>0</v>
      </c>
      <c r="AD365" s="118">
        <f t="shared" si="130"/>
        <v>0</v>
      </c>
    </row>
    <row r="366" spans="1:30" s="49" customFormat="1" ht="12.75" hidden="1" x14ac:dyDescent="0.2">
      <c r="A366" s="94">
        <v>361</v>
      </c>
      <c r="B366" s="36"/>
      <c r="C366" s="148"/>
      <c r="D366" s="57"/>
      <c r="E366" s="79">
        <f t="shared" si="127"/>
        <v>0</v>
      </c>
      <c r="F366" s="80">
        <f t="shared" si="116"/>
        <v>0</v>
      </c>
      <c r="G366" s="47">
        <f t="shared" si="125"/>
        <v>0</v>
      </c>
      <c r="H366" s="47">
        <f t="shared" si="118"/>
        <v>0</v>
      </c>
      <c r="I366" s="47">
        <f t="shared" si="126"/>
        <v>0</v>
      </c>
      <c r="J366" s="47">
        <f t="shared" si="117"/>
        <v>0</v>
      </c>
      <c r="K366" s="47">
        <f t="shared" si="119"/>
        <v>0</v>
      </c>
      <c r="L366" s="47">
        <f t="shared" si="120"/>
        <v>0</v>
      </c>
      <c r="M366" s="47">
        <f t="shared" si="121"/>
        <v>0</v>
      </c>
      <c r="N366" s="80">
        <v>0</v>
      </c>
      <c r="O366" s="47">
        <v>0</v>
      </c>
      <c r="P366" s="47">
        <v>0</v>
      </c>
      <c r="Q366" s="47">
        <v>0</v>
      </c>
      <c r="R366" s="47">
        <v>0</v>
      </c>
      <c r="S366" s="136">
        <v>0</v>
      </c>
      <c r="T366" s="47">
        <v>0</v>
      </c>
      <c r="U366" s="81">
        <f t="shared" si="128"/>
        <v>0</v>
      </c>
      <c r="V366" s="47">
        <f t="shared" si="124"/>
        <v>0</v>
      </c>
      <c r="W366" s="47">
        <f t="shared" si="131"/>
        <v>0</v>
      </c>
      <c r="X366" s="47">
        <f t="shared" si="122"/>
        <v>0</v>
      </c>
      <c r="Y366" s="47">
        <v>0</v>
      </c>
      <c r="Z366" s="47">
        <f t="shared" si="123"/>
        <v>0</v>
      </c>
      <c r="AA366" s="47">
        <v>0</v>
      </c>
      <c r="AB366" s="47">
        <v>0</v>
      </c>
      <c r="AC366" s="71">
        <f t="shared" si="129"/>
        <v>0</v>
      </c>
      <c r="AD366" s="118">
        <f t="shared" si="130"/>
        <v>0</v>
      </c>
    </row>
    <row r="367" spans="1:30" s="49" customFormat="1" ht="12.75" hidden="1" x14ac:dyDescent="0.2">
      <c r="A367" s="94">
        <v>362</v>
      </c>
      <c r="B367" s="36"/>
      <c r="C367" s="148"/>
      <c r="D367" s="57"/>
      <c r="E367" s="79">
        <f t="shared" si="127"/>
        <v>0</v>
      </c>
      <c r="F367" s="80">
        <f t="shared" si="116"/>
        <v>0</v>
      </c>
      <c r="G367" s="47">
        <f t="shared" si="125"/>
        <v>0</v>
      </c>
      <c r="H367" s="47">
        <f t="shared" si="118"/>
        <v>0</v>
      </c>
      <c r="I367" s="47">
        <f t="shared" si="126"/>
        <v>0</v>
      </c>
      <c r="J367" s="47">
        <f t="shared" si="117"/>
        <v>0</v>
      </c>
      <c r="K367" s="47">
        <f t="shared" si="119"/>
        <v>0</v>
      </c>
      <c r="L367" s="47">
        <f t="shared" si="120"/>
        <v>0</v>
      </c>
      <c r="M367" s="47">
        <f t="shared" si="121"/>
        <v>0</v>
      </c>
      <c r="N367" s="80">
        <v>0</v>
      </c>
      <c r="O367" s="47">
        <v>0</v>
      </c>
      <c r="P367" s="47">
        <v>0</v>
      </c>
      <c r="Q367" s="47">
        <v>0</v>
      </c>
      <c r="R367" s="47">
        <v>0</v>
      </c>
      <c r="S367" s="136">
        <v>0</v>
      </c>
      <c r="T367" s="47">
        <v>0</v>
      </c>
      <c r="U367" s="81">
        <f t="shared" si="128"/>
        <v>0</v>
      </c>
      <c r="V367" s="47">
        <f t="shared" si="124"/>
        <v>0</v>
      </c>
      <c r="W367" s="47">
        <f t="shared" si="131"/>
        <v>0</v>
      </c>
      <c r="X367" s="47">
        <f t="shared" si="122"/>
        <v>0</v>
      </c>
      <c r="Y367" s="47">
        <v>0</v>
      </c>
      <c r="Z367" s="47">
        <f t="shared" si="123"/>
        <v>0</v>
      </c>
      <c r="AA367" s="47">
        <v>0</v>
      </c>
      <c r="AB367" s="47">
        <v>0</v>
      </c>
      <c r="AC367" s="71">
        <f t="shared" si="129"/>
        <v>0</v>
      </c>
      <c r="AD367" s="118">
        <f t="shared" si="130"/>
        <v>0</v>
      </c>
    </row>
    <row r="368" spans="1:30" s="49" customFormat="1" ht="12.75" hidden="1" x14ac:dyDescent="0.2">
      <c r="A368" s="94">
        <v>363</v>
      </c>
      <c r="B368" s="36"/>
      <c r="C368" s="148"/>
      <c r="D368" s="57"/>
      <c r="E368" s="79">
        <f t="shared" si="127"/>
        <v>0</v>
      </c>
      <c r="F368" s="80">
        <f t="shared" si="116"/>
        <v>0</v>
      </c>
      <c r="G368" s="47">
        <f t="shared" si="125"/>
        <v>0</v>
      </c>
      <c r="H368" s="47">
        <f t="shared" si="118"/>
        <v>0</v>
      </c>
      <c r="I368" s="47">
        <f t="shared" si="126"/>
        <v>0</v>
      </c>
      <c r="J368" s="47">
        <f t="shared" si="117"/>
        <v>0</v>
      </c>
      <c r="K368" s="47">
        <f t="shared" si="119"/>
        <v>0</v>
      </c>
      <c r="L368" s="47">
        <f t="shared" si="120"/>
        <v>0</v>
      </c>
      <c r="M368" s="47">
        <f t="shared" si="121"/>
        <v>0</v>
      </c>
      <c r="N368" s="80">
        <v>0</v>
      </c>
      <c r="O368" s="47">
        <v>0</v>
      </c>
      <c r="P368" s="47">
        <v>0</v>
      </c>
      <c r="Q368" s="47">
        <v>0</v>
      </c>
      <c r="R368" s="47">
        <v>0</v>
      </c>
      <c r="S368" s="136">
        <v>0</v>
      </c>
      <c r="T368" s="47">
        <v>0</v>
      </c>
      <c r="U368" s="81">
        <f t="shared" si="128"/>
        <v>0</v>
      </c>
      <c r="V368" s="47">
        <f t="shared" si="124"/>
        <v>0</v>
      </c>
      <c r="W368" s="47">
        <f t="shared" si="131"/>
        <v>0</v>
      </c>
      <c r="X368" s="47">
        <f t="shared" si="122"/>
        <v>0</v>
      </c>
      <c r="Y368" s="47">
        <v>0</v>
      </c>
      <c r="Z368" s="47">
        <f t="shared" si="123"/>
        <v>0</v>
      </c>
      <c r="AA368" s="47">
        <v>0</v>
      </c>
      <c r="AB368" s="47">
        <v>0</v>
      </c>
      <c r="AC368" s="71">
        <f t="shared" si="129"/>
        <v>0</v>
      </c>
      <c r="AD368" s="118">
        <f t="shared" si="130"/>
        <v>0</v>
      </c>
    </row>
    <row r="369" spans="1:30" s="49" customFormat="1" ht="12.75" hidden="1" x14ac:dyDescent="0.2">
      <c r="A369" s="94">
        <v>364</v>
      </c>
      <c r="B369" s="36"/>
      <c r="C369" s="148"/>
      <c r="D369" s="57"/>
      <c r="E369" s="79">
        <f t="shared" si="127"/>
        <v>0</v>
      </c>
      <c r="F369" s="80">
        <f t="shared" si="116"/>
        <v>0</v>
      </c>
      <c r="G369" s="47">
        <f t="shared" si="125"/>
        <v>0</v>
      </c>
      <c r="H369" s="47">
        <f t="shared" si="118"/>
        <v>0</v>
      </c>
      <c r="I369" s="47">
        <f t="shared" si="126"/>
        <v>0</v>
      </c>
      <c r="J369" s="47">
        <f t="shared" si="117"/>
        <v>0</v>
      </c>
      <c r="K369" s="47">
        <f t="shared" si="119"/>
        <v>0</v>
      </c>
      <c r="L369" s="47">
        <f t="shared" si="120"/>
        <v>0</v>
      </c>
      <c r="M369" s="47">
        <f t="shared" si="121"/>
        <v>0</v>
      </c>
      <c r="N369" s="80">
        <v>0</v>
      </c>
      <c r="O369" s="47">
        <v>0</v>
      </c>
      <c r="P369" s="47">
        <v>0</v>
      </c>
      <c r="Q369" s="47">
        <v>0</v>
      </c>
      <c r="R369" s="47">
        <v>0</v>
      </c>
      <c r="S369" s="136">
        <v>0</v>
      </c>
      <c r="T369" s="47">
        <v>0</v>
      </c>
      <c r="U369" s="81">
        <f t="shared" si="128"/>
        <v>0</v>
      </c>
      <c r="V369" s="47">
        <f t="shared" si="124"/>
        <v>0</v>
      </c>
      <c r="W369" s="47">
        <f t="shared" si="131"/>
        <v>0</v>
      </c>
      <c r="X369" s="47">
        <f t="shared" si="122"/>
        <v>0</v>
      </c>
      <c r="Y369" s="47">
        <v>0</v>
      </c>
      <c r="Z369" s="47">
        <f t="shared" si="123"/>
        <v>0</v>
      </c>
      <c r="AA369" s="47">
        <v>0</v>
      </c>
      <c r="AB369" s="47">
        <v>0</v>
      </c>
      <c r="AC369" s="71">
        <f t="shared" si="129"/>
        <v>0</v>
      </c>
      <c r="AD369" s="118">
        <f t="shared" si="130"/>
        <v>0</v>
      </c>
    </row>
    <row r="370" spans="1:30" s="49" customFormat="1" ht="12.75" hidden="1" x14ac:dyDescent="0.2">
      <c r="A370" s="94">
        <v>365</v>
      </c>
      <c r="B370" s="36"/>
      <c r="C370" s="148"/>
      <c r="D370" s="57"/>
      <c r="E370" s="79">
        <f t="shared" si="127"/>
        <v>0</v>
      </c>
      <c r="F370" s="80">
        <f t="shared" si="116"/>
        <v>0</v>
      </c>
      <c r="G370" s="47">
        <f t="shared" si="125"/>
        <v>0</v>
      </c>
      <c r="H370" s="47">
        <f t="shared" si="118"/>
        <v>0</v>
      </c>
      <c r="I370" s="47">
        <f t="shared" si="126"/>
        <v>0</v>
      </c>
      <c r="J370" s="47">
        <f t="shared" si="117"/>
        <v>0</v>
      </c>
      <c r="K370" s="47">
        <f t="shared" si="119"/>
        <v>0</v>
      </c>
      <c r="L370" s="47">
        <f t="shared" si="120"/>
        <v>0</v>
      </c>
      <c r="M370" s="47">
        <f t="shared" si="121"/>
        <v>0</v>
      </c>
      <c r="N370" s="80">
        <v>0</v>
      </c>
      <c r="O370" s="47">
        <v>0</v>
      </c>
      <c r="P370" s="47">
        <v>0</v>
      </c>
      <c r="Q370" s="47">
        <v>0</v>
      </c>
      <c r="R370" s="47">
        <v>0</v>
      </c>
      <c r="S370" s="136">
        <v>0</v>
      </c>
      <c r="T370" s="47">
        <v>0</v>
      </c>
      <c r="U370" s="81">
        <f t="shared" si="128"/>
        <v>0</v>
      </c>
      <c r="V370" s="47">
        <f t="shared" si="124"/>
        <v>0</v>
      </c>
      <c r="W370" s="47">
        <f t="shared" si="131"/>
        <v>0</v>
      </c>
      <c r="X370" s="47">
        <f t="shared" si="122"/>
        <v>0</v>
      </c>
      <c r="Y370" s="47">
        <v>0</v>
      </c>
      <c r="Z370" s="47">
        <f t="shared" si="123"/>
        <v>0</v>
      </c>
      <c r="AA370" s="47">
        <v>0</v>
      </c>
      <c r="AB370" s="47">
        <v>0</v>
      </c>
      <c r="AC370" s="71">
        <f t="shared" si="129"/>
        <v>0</v>
      </c>
      <c r="AD370" s="118">
        <f t="shared" si="130"/>
        <v>0</v>
      </c>
    </row>
    <row r="371" spans="1:30" s="49" customFormat="1" ht="12.75" hidden="1" x14ac:dyDescent="0.2">
      <c r="A371" s="94">
        <v>366</v>
      </c>
      <c r="B371" s="36"/>
      <c r="C371" s="148"/>
      <c r="D371" s="57"/>
      <c r="E371" s="79">
        <f t="shared" si="127"/>
        <v>0</v>
      </c>
      <c r="F371" s="80">
        <f t="shared" si="116"/>
        <v>0</v>
      </c>
      <c r="G371" s="47">
        <f t="shared" si="125"/>
        <v>0</v>
      </c>
      <c r="H371" s="47">
        <f t="shared" si="118"/>
        <v>0</v>
      </c>
      <c r="I371" s="47">
        <f t="shared" si="126"/>
        <v>0</v>
      </c>
      <c r="J371" s="47">
        <f t="shared" si="117"/>
        <v>0</v>
      </c>
      <c r="K371" s="47">
        <f t="shared" si="119"/>
        <v>0</v>
      </c>
      <c r="L371" s="47">
        <f t="shared" si="120"/>
        <v>0</v>
      </c>
      <c r="M371" s="47">
        <f t="shared" si="121"/>
        <v>0</v>
      </c>
      <c r="N371" s="80">
        <v>0</v>
      </c>
      <c r="O371" s="47">
        <v>0</v>
      </c>
      <c r="P371" s="47">
        <v>0</v>
      </c>
      <c r="Q371" s="47">
        <v>0</v>
      </c>
      <c r="R371" s="47">
        <v>0</v>
      </c>
      <c r="S371" s="136">
        <v>0</v>
      </c>
      <c r="T371" s="47">
        <v>0</v>
      </c>
      <c r="U371" s="81">
        <f t="shared" si="128"/>
        <v>0</v>
      </c>
      <c r="V371" s="47">
        <f t="shared" si="124"/>
        <v>0</v>
      </c>
      <c r="W371" s="47">
        <f t="shared" si="131"/>
        <v>0</v>
      </c>
      <c r="X371" s="47">
        <f t="shared" si="122"/>
        <v>0</v>
      </c>
      <c r="Y371" s="47">
        <v>0</v>
      </c>
      <c r="Z371" s="47">
        <f t="shared" si="123"/>
        <v>0</v>
      </c>
      <c r="AA371" s="47">
        <v>0</v>
      </c>
      <c r="AB371" s="47">
        <v>0</v>
      </c>
      <c r="AC371" s="71">
        <f t="shared" si="129"/>
        <v>0</v>
      </c>
      <c r="AD371" s="118">
        <f t="shared" si="130"/>
        <v>0</v>
      </c>
    </row>
    <row r="372" spans="1:30" s="49" customFormat="1" ht="12.75" hidden="1" x14ac:dyDescent="0.2">
      <c r="A372" s="94">
        <v>367</v>
      </c>
      <c r="B372" s="36"/>
      <c r="C372" s="148"/>
      <c r="D372" s="57"/>
      <c r="E372" s="79">
        <f t="shared" si="127"/>
        <v>0</v>
      </c>
      <c r="F372" s="80">
        <f t="shared" si="116"/>
        <v>0</v>
      </c>
      <c r="G372" s="47">
        <f t="shared" si="125"/>
        <v>0</v>
      </c>
      <c r="H372" s="47">
        <f t="shared" si="118"/>
        <v>0</v>
      </c>
      <c r="I372" s="47">
        <f t="shared" si="126"/>
        <v>0</v>
      </c>
      <c r="J372" s="47">
        <f t="shared" si="117"/>
        <v>0</v>
      </c>
      <c r="K372" s="47">
        <f t="shared" si="119"/>
        <v>0</v>
      </c>
      <c r="L372" s="47">
        <f t="shared" si="120"/>
        <v>0</v>
      </c>
      <c r="M372" s="47">
        <f t="shared" si="121"/>
        <v>0</v>
      </c>
      <c r="N372" s="80">
        <v>0</v>
      </c>
      <c r="O372" s="47">
        <v>0</v>
      </c>
      <c r="P372" s="47">
        <v>0</v>
      </c>
      <c r="Q372" s="47">
        <v>0</v>
      </c>
      <c r="R372" s="47">
        <v>0</v>
      </c>
      <c r="S372" s="136">
        <v>0</v>
      </c>
      <c r="T372" s="47">
        <v>0</v>
      </c>
      <c r="U372" s="81">
        <f t="shared" si="128"/>
        <v>0</v>
      </c>
      <c r="V372" s="47">
        <f t="shared" si="124"/>
        <v>0</v>
      </c>
      <c r="W372" s="47">
        <f t="shared" si="131"/>
        <v>0</v>
      </c>
      <c r="X372" s="47">
        <f t="shared" si="122"/>
        <v>0</v>
      </c>
      <c r="Y372" s="47">
        <v>0</v>
      </c>
      <c r="Z372" s="47">
        <f t="shared" si="123"/>
        <v>0</v>
      </c>
      <c r="AA372" s="47">
        <v>0</v>
      </c>
      <c r="AB372" s="47">
        <v>0</v>
      </c>
      <c r="AC372" s="71">
        <f t="shared" si="129"/>
        <v>0</v>
      </c>
      <c r="AD372" s="118">
        <f t="shared" si="130"/>
        <v>0</v>
      </c>
    </row>
    <row r="373" spans="1:30" s="49" customFormat="1" ht="12.75" hidden="1" x14ac:dyDescent="0.2">
      <c r="A373" s="94">
        <v>368</v>
      </c>
      <c r="B373" s="36"/>
      <c r="C373" s="148"/>
      <c r="D373" s="57"/>
      <c r="E373" s="79">
        <f t="shared" si="127"/>
        <v>0</v>
      </c>
      <c r="F373" s="80">
        <f t="shared" si="116"/>
        <v>0</v>
      </c>
      <c r="G373" s="47">
        <f t="shared" si="125"/>
        <v>0</v>
      </c>
      <c r="H373" s="47">
        <f t="shared" si="118"/>
        <v>0</v>
      </c>
      <c r="I373" s="47">
        <f t="shared" si="126"/>
        <v>0</v>
      </c>
      <c r="J373" s="47">
        <f t="shared" si="117"/>
        <v>0</v>
      </c>
      <c r="K373" s="47">
        <f t="shared" si="119"/>
        <v>0</v>
      </c>
      <c r="L373" s="47">
        <f t="shared" si="120"/>
        <v>0</v>
      </c>
      <c r="M373" s="47">
        <f t="shared" si="121"/>
        <v>0</v>
      </c>
      <c r="N373" s="80">
        <v>0</v>
      </c>
      <c r="O373" s="47">
        <v>0</v>
      </c>
      <c r="P373" s="47">
        <v>0</v>
      </c>
      <c r="Q373" s="47">
        <v>0</v>
      </c>
      <c r="R373" s="47">
        <v>0</v>
      </c>
      <c r="S373" s="136">
        <v>0</v>
      </c>
      <c r="T373" s="47">
        <v>0</v>
      </c>
      <c r="U373" s="81">
        <f t="shared" si="128"/>
        <v>0</v>
      </c>
      <c r="V373" s="47">
        <f t="shared" si="124"/>
        <v>0</v>
      </c>
      <c r="W373" s="47">
        <f t="shared" si="131"/>
        <v>0</v>
      </c>
      <c r="X373" s="47">
        <f t="shared" si="122"/>
        <v>0</v>
      </c>
      <c r="Y373" s="47">
        <v>0</v>
      </c>
      <c r="Z373" s="47">
        <f t="shared" si="123"/>
        <v>0</v>
      </c>
      <c r="AA373" s="47">
        <v>0</v>
      </c>
      <c r="AB373" s="47">
        <v>0</v>
      </c>
      <c r="AC373" s="71">
        <f t="shared" si="129"/>
        <v>0</v>
      </c>
      <c r="AD373" s="118">
        <f t="shared" si="130"/>
        <v>0</v>
      </c>
    </row>
    <row r="374" spans="1:30" s="49" customFormat="1" ht="12.75" hidden="1" x14ac:dyDescent="0.2">
      <c r="A374" s="94">
        <v>369</v>
      </c>
      <c r="B374" s="36"/>
      <c r="C374" s="148"/>
      <c r="D374" s="57"/>
      <c r="E374" s="79">
        <f t="shared" si="127"/>
        <v>0</v>
      </c>
      <c r="F374" s="80">
        <f t="shared" si="116"/>
        <v>0</v>
      </c>
      <c r="G374" s="47">
        <f t="shared" si="125"/>
        <v>0</v>
      </c>
      <c r="H374" s="47">
        <f t="shared" si="118"/>
        <v>0</v>
      </c>
      <c r="I374" s="47">
        <f t="shared" si="126"/>
        <v>0</v>
      </c>
      <c r="J374" s="47">
        <f t="shared" si="117"/>
        <v>0</v>
      </c>
      <c r="K374" s="47">
        <f t="shared" si="119"/>
        <v>0</v>
      </c>
      <c r="L374" s="47">
        <f t="shared" si="120"/>
        <v>0</v>
      </c>
      <c r="M374" s="47">
        <f t="shared" si="121"/>
        <v>0</v>
      </c>
      <c r="N374" s="80">
        <v>0</v>
      </c>
      <c r="O374" s="47">
        <v>0</v>
      </c>
      <c r="P374" s="47">
        <v>0</v>
      </c>
      <c r="Q374" s="47">
        <v>0</v>
      </c>
      <c r="R374" s="47">
        <v>0</v>
      </c>
      <c r="S374" s="136">
        <v>0</v>
      </c>
      <c r="T374" s="47">
        <v>0</v>
      </c>
      <c r="U374" s="81">
        <f t="shared" si="128"/>
        <v>0</v>
      </c>
      <c r="V374" s="47">
        <f t="shared" si="124"/>
        <v>0</v>
      </c>
      <c r="W374" s="47">
        <f t="shared" si="131"/>
        <v>0</v>
      </c>
      <c r="X374" s="47">
        <f t="shared" si="122"/>
        <v>0</v>
      </c>
      <c r="Y374" s="47">
        <v>0</v>
      </c>
      <c r="Z374" s="47">
        <f t="shared" si="123"/>
        <v>0</v>
      </c>
      <c r="AA374" s="47">
        <v>0</v>
      </c>
      <c r="AB374" s="47">
        <v>0</v>
      </c>
      <c r="AC374" s="71">
        <f t="shared" si="129"/>
        <v>0</v>
      </c>
      <c r="AD374" s="118">
        <f t="shared" si="130"/>
        <v>0</v>
      </c>
    </row>
    <row r="375" spans="1:30" s="49" customFormat="1" ht="12.75" hidden="1" x14ac:dyDescent="0.2">
      <c r="A375" s="94">
        <v>370</v>
      </c>
      <c r="B375" s="36"/>
      <c r="C375" s="148"/>
      <c r="D375" s="57"/>
      <c r="E375" s="79">
        <f t="shared" si="127"/>
        <v>0</v>
      </c>
      <c r="F375" s="80">
        <f t="shared" si="116"/>
        <v>0</v>
      </c>
      <c r="G375" s="47">
        <f t="shared" si="125"/>
        <v>0</v>
      </c>
      <c r="H375" s="47">
        <f t="shared" si="118"/>
        <v>0</v>
      </c>
      <c r="I375" s="47">
        <f t="shared" si="126"/>
        <v>0</v>
      </c>
      <c r="J375" s="47">
        <f t="shared" si="117"/>
        <v>0</v>
      </c>
      <c r="K375" s="47">
        <f t="shared" si="119"/>
        <v>0</v>
      </c>
      <c r="L375" s="47">
        <f t="shared" si="120"/>
        <v>0</v>
      </c>
      <c r="M375" s="47">
        <f t="shared" si="121"/>
        <v>0</v>
      </c>
      <c r="N375" s="80">
        <v>0</v>
      </c>
      <c r="O375" s="47">
        <v>0</v>
      </c>
      <c r="P375" s="47">
        <v>0</v>
      </c>
      <c r="Q375" s="47">
        <v>0</v>
      </c>
      <c r="R375" s="47">
        <v>0</v>
      </c>
      <c r="S375" s="136">
        <v>0</v>
      </c>
      <c r="T375" s="47">
        <v>0</v>
      </c>
      <c r="U375" s="81">
        <f t="shared" si="128"/>
        <v>0</v>
      </c>
      <c r="V375" s="47">
        <f t="shared" si="124"/>
        <v>0</v>
      </c>
      <c r="W375" s="47">
        <f t="shared" si="131"/>
        <v>0</v>
      </c>
      <c r="X375" s="47">
        <f t="shared" si="122"/>
        <v>0</v>
      </c>
      <c r="Y375" s="47">
        <v>0</v>
      </c>
      <c r="Z375" s="47">
        <f t="shared" si="123"/>
        <v>0</v>
      </c>
      <c r="AA375" s="47">
        <v>0</v>
      </c>
      <c r="AB375" s="47">
        <v>0</v>
      </c>
      <c r="AC375" s="71">
        <f t="shared" si="129"/>
        <v>0</v>
      </c>
      <c r="AD375" s="118">
        <f t="shared" si="130"/>
        <v>0</v>
      </c>
    </row>
    <row r="376" spans="1:30" s="49" customFormat="1" ht="12.75" hidden="1" x14ac:dyDescent="0.2">
      <c r="A376" s="94">
        <v>371</v>
      </c>
      <c r="B376" s="36"/>
      <c r="C376" s="148"/>
      <c r="D376" s="57"/>
      <c r="E376" s="79">
        <f t="shared" si="127"/>
        <v>0</v>
      </c>
      <c r="F376" s="80">
        <f t="shared" si="116"/>
        <v>0</v>
      </c>
      <c r="G376" s="47">
        <f t="shared" si="125"/>
        <v>0</v>
      </c>
      <c r="H376" s="47">
        <f t="shared" si="118"/>
        <v>0</v>
      </c>
      <c r="I376" s="47">
        <f t="shared" si="126"/>
        <v>0</v>
      </c>
      <c r="J376" s="47">
        <f t="shared" si="117"/>
        <v>0</v>
      </c>
      <c r="K376" s="47">
        <f t="shared" si="119"/>
        <v>0</v>
      </c>
      <c r="L376" s="47">
        <f t="shared" si="120"/>
        <v>0</v>
      </c>
      <c r="M376" s="47">
        <f t="shared" si="121"/>
        <v>0</v>
      </c>
      <c r="N376" s="80">
        <v>0</v>
      </c>
      <c r="O376" s="47">
        <v>0</v>
      </c>
      <c r="P376" s="47">
        <v>0</v>
      </c>
      <c r="Q376" s="47">
        <v>0</v>
      </c>
      <c r="R376" s="47">
        <v>0</v>
      </c>
      <c r="S376" s="136">
        <v>0</v>
      </c>
      <c r="T376" s="47">
        <v>0</v>
      </c>
      <c r="U376" s="81">
        <f t="shared" si="128"/>
        <v>0</v>
      </c>
      <c r="V376" s="47">
        <f t="shared" si="124"/>
        <v>0</v>
      </c>
      <c r="W376" s="47">
        <f t="shared" si="131"/>
        <v>0</v>
      </c>
      <c r="X376" s="47">
        <f t="shared" si="122"/>
        <v>0</v>
      </c>
      <c r="Y376" s="47">
        <v>0</v>
      </c>
      <c r="Z376" s="47">
        <f t="shared" si="123"/>
        <v>0</v>
      </c>
      <c r="AA376" s="47">
        <v>0</v>
      </c>
      <c r="AB376" s="47">
        <v>0</v>
      </c>
      <c r="AC376" s="71">
        <f t="shared" si="129"/>
        <v>0</v>
      </c>
      <c r="AD376" s="118">
        <f t="shared" si="130"/>
        <v>0</v>
      </c>
    </row>
    <row r="377" spans="1:30" s="49" customFormat="1" ht="12.75" hidden="1" x14ac:dyDescent="0.2">
      <c r="A377" s="94">
        <v>372</v>
      </c>
      <c r="B377" s="36"/>
      <c r="C377" s="148"/>
      <c r="D377" s="57"/>
      <c r="E377" s="79">
        <f t="shared" si="127"/>
        <v>0</v>
      </c>
      <c r="F377" s="80">
        <f t="shared" si="116"/>
        <v>0</v>
      </c>
      <c r="G377" s="47">
        <f t="shared" si="125"/>
        <v>0</v>
      </c>
      <c r="H377" s="47">
        <f t="shared" si="118"/>
        <v>0</v>
      </c>
      <c r="I377" s="47">
        <f t="shared" si="126"/>
        <v>0</v>
      </c>
      <c r="J377" s="47">
        <f t="shared" si="117"/>
        <v>0</v>
      </c>
      <c r="K377" s="47">
        <f t="shared" si="119"/>
        <v>0</v>
      </c>
      <c r="L377" s="47">
        <f t="shared" si="120"/>
        <v>0</v>
      </c>
      <c r="M377" s="47">
        <f t="shared" si="121"/>
        <v>0</v>
      </c>
      <c r="N377" s="80">
        <v>0</v>
      </c>
      <c r="O377" s="47">
        <v>0</v>
      </c>
      <c r="P377" s="47">
        <v>0</v>
      </c>
      <c r="Q377" s="47">
        <v>0</v>
      </c>
      <c r="R377" s="47">
        <v>0</v>
      </c>
      <c r="S377" s="136">
        <v>0</v>
      </c>
      <c r="T377" s="47">
        <v>0</v>
      </c>
      <c r="U377" s="81">
        <f t="shared" si="128"/>
        <v>0</v>
      </c>
      <c r="V377" s="47">
        <f t="shared" si="124"/>
        <v>0</v>
      </c>
      <c r="W377" s="47">
        <f t="shared" si="131"/>
        <v>0</v>
      </c>
      <c r="X377" s="47">
        <f t="shared" si="122"/>
        <v>0</v>
      </c>
      <c r="Y377" s="47">
        <v>0</v>
      </c>
      <c r="Z377" s="47">
        <f t="shared" si="123"/>
        <v>0</v>
      </c>
      <c r="AA377" s="47">
        <v>0</v>
      </c>
      <c r="AB377" s="47">
        <v>0</v>
      </c>
      <c r="AC377" s="71">
        <f t="shared" si="129"/>
        <v>0</v>
      </c>
      <c r="AD377" s="118">
        <f t="shared" si="130"/>
        <v>0</v>
      </c>
    </row>
    <row r="378" spans="1:30" s="49" customFormat="1" ht="12.75" hidden="1" x14ac:dyDescent="0.2">
      <c r="A378" s="94">
        <v>373</v>
      </c>
      <c r="B378" s="36"/>
      <c r="C378" s="148"/>
      <c r="D378" s="57"/>
      <c r="E378" s="79">
        <f t="shared" si="127"/>
        <v>0</v>
      </c>
      <c r="F378" s="80">
        <f t="shared" si="116"/>
        <v>0</v>
      </c>
      <c r="G378" s="47">
        <f t="shared" si="125"/>
        <v>0</v>
      </c>
      <c r="H378" s="47">
        <f t="shared" si="118"/>
        <v>0</v>
      </c>
      <c r="I378" s="47">
        <f t="shared" si="126"/>
        <v>0</v>
      </c>
      <c r="J378" s="47">
        <f t="shared" si="117"/>
        <v>0</v>
      </c>
      <c r="K378" s="47">
        <f t="shared" si="119"/>
        <v>0</v>
      </c>
      <c r="L378" s="47">
        <f t="shared" si="120"/>
        <v>0</v>
      </c>
      <c r="M378" s="47">
        <f t="shared" si="121"/>
        <v>0</v>
      </c>
      <c r="N378" s="80">
        <v>0</v>
      </c>
      <c r="O378" s="47">
        <v>0</v>
      </c>
      <c r="P378" s="47">
        <v>0</v>
      </c>
      <c r="Q378" s="47">
        <v>0</v>
      </c>
      <c r="R378" s="47">
        <v>0</v>
      </c>
      <c r="S378" s="136">
        <v>0</v>
      </c>
      <c r="T378" s="47">
        <v>0</v>
      </c>
      <c r="U378" s="81">
        <f t="shared" si="128"/>
        <v>0</v>
      </c>
      <c r="V378" s="47">
        <f t="shared" si="124"/>
        <v>0</v>
      </c>
      <c r="W378" s="47">
        <f t="shared" si="131"/>
        <v>0</v>
      </c>
      <c r="X378" s="47">
        <f t="shared" si="122"/>
        <v>0</v>
      </c>
      <c r="Y378" s="47">
        <v>0</v>
      </c>
      <c r="Z378" s="47">
        <f t="shared" si="123"/>
        <v>0</v>
      </c>
      <c r="AA378" s="47">
        <v>0</v>
      </c>
      <c r="AB378" s="47">
        <v>0</v>
      </c>
      <c r="AC378" s="71">
        <f t="shared" si="129"/>
        <v>0</v>
      </c>
      <c r="AD378" s="118">
        <f t="shared" si="130"/>
        <v>0</v>
      </c>
    </row>
    <row r="379" spans="1:30" s="49" customFormat="1" ht="12.75" hidden="1" x14ac:dyDescent="0.2">
      <c r="A379" s="94">
        <v>374</v>
      </c>
      <c r="B379" s="36"/>
      <c r="C379" s="148"/>
      <c r="D379" s="57"/>
      <c r="E379" s="79">
        <f t="shared" si="127"/>
        <v>0</v>
      </c>
      <c r="F379" s="80">
        <f t="shared" si="116"/>
        <v>0</v>
      </c>
      <c r="G379" s="47">
        <f t="shared" si="125"/>
        <v>0</v>
      </c>
      <c r="H379" s="47">
        <f t="shared" si="118"/>
        <v>0</v>
      </c>
      <c r="I379" s="47">
        <f t="shared" si="126"/>
        <v>0</v>
      </c>
      <c r="J379" s="47">
        <f t="shared" si="117"/>
        <v>0</v>
      </c>
      <c r="K379" s="47">
        <f t="shared" si="119"/>
        <v>0</v>
      </c>
      <c r="L379" s="47">
        <f t="shared" si="120"/>
        <v>0</v>
      </c>
      <c r="M379" s="47">
        <f t="shared" si="121"/>
        <v>0</v>
      </c>
      <c r="N379" s="80">
        <v>0</v>
      </c>
      <c r="O379" s="47">
        <v>0</v>
      </c>
      <c r="P379" s="47">
        <v>0</v>
      </c>
      <c r="Q379" s="47">
        <v>0</v>
      </c>
      <c r="R379" s="47">
        <v>0</v>
      </c>
      <c r="S379" s="136">
        <v>0</v>
      </c>
      <c r="T379" s="47">
        <v>0</v>
      </c>
      <c r="U379" s="81">
        <f t="shared" si="128"/>
        <v>0</v>
      </c>
      <c r="V379" s="47">
        <f t="shared" si="124"/>
        <v>0</v>
      </c>
      <c r="W379" s="47">
        <f t="shared" si="131"/>
        <v>0</v>
      </c>
      <c r="X379" s="47">
        <f t="shared" si="122"/>
        <v>0</v>
      </c>
      <c r="Y379" s="47">
        <v>0</v>
      </c>
      <c r="Z379" s="47">
        <f t="shared" si="123"/>
        <v>0</v>
      </c>
      <c r="AA379" s="47">
        <v>0</v>
      </c>
      <c r="AB379" s="47">
        <v>0</v>
      </c>
      <c r="AC379" s="71">
        <f t="shared" si="129"/>
        <v>0</v>
      </c>
      <c r="AD379" s="118">
        <f t="shared" si="130"/>
        <v>0</v>
      </c>
    </row>
    <row r="380" spans="1:30" s="49" customFormat="1" ht="12.75" hidden="1" x14ac:dyDescent="0.2">
      <c r="A380" s="94">
        <v>375</v>
      </c>
      <c r="B380" s="36"/>
      <c r="C380" s="148"/>
      <c r="D380" s="57"/>
      <c r="E380" s="79">
        <f t="shared" si="127"/>
        <v>0</v>
      </c>
      <c r="F380" s="80">
        <f t="shared" si="116"/>
        <v>0</v>
      </c>
      <c r="G380" s="47">
        <f t="shared" si="125"/>
        <v>0</v>
      </c>
      <c r="H380" s="47">
        <f t="shared" si="118"/>
        <v>0</v>
      </c>
      <c r="I380" s="47">
        <f t="shared" si="126"/>
        <v>0</v>
      </c>
      <c r="J380" s="47">
        <f t="shared" si="117"/>
        <v>0</v>
      </c>
      <c r="K380" s="47">
        <f t="shared" si="119"/>
        <v>0</v>
      </c>
      <c r="L380" s="47">
        <f t="shared" si="120"/>
        <v>0</v>
      </c>
      <c r="M380" s="47">
        <f t="shared" si="121"/>
        <v>0</v>
      </c>
      <c r="N380" s="80">
        <v>0</v>
      </c>
      <c r="O380" s="47">
        <v>0</v>
      </c>
      <c r="P380" s="47">
        <v>0</v>
      </c>
      <c r="Q380" s="47">
        <v>0</v>
      </c>
      <c r="R380" s="47">
        <v>0</v>
      </c>
      <c r="S380" s="136">
        <v>0</v>
      </c>
      <c r="T380" s="47">
        <v>0</v>
      </c>
      <c r="U380" s="81">
        <f t="shared" si="128"/>
        <v>0</v>
      </c>
      <c r="V380" s="47">
        <f t="shared" si="124"/>
        <v>0</v>
      </c>
      <c r="W380" s="47">
        <f t="shared" si="131"/>
        <v>0</v>
      </c>
      <c r="X380" s="47">
        <f t="shared" si="122"/>
        <v>0</v>
      </c>
      <c r="Y380" s="47">
        <v>0</v>
      </c>
      <c r="Z380" s="47">
        <f t="shared" si="123"/>
        <v>0</v>
      </c>
      <c r="AA380" s="47">
        <v>0</v>
      </c>
      <c r="AB380" s="47">
        <v>0</v>
      </c>
      <c r="AC380" s="71">
        <f t="shared" si="129"/>
        <v>0</v>
      </c>
      <c r="AD380" s="118">
        <f t="shared" si="130"/>
        <v>0</v>
      </c>
    </row>
    <row r="381" spans="1:30" s="49" customFormat="1" ht="12.75" hidden="1" x14ac:dyDescent="0.2">
      <c r="A381" s="94">
        <v>376</v>
      </c>
      <c r="B381" s="36"/>
      <c r="C381" s="148"/>
      <c r="D381" s="57"/>
      <c r="E381" s="79">
        <f t="shared" si="127"/>
        <v>0</v>
      </c>
      <c r="F381" s="80">
        <f t="shared" si="116"/>
        <v>0</v>
      </c>
      <c r="G381" s="47">
        <f t="shared" si="125"/>
        <v>0</v>
      </c>
      <c r="H381" s="47">
        <f t="shared" si="118"/>
        <v>0</v>
      </c>
      <c r="I381" s="47">
        <f t="shared" si="126"/>
        <v>0</v>
      </c>
      <c r="J381" s="47">
        <f t="shared" si="117"/>
        <v>0</v>
      </c>
      <c r="K381" s="47">
        <f t="shared" si="119"/>
        <v>0</v>
      </c>
      <c r="L381" s="47">
        <f t="shared" si="120"/>
        <v>0</v>
      </c>
      <c r="M381" s="47">
        <f t="shared" si="121"/>
        <v>0</v>
      </c>
      <c r="N381" s="80">
        <v>0</v>
      </c>
      <c r="O381" s="47">
        <v>0</v>
      </c>
      <c r="P381" s="47">
        <v>0</v>
      </c>
      <c r="Q381" s="47">
        <v>0</v>
      </c>
      <c r="R381" s="47">
        <v>0</v>
      </c>
      <c r="S381" s="136">
        <v>0</v>
      </c>
      <c r="T381" s="47">
        <v>0</v>
      </c>
      <c r="U381" s="81">
        <f t="shared" si="128"/>
        <v>0</v>
      </c>
      <c r="V381" s="47">
        <f t="shared" si="124"/>
        <v>0</v>
      </c>
      <c r="W381" s="47">
        <f t="shared" si="131"/>
        <v>0</v>
      </c>
      <c r="X381" s="47">
        <f t="shared" si="122"/>
        <v>0</v>
      </c>
      <c r="Y381" s="47">
        <v>0</v>
      </c>
      <c r="Z381" s="47">
        <f t="shared" si="123"/>
        <v>0</v>
      </c>
      <c r="AA381" s="47">
        <v>0</v>
      </c>
      <c r="AB381" s="47">
        <v>0</v>
      </c>
      <c r="AC381" s="71">
        <f t="shared" si="129"/>
        <v>0</v>
      </c>
      <c r="AD381" s="118">
        <f t="shared" si="130"/>
        <v>0</v>
      </c>
    </row>
    <row r="382" spans="1:30" s="49" customFormat="1" ht="12.75" hidden="1" x14ac:dyDescent="0.2">
      <c r="A382" s="94">
        <v>377</v>
      </c>
      <c r="B382" s="36"/>
      <c r="C382" s="148"/>
      <c r="D382" s="57"/>
      <c r="E382" s="79">
        <f t="shared" si="127"/>
        <v>0</v>
      </c>
      <c r="F382" s="80">
        <f t="shared" si="116"/>
        <v>0</v>
      </c>
      <c r="G382" s="47">
        <f t="shared" si="125"/>
        <v>0</v>
      </c>
      <c r="H382" s="47">
        <f t="shared" si="118"/>
        <v>0</v>
      </c>
      <c r="I382" s="47">
        <f t="shared" si="126"/>
        <v>0</v>
      </c>
      <c r="J382" s="47">
        <f t="shared" si="117"/>
        <v>0</v>
      </c>
      <c r="K382" s="47">
        <f t="shared" si="119"/>
        <v>0</v>
      </c>
      <c r="L382" s="47">
        <f t="shared" si="120"/>
        <v>0</v>
      </c>
      <c r="M382" s="47">
        <f t="shared" si="121"/>
        <v>0</v>
      </c>
      <c r="N382" s="80">
        <v>0</v>
      </c>
      <c r="O382" s="47">
        <v>0</v>
      </c>
      <c r="P382" s="47">
        <v>0</v>
      </c>
      <c r="Q382" s="47">
        <v>0</v>
      </c>
      <c r="R382" s="47">
        <v>0</v>
      </c>
      <c r="S382" s="136">
        <v>0</v>
      </c>
      <c r="T382" s="47">
        <v>0</v>
      </c>
      <c r="U382" s="81">
        <f t="shared" si="128"/>
        <v>0</v>
      </c>
      <c r="V382" s="47">
        <f t="shared" si="124"/>
        <v>0</v>
      </c>
      <c r="W382" s="47">
        <f t="shared" si="131"/>
        <v>0</v>
      </c>
      <c r="X382" s="47">
        <f t="shared" si="122"/>
        <v>0</v>
      </c>
      <c r="Y382" s="47">
        <v>0</v>
      </c>
      <c r="Z382" s="47">
        <f t="shared" si="123"/>
        <v>0</v>
      </c>
      <c r="AA382" s="47">
        <v>0</v>
      </c>
      <c r="AB382" s="47">
        <v>0</v>
      </c>
      <c r="AC382" s="71">
        <f t="shared" si="129"/>
        <v>0</v>
      </c>
      <c r="AD382" s="118">
        <f t="shared" si="130"/>
        <v>0</v>
      </c>
    </row>
    <row r="383" spans="1:30" s="49" customFormat="1" ht="12.75" hidden="1" x14ac:dyDescent="0.2">
      <c r="A383" s="94">
        <v>378</v>
      </c>
      <c r="B383" s="36"/>
      <c r="C383" s="148"/>
      <c r="D383" s="57"/>
      <c r="E383" s="79">
        <f t="shared" si="127"/>
        <v>0</v>
      </c>
      <c r="F383" s="80">
        <f t="shared" si="116"/>
        <v>0</v>
      </c>
      <c r="G383" s="47">
        <f t="shared" si="125"/>
        <v>0</v>
      </c>
      <c r="H383" s="47">
        <f t="shared" si="118"/>
        <v>0</v>
      </c>
      <c r="I383" s="47">
        <f t="shared" si="126"/>
        <v>0</v>
      </c>
      <c r="J383" s="47">
        <f t="shared" si="117"/>
        <v>0</v>
      </c>
      <c r="K383" s="47">
        <f t="shared" si="119"/>
        <v>0</v>
      </c>
      <c r="L383" s="47">
        <f t="shared" si="120"/>
        <v>0</v>
      </c>
      <c r="M383" s="47">
        <f t="shared" si="121"/>
        <v>0</v>
      </c>
      <c r="N383" s="80">
        <v>0</v>
      </c>
      <c r="O383" s="47">
        <v>0</v>
      </c>
      <c r="P383" s="47">
        <v>0</v>
      </c>
      <c r="Q383" s="47">
        <v>0</v>
      </c>
      <c r="R383" s="47">
        <v>0</v>
      </c>
      <c r="S383" s="136">
        <v>0</v>
      </c>
      <c r="T383" s="47">
        <v>0</v>
      </c>
      <c r="U383" s="81">
        <f t="shared" si="128"/>
        <v>0</v>
      </c>
      <c r="V383" s="47">
        <f t="shared" si="124"/>
        <v>0</v>
      </c>
      <c r="W383" s="47">
        <f t="shared" si="131"/>
        <v>0</v>
      </c>
      <c r="X383" s="47">
        <f t="shared" si="122"/>
        <v>0</v>
      </c>
      <c r="Y383" s="47">
        <v>0</v>
      </c>
      <c r="Z383" s="47">
        <f t="shared" si="123"/>
        <v>0</v>
      </c>
      <c r="AA383" s="47">
        <v>0</v>
      </c>
      <c r="AB383" s="47">
        <v>0</v>
      </c>
      <c r="AC383" s="71">
        <f t="shared" si="129"/>
        <v>0</v>
      </c>
      <c r="AD383" s="118">
        <f t="shared" si="130"/>
        <v>0</v>
      </c>
    </row>
    <row r="384" spans="1:30" s="49" customFormat="1" ht="12.75" hidden="1" x14ac:dyDescent="0.2">
      <c r="A384" s="94">
        <v>379</v>
      </c>
      <c r="B384" s="36"/>
      <c r="C384" s="148"/>
      <c r="D384" s="57"/>
      <c r="E384" s="79">
        <f t="shared" si="127"/>
        <v>0</v>
      </c>
      <c r="F384" s="80">
        <f t="shared" si="116"/>
        <v>0</v>
      </c>
      <c r="G384" s="47">
        <f t="shared" si="125"/>
        <v>0</v>
      </c>
      <c r="H384" s="47">
        <f t="shared" si="118"/>
        <v>0</v>
      </c>
      <c r="I384" s="47">
        <f t="shared" si="126"/>
        <v>0</v>
      </c>
      <c r="J384" s="47">
        <f t="shared" si="117"/>
        <v>0</v>
      </c>
      <c r="K384" s="47">
        <f t="shared" si="119"/>
        <v>0</v>
      </c>
      <c r="L384" s="47">
        <f t="shared" si="120"/>
        <v>0</v>
      </c>
      <c r="M384" s="47">
        <f t="shared" si="121"/>
        <v>0</v>
      </c>
      <c r="N384" s="80">
        <v>0</v>
      </c>
      <c r="O384" s="47">
        <v>0</v>
      </c>
      <c r="P384" s="47">
        <v>0</v>
      </c>
      <c r="Q384" s="47">
        <v>0</v>
      </c>
      <c r="R384" s="47">
        <v>0</v>
      </c>
      <c r="S384" s="136">
        <v>0</v>
      </c>
      <c r="T384" s="47">
        <v>0</v>
      </c>
      <c r="U384" s="81">
        <f t="shared" si="128"/>
        <v>0</v>
      </c>
      <c r="V384" s="47">
        <f t="shared" si="124"/>
        <v>0</v>
      </c>
      <c r="W384" s="47">
        <f t="shared" si="131"/>
        <v>0</v>
      </c>
      <c r="X384" s="47">
        <f t="shared" si="122"/>
        <v>0</v>
      </c>
      <c r="Y384" s="47">
        <v>0</v>
      </c>
      <c r="Z384" s="47">
        <f t="shared" si="123"/>
        <v>0</v>
      </c>
      <c r="AA384" s="47">
        <v>0</v>
      </c>
      <c r="AB384" s="47">
        <v>0</v>
      </c>
      <c r="AC384" s="71">
        <f t="shared" si="129"/>
        <v>0</v>
      </c>
      <c r="AD384" s="118">
        <f t="shared" si="130"/>
        <v>0</v>
      </c>
    </row>
    <row r="385" spans="1:30" s="49" customFormat="1" ht="12.75" hidden="1" x14ac:dyDescent="0.2">
      <c r="A385" s="94">
        <v>380</v>
      </c>
      <c r="B385" s="36"/>
      <c r="C385" s="148"/>
      <c r="D385" s="57"/>
      <c r="E385" s="79">
        <f t="shared" si="127"/>
        <v>0</v>
      </c>
      <c r="F385" s="80">
        <f t="shared" si="116"/>
        <v>0</v>
      </c>
      <c r="G385" s="47">
        <f t="shared" si="125"/>
        <v>0</v>
      </c>
      <c r="H385" s="47">
        <f t="shared" si="118"/>
        <v>0</v>
      </c>
      <c r="I385" s="47">
        <f t="shared" si="126"/>
        <v>0</v>
      </c>
      <c r="J385" s="47">
        <f t="shared" si="117"/>
        <v>0</v>
      </c>
      <c r="K385" s="47">
        <f t="shared" si="119"/>
        <v>0</v>
      </c>
      <c r="L385" s="47">
        <f t="shared" si="120"/>
        <v>0</v>
      </c>
      <c r="M385" s="47">
        <f t="shared" si="121"/>
        <v>0</v>
      </c>
      <c r="N385" s="80">
        <v>0</v>
      </c>
      <c r="O385" s="47">
        <v>0</v>
      </c>
      <c r="P385" s="47">
        <v>0</v>
      </c>
      <c r="Q385" s="47">
        <v>0</v>
      </c>
      <c r="R385" s="47">
        <v>0</v>
      </c>
      <c r="S385" s="136">
        <v>0</v>
      </c>
      <c r="T385" s="47">
        <v>0</v>
      </c>
      <c r="U385" s="81">
        <f t="shared" si="128"/>
        <v>0</v>
      </c>
      <c r="V385" s="47">
        <f t="shared" si="124"/>
        <v>0</v>
      </c>
      <c r="W385" s="47">
        <f t="shared" si="131"/>
        <v>0</v>
      </c>
      <c r="X385" s="47">
        <f t="shared" si="122"/>
        <v>0</v>
      </c>
      <c r="Y385" s="47">
        <v>0</v>
      </c>
      <c r="Z385" s="47">
        <f t="shared" si="123"/>
        <v>0</v>
      </c>
      <c r="AA385" s="47">
        <v>0</v>
      </c>
      <c r="AB385" s="47">
        <v>0</v>
      </c>
      <c r="AC385" s="71">
        <f t="shared" si="129"/>
        <v>0</v>
      </c>
      <c r="AD385" s="118">
        <f t="shared" si="130"/>
        <v>0</v>
      </c>
    </row>
    <row r="386" spans="1:30" s="49" customFormat="1" ht="12.75" hidden="1" x14ac:dyDescent="0.2">
      <c r="A386" s="94">
        <v>381</v>
      </c>
      <c r="B386" s="36"/>
      <c r="C386" s="148"/>
      <c r="D386" s="57"/>
      <c r="E386" s="79">
        <f t="shared" si="127"/>
        <v>0</v>
      </c>
      <c r="F386" s="80">
        <f t="shared" si="116"/>
        <v>0</v>
      </c>
      <c r="G386" s="47">
        <f t="shared" si="125"/>
        <v>0</v>
      </c>
      <c r="H386" s="47">
        <f t="shared" si="118"/>
        <v>0</v>
      </c>
      <c r="I386" s="47">
        <f t="shared" si="126"/>
        <v>0</v>
      </c>
      <c r="J386" s="47">
        <f t="shared" si="117"/>
        <v>0</v>
      </c>
      <c r="K386" s="47">
        <f t="shared" si="119"/>
        <v>0</v>
      </c>
      <c r="L386" s="47">
        <f t="shared" si="120"/>
        <v>0</v>
      </c>
      <c r="M386" s="47">
        <f t="shared" si="121"/>
        <v>0</v>
      </c>
      <c r="N386" s="80">
        <v>0</v>
      </c>
      <c r="O386" s="47">
        <v>0</v>
      </c>
      <c r="P386" s="47">
        <v>0</v>
      </c>
      <c r="Q386" s="47">
        <v>0</v>
      </c>
      <c r="R386" s="47">
        <v>0</v>
      </c>
      <c r="S386" s="136">
        <v>0</v>
      </c>
      <c r="T386" s="47">
        <v>0</v>
      </c>
      <c r="U386" s="81">
        <f t="shared" si="128"/>
        <v>0</v>
      </c>
      <c r="V386" s="47">
        <f t="shared" si="124"/>
        <v>0</v>
      </c>
      <c r="W386" s="47">
        <f t="shared" si="131"/>
        <v>0</v>
      </c>
      <c r="X386" s="47">
        <f t="shared" si="122"/>
        <v>0</v>
      </c>
      <c r="Y386" s="47">
        <v>0</v>
      </c>
      <c r="Z386" s="47">
        <f t="shared" si="123"/>
        <v>0</v>
      </c>
      <c r="AA386" s="47">
        <v>0</v>
      </c>
      <c r="AB386" s="47">
        <v>0</v>
      </c>
      <c r="AC386" s="71">
        <f t="shared" si="129"/>
        <v>0</v>
      </c>
      <c r="AD386" s="118">
        <f t="shared" si="130"/>
        <v>0</v>
      </c>
    </row>
    <row r="387" spans="1:30" s="49" customFormat="1" ht="12.75" hidden="1" x14ac:dyDescent="0.2">
      <c r="A387" s="94">
        <v>382</v>
      </c>
      <c r="B387" s="36"/>
      <c r="C387" s="148"/>
      <c r="D387" s="57"/>
      <c r="E387" s="79">
        <f t="shared" si="127"/>
        <v>0</v>
      </c>
      <c r="F387" s="80">
        <f t="shared" si="116"/>
        <v>0</v>
      </c>
      <c r="G387" s="47">
        <f t="shared" si="125"/>
        <v>0</v>
      </c>
      <c r="H387" s="47">
        <f t="shared" si="118"/>
        <v>0</v>
      </c>
      <c r="I387" s="47">
        <f t="shared" si="126"/>
        <v>0</v>
      </c>
      <c r="J387" s="47">
        <f t="shared" si="117"/>
        <v>0</v>
      </c>
      <c r="K387" s="47">
        <f t="shared" si="119"/>
        <v>0</v>
      </c>
      <c r="L387" s="47">
        <f t="shared" si="120"/>
        <v>0</v>
      </c>
      <c r="M387" s="47">
        <f t="shared" si="121"/>
        <v>0</v>
      </c>
      <c r="N387" s="80">
        <v>0</v>
      </c>
      <c r="O387" s="47">
        <v>0</v>
      </c>
      <c r="P387" s="47">
        <v>0</v>
      </c>
      <c r="Q387" s="47">
        <v>0</v>
      </c>
      <c r="R387" s="47">
        <v>0</v>
      </c>
      <c r="S387" s="136">
        <v>0</v>
      </c>
      <c r="T387" s="47">
        <v>0</v>
      </c>
      <c r="U387" s="81">
        <f t="shared" si="128"/>
        <v>0</v>
      </c>
      <c r="V387" s="47">
        <f t="shared" si="124"/>
        <v>0</v>
      </c>
      <c r="W387" s="47">
        <f t="shared" si="131"/>
        <v>0</v>
      </c>
      <c r="X387" s="47">
        <f t="shared" si="122"/>
        <v>0</v>
      </c>
      <c r="Y387" s="47">
        <v>0</v>
      </c>
      <c r="Z387" s="47">
        <f t="shared" si="123"/>
        <v>0</v>
      </c>
      <c r="AA387" s="47">
        <v>0</v>
      </c>
      <c r="AB387" s="47">
        <v>0</v>
      </c>
      <c r="AC387" s="71">
        <f t="shared" si="129"/>
        <v>0</v>
      </c>
      <c r="AD387" s="118">
        <f t="shared" si="130"/>
        <v>0</v>
      </c>
    </row>
    <row r="388" spans="1:30" s="49" customFormat="1" ht="12.75" hidden="1" x14ac:dyDescent="0.2">
      <c r="A388" s="94">
        <v>383</v>
      </c>
      <c r="B388" s="36"/>
      <c r="C388" s="148"/>
      <c r="D388" s="57"/>
      <c r="E388" s="79">
        <f t="shared" si="127"/>
        <v>0</v>
      </c>
      <c r="F388" s="80">
        <f t="shared" si="116"/>
        <v>0</v>
      </c>
      <c r="G388" s="47">
        <f t="shared" si="125"/>
        <v>0</v>
      </c>
      <c r="H388" s="47">
        <f t="shared" si="118"/>
        <v>0</v>
      </c>
      <c r="I388" s="47">
        <f t="shared" si="126"/>
        <v>0</v>
      </c>
      <c r="J388" s="47">
        <f t="shared" si="117"/>
        <v>0</v>
      </c>
      <c r="K388" s="47">
        <f t="shared" si="119"/>
        <v>0</v>
      </c>
      <c r="L388" s="47">
        <f t="shared" si="120"/>
        <v>0</v>
      </c>
      <c r="M388" s="47">
        <f t="shared" si="121"/>
        <v>0</v>
      </c>
      <c r="N388" s="80">
        <v>0</v>
      </c>
      <c r="O388" s="47">
        <v>0</v>
      </c>
      <c r="P388" s="47">
        <v>0</v>
      </c>
      <c r="Q388" s="47">
        <v>0</v>
      </c>
      <c r="R388" s="47">
        <v>0</v>
      </c>
      <c r="S388" s="136">
        <v>0</v>
      </c>
      <c r="T388" s="47">
        <v>0</v>
      </c>
      <c r="U388" s="81">
        <f t="shared" si="128"/>
        <v>0</v>
      </c>
      <c r="V388" s="47">
        <f t="shared" si="124"/>
        <v>0</v>
      </c>
      <c r="W388" s="47">
        <f t="shared" si="131"/>
        <v>0</v>
      </c>
      <c r="X388" s="47">
        <f t="shared" si="122"/>
        <v>0</v>
      </c>
      <c r="Y388" s="47">
        <v>0</v>
      </c>
      <c r="Z388" s="47">
        <f t="shared" si="123"/>
        <v>0</v>
      </c>
      <c r="AA388" s="47">
        <v>0</v>
      </c>
      <c r="AB388" s="47">
        <v>0</v>
      </c>
      <c r="AC388" s="71">
        <f t="shared" si="129"/>
        <v>0</v>
      </c>
      <c r="AD388" s="118">
        <f t="shared" si="130"/>
        <v>0</v>
      </c>
    </row>
    <row r="389" spans="1:30" s="49" customFormat="1" ht="12.75" hidden="1" x14ac:dyDescent="0.2">
      <c r="A389" s="94">
        <v>384</v>
      </c>
      <c r="B389" s="36"/>
      <c r="C389" s="148"/>
      <c r="D389" s="57"/>
      <c r="E389" s="79">
        <f t="shared" si="127"/>
        <v>0</v>
      </c>
      <c r="F389" s="80">
        <f t="shared" si="116"/>
        <v>0</v>
      </c>
      <c r="G389" s="47">
        <f t="shared" si="125"/>
        <v>0</v>
      </c>
      <c r="H389" s="47">
        <f t="shared" si="118"/>
        <v>0</v>
      </c>
      <c r="I389" s="47">
        <f t="shared" si="126"/>
        <v>0</v>
      </c>
      <c r="J389" s="47">
        <f t="shared" si="117"/>
        <v>0</v>
      </c>
      <c r="K389" s="47">
        <f t="shared" si="119"/>
        <v>0</v>
      </c>
      <c r="L389" s="47">
        <f t="shared" si="120"/>
        <v>0</v>
      </c>
      <c r="M389" s="47">
        <f t="shared" si="121"/>
        <v>0</v>
      </c>
      <c r="N389" s="80">
        <v>0</v>
      </c>
      <c r="O389" s="47">
        <v>0</v>
      </c>
      <c r="P389" s="47">
        <v>0</v>
      </c>
      <c r="Q389" s="47">
        <v>0</v>
      </c>
      <c r="R389" s="47">
        <v>0</v>
      </c>
      <c r="S389" s="136">
        <v>0</v>
      </c>
      <c r="T389" s="47">
        <v>0</v>
      </c>
      <c r="U389" s="81">
        <f t="shared" si="128"/>
        <v>0</v>
      </c>
      <c r="V389" s="47">
        <f t="shared" si="124"/>
        <v>0</v>
      </c>
      <c r="W389" s="47">
        <f t="shared" si="131"/>
        <v>0</v>
      </c>
      <c r="X389" s="47">
        <f t="shared" si="122"/>
        <v>0</v>
      </c>
      <c r="Y389" s="47">
        <v>0</v>
      </c>
      <c r="Z389" s="47">
        <f t="shared" si="123"/>
        <v>0</v>
      </c>
      <c r="AA389" s="47">
        <v>0</v>
      </c>
      <c r="AB389" s="47">
        <v>0</v>
      </c>
      <c r="AC389" s="71">
        <f t="shared" si="129"/>
        <v>0</v>
      </c>
      <c r="AD389" s="118">
        <f t="shared" si="130"/>
        <v>0</v>
      </c>
    </row>
    <row r="390" spans="1:30" s="49" customFormat="1" ht="12.75" hidden="1" x14ac:dyDescent="0.2">
      <c r="A390" s="94">
        <v>385</v>
      </c>
      <c r="B390" s="36"/>
      <c r="C390" s="148"/>
      <c r="D390" s="57"/>
      <c r="E390" s="79">
        <f t="shared" si="127"/>
        <v>0</v>
      </c>
      <c r="F390" s="80">
        <f t="shared" ref="F390:F453" si="132">(E390+J390+L390+K390+N390+R390+O390+S390+P390+Q390+T390)*4.5%</f>
        <v>0</v>
      </c>
      <c r="G390" s="47">
        <f t="shared" si="125"/>
        <v>0</v>
      </c>
      <c r="H390" s="47">
        <f t="shared" si="118"/>
        <v>0</v>
      </c>
      <c r="I390" s="47">
        <f t="shared" si="126"/>
        <v>0</v>
      </c>
      <c r="J390" s="47">
        <f t="shared" ref="J390:J453" si="133">(E390+N390+O390+P390+Q390+R390+S390+T390)/12</f>
        <v>0</v>
      </c>
      <c r="K390" s="47">
        <f t="shared" si="119"/>
        <v>0</v>
      </c>
      <c r="L390" s="47">
        <f t="shared" si="120"/>
        <v>0</v>
      </c>
      <c r="M390" s="47">
        <f t="shared" si="121"/>
        <v>0</v>
      </c>
      <c r="N390" s="80">
        <v>0</v>
      </c>
      <c r="O390" s="47">
        <v>0</v>
      </c>
      <c r="P390" s="47">
        <v>0</v>
      </c>
      <c r="Q390" s="47">
        <v>0</v>
      </c>
      <c r="R390" s="47">
        <v>0</v>
      </c>
      <c r="S390" s="136">
        <v>0</v>
      </c>
      <c r="T390" s="47">
        <v>0</v>
      </c>
      <c r="U390" s="81">
        <f t="shared" si="128"/>
        <v>0</v>
      </c>
      <c r="V390" s="47">
        <f t="shared" si="124"/>
        <v>0</v>
      </c>
      <c r="W390" s="47">
        <f t="shared" si="131"/>
        <v>0</v>
      </c>
      <c r="X390" s="47">
        <f t="shared" si="122"/>
        <v>0</v>
      </c>
      <c r="Y390" s="47">
        <v>0</v>
      </c>
      <c r="Z390" s="47">
        <f t="shared" si="123"/>
        <v>0</v>
      </c>
      <c r="AA390" s="47">
        <v>0</v>
      </c>
      <c r="AB390" s="47">
        <v>0</v>
      </c>
      <c r="AC390" s="71">
        <f t="shared" si="129"/>
        <v>0</v>
      </c>
      <c r="AD390" s="118">
        <f t="shared" si="130"/>
        <v>0</v>
      </c>
    </row>
    <row r="391" spans="1:30" s="49" customFormat="1" ht="12.75" hidden="1" x14ac:dyDescent="0.2">
      <c r="A391" s="94">
        <v>386</v>
      </c>
      <c r="B391" s="36"/>
      <c r="C391" s="148"/>
      <c r="D391" s="57"/>
      <c r="E391" s="79">
        <f t="shared" si="127"/>
        <v>0</v>
      </c>
      <c r="F391" s="80">
        <f t="shared" si="132"/>
        <v>0</v>
      </c>
      <c r="G391" s="47">
        <f t="shared" si="125"/>
        <v>0</v>
      </c>
      <c r="H391" s="47">
        <f t="shared" ref="H391:H454" si="134">(E391+J391+L391+K391+M391+N391+O391+P391+Q391+R391+S391+T391)*8%</f>
        <v>0</v>
      </c>
      <c r="I391" s="47">
        <f t="shared" si="126"/>
        <v>0</v>
      </c>
      <c r="J391" s="47">
        <f t="shared" si="133"/>
        <v>0</v>
      </c>
      <c r="K391" s="47">
        <f t="shared" ref="K391:K454" si="135">(E391+N391+O391+P391+Q391+R391+S391+T391)/12/3</f>
        <v>0</v>
      </c>
      <c r="L391" s="47">
        <f t="shared" ref="L391:L454" si="136">K391</f>
        <v>0</v>
      </c>
      <c r="M391" s="47">
        <f t="shared" ref="M391:M454" si="137">(E391+N391+O391+P391+Q391+R391+S391+T391)/12/1.3</f>
        <v>0</v>
      </c>
      <c r="N391" s="80">
        <v>0</v>
      </c>
      <c r="O391" s="47">
        <v>0</v>
      </c>
      <c r="P391" s="47">
        <v>0</v>
      </c>
      <c r="Q391" s="47">
        <v>0</v>
      </c>
      <c r="R391" s="47">
        <v>0</v>
      </c>
      <c r="S391" s="136">
        <v>0</v>
      </c>
      <c r="T391" s="47">
        <v>0</v>
      </c>
      <c r="U391" s="81">
        <f t="shared" si="128"/>
        <v>0</v>
      </c>
      <c r="V391" s="47">
        <f t="shared" si="124"/>
        <v>0</v>
      </c>
      <c r="W391" s="47">
        <f t="shared" si="131"/>
        <v>0</v>
      </c>
      <c r="X391" s="47">
        <f t="shared" ref="X391:X454" si="138">320*C391</f>
        <v>0</v>
      </c>
      <c r="Y391" s="47">
        <v>0</v>
      </c>
      <c r="Z391" s="47">
        <f t="shared" ref="Z391:Z454" si="139">(C391*21)</f>
        <v>0</v>
      </c>
      <c r="AA391" s="47">
        <v>0</v>
      </c>
      <c r="AB391" s="47">
        <v>0</v>
      </c>
      <c r="AC391" s="71">
        <f t="shared" si="129"/>
        <v>0</v>
      </c>
      <c r="AD391" s="118">
        <f t="shared" si="130"/>
        <v>0</v>
      </c>
    </row>
    <row r="392" spans="1:30" s="49" customFormat="1" ht="12.75" hidden="1" x14ac:dyDescent="0.2">
      <c r="A392" s="94">
        <v>387</v>
      </c>
      <c r="B392" s="36"/>
      <c r="C392" s="148"/>
      <c r="D392" s="57"/>
      <c r="E392" s="79">
        <f t="shared" si="127"/>
        <v>0</v>
      </c>
      <c r="F392" s="80">
        <f t="shared" si="132"/>
        <v>0</v>
      </c>
      <c r="G392" s="47">
        <f t="shared" si="125"/>
        <v>0</v>
      </c>
      <c r="H392" s="47">
        <f t="shared" si="134"/>
        <v>0</v>
      </c>
      <c r="I392" s="47">
        <f t="shared" si="126"/>
        <v>0</v>
      </c>
      <c r="J392" s="47">
        <f t="shared" si="133"/>
        <v>0</v>
      </c>
      <c r="K392" s="47">
        <f t="shared" si="135"/>
        <v>0</v>
      </c>
      <c r="L392" s="47">
        <f t="shared" si="136"/>
        <v>0</v>
      </c>
      <c r="M392" s="47">
        <f t="shared" si="137"/>
        <v>0</v>
      </c>
      <c r="N392" s="80">
        <v>0</v>
      </c>
      <c r="O392" s="47">
        <v>0</v>
      </c>
      <c r="P392" s="47">
        <v>0</v>
      </c>
      <c r="Q392" s="47">
        <v>0</v>
      </c>
      <c r="R392" s="47">
        <v>0</v>
      </c>
      <c r="S392" s="136">
        <v>0</v>
      </c>
      <c r="T392" s="47">
        <v>0</v>
      </c>
      <c r="U392" s="81">
        <f t="shared" si="128"/>
        <v>0</v>
      </c>
      <c r="V392" s="47">
        <f t="shared" ref="V392:V455" si="140">(290*C392)-(E392*6%)</f>
        <v>0</v>
      </c>
      <c r="W392" s="47">
        <f t="shared" si="131"/>
        <v>0</v>
      </c>
      <c r="X392" s="47">
        <f t="shared" si="138"/>
        <v>0</v>
      </c>
      <c r="Y392" s="47">
        <v>0</v>
      </c>
      <c r="Z392" s="47">
        <f t="shared" si="139"/>
        <v>0</v>
      </c>
      <c r="AA392" s="47">
        <v>0</v>
      </c>
      <c r="AB392" s="47">
        <v>0</v>
      </c>
      <c r="AC392" s="71">
        <f t="shared" si="129"/>
        <v>0</v>
      </c>
      <c r="AD392" s="118">
        <f t="shared" si="130"/>
        <v>0</v>
      </c>
    </row>
    <row r="393" spans="1:30" s="49" customFormat="1" ht="12.75" hidden="1" x14ac:dyDescent="0.2">
      <c r="A393" s="94">
        <v>388</v>
      </c>
      <c r="B393" s="36"/>
      <c r="C393" s="148"/>
      <c r="D393" s="57"/>
      <c r="E393" s="79">
        <f t="shared" si="127"/>
        <v>0</v>
      </c>
      <c r="F393" s="80">
        <f t="shared" si="132"/>
        <v>0</v>
      </c>
      <c r="G393" s="47">
        <f t="shared" si="125"/>
        <v>0</v>
      </c>
      <c r="H393" s="47">
        <f t="shared" si="134"/>
        <v>0</v>
      </c>
      <c r="I393" s="47">
        <f t="shared" si="126"/>
        <v>0</v>
      </c>
      <c r="J393" s="47">
        <f t="shared" si="133"/>
        <v>0</v>
      </c>
      <c r="K393" s="47">
        <f t="shared" si="135"/>
        <v>0</v>
      </c>
      <c r="L393" s="47">
        <f t="shared" si="136"/>
        <v>0</v>
      </c>
      <c r="M393" s="47">
        <f t="shared" si="137"/>
        <v>0</v>
      </c>
      <c r="N393" s="80">
        <v>0</v>
      </c>
      <c r="O393" s="47">
        <v>0</v>
      </c>
      <c r="P393" s="47">
        <v>0</v>
      </c>
      <c r="Q393" s="47">
        <v>0</v>
      </c>
      <c r="R393" s="47">
        <v>0</v>
      </c>
      <c r="S393" s="136">
        <v>0</v>
      </c>
      <c r="T393" s="47">
        <v>0</v>
      </c>
      <c r="U393" s="81">
        <f t="shared" si="128"/>
        <v>0</v>
      </c>
      <c r="V393" s="47">
        <f t="shared" si="140"/>
        <v>0</v>
      </c>
      <c r="W393" s="47">
        <f t="shared" si="131"/>
        <v>0</v>
      </c>
      <c r="X393" s="47">
        <f t="shared" si="138"/>
        <v>0</v>
      </c>
      <c r="Y393" s="47">
        <v>0</v>
      </c>
      <c r="Z393" s="47">
        <f t="shared" si="139"/>
        <v>0</v>
      </c>
      <c r="AA393" s="47">
        <v>0</v>
      </c>
      <c r="AB393" s="47">
        <v>0</v>
      </c>
      <c r="AC393" s="71">
        <f t="shared" si="129"/>
        <v>0</v>
      </c>
      <c r="AD393" s="118">
        <f t="shared" si="130"/>
        <v>0</v>
      </c>
    </row>
    <row r="394" spans="1:30" s="49" customFormat="1" ht="12.75" hidden="1" x14ac:dyDescent="0.2">
      <c r="A394" s="94">
        <v>389</v>
      </c>
      <c r="B394" s="36"/>
      <c r="C394" s="148"/>
      <c r="D394" s="57"/>
      <c r="E394" s="79">
        <f t="shared" si="127"/>
        <v>0</v>
      </c>
      <c r="F394" s="80">
        <f t="shared" si="132"/>
        <v>0</v>
      </c>
      <c r="G394" s="47">
        <f t="shared" ref="G394:G457" si="141">(E394+J394+L394+K394+M394)*1%</f>
        <v>0</v>
      </c>
      <c r="H394" s="47">
        <f t="shared" si="134"/>
        <v>0</v>
      </c>
      <c r="I394" s="47">
        <f t="shared" ref="I394:I457" si="142">H394/2</f>
        <v>0</v>
      </c>
      <c r="J394" s="47">
        <f t="shared" si="133"/>
        <v>0</v>
      </c>
      <c r="K394" s="47">
        <f t="shared" si="135"/>
        <v>0</v>
      </c>
      <c r="L394" s="47">
        <f t="shared" si="136"/>
        <v>0</v>
      </c>
      <c r="M394" s="47">
        <f t="shared" si="137"/>
        <v>0</v>
      </c>
      <c r="N394" s="80">
        <v>0</v>
      </c>
      <c r="O394" s="47">
        <v>0</v>
      </c>
      <c r="P394" s="47">
        <v>0</v>
      </c>
      <c r="Q394" s="47">
        <v>0</v>
      </c>
      <c r="R394" s="47">
        <v>0</v>
      </c>
      <c r="S394" s="136">
        <v>0</v>
      </c>
      <c r="T394" s="47">
        <v>0</v>
      </c>
      <c r="U394" s="81">
        <f t="shared" si="128"/>
        <v>0</v>
      </c>
      <c r="V394" s="47">
        <f t="shared" si="140"/>
        <v>0</v>
      </c>
      <c r="W394" s="47">
        <f t="shared" si="131"/>
        <v>0</v>
      </c>
      <c r="X394" s="47">
        <f t="shared" si="138"/>
        <v>0</v>
      </c>
      <c r="Y394" s="47">
        <v>0</v>
      </c>
      <c r="Z394" s="47">
        <f t="shared" si="139"/>
        <v>0</v>
      </c>
      <c r="AA394" s="47">
        <v>0</v>
      </c>
      <c r="AB394" s="47">
        <v>0</v>
      </c>
      <c r="AC394" s="71">
        <f t="shared" si="129"/>
        <v>0</v>
      </c>
      <c r="AD394" s="118">
        <f t="shared" si="130"/>
        <v>0</v>
      </c>
    </row>
    <row r="395" spans="1:30" s="49" customFormat="1" ht="12.75" hidden="1" x14ac:dyDescent="0.2">
      <c r="A395" s="94">
        <v>390</v>
      </c>
      <c r="B395" s="36"/>
      <c r="C395" s="148"/>
      <c r="D395" s="57"/>
      <c r="E395" s="79">
        <f t="shared" ref="E395:E458" si="143">C395*D395</f>
        <v>0</v>
      </c>
      <c r="F395" s="80">
        <f t="shared" si="132"/>
        <v>0</v>
      </c>
      <c r="G395" s="47">
        <f t="shared" si="141"/>
        <v>0</v>
      </c>
      <c r="H395" s="47">
        <f t="shared" si="134"/>
        <v>0</v>
      </c>
      <c r="I395" s="47">
        <f t="shared" si="142"/>
        <v>0</v>
      </c>
      <c r="J395" s="47">
        <f t="shared" si="133"/>
        <v>0</v>
      </c>
      <c r="K395" s="47">
        <f t="shared" si="135"/>
        <v>0</v>
      </c>
      <c r="L395" s="47">
        <f t="shared" si="136"/>
        <v>0</v>
      </c>
      <c r="M395" s="47">
        <f t="shared" si="137"/>
        <v>0</v>
      </c>
      <c r="N395" s="80">
        <v>0</v>
      </c>
      <c r="O395" s="47">
        <v>0</v>
      </c>
      <c r="P395" s="47">
        <v>0</v>
      </c>
      <c r="Q395" s="47">
        <v>0</v>
      </c>
      <c r="R395" s="47">
        <v>0</v>
      </c>
      <c r="S395" s="136">
        <v>0</v>
      </c>
      <c r="T395" s="47">
        <v>0</v>
      </c>
      <c r="U395" s="81">
        <f t="shared" ref="U395:U458" si="144">SUM(F395:T395)</f>
        <v>0</v>
      </c>
      <c r="V395" s="47">
        <f t="shared" si="140"/>
        <v>0</v>
      </c>
      <c r="W395" s="47">
        <f t="shared" si="131"/>
        <v>0</v>
      </c>
      <c r="X395" s="47">
        <f t="shared" si="138"/>
        <v>0</v>
      </c>
      <c r="Y395" s="47">
        <v>0</v>
      </c>
      <c r="Z395" s="47">
        <f t="shared" si="139"/>
        <v>0</v>
      </c>
      <c r="AA395" s="47">
        <v>0</v>
      </c>
      <c r="AB395" s="47">
        <v>0</v>
      </c>
      <c r="AC395" s="71">
        <f t="shared" ref="AC395:AC458" si="145">SUM(V395:AB395)</f>
        <v>0</v>
      </c>
      <c r="AD395" s="118">
        <f t="shared" ref="AD395:AD458" si="146">E395+U395+AC395</f>
        <v>0</v>
      </c>
    </row>
    <row r="396" spans="1:30" s="49" customFormat="1" ht="12.75" hidden="1" x14ac:dyDescent="0.2">
      <c r="A396" s="94">
        <v>391</v>
      </c>
      <c r="B396" s="36"/>
      <c r="C396" s="148"/>
      <c r="D396" s="57"/>
      <c r="E396" s="79">
        <f t="shared" si="143"/>
        <v>0</v>
      </c>
      <c r="F396" s="80">
        <f t="shared" si="132"/>
        <v>0</v>
      </c>
      <c r="G396" s="47">
        <f t="shared" si="141"/>
        <v>0</v>
      </c>
      <c r="H396" s="47">
        <f t="shared" si="134"/>
        <v>0</v>
      </c>
      <c r="I396" s="47">
        <f t="shared" si="142"/>
        <v>0</v>
      </c>
      <c r="J396" s="47">
        <f t="shared" si="133"/>
        <v>0</v>
      </c>
      <c r="K396" s="47">
        <f t="shared" si="135"/>
        <v>0</v>
      </c>
      <c r="L396" s="47">
        <f t="shared" si="136"/>
        <v>0</v>
      </c>
      <c r="M396" s="47">
        <f t="shared" si="137"/>
        <v>0</v>
      </c>
      <c r="N396" s="80">
        <v>0</v>
      </c>
      <c r="O396" s="47">
        <v>0</v>
      </c>
      <c r="P396" s="47">
        <v>0</v>
      </c>
      <c r="Q396" s="47">
        <v>0</v>
      </c>
      <c r="R396" s="47">
        <v>0</v>
      </c>
      <c r="S396" s="136">
        <v>0</v>
      </c>
      <c r="T396" s="47">
        <v>0</v>
      </c>
      <c r="U396" s="81">
        <f t="shared" si="144"/>
        <v>0</v>
      </c>
      <c r="V396" s="47">
        <f t="shared" si="140"/>
        <v>0</v>
      </c>
      <c r="W396" s="47">
        <f t="shared" si="131"/>
        <v>0</v>
      </c>
      <c r="X396" s="47">
        <f t="shared" si="138"/>
        <v>0</v>
      </c>
      <c r="Y396" s="47">
        <v>0</v>
      </c>
      <c r="Z396" s="47">
        <f t="shared" si="139"/>
        <v>0</v>
      </c>
      <c r="AA396" s="47">
        <v>0</v>
      </c>
      <c r="AB396" s="47">
        <v>0</v>
      </c>
      <c r="AC396" s="71">
        <f t="shared" si="145"/>
        <v>0</v>
      </c>
      <c r="AD396" s="118">
        <f t="shared" si="146"/>
        <v>0</v>
      </c>
    </row>
    <row r="397" spans="1:30" s="49" customFormat="1" ht="12.75" hidden="1" x14ac:dyDescent="0.2">
      <c r="A397" s="94">
        <v>392</v>
      </c>
      <c r="B397" s="36"/>
      <c r="C397" s="148"/>
      <c r="D397" s="57"/>
      <c r="E397" s="79">
        <f t="shared" si="143"/>
        <v>0</v>
      </c>
      <c r="F397" s="80">
        <f t="shared" si="132"/>
        <v>0</v>
      </c>
      <c r="G397" s="47">
        <f t="shared" si="141"/>
        <v>0</v>
      </c>
      <c r="H397" s="47">
        <f t="shared" si="134"/>
        <v>0</v>
      </c>
      <c r="I397" s="47">
        <f t="shared" si="142"/>
        <v>0</v>
      </c>
      <c r="J397" s="47">
        <f t="shared" si="133"/>
        <v>0</v>
      </c>
      <c r="K397" s="47">
        <f t="shared" si="135"/>
        <v>0</v>
      </c>
      <c r="L397" s="47">
        <f t="shared" si="136"/>
        <v>0</v>
      </c>
      <c r="M397" s="47">
        <f t="shared" si="137"/>
        <v>0</v>
      </c>
      <c r="N397" s="80">
        <v>0</v>
      </c>
      <c r="O397" s="47">
        <v>0</v>
      </c>
      <c r="P397" s="47">
        <v>0</v>
      </c>
      <c r="Q397" s="47">
        <v>0</v>
      </c>
      <c r="R397" s="47">
        <v>0</v>
      </c>
      <c r="S397" s="136">
        <v>0</v>
      </c>
      <c r="T397" s="47">
        <v>0</v>
      </c>
      <c r="U397" s="81">
        <f t="shared" si="144"/>
        <v>0</v>
      </c>
      <c r="V397" s="47">
        <f t="shared" si="140"/>
        <v>0</v>
      </c>
      <c r="W397" s="47">
        <f t="shared" si="131"/>
        <v>0</v>
      </c>
      <c r="X397" s="47">
        <f t="shared" si="138"/>
        <v>0</v>
      </c>
      <c r="Y397" s="47">
        <v>0</v>
      </c>
      <c r="Z397" s="47">
        <f t="shared" si="139"/>
        <v>0</v>
      </c>
      <c r="AA397" s="47">
        <v>0</v>
      </c>
      <c r="AB397" s="47">
        <v>0</v>
      </c>
      <c r="AC397" s="71">
        <f t="shared" si="145"/>
        <v>0</v>
      </c>
      <c r="AD397" s="118">
        <f t="shared" si="146"/>
        <v>0</v>
      </c>
    </row>
    <row r="398" spans="1:30" s="49" customFormat="1" ht="12.75" hidden="1" x14ac:dyDescent="0.2">
      <c r="A398" s="94">
        <v>393</v>
      </c>
      <c r="B398" s="36"/>
      <c r="C398" s="148"/>
      <c r="D398" s="57"/>
      <c r="E398" s="79">
        <f t="shared" si="143"/>
        <v>0</v>
      </c>
      <c r="F398" s="80">
        <f t="shared" si="132"/>
        <v>0</v>
      </c>
      <c r="G398" s="47">
        <f t="shared" si="141"/>
        <v>0</v>
      </c>
      <c r="H398" s="47">
        <f t="shared" si="134"/>
        <v>0</v>
      </c>
      <c r="I398" s="47">
        <f t="shared" si="142"/>
        <v>0</v>
      </c>
      <c r="J398" s="47">
        <f t="shared" si="133"/>
        <v>0</v>
      </c>
      <c r="K398" s="47">
        <f t="shared" si="135"/>
        <v>0</v>
      </c>
      <c r="L398" s="47">
        <f t="shared" si="136"/>
        <v>0</v>
      </c>
      <c r="M398" s="47">
        <f t="shared" si="137"/>
        <v>0</v>
      </c>
      <c r="N398" s="80">
        <v>0</v>
      </c>
      <c r="O398" s="47">
        <v>0</v>
      </c>
      <c r="P398" s="47">
        <v>0</v>
      </c>
      <c r="Q398" s="47">
        <v>0</v>
      </c>
      <c r="R398" s="47">
        <v>0</v>
      </c>
      <c r="S398" s="136">
        <v>0</v>
      </c>
      <c r="T398" s="47">
        <v>0</v>
      </c>
      <c r="U398" s="81">
        <f t="shared" si="144"/>
        <v>0</v>
      </c>
      <c r="V398" s="47">
        <f t="shared" si="140"/>
        <v>0</v>
      </c>
      <c r="W398" s="47">
        <f t="shared" si="131"/>
        <v>0</v>
      </c>
      <c r="X398" s="47">
        <f t="shared" si="138"/>
        <v>0</v>
      </c>
      <c r="Y398" s="47">
        <v>0</v>
      </c>
      <c r="Z398" s="47">
        <f t="shared" si="139"/>
        <v>0</v>
      </c>
      <c r="AA398" s="47">
        <v>0</v>
      </c>
      <c r="AB398" s="47">
        <v>0</v>
      </c>
      <c r="AC398" s="71">
        <f t="shared" si="145"/>
        <v>0</v>
      </c>
      <c r="AD398" s="118">
        <f t="shared" si="146"/>
        <v>0</v>
      </c>
    </row>
    <row r="399" spans="1:30" s="49" customFormat="1" ht="12.75" hidden="1" x14ac:dyDescent="0.2">
      <c r="A399" s="94">
        <v>394</v>
      </c>
      <c r="B399" s="36"/>
      <c r="C399" s="148"/>
      <c r="D399" s="57"/>
      <c r="E399" s="79">
        <f t="shared" si="143"/>
        <v>0</v>
      </c>
      <c r="F399" s="80">
        <f t="shared" si="132"/>
        <v>0</v>
      </c>
      <c r="G399" s="47">
        <f t="shared" si="141"/>
        <v>0</v>
      </c>
      <c r="H399" s="47">
        <f t="shared" si="134"/>
        <v>0</v>
      </c>
      <c r="I399" s="47">
        <f t="shared" si="142"/>
        <v>0</v>
      </c>
      <c r="J399" s="47">
        <f t="shared" si="133"/>
        <v>0</v>
      </c>
      <c r="K399" s="47">
        <f t="shared" si="135"/>
        <v>0</v>
      </c>
      <c r="L399" s="47">
        <f t="shared" si="136"/>
        <v>0</v>
      </c>
      <c r="M399" s="47">
        <f t="shared" si="137"/>
        <v>0</v>
      </c>
      <c r="N399" s="80">
        <v>0</v>
      </c>
      <c r="O399" s="47">
        <v>0</v>
      </c>
      <c r="P399" s="47">
        <v>0</v>
      </c>
      <c r="Q399" s="47">
        <v>0</v>
      </c>
      <c r="R399" s="47">
        <v>0</v>
      </c>
      <c r="S399" s="136">
        <v>0</v>
      </c>
      <c r="T399" s="47">
        <v>0</v>
      </c>
      <c r="U399" s="81">
        <f t="shared" si="144"/>
        <v>0</v>
      </c>
      <c r="V399" s="47">
        <f t="shared" si="140"/>
        <v>0</v>
      </c>
      <c r="W399" s="47">
        <f t="shared" si="131"/>
        <v>0</v>
      </c>
      <c r="X399" s="47">
        <f t="shared" si="138"/>
        <v>0</v>
      </c>
      <c r="Y399" s="47">
        <v>0</v>
      </c>
      <c r="Z399" s="47">
        <f t="shared" si="139"/>
        <v>0</v>
      </c>
      <c r="AA399" s="47">
        <v>0</v>
      </c>
      <c r="AB399" s="47">
        <v>0</v>
      </c>
      <c r="AC399" s="71">
        <f t="shared" si="145"/>
        <v>0</v>
      </c>
      <c r="AD399" s="118">
        <f t="shared" si="146"/>
        <v>0</v>
      </c>
    </row>
    <row r="400" spans="1:30" s="49" customFormat="1" ht="12.75" hidden="1" x14ac:dyDescent="0.2">
      <c r="A400" s="94">
        <v>395</v>
      </c>
      <c r="B400" s="36"/>
      <c r="C400" s="148"/>
      <c r="D400" s="57"/>
      <c r="E400" s="79">
        <f t="shared" si="143"/>
        <v>0</v>
      </c>
      <c r="F400" s="80">
        <f t="shared" si="132"/>
        <v>0</v>
      </c>
      <c r="G400" s="47">
        <f t="shared" si="141"/>
        <v>0</v>
      </c>
      <c r="H400" s="47">
        <f t="shared" si="134"/>
        <v>0</v>
      </c>
      <c r="I400" s="47">
        <f t="shared" si="142"/>
        <v>0</v>
      </c>
      <c r="J400" s="47">
        <f t="shared" si="133"/>
        <v>0</v>
      </c>
      <c r="K400" s="47">
        <f t="shared" si="135"/>
        <v>0</v>
      </c>
      <c r="L400" s="47">
        <f t="shared" si="136"/>
        <v>0</v>
      </c>
      <c r="M400" s="47">
        <f t="shared" si="137"/>
        <v>0</v>
      </c>
      <c r="N400" s="80">
        <v>0</v>
      </c>
      <c r="O400" s="47">
        <v>0</v>
      </c>
      <c r="P400" s="47">
        <v>0</v>
      </c>
      <c r="Q400" s="47">
        <v>0</v>
      </c>
      <c r="R400" s="47">
        <v>0</v>
      </c>
      <c r="S400" s="136">
        <v>0</v>
      </c>
      <c r="T400" s="47">
        <v>0</v>
      </c>
      <c r="U400" s="81">
        <f t="shared" si="144"/>
        <v>0</v>
      </c>
      <c r="V400" s="47">
        <f t="shared" si="140"/>
        <v>0</v>
      </c>
      <c r="W400" s="47">
        <f t="shared" si="131"/>
        <v>0</v>
      </c>
      <c r="X400" s="47">
        <f t="shared" si="138"/>
        <v>0</v>
      </c>
      <c r="Y400" s="47">
        <v>0</v>
      </c>
      <c r="Z400" s="47">
        <f t="shared" si="139"/>
        <v>0</v>
      </c>
      <c r="AA400" s="47">
        <v>0</v>
      </c>
      <c r="AB400" s="47">
        <v>0</v>
      </c>
      <c r="AC400" s="71">
        <f t="shared" si="145"/>
        <v>0</v>
      </c>
      <c r="AD400" s="118">
        <f t="shared" si="146"/>
        <v>0</v>
      </c>
    </row>
    <row r="401" spans="1:30" s="49" customFormat="1" ht="12.75" hidden="1" x14ac:dyDescent="0.2">
      <c r="A401" s="94">
        <v>396</v>
      </c>
      <c r="B401" s="36"/>
      <c r="C401" s="148"/>
      <c r="D401" s="57"/>
      <c r="E401" s="79">
        <f t="shared" si="143"/>
        <v>0</v>
      </c>
      <c r="F401" s="80">
        <f t="shared" si="132"/>
        <v>0</v>
      </c>
      <c r="G401" s="47">
        <f t="shared" si="141"/>
        <v>0</v>
      </c>
      <c r="H401" s="47">
        <f t="shared" si="134"/>
        <v>0</v>
      </c>
      <c r="I401" s="47">
        <f t="shared" si="142"/>
        <v>0</v>
      </c>
      <c r="J401" s="47">
        <f t="shared" si="133"/>
        <v>0</v>
      </c>
      <c r="K401" s="47">
        <f t="shared" si="135"/>
        <v>0</v>
      </c>
      <c r="L401" s="47">
        <f t="shared" si="136"/>
        <v>0</v>
      </c>
      <c r="M401" s="47">
        <f t="shared" si="137"/>
        <v>0</v>
      </c>
      <c r="N401" s="80">
        <v>0</v>
      </c>
      <c r="O401" s="47">
        <v>0</v>
      </c>
      <c r="P401" s="47">
        <v>0</v>
      </c>
      <c r="Q401" s="47">
        <v>0</v>
      </c>
      <c r="R401" s="47">
        <v>0</v>
      </c>
      <c r="S401" s="136">
        <v>0</v>
      </c>
      <c r="T401" s="47">
        <v>0</v>
      </c>
      <c r="U401" s="81">
        <f t="shared" si="144"/>
        <v>0</v>
      </c>
      <c r="V401" s="47">
        <f t="shared" si="140"/>
        <v>0</v>
      </c>
      <c r="W401" s="47">
        <f t="shared" si="131"/>
        <v>0</v>
      </c>
      <c r="X401" s="47">
        <f t="shared" si="138"/>
        <v>0</v>
      </c>
      <c r="Y401" s="47">
        <v>0</v>
      </c>
      <c r="Z401" s="47">
        <f t="shared" si="139"/>
        <v>0</v>
      </c>
      <c r="AA401" s="47">
        <v>0</v>
      </c>
      <c r="AB401" s="47">
        <v>0</v>
      </c>
      <c r="AC401" s="71">
        <f t="shared" si="145"/>
        <v>0</v>
      </c>
      <c r="AD401" s="118">
        <f t="shared" si="146"/>
        <v>0</v>
      </c>
    </row>
    <row r="402" spans="1:30" s="49" customFormat="1" ht="12.75" hidden="1" x14ac:dyDescent="0.2">
      <c r="A402" s="94">
        <v>397</v>
      </c>
      <c r="B402" s="36"/>
      <c r="C402" s="148"/>
      <c r="D402" s="57"/>
      <c r="E402" s="79">
        <f t="shared" si="143"/>
        <v>0</v>
      </c>
      <c r="F402" s="80">
        <f t="shared" si="132"/>
        <v>0</v>
      </c>
      <c r="G402" s="47">
        <f t="shared" si="141"/>
        <v>0</v>
      </c>
      <c r="H402" s="47">
        <f t="shared" si="134"/>
        <v>0</v>
      </c>
      <c r="I402" s="47">
        <f t="shared" si="142"/>
        <v>0</v>
      </c>
      <c r="J402" s="47">
        <f t="shared" si="133"/>
        <v>0</v>
      </c>
      <c r="K402" s="47">
        <f t="shared" si="135"/>
        <v>0</v>
      </c>
      <c r="L402" s="47">
        <f t="shared" si="136"/>
        <v>0</v>
      </c>
      <c r="M402" s="47">
        <f t="shared" si="137"/>
        <v>0</v>
      </c>
      <c r="N402" s="80">
        <v>0</v>
      </c>
      <c r="O402" s="47">
        <v>0</v>
      </c>
      <c r="P402" s="47">
        <v>0</v>
      </c>
      <c r="Q402" s="47">
        <v>0</v>
      </c>
      <c r="R402" s="47">
        <v>0</v>
      </c>
      <c r="S402" s="136">
        <v>0</v>
      </c>
      <c r="T402" s="47">
        <v>0</v>
      </c>
      <c r="U402" s="81">
        <f t="shared" si="144"/>
        <v>0</v>
      </c>
      <c r="V402" s="47">
        <f t="shared" si="140"/>
        <v>0</v>
      </c>
      <c r="W402" s="47">
        <f t="shared" si="131"/>
        <v>0</v>
      </c>
      <c r="X402" s="47">
        <f t="shared" si="138"/>
        <v>0</v>
      </c>
      <c r="Y402" s="47">
        <v>0</v>
      </c>
      <c r="Z402" s="47">
        <f t="shared" si="139"/>
        <v>0</v>
      </c>
      <c r="AA402" s="47">
        <v>0</v>
      </c>
      <c r="AB402" s="47">
        <v>0</v>
      </c>
      <c r="AC402" s="71">
        <f t="shared" si="145"/>
        <v>0</v>
      </c>
      <c r="AD402" s="118">
        <f t="shared" si="146"/>
        <v>0</v>
      </c>
    </row>
    <row r="403" spans="1:30" s="49" customFormat="1" ht="12.75" hidden="1" x14ac:dyDescent="0.2">
      <c r="A403" s="94">
        <v>398</v>
      </c>
      <c r="B403" s="36"/>
      <c r="C403" s="148"/>
      <c r="D403" s="57"/>
      <c r="E403" s="79">
        <f t="shared" si="143"/>
        <v>0</v>
      </c>
      <c r="F403" s="80">
        <f t="shared" si="132"/>
        <v>0</v>
      </c>
      <c r="G403" s="47">
        <f t="shared" si="141"/>
        <v>0</v>
      </c>
      <c r="H403" s="47">
        <f t="shared" si="134"/>
        <v>0</v>
      </c>
      <c r="I403" s="47">
        <f t="shared" si="142"/>
        <v>0</v>
      </c>
      <c r="J403" s="47">
        <f t="shared" si="133"/>
        <v>0</v>
      </c>
      <c r="K403" s="47">
        <f t="shared" si="135"/>
        <v>0</v>
      </c>
      <c r="L403" s="47">
        <f t="shared" si="136"/>
        <v>0</v>
      </c>
      <c r="M403" s="47">
        <f t="shared" si="137"/>
        <v>0</v>
      </c>
      <c r="N403" s="80">
        <v>0</v>
      </c>
      <c r="O403" s="47">
        <v>0</v>
      </c>
      <c r="P403" s="47">
        <v>0</v>
      </c>
      <c r="Q403" s="47">
        <v>0</v>
      </c>
      <c r="R403" s="47">
        <v>0</v>
      </c>
      <c r="S403" s="136">
        <v>0</v>
      </c>
      <c r="T403" s="47">
        <v>0</v>
      </c>
      <c r="U403" s="81">
        <f t="shared" si="144"/>
        <v>0</v>
      </c>
      <c r="V403" s="47">
        <f t="shared" si="140"/>
        <v>0</v>
      </c>
      <c r="W403" s="47">
        <f t="shared" si="131"/>
        <v>0</v>
      </c>
      <c r="X403" s="47">
        <f t="shared" si="138"/>
        <v>0</v>
      </c>
      <c r="Y403" s="47">
        <v>0</v>
      </c>
      <c r="Z403" s="47">
        <f t="shared" si="139"/>
        <v>0</v>
      </c>
      <c r="AA403" s="47">
        <v>0</v>
      </c>
      <c r="AB403" s="47">
        <v>0</v>
      </c>
      <c r="AC403" s="71">
        <f t="shared" si="145"/>
        <v>0</v>
      </c>
      <c r="AD403" s="118">
        <f t="shared" si="146"/>
        <v>0</v>
      </c>
    </row>
    <row r="404" spans="1:30" s="49" customFormat="1" ht="12.75" hidden="1" x14ac:dyDescent="0.2">
      <c r="A404" s="94">
        <v>399</v>
      </c>
      <c r="B404" s="36"/>
      <c r="C404" s="148"/>
      <c r="D404" s="57"/>
      <c r="E404" s="79">
        <f t="shared" si="143"/>
        <v>0</v>
      </c>
      <c r="F404" s="80">
        <f t="shared" si="132"/>
        <v>0</v>
      </c>
      <c r="G404" s="47">
        <f t="shared" si="141"/>
        <v>0</v>
      </c>
      <c r="H404" s="47">
        <f t="shared" si="134"/>
        <v>0</v>
      </c>
      <c r="I404" s="47">
        <f t="shared" si="142"/>
        <v>0</v>
      </c>
      <c r="J404" s="47">
        <f t="shared" si="133"/>
        <v>0</v>
      </c>
      <c r="K404" s="47">
        <f t="shared" si="135"/>
        <v>0</v>
      </c>
      <c r="L404" s="47">
        <f t="shared" si="136"/>
        <v>0</v>
      </c>
      <c r="M404" s="47">
        <f t="shared" si="137"/>
        <v>0</v>
      </c>
      <c r="N404" s="80">
        <v>0</v>
      </c>
      <c r="O404" s="47">
        <v>0</v>
      </c>
      <c r="P404" s="47">
        <v>0</v>
      </c>
      <c r="Q404" s="47">
        <v>0</v>
      </c>
      <c r="R404" s="47">
        <v>0</v>
      </c>
      <c r="S404" s="136">
        <v>0</v>
      </c>
      <c r="T404" s="47">
        <v>0</v>
      </c>
      <c r="U404" s="81">
        <f t="shared" si="144"/>
        <v>0</v>
      </c>
      <c r="V404" s="47">
        <f t="shared" si="140"/>
        <v>0</v>
      </c>
      <c r="W404" s="47">
        <f t="shared" si="131"/>
        <v>0</v>
      </c>
      <c r="X404" s="47">
        <f t="shared" si="138"/>
        <v>0</v>
      </c>
      <c r="Y404" s="47">
        <v>0</v>
      </c>
      <c r="Z404" s="47">
        <f t="shared" si="139"/>
        <v>0</v>
      </c>
      <c r="AA404" s="47">
        <v>0</v>
      </c>
      <c r="AB404" s="47">
        <v>0</v>
      </c>
      <c r="AC404" s="71">
        <f t="shared" si="145"/>
        <v>0</v>
      </c>
      <c r="AD404" s="118">
        <f t="shared" si="146"/>
        <v>0</v>
      </c>
    </row>
    <row r="405" spans="1:30" s="49" customFormat="1" ht="12.75" hidden="1" x14ac:dyDescent="0.2">
      <c r="A405" s="94">
        <v>400</v>
      </c>
      <c r="B405" s="36"/>
      <c r="C405" s="148"/>
      <c r="D405" s="57"/>
      <c r="E405" s="79">
        <f t="shared" si="143"/>
        <v>0</v>
      </c>
      <c r="F405" s="80">
        <f t="shared" si="132"/>
        <v>0</v>
      </c>
      <c r="G405" s="47">
        <f t="shared" si="141"/>
        <v>0</v>
      </c>
      <c r="H405" s="47">
        <f t="shared" si="134"/>
        <v>0</v>
      </c>
      <c r="I405" s="47">
        <f t="shared" si="142"/>
        <v>0</v>
      </c>
      <c r="J405" s="47">
        <f t="shared" si="133"/>
        <v>0</v>
      </c>
      <c r="K405" s="47">
        <f t="shared" si="135"/>
        <v>0</v>
      </c>
      <c r="L405" s="47">
        <f t="shared" si="136"/>
        <v>0</v>
      </c>
      <c r="M405" s="47">
        <f t="shared" si="137"/>
        <v>0</v>
      </c>
      <c r="N405" s="80">
        <v>0</v>
      </c>
      <c r="O405" s="47">
        <v>0</v>
      </c>
      <c r="P405" s="47">
        <v>0</v>
      </c>
      <c r="Q405" s="47">
        <v>0</v>
      </c>
      <c r="R405" s="47">
        <v>0</v>
      </c>
      <c r="S405" s="136">
        <v>0</v>
      </c>
      <c r="T405" s="47">
        <v>0</v>
      </c>
      <c r="U405" s="81">
        <f t="shared" si="144"/>
        <v>0</v>
      </c>
      <c r="V405" s="47">
        <f t="shared" si="140"/>
        <v>0</v>
      </c>
      <c r="W405" s="47">
        <f t="shared" si="131"/>
        <v>0</v>
      </c>
      <c r="X405" s="47">
        <f t="shared" si="138"/>
        <v>0</v>
      </c>
      <c r="Y405" s="47">
        <v>0</v>
      </c>
      <c r="Z405" s="47">
        <f t="shared" si="139"/>
        <v>0</v>
      </c>
      <c r="AA405" s="47">
        <v>0</v>
      </c>
      <c r="AB405" s="47">
        <v>0</v>
      </c>
      <c r="AC405" s="71">
        <f t="shared" si="145"/>
        <v>0</v>
      </c>
      <c r="AD405" s="118">
        <f t="shared" si="146"/>
        <v>0</v>
      </c>
    </row>
    <row r="406" spans="1:30" s="49" customFormat="1" ht="12.75" hidden="1" x14ac:dyDescent="0.2">
      <c r="A406" s="94">
        <v>401</v>
      </c>
      <c r="B406" s="36"/>
      <c r="C406" s="148"/>
      <c r="D406" s="57"/>
      <c r="E406" s="79">
        <f t="shared" si="143"/>
        <v>0</v>
      </c>
      <c r="F406" s="80">
        <f t="shared" si="132"/>
        <v>0</v>
      </c>
      <c r="G406" s="47">
        <f t="shared" si="141"/>
        <v>0</v>
      </c>
      <c r="H406" s="47">
        <f t="shared" si="134"/>
        <v>0</v>
      </c>
      <c r="I406" s="47">
        <f t="shared" si="142"/>
        <v>0</v>
      </c>
      <c r="J406" s="47">
        <f t="shared" si="133"/>
        <v>0</v>
      </c>
      <c r="K406" s="47">
        <f t="shared" si="135"/>
        <v>0</v>
      </c>
      <c r="L406" s="47">
        <f t="shared" si="136"/>
        <v>0</v>
      </c>
      <c r="M406" s="47">
        <f t="shared" si="137"/>
        <v>0</v>
      </c>
      <c r="N406" s="80">
        <v>0</v>
      </c>
      <c r="O406" s="47">
        <v>0</v>
      </c>
      <c r="P406" s="47">
        <v>0</v>
      </c>
      <c r="Q406" s="47">
        <v>0</v>
      </c>
      <c r="R406" s="47">
        <v>0</v>
      </c>
      <c r="S406" s="136">
        <v>0</v>
      </c>
      <c r="T406" s="47">
        <v>0</v>
      </c>
      <c r="U406" s="81">
        <f t="shared" si="144"/>
        <v>0</v>
      </c>
      <c r="V406" s="47">
        <f t="shared" si="140"/>
        <v>0</v>
      </c>
      <c r="W406" s="47">
        <f t="shared" si="131"/>
        <v>0</v>
      </c>
      <c r="X406" s="47">
        <f t="shared" si="138"/>
        <v>0</v>
      </c>
      <c r="Y406" s="47">
        <v>0</v>
      </c>
      <c r="Z406" s="47">
        <f t="shared" si="139"/>
        <v>0</v>
      </c>
      <c r="AA406" s="47">
        <v>0</v>
      </c>
      <c r="AB406" s="47">
        <v>0</v>
      </c>
      <c r="AC406" s="71">
        <f t="shared" si="145"/>
        <v>0</v>
      </c>
      <c r="AD406" s="118">
        <f t="shared" si="146"/>
        <v>0</v>
      </c>
    </row>
    <row r="407" spans="1:30" s="49" customFormat="1" ht="12.75" hidden="1" x14ac:dyDescent="0.2">
      <c r="A407" s="94">
        <v>402</v>
      </c>
      <c r="B407" s="36"/>
      <c r="C407" s="148"/>
      <c r="D407" s="57"/>
      <c r="E407" s="79">
        <f t="shared" si="143"/>
        <v>0</v>
      </c>
      <c r="F407" s="80">
        <f t="shared" si="132"/>
        <v>0</v>
      </c>
      <c r="G407" s="47">
        <f t="shared" si="141"/>
        <v>0</v>
      </c>
      <c r="H407" s="47">
        <f t="shared" si="134"/>
        <v>0</v>
      </c>
      <c r="I407" s="47">
        <f t="shared" si="142"/>
        <v>0</v>
      </c>
      <c r="J407" s="47">
        <f t="shared" si="133"/>
        <v>0</v>
      </c>
      <c r="K407" s="47">
        <f t="shared" si="135"/>
        <v>0</v>
      </c>
      <c r="L407" s="47">
        <f t="shared" si="136"/>
        <v>0</v>
      </c>
      <c r="M407" s="47">
        <f t="shared" si="137"/>
        <v>0</v>
      </c>
      <c r="N407" s="80">
        <v>0</v>
      </c>
      <c r="O407" s="47">
        <v>0</v>
      </c>
      <c r="P407" s="47">
        <v>0</v>
      </c>
      <c r="Q407" s="47">
        <v>0</v>
      </c>
      <c r="R407" s="47">
        <v>0</v>
      </c>
      <c r="S407" s="136">
        <v>0</v>
      </c>
      <c r="T407" s="47">
        <v>0</v>
      </c>
      <c r="U407" s="81">
        <f t="shared" si="144"/>
        <v>0</v>
      </c>
      <c r="V407" s="47">
        <f t="shared" si="140"/>
        <v>0</v>
      </c>
      <c r="W407" s="47">
        <f t="shared" si="131"/>
        <v>0</v>
      </c>
      <c r="X407" s="47">
        <f t="shared" si="138"/>
        <v>0</v>
      </c>
      <c r="Y407" s="47">
        <v>0</v>
      </c>
      <c r="Z407" s="47">
        <f t="shared" si="139"/>
        <v>0</v>
      </c>
      <c r="AA407" s="47">
        <v>0</v>
      </c>
      <c r="AB407" s="47">
        <v>0</v>
      </c>
      <c r="AC407" s="71">
        <f t="shared" si="145"/>
        <v>0</v>
      </c>
      <c r="AD407" s="118">
        <f t="shared" si="146"/>
        <v>0</v>
      </c>
    </row>
    <row r="408" spans="1:30" s="49" customFormat="1" ht="12.75" hidden="1" x14ac:dyDescent="0.2">
      <c r="A408" s="94">
        <v>403</v>
      </c>
      <c r="B408" s="36"/>
      <c r="C408" s="148"/>
      <c r="D408" s="57"/>
      <c r="E408" s="79">
        <f t="shared" si="143"/>
        <v>0</v>
      </c>
      <c r="F408" s="80">
        <f t="shared" si="132"/>
        <v>0</v>
      </c>
      <c r="G408" s="47">
        <f t="shared" si="141"/>
        <v>0</v>
      </c>
      <c r="H408" s="47">
        <f t="shared" si="134"/>
        <v>0</v>
      </c>
      <c r="I408" s="47">
        <f t="shared" si="142"/>
        <v>0</v>
      </c>
      <c r="J408" s="47">
        <f t="shared" si="133"/>
        <v>0</v>
      </c>
      <c r="K408" s="47">
        <f t="shared" si="135"/>
        <v>0</v>
      </c>
      <c r="L408" s="47">
        <f t="shared" si="136"/>
        <v>0</v>
      </c>
      <c r="M408" s="47">
        <f t="shared" si="137"/>
        <v>0</v>
      </c>
      <c r="N408" s="80">
        <v>0</v>
      </c>
      <c r="O408" s="47">
        <v>0</v>
      </c>
      <c r="P408" s="47">
        <v>0</v>
      </c>
      <c r="Q408" s="47">
        <v>0</v>
      </c>
      <c r="R408" s="47">
        <v>0</v>
      </c>
      <c r="S408" s="136">
        <v>0</v>
      </c>
      <c r="T408" s="47">
        <v>0</v>
      </c>
      <c r="U408" s="81">
        <f t="shared" si="144"/>
        <v>0</v>
      </c>
      <c r="V408" s="47">
        <f t="shared" si="140"/>
        <v>0</v>
      </c>
      <c r="W408" s="47">
        <f t="shared" ref="W408:W471" si="147">600*C408</f>
        <v>0</v>
      </c>
      <c r="X408" s="47">
        <f t="shared" si="138"/>
        <v>0</v>
      </c>
      <c r="Y408" s="47">
        <v>0</v>
      </c>
      <c r="Z408" s="47">
        <f t="shared" si="139"/>
        <v>0</v>
      </c>
      <c r="AA408" s="47">
        <v>0</v>
      </c>
      <c r="AB408" s="47">
        <v>0</v>
      </c>
      <c r="AC408" s="71">
        <f t="shared" si="145"/>
        <v>0</v>
      </c>
      <c r="AD408" s="118">
        <f t="shared" si="146"/>
        <v>0</v>
      </c>
    </row>
    <row r="409" spans="1:30" s="49" customFormat="1" ht="12.75" hidden="1" x14ac:dyDescent="0.2">
      <c r="A409" s="94">
        <v>404</v>
      </c>
      <c r="B409" s="36"/>
      <c r="C409" s="148"/>
      <c r="D409" s="57"/>
      <c r="E409" s="79">
        <f t="shared" si="143"/>
        <v>0</v>
      </c>
      <c r="F409" s="80">
        <f t="shared" si="132"/>
        <v>0</v>
      </c>
      <c r="G409" s="47">
        <f t="shared" si="141"/>
        <v>0</v>
      </c>
      <c r="H409" s="47">
        <f t="shared" si="134"/>
        <v>0</v>
      </c>
      <c r="I409" s="47">
        <f t="shared" si="142"/>
        <v>0</v>
      </c>
      <c r="J409" s="47">
        <f t="shared" si="133"/>
        <v>0</v>
      </c>
      <c r="K409" s="47">
        <f t="shared" si="135"/>
        <v>0</v>
      </c>
      <c r="L409" s="47">
        <f t="shared" si="136"/>
        <v>0</v>
      </c>
      <c r="M409" s="47">
        <f t="shared" si="137"/>
        <v>0</v>
      </c>
      <c r="N409" s="80">
        <v>0</v>
      </c>
      <c r="O409" s="47">
        <v>0</v>
      </c>
      <c r="P409" s="47">
        <v>0</v>
      </c>
      <c r="Q409" s="47">
        <v>0</v>
      </c>
      <c r="R409" s="47">
        <v>0</v>
      </c>
      <c r="S409" s="136">
        <v>0</v>
      </c>
      <c r="T409" s="47">
        <v>0</v>
      </c>
      <c r="U409" s="81">
        <f t="shared" si="144"/>
        <v>0</v>
      </c>
      <c r="V409" s="47">
        <f t="shared" si="140"/>
        <v>0</v>
      </c>
      <c r="W409" s="47">
        <f t="shared" si="147"/>
        <v>0</v>
      </c>
      <c r="X409" s="47">
        <f t="shared" si="138"/>
        <v>0</v>
      </c>
      <c r="Y409" s="47">
        <v>0</v>
      </c>
      <c r="Z409" s="47">
        <f t="shared" si="139"/>
        <v>0</v>
      </c>
      <c r="AA409" s="47">
        <v>0</v>
      </c>
      <c r="AB409" s="47">
        <v>0</v>
      </c>
      <c r="AC409" s="71">
        <f t="shared" si="145"/>
        <v>0</v>
      </c>
      <c r="AD409" s="118">
        <f t="shared" si="146"/>
        <v>0</v>
      </c>
    </row>
    <row r="410" spans="1:30" s="49" customFormat="1" ht="12.75" hidden="1" x14ac:dyDescent="0.2">
      <c r="A410" s="94">
        <v>405</v>
      </c>
      <c r="B410" s="36"/>
      <c r="C410" s="148"/>
      <c r="D410" s="57"/>
      <c r="E410" s="79">
        <f t="shared" si="143"/>
        <v>0</v>
      </c>
      <c r="F410" s="80">
        <f t="shared" si="132"/>
        <v>0</v>
      </c>
      <c r="G410" s="47">
        <f t="shared" si="141"/>
        <v>0</v>
      </c>
      <c r="H410" s="47">
        <f t="shared" si="134"/>
        <v>0</v>
      </c>
      <c r="I410" s="47">
        <f t="shared" si="142"/>
        <v>0</v>
      </c>
      <c r="J410" s="47">
        <f t="shared" si="133"/>
        <v>0</v>
      </c>
      <c r="K410" s="47">
        <f t="shared" si="135"/>
        <v>0</v>
      </c>
      <c r="L410" s="47">
        <f t="shared" si="136"/>
        <v>0</v>
      </c>
      <c r="M410" s="47">
        <f t="shared" si="137"/>
        <v>0</v>
      </c>
      <c r="N410" s="80">
        <v>0</v>
      </c>
      <c r="O410" s="47">
        <v>0</v>
      </c>
      <c r="P410" s="47">
        <v>0</v>
      </c>
      <c r="Q410" s="47">
        <v>0</v>
      </c>
      <c r="R410" s="47">
        <v>0</v>
      </c>
      <c r="S410" s="136">
        <v>0</v>
      </c>
      <c r="T410" s="47">
        <v>0</v>
      </c>
      <c r="U410" s="81">
        <f t="shared" si="144"/>
        <v>0</v>
      </c>
      <c r="V410" s="47">
        <f t="shared" si="140"/>
        <v>0</v>
      </c>
      <c r="W410" s="47">
        <f t="shared" si="147"/>
        <v>0</v>
      </c>
      <c r="X410" s="47">
        <f t="shared" si="138"/>
        <v>0</v>
      </c>
      <c r="Y410" s="47">
        <v>0</v>
      </c>
      <c r="Z410" s="47">
        <f t="shared" si="139"/>
        <v>0</v>
      </c>
      <c r="AA410" s="47">
        <v>0</v>
      </c>
      <c r="AB410" s="47">
        <v>0</v>
      </c>
      <c r="AC410" s="71">
        <f t="shared" si="145"/>
        <v>0</v>
      </c>
      <c r="AD410" s="118">
        <f t="shared" si="146"/>
        <v>0</v>
      </c>
    </row>
    <row r="411" spans="1:30" s="49" customFormat="1" ht="12.75" hidden="1" x14ac:dyDescent="0.2">
      <c r="A411" s="94">
        <v>406</v>
      </c>
      <c r="B411" s="36"/>
      <c r="C411" s="148"/>
      <c r="D411" s="57"/>
      <c r="E411" s="79">
        <f t="shared" si="143"/>
        <v>0</v>
      </c>
      <c r="F411" s="80">
        <f t="shared" si="132"/>
        <v>0</v>
      </c>
      <c r="G411" s="47">
        <f t="shared" si="141"/>
        <v>0</v>
      </c>
      <c r="H411" s="47">
        <f t="shared" si="134"/>
        <v>0</v>
      </c>
      <c r="I411" s="47">
        <f t="shared" si="142"/>
        <v>0</v>
      </c>
      <c r="J411" s="47">
        <f t="shared" si="133"/>
        <v>0</v>
      </c>
      <c r="K411" s="47">
        <f t="shared" si="135"/>
        <v>0</v>
      </c>
      <c r="L411" s="47">
        <f t="shared" si="136"/>
        <v>0</v>
      </c>
      <c r="M411" s="47">
        <f t="shared" si="137"/>
        <v>0</v>
      </c>
      <c r="N411" s="80">
        <v>0</v>
      </c>
      <c r="O411" s="47">
        <v>0</v>
      </c>
      <c r="P411" s="47">
        <v>0</v>
      </c>
      <c r="Q411" s="47">
        <v>0</v>
      </c>
      <c r="R411" s="47">
        <v>0</v>
      </c>
      <c r="S411" s="136">
        <v>0</v>
      </c>
      <c r="T411" s="47">
        <v>0</v>
      </c>
      <c r="U411" s="81">
        <f t="shared" si="144"/>
        <v>0</v>
      </c>
      <c r="V411" s="47">
        <f t="shared" si="140"/>
        <v>0</v>
      </c>
      <c r="W411" s="47">
        <f t="shared" si="147"/>
        <v>0</v>
      </c>
      <c r="X411" s="47">
        <f t="shared" si="138"/>
        <v>0</v>
      </c>
      <c r="Y411" s="47">
        <v>0</v>
      </c>
      <c r="Z411" s="47">
        <f t="shared" si="139"/>
        <v>0</v>
      </c>
      <c r="AA411" s="47">
        <v>0</v>
      </c>
      <c r="AB411" s="47">
        <v>0</v>
      </c>
      <c r="AC411" s="71">
        <f t="shared" si="145"/>
        <v>0</v>
      </c>
      <c r="AD411" s="118">
        <f t="shared" si="146"/>
        <v>0</v>
      </c>
    </row>
    <row r="412" spans="1:30" s="49" customFormat="1" ht="12.75" hidden="1" x14ac:dyDescent="0.2">
      <c r="A412" s="94">
        <v>407</v>
      </c>
      <c r="B412" s="36"/>
      <c r="C412" s="148"/>
      <c r="D412" s="57"/>
      <c r="E412" s="79">
        <f t="shared" si="143"/>
        <v>0</v>
      </c>
      <c r="F412" s="80">
        <f t="shared" si="132"/>
        <v>0</v>
      </c>
      <c r="G412" s="47">
        <f t="shared" si="141"/>
        <v>0</v>
      </c>
      <c r="H412" s="47">
        <f t="shared" si="134"/>
        <v>0</v>
      </c>
      <c r="I412" s="47">
        <f t="shared" si="142"/>
        <v>0</v>
      </c>
      <c r="J412" s="47">
        <f t="shared" si="133"/>
        <v>0</v>
      </c>
      <c r="K412" s="47">
        <f t="shared" si="135"/>
        <v>0</v>
      </c>
      <c r="L412" s="47">
        <f t="shared" si="136"/>
        <v>0</v>
      </c>
      <c r="M412" s="47">
        <f t="shared" si="137"/>
        <v>0</v>
      </c>
      <c r="N412" s="80">
        <v>0</v>
      </c>
      <c r="O412" s="47">
        <v>0</v>
      </c>
      <c r="P412" s="47">
        <v>0</v>
      </c>
      <c r="Q412" s="47">
        <v>0</v>
      </c>
      <c r="R412" s="47">
        <v>0</v>
      </c>
      <c r="S412" s="136">
        <v>0</v>
      </c>
      <c r="T412" s="47">
        <v>0</v>
      </c>
      <c r="U412" s="81">
        <f t="shared" si="144"/>
        <v>0</v>
      </c>
      <c r="V412" s="47">
        <f t="shared" si="140"/>
        <v>0</v>
      </c>
      <c r="W412" s="47">
        <f t="shared" si="147"/>
        <v>0</v>
      </c>
      <c r="X412" s="47">
        <f t="shared" si="138"/>
        <v>0</v>
      </c>
      <c r="Y412" s="47">
        <v>0</v>
      </c>
      <c r="Z412" s="47">
        <f t="shared" si="139"/>
        <v>0</v>
      </c>
      <c r="AA412" s="47">
        <v>0</v>
      </c>
      <c r="AB412" s="47">
        <v>0</v>
      </c>
      <c r="AC412" s="71">
        <f t="shared" si="145"/>
        <v>0</v>
      </c>
      <c r="AD412" s="118">
        <f t="shared" si="146"/>
        <v>0</v>
      </c>
    </row>
    <row r="413" spans="1:30" s="49" customFormat="1" ht="12.75" hidden="1" x14ac:dyDescent="0.2">
      <c r="A413" s="94">
        <v>408</v>
      </c>
      <c r="B413" s="36"/>
      <c r="C413" s="148"/>
      <c r="D413" s="57"/>
      <c r="E413" s="79">
        <f t="shared" si="143"/>
        <v>0</v>
      </c>
      <c r="F413" s="80">
        <f t="shared" si="132"/>
        <v>0</v>
      </c>
      <c r="G413" s="47">
        <f t="shared" si="141"/>
        <v>0</v>
      </c>
      <c r="H413" s="47">
        <f t="shared" si="134"/>
        <v>0</v>
      </c>
      <c r="I413" s="47">
        <f t="shared" si="142"/>
        <v>0</v>
      </c>
      <c r="J413" s="47">
        <f t="shared" si="133"/>
        <v>0</v>
      </c>
      <c r="K413" s="47">
        <f t="shared" si="135"/>
        <v>0</v>
      </c>
      <c r="L413" s="47">
        <f t="shared" si="136"/>
        <v>0</v>
      </c>
      <c r="M413" s="47">
        <f t="shared" si="137"/>
        <v>0</v>
      </c>
      <c r="N413" s="80">
        <v>0</v>
      </c>
      <c r="O413" s="47">
        <v>0</v>
      </c>
      <c r="P413" s="47">
        <v>0</v>
      </c>
      <c r="Q413" s="47">
        <v>0</v>
      </c>
      <c r="R413" s="47">
        <v>0</v>
      </c>
      <c r="S413" s="136">
        <v>0</v>
      </c>
      <c r="T413" s="47">
        <v>0</v>
      </c>
      <c r="U413" s="81">
        <f t="shared" si="144"/>
        <v>0</v>
      </c>
      <c r="V413" s="47">
        <f t="shared" si="140"/>
        <v>0</v>
      </c>
      <c r="W413" s="47">
        <f t="shared" si="147"/>
        <v>0</v>
      </c>
      <c r="X413" s="47">
        <f t="shared" si="138"/>
        <v>0</v>
      </c>
      <c r="Y413" s="47">
        <v>0</v>
      </c>
      <c r="Z413" s="47">
        <f t="shared" si="139"/>
        <v>0</v>
      </c>
      <c r="AA413" s="47">
        <v>0</v>
      </c>
      <c r="AB413" s="47">
        <v>0</v>
      </c>
      <c r="AC413" s="71">
        <f t="shared" si="145"/>
        <v>0</v>
      </c>
      <c r="AD413" s="118">
        <f t="shared" si="146"/>
        <v>0</v>
      </c>
    </row>
    <row r="414" spans="1:30" s="49" customFormat="1" ht="12.75" hidden="1" x14ac:dyDescent="0.2">
      <c r="A414" s="94">
        <v>409</v>
      </c>
      <c r="B414" s="36"/>
      <c r="C414" s="148"/>
      <c r="D414" s="57"/>
      <c r="E414" s="79">
        <f t="shared" si="143"/>
        <v>0</v>
      </c>
      <c r="F414" s="80">
        <f t="shared" si="132"/>
        <v>0</v>
      </c>
      <c r="G414" s="47">
        <f t="shared" si="141"/>
        <v>0</v>
      </c>
      <c r="H414" s="47">
        <f t="shared" si="134"/>
        <v>0</v>
      </c>
      <c r="I414" s="47">
        <f t="shared" si="142"/>
        <v>0</v>
      </c>
      <c r="J414" s="47">
        <f t="shared" si="133"/>
        <v>0</v>
      </c>
      <c r="K414" s="47">
        <f t="shared" si="135"/>
        <v>0</v>
      </c>
      <c r="L414" s="47">
        <f t="shared" si="136"/>
        <v>0</v>
      </c>
      <c r="M414" s="47">
        <f t="shared" si="137"/>
        <v>0</v>
      </c>
      <c r="N414" s="80">
        <v>0</v>
      </c>
      <c r="O414" s="47">
        <v>0</v>
      </c>
      <c r="P414" s="47">
        <v>0</v>
      </c>
      <c r="Q414" s="47">
        <v>0</v>
      </c>
      <c r="R414" s="47">
        <v>0</v>
      </c>
      <c r="S414" s="136">
        <v>0</v>
      </c>
      <c r="T414" s="47">
        <v>0</v>
      </c>
      <c r="U414" s="81">
        <f t="shared" si="144"/>
        <v>0</v>
      </c>
      <c r="V414" s="47">
        <f t="shared" si="140"/>
        <v>0</v>
      </c>
      <c r="W414" s="47">
        <f t="shared" si="147"/>
        <v>0</v>
      </c>
      <c r="X414" s="47">
        <f t="shared" si="138"/>
        <v>0</v>
      </c>
      <c r="Y414" s="47">
        <v>0</v>
      </c>
      <c r="Z414" s="47">
        <f t="shared" si="139"/>
        <v>0</v>
      </c>
      <c r="AA414" s="47">
        <v>0</v>
      </c>
      <c r="AB414" s="47">
        <v>0</v>
      </c>
      <c r="AC414" s="71">
        <f t="shared" si="145"/>
        <v>0</v>
      </c>
      <c r="AD414" s="118">
        <f t="shared" si="146"/>
        <v>0</v>
      </c>
    </row>
    <row r="415" spans="1:30" s="49" customFormat="1" ht="12.75" hidden="1" x14ac:dyDescent="0.2">
      <c r="A415" s="94">
        <v>410</v>
      </c>
      <c r="B415" s="36"/>
      <c r="C415" s="148"/>
      <c r="D415" s="57"/>
      <c r="E415" s="79">
        <f t="shared" si="143"/>
        <v>0</v>
      </c>
      <c r="F415" s="80">
        <f t="shared" si="132"/>
        <v>0</v>
      </c>
      <c r="G415" s="47">
        <f t="shared" si="141"/>
        <v>0</v>
      </c>
      <c r="H415" s="47">
        <f t="shared" si="134"/>
        <v>0</v>
      </c>
      <c r="I415" s="47">
        <f t="shared" si="142"/>
        <v>0</v>
      </c>
      <c r="J415" s="47">
        <f t="shared" si="133"/>
        <v>0</v>
      </c>
      <c r="K415" s="47">
        <f t="shared" si="135"/>
        <v>0</v>
      </c>
      <c r="L415" s="47">
        <f t="shared" si="136"/>
        <v>0</v>
      </c>
      <c r="M415" s="47">
        <f t="shared" si="137"/>
        <v>0</v>
      </c>
      <c r="N415" s="80">
        <v>0</v>
      </c>
      <c r="O415" s="47">
        <v>0</v>
      </c>
      <c r="P415" s="47">
        <v>0</v>
      </c>
      <c r="Q415" s="47">
        <v>0</v>
      </c>
      <c r="R415" s="47">
        <v>0</v>
      </c>
      <c r="S415" s="136">
        <v>0</v>
      </c>
      <c r="T415" s="47">
        <v>0</v>
      </c>
      <c r="U415" s="81">
        <f t="shared" si="144"/>
        <v>0</v>
      </c>
      <c r="V415" s="47">
        <f t="shared" si="140"/>
        <v>0</v>
      </c>
      <c r="W415" s="47">
        <f t="shared" si="147"/>
        <v>0</v>
      </c>
      <c r="X415" s="47">
        <f t="shared" si="138"/>
        <v>0</v>
      </c>
      <c r="Y415" s="47">
        <v>0</v>
      </c>
      <c r="Z415" s="47">
        <f t="shared" si="139"/>
        <v>0</v>
      </c>
      <c r="AA415" s="47">
        <v>0</v>
      </c>
      <c r="AB415" s="47">
        <v>0</v>
      </c>
      <c r="AC415" s="71">
        <f t="shared" si="145"/>
        <v>0</v>
      </c>
      <c r="AD415" s="118">
        <f t="shared" si="146"/>
        <v>0</v>
      </c>
    </row>
    <row r="416" spans="1:30" s="49" customFormat="1" ht="12.75" hidden="1" x14ac:dyDescent="0.2">
      <c r="A416" s="94">
        <v>411</v>
      </c>
      <c r="B416" s="36"/>
      <c r="C416" s="148"/>
      <c r="D416" s="57"/>
      <c r="E416" s="79">
        <f t="shared" si="143"/>
        <v>0</v>
      </c>
      <c r="F416" s="80">
        <f t="shared" si="132"/>
        <v>0</v>
      </c>
      <c r="G416" s="47">
        <f t="shared" si="141"/>
        <v>0</v>
      </c>
      <c r="H416" s="47">
        <f t="shared" si="134"/>
        <v>0</v>
      </c>
      <c r="I416" s="47">
        <f t="shared" si="142"/>
        <v>0</v>
      </c>
      <c r="J416" s="47">
        <f t="shared" si="133"/>
        <v>0</v>
      </c>
      <c r="K416" s="47">
        <f t="shared" si="135"/>
        <v>0</v>
      </c>
      <c r="L416" s="47">
        <f t="shared" si="136"/>
        <v>0</v>
      </c>
      <c r="M416" s="47">
        <f t="shared" si="137"/>
        <v>0</v>
      </c>
      <c r="N416" s="80">
        <v>0</v>
      </c>
      <c r="O416" s="47">
        <v>0</v>
      </c>
      <c r="P416" s="47">
        <v>0</v>
      </c>
      <c r="Q416" s="47">
        <v>0</v>
      </c>
      <c r="R416" s="47">
        <v>0</v>
      </c>
      <c r="S416" s="136">
        <v>0</v>
      </c>
      <c r="T416" s="47">
        <v>0</v>
      </c>
      <c r="U416" s="81">
        <f t="shared" si="144"/>
        <v>0</v>
      </c>
      <c r="V416" s="47">
        <f t="shared" si="140"/>
        <v>0</v>
      </c>
      <c r="W416" s="47">
        <f t="shared" si="147"/>
        <v>0</v>
      </c>
      <c r="X416" s="47">
        <f t="shared" si="138"/>
        <v>0</v>
      </c>
      <c r="Y416" s="47">
        <v>0</v>
      </c>
      <c r="Z416" s="47">
        <f t="shared" si="139"/>
        <v>0</v>
      </c>
      <c r="AA416" s="47">
        <v>0</v>
      </c>
      <c r="AB416" s="47">
        <v>0</v>
      </c>
      <c r="AC416" s="71">
        <f t="shared" si="145"/>
        <v>0</v>
      </c>
      <c r="AD416" s="118">
        <f t="shared" si="146"/>
        <v>0</v>
      </c>
    </row>
    <row r="417" spans="1:30" s="49" customFormat="1" ht="12.75" hidden="1" x14ac:dyDescent="0.2">
      <c r="A417" s="94">
        <v>412</v>
      </c>
      <c r="B417" s="36"/>
      <c r="C417" s="148"/>
      <c r="D417" s="57"/>
      <c r="E417" s="79">
        <f t="shared" si="143"/>
        <v>0</v>
      </c>
      <c r="F417" s="80">
        <f t="shared" si="132"/>
        <v>0</v>
      </c>
      <c r="G417" s="47">
        <f t="shared" si="141"/>
        <v>0</v>
      </c>
      <c r="H417" s="47">
        <f t="shared" si="134"/>
        <v>0</v>
      </c>
      <c r="I417" s="47">
        <f t="shared" si="142"/>
        <v>0</v>
      </c>
      <c r="J417" s="47">
        <f t="shared" si="133"/>
        <v>0</v>
      </c>
      <c r="K417" s="47">
        <f t="shared" si="135"/>
        <v>0</v>
      </c>
      <c r="L417" s="47">
        <f t="shared" si="136"/>
        <v>0</v>
      </c>
      <c r="M417" s="47">
        <f t="shared" si="137"/>
        <v>0</v>
      </c>
      <c r="N417" s="80">
        <v>0</v>
      </c>
      <c r="O417" s="47">
        <v>0</v>
      </c>
      <c r="P417" s="47">
        <v>0</v>
      </c>
      <c r="Q417" s="47">
        <v>0</v>
      </c>
      <c r="R417" s="47">
        <v>0</v>
      </c>
      <c r="S417" s="136">
        <v>0</v>
      </c>
      <c r="T417" s="47">
        <v>0</v>
      </c>
      <c r="U417" s="81">
        <f t="shared" si="144"/>
        <v>0</v>
      </c>
      <c r="V417" s="47">
        <f t="shared" si="140"/>
        <v>0</v>
      </c>
      <c r="W417" s="47">
        <f t="shared" si="147"/>
        <v>0</v>
      </c>
      <c r="X417" s="47">
        <f t="shared" si="138"/>
        <v>0</v>
      </c>
      <c r="Y417" s="47">
        <v>0</v>
      </c>
      <c r="Z417" s="47">
        <f t="shared" si="139"/>
        <v>0</v>
      </c>
      <c r="AA417" s="47">
        <v>0</v>
      </c>
      <c r="AB417" s="47">
        <v>0</v>
      </c>
      <c r="AC417" s="71">
        <f t="shared" si="145"/>
        <v>0</v>
      </c>
      <c r="AD417" s="118">
        <f t="shared" si="146"/>
        <v>0</v>
      </c>
    </row>
    <row r="418" spans="1:30" s="49" customFormat="1" ht="12.75" hidden="1" x14ac:dyDescent="0.2">
      <c r="A418" s="94">
        <v>413</v>
      </c>
      <c r="B418" s="36"/>
      <c r="C418" s="148"/>
      <c r="D418" s="57"/>
      <c r="E418" s="79">
        <f t="shared" si="143"/>
        <v>0</v>
      </c>
      <c r="F418" s="80">
        <f t="shared" si="132"/>
        <v>0</v>
      </c>
      <c r="G418" s="47">
        <f t="shared" si="141"/>
        <v>0</v>
      </c>
      <c r="H418" s="47">
        <f t="shared" si="134"/>
        <v>0</v>
      </c>
      <c r="I418" s="47">
        <f t="shared" si="142"/>
        <v>0</v>
      </c>
      <c r="J418" s="47">
        <f t="shared" si="133"/>
        <v>0</v>
      </c>
      <c r="K418" s="47">
        <f t="shared" si="135"/>
        <v>0</v>
      </c>
      <c r="L418" s="47">
        <f t="shared" si="136"/>
        <v>0</v>
      </c>
      <c r="M418" s="47">
        <f t="shared" si="137"/>
        <v>0</v>
      </c>
      <c r="N418" s="80">
        <v>0</v>
      </c>
      <c r="O418" s="47">
        <v>0</v>
      </c>
      <c r="P418" s="47">
        <v>0</v>
      </c>
      <c r="Q418" s="47">
        <v>0</v>
      </c>
      <c r="R418" s="47">
        <v>0</v>
      </c>
      <c r="S418" s="136">
        <v>0</v>
      </c>
      <c r="T418" s="47">
        <v>0</v>
      </c>
      <c r="U418" s="81">
        <f t="shared" si="144"/>
        <v>0</v>
      </c>
      <c r="V418" s="47">
        <f t="shared" si="140"/>
        <v>0</v>
      </c>
      <c r="W418" s="47">
        <f t="shared" si="147"/>
        <v>0</v>
      </c>
      <c r="X418" s="47">
        <f t="shared" si="138"/>
        <v>0</v>
      </c>
      <c r="Y418" s="47">
        <v>0</v>
      </c>
      <c r="Z418" s="47">
        <f t="shared" si="139"/>
        <v>0</v>
      </c>
      <c r="AA418" s="47">
        <v>0</v>
      </c>
      <c r="AB418" s="47">
        <v>0</v>
      </c>
      <c r="AC418" s="71">
        <f t="shared" si="145"/>
        <v>0</v>
      </c>
      <c r="AD418" s="118">
        <f t="shared" si="146"/>
        <v>0</v>
      </c>
    </row>
    <row r="419" spans="1:30" s="49" customFormat="1" ht="12.75" hidden="1" x14ac:dyDescent="0.2">
      <c r="A419" s="94">
        <v>414</v>
      </c>
      <c r="B419" s="36"/>
      <c r="C419" s="148"/>
      <c r="D419" s="57"/>
      <c r="E419" s="79">
        <f t="shared" si="143"/>
        <v>0</v>
      </c>
      <c r="F419" s="80">
        <f t="shared" si="132"/>
        <v>0</v>
      </c>
      <c r="G419" s="47">
        <f t="shared" si="141"/>
        <v>0</v>
      </c>
      <c r="H419" s="47">
        <f t="shared" si="134"/>
        <v>0</v>
      </c>
      <c r="I419" s="47">
        <f t="shared" si="142"/>
        <v>0</v>
      </c>
      <c r="J419" s="47">
        <f t="shared" si="133"/>
        <v>0</v>
      </c>
      <c r="K419" s="47">
        <f t="shared" si="135"/>
        <v>0</v>
      </c>
      <c r="L419" s="47">
        <f t="shared" si="136"/>
        <v>0</v>
      </c>
      <c r="M419" s="47">
        <f t="shared" si="137"/>
        <v>0</v>
      </c>
      <c r="N419" s="80">
        <v>0</v>
      </c>
      <c r="O419" s="47">
        <v>0</v>
      </c>
      <c r="P419" s="47">
        <v>0</v>
      </c>
      <c r="Q419" s="47">
        <v>0</v>
      </c>
      <c r="R419" s="47">
        <v>0</v>
      </c>
      <c r="S419" s="136">
        <v>0</v>
      </c>
      <c r="T419" s="47">
        <v>0</v>
      </c>
      <c r="U419" s="81">
        <f t="shared" si="144"/>
        <v>0</v>
      </c>
      <c r="V419" s="47">
        <f t="shared" si="140"/>
        <v>0</v>
      </c>
      <c r="W419" s="47">
        <f t="shared" si="147"/>
        <v>0</v>
      </c>
      <c r="X419" s="47">
        <f t="shared" si="138"/>
        <v>0</v>
      </c>
      <c r="Y419" s="47">
        <v>0</v>
      </c>
      <c r="Z419" s="47">
        <f t="shared" si="139"/>
        <v>0</v>
      </c>
      <c r="AA419" s="47">
        <v>0</v>
      </c>
      <c r="AB419" s="47">
        <v>0</v>
      </c>
      <c r="AC419" s="71">
        <f t="shared" si="145"/>
        <v>0</v>
      </c>
      <c r="AD419" s="118">
        <f t="shared" si="146"/>
        <v>0</v>
      </c>
    </row>
    <row r="420" spans="1:30" s="49" customFormat="1" ht="12.75" hidden="1" x14ac:dyDescent="0.2">
      <c r="A420" s="94">
        <v>415</v>
      </c>
      <c r="B420" s="36"/>
      <c r="C420" s="148"/>
      <c r="D420" s="57"/>
      <c r="E420" s="79">
        <f t="shared" si="143"/>
        <v>0</v>
      </c>
      <c r="F420" s="80">
        <f t="shared" si="132"/>
        <v>0</v>
      </c>
      <c r="G420" s="47">
        <f t="shared" si="141"/>
        <v>0</v>
      </c>
      <c r="H420" s="47">
        <f t="shared" si="134"/>
        <v>0</v>
      </c>
      <c r="I420" s="47">
        <f t="shared" si="142"/>
        <v>0</v>
      </c>
      <c r="J420" s="47">
        <f t="shared" si="133"/>
        <v>0</v>
      </c>
      <c r="K420" s="47">
        <f t="shared" si="135"/>
        <v>0</v>
      </c>
      <c r="L420" s="47">
        <f t="shared" si="136"/>
        <v>0</v>
      </c>
      <c r="M420" s="47">
        <f t="shared" si="137"/>
        <v>0</v>
      </c>
      <c r="N420" s="80">
        <v>0</v>
      </c>
      <c r="O420" s="47">
        <v>0</v>
      </c>
      <c r="P420" s="47">
        <v>0</v>
      </c>
      <c r="Q420" s="47">
        <v>0</v>
      </c>
      <c r="R420" s="47">
        <v>0</v>
      </c>
      <c r="S420" s="136">
        <v>0</v>
      </c>
      <c r="T420" s="47">
        <v>0</v>
      </c>
      <c r="U420" s="81">
        <f t="shared" si="144"/>
        <v>0</v>
      </c>
      <c r="V420" s="47">
        <f t="shared" si="140"/>
        <v>0</v>
      </c>
      <c r="W420" s="47">
        <f t="shared" si="147"/>
        <v>0</v>
      </c>
      <c r="X420" s="47">
        <f t="shared" si="138"/>
        <v>0</v>
      </c>
      <c r="Y420" s="47">
        <v>0</v>
      </c>
      <c r="Z420" s="47">
        <f t="shared" si="139"/>
        <v>0</v>
      </c>
      <c r="AA420" s="47">
        <v>0</v>
      </c>
      <c r="AB420" s="47">
        <v>0</v>
      </c>
      <c r="AC420" s="71">
        <f t="shared" si="145"/>
        <v>0</v>
      </c>
      <c r="AD420" s="118">
        <f t="shared" si="146"/>
        <v>0</v>
      </c>
    </row>
    <row r="421" spans="1:30" s="49" customFormat="1" ht="12.75" hidden="1" x14ac:dyDescent="0.2">
      <c r="A421" s="94">
        <v>416</v>
      </c>
      <c r="B421" s="36"/>
      <c r="C421" s="148"/>
      <c r="D421" s="57"/>
      <c r="E421" s="79">
        <f t="shared" si="143"/>
        <v>0</v>
      </c>
      <c r="F421" s="80">
        <f t="shared" si="132"/>
        <v>0</v>
      </c>
      <c r="G421" s="47">
        <f t="shared" si="141"/>
        <v>0</v>
      </c>
      <c r="H421" s="47">
        <f t="shared" si="134"/>
        <v>0</v>
      </c>
      <c r="I421" s="47">
        <f t="shared" si="142"/>
        <v>0</v>
      </c>
      <c r="J421" s="47">
        <f t="shared" si="133"/>
        <v>0</v>
      </c>
      <c r="K421" s="47">
        <f t="shared" si="135"/>
        <v>0</v>
      </c>
      <c r="L421" s="47">
        <f t="shared" si="136"/>
        <v>0</v>
      </c>
      <c r="M421" s="47">
        <f t="shared" si="137"/>
        <v>0</v>
      </c>
      <c r="N421" s="80">
        <v>0</v>
      </c>
      <c r="O421" s="47">
        <v>0</v>
      </c>
      <c r="P421" s="47">
        <v>0</v>
      </c>
      <c r="Q421" s="47">
        <v>0</v>
      </c>
      <c r="R421" s="47">
        <v>0</v>
      </c>
      <c r="S421" s="136">
        <v>0</v>
      </c>
      <c r="T421" s="47">
        <v>0</v>
      </c>
      <c r="U421" s="81">
        <f t="shared" si="144"/>
        <v>0</v>
      </c>
      <c r="V421" s="47">
        <f t="shared" si="140"/>
        <v>0</v>
      </c>
      <c r="W421" s="47">
        <f t="shared" si="147"/>
        <v>0</v>
      </c>
      <c r="X421" s="47">
        <f t="shared" si="138"/>
        <v>0</v>
      </c>
      <c r="Y421" s="47">
        <v>0</v>
      </c>
      <c r="Z421" s="47">
        <f t="shared" si="139"/>
        <v>0</v>
      </c>
      <c r="AA421" s="47">
        <v>0</v>
      </c>
      <c r="AB421" s="47">
        <v>0</v>
      </c>
      <c r="AC421" s="71">
        <f t="shared" si="145"/>
        <v>0</v>
      </c>
      <c r="AD421" s="118">
        <f t="shared" si="146"/>
        <v>0</v>
      </c>
    </row>
    <row r="422" spans="1:30" s="49" customFormat="1" ht="12.75" hidden="1" x14ac:dyDescent="0.2">
      <c r="A422" s="94">
        <v>417</v>
      </c>
      <c r="B422" s="36"/>
      <c r="C422" s="148"/>
      <c r="D422" s="57"/>
      <c r="E422" s="79">
        <f t="shared" si="143"/>
        <v>0</v>
      </c>
      <c r="F422" s="80">
        <f t="shared" si="132"/>
        <v>0</v>
      </c>
      <c r="G422" s="47">
        <f t="shared" si="141"/>
        <v>0</v>
      </c>
      <c r="H422" s="47">
        <f t="shared" si="134"/>
        <v>0</v>
      </c>
      <c r="I422" s="47">
        <f t="shared" si="142"/>
        <v>0</v>
      </c>
      <c r="J422" s="47">
        <f t="shared" si="133"/>
        <v>0</v>
      </c>
      <c r="K422" s="47">
        <f t="shared" si="135"/>
        <v>0</v>
      </c>
      <c r="L422" s="47">
        <f t="shared" si="136"/>
        <v>0</v>
      </c>
      <c r="M422" s="47">
        <f t="shared" si="137"/>
        <v>0</v>
      </c>
      <c r="N422" s="80">
        <v>0</v>
      </c>
      <c r="O422" s="47">
        <v>0</v>
      </c>
      <c r="P422" s="47">
        <v>0</v>
      </c>
      <c r="Q422" s="47">
        <v>0</v>
      </c>
      <c r="R422" s="47">
        <v>0</v>
      </c>
      <c r="S422" s="136">
        <v>0</v>
      </c>
      <c r="T422" s="47">
        <v>0</v>
      </c>
      <c r="U422" s="81">
        <f t="shared" si="144"/>
        <v>0</v>
      </c>
      <c r="V422" s="47">
        <f t="shared" si="140"/>
        <v>0</v>
      </c>
      <c r="W422" s="47">
        <f t="shared" si="147"/>
        <v>0</v>
      </c>
      <c r="X422" s="47">
        <f t="shared" si="138"/>
        <v>0</v>
      </c>
      <c r="Y422" s="47">
        <v>0</v>
      </c>
      <c r="Z422" s="47">
        <f t="shared" si="139"/>
        <v>0</v>
      </c>
      <c r="AA422" s="47">
        <v>0</v>
      </c>
      <c r="AB422" s="47">
        <v>0</v>
      </c>
      <c r="AC422" s="71">
        <f t="shared" si="145"/>
        <v>0</v>
      </c>
      <c r="AD422" s="118">
        <f t="shared" si="146"/>
        <v>0</v>
      </c>
    </row>
    <row r="423" spans="1:30" s="49" customFormat="1" ht="12.75" hidden="1" x14ac:dyDescent="0.2">
      <c r="A423" s="94">
        <v>418</v>
      </c>
      <c r="B423" s="36"/>
      <c r="C423" s="148"/>
      <c r="D423" s="57"/>
      <c r="E423" s="79">
        <f t="shared" si="143"/>
        <v>0</v>
      </c>
      <c r="F423" s="80">
        <f t="shared" si="132"/>
        <v>0</v>
      </c>
      <c r="G423" s="47">
        <f t="shared" si="141"/>
        <v>0</v>
      </c>
      <c r="H423" s="47">
        <f t="shared" si="134"/>
        <v>0</v>
      </c>
      <c r="I423" s="47">
        <f t="shared" si="142"/>
        <v>0</v>
      </c>
      <c r="J423" s="47">
        <f t="shared" si="133"/>
        <v>0</v>
      </c>
      <c r="K423" s="47">
        <f t="shared" si="135"/>
        <v>0</v>
      </c>
      <c r="L423" s="47">
        <f t="shared" si="136"/>
        <v>0</v>
      </c>
      <c r="M423" s="47">
        <f t="shared" si="137"/>
        <v>0</v>
      </c>
      <c r="N423" s="80">
        <v>0</v>
      </c>
      <c r="O423" s="47">
        <v>0</v>
      </c>
      <c r="P423" s="47">
        <v>0</v>
      </c>
      <c r="Q423" s="47">
        <v>0</v>
      </c>
      <c r="R423" s="47">
        <v>0</v>
      </c>
      <c r="S423" s="136">
        <v>0</v>
      </c>
      <c r="T423" s="47">
        <v>0</v>
      </c>
      <c r="U423" s="81">
        <f t="shared" si="144"/>
        <v>0</v>
      </c>
      <c r="V423" s="47">
        <f t="shared" si="140"/>
        <v>0</v>
      </c>
      <c r="W423" s="47">
        <f t="shared" si="147"/>
        <v>0</v>
      </c>
      <c r="X423" s="47">
        <f t="shared" si="138"/>
        <v>0</v>
      </c>
      <c r="Y423" s="47">
        <v>0</v>
      </c>
      <c r="Z423" s="47">
        <f t="shared" si="139"/>
        <v>0</v>
      </c>
      <c r="AA423" s="47">
        <v>0</v>
      </c>
      <c r="AB423" s="47">
        <v>0</v>
      </c>
      <c r="AC423" s="71">
        <f t="shared" si="145"/>
        <v>0</v>
      </c>
      <c r="AD423" s="118">
        <f t="shared" si="146"/>
        <v>0</v>
      </c>
    </row>
    <row r="424" spans="1:30" s="49" customFormat="1" ht="12.75" hidden="1" x14ac:dyDescent="0.2">
      <c r="A424" s="94">
        <v>419</v>
      </c>
      <c r="B424" s="36"/>
      <c r="C424" s="148"/>
      <c r="D424" s="57"/>
      <c r="E424" s="79">
        <f t="shared" si="143"/>
        <v>0</v>
      </c>
      <c r="F424" s="80">
        <f t="shared" si="132"/>
        <v>0</v>
      </c>
      <c r="G424" s="47">
        <f t="shared" si="141"/>
        <v>0</v>
      </c>
      <c r="H424" s="47">
        <f t="shared" si="134"/>
        <v>0</v>
      </c>
      <c r="I424" s="47">
        <f t="shared" si="142"/>
        <v>0</v>
      </c>
      <c r="J424" s="47">
        <f t="shared" si="133"/>
        <v>0</v>
      </c>
      <c r="K424" s="47">
        <f t="shared" si="135"/>
        <v>0</v>
      </c>
      <c r="L424" s="47">
        <f t="shared" si="136"/>
        <v>0</v>
      </c>
      <c r="M424" s="47">
        <f t="shared" si="137"/>
        <v>0</v>
      </c>
      <c r="N424" s="80">
        <v>0</v>
      </c>
      <c r="O424" s="47">
        <v>0</v>
      </c>
      <c r="P424" s="47">
        <v>0</v>
      </c>
      <c r="Q424" s="47">
        <v>0</v>
      </c>
      <c r="R424" s="47">
        <v>0</v>
      </c>
      <c r="S424" s="136">
        <v>0</v>
      </c>
      <c r="T424" s="47">
        <v>0</v>
      </c>
      <c r="U424" s="81">
        <f t="shared" si="144"/>
        <v>0</v>
      </c>
      <c r="V424" s="47">
        <f t="shared" si="140"/>
        <v>0</v>
      </c>
      <c r="W424" s="47">
        <f t="shared" si="147"/>
        <v>0</v>
      </c>
      <c r="X424" s="47">
        <f t="shared" si="138"/>
        <v>0</v>
      </c>
      <c r="Y424" s="47">
        <v>0</v>
      </c>
      <c r="Z424" s="47">
        <f t="shared" si="139"/>
        <v>0</v>
      </c>
      <c r="AA424" s="47">
        <v>0</v>
      </c>
      <c r="AB424" s="47">
        <v>0</v>
      </c>
      <c r="AC424" s="71">
        <f t="shared" si="145"/>
        <v>0</v>
      </c>
      <c r="AD424" s="118">
        <f t="shared" si="146"/>
        <v>0</v>
      </c>
    </row>
    <row r="425" spans="1:30" s="49" customFormat="1" ht="12.75" hidden="1" x14ac:dyDescent="0.2">
      <c r="A425" s="94">
        <v>420</v>
      </c>
      <c r="B425" s="36"/>
      <c r="C425" s="148"/>
      <c r="D425" s="57"/>
      <c r="E425" s="79">
        <f t="shared" si="143"/>
        <v>0</v>
      </c>
      <c r="F425" s="80">
        <f t="shared" si="132"/>
        <v>0</v>
      </c>
      <c r="G425" s="47">
        <f t="shared" si="141"/>
        <v>0</v>
      </c>
      <c r="H425" s="47">
        <f t="shared" si="134"/>
        <v>0</v>
      </c>
      <c r="I425" s="47">
        <f t="shared" si="142"/>
        <v>0</v>
      </c>
      <c r="J425" s="47">
        <f t="shared" si="133"/>
        <v>0</v>
      </c>
      <c r="K425" s="47">
        <f t="shared" si="135"/>
        <v>0</v>
      </c>
      <c r="L425" s="47">
        <f t="shared" si="136"/>
        <v>0</v>
      </c>
      <c r="M425" s="47">
        <f t="shared" si="137"/>
        <v>0</v>
      </c>
      <c r="N425" s="80">
        <v>0</v>
      </c>
      <c r="O425" s="47">
        <v>0</v>
      </c>
      <c r="P425" s="47">
        <v>0</v>
      </c>
      <c r="Q425" s="47">
        <v>0</v>
      </c>
      <c r="R425" s="47">
        <v>0</v>
      </c>
      <c r="S425" s="136">
        <v>0</v>
      </c>
      <c r="T425" s="47">
        <v>0</v>
      </c>
      <c r="U425" s="81">
        <f t="shared" si="144"/>
        <v>0</v>
      </c>
      <c r="V425" s="47">
        <f t="shared" si="140"/>
        <v>0</v>
      </c>
      <c r="W425" s="47">
        <f t="shared" si="147"/>
        <v>0</v>
      </c>
      <c r="X425" s="47">
        <f t="shared" si="138"/>
        <v>0</v>
      </c>
      <c r="Y425" s="47">
        <v>0</v>
      </c>
      <c r="Z425" s="47">
        <f t="shared" si="139"/>
        <v>0</v>
      </c>
      <c r="AA425" s="47">
        <v>0</v>
      </c>
      <c r="AB425" s="47">
        <v>0</v>
      </c>
      <c r="AC425" s="71">
        <f t="shared" si="145"/>
        <v>0</v>
      </c>
      <c r="AD425" s="118">
        <f t="shared" si="146"/>
        <v>0</v>
      </c>
    </row>
    <row r="426" spans="1:30" s="49" customFormat="1" ht="12.75" hidden="1" x14ac:dyDescent="0.2">
      <c r="A426" s="94">
        <v>421</v>
      </c>
      <c r="B426" s="36"/>
      <c r="C426" s="148"/>
      <c r="D426" s="57"/>
      <c r="E426" s="79">
        <f t="shared" si="143"/>
        <v>0</v>
      </c>
      <c r="F426" s="80">
        <f t="shared" si="132"/>
        <v>0</v>
      </c>
      <c r="G426" s="47">
        <f t="shared" si="141"/>
        <v>0</v>
      </c>
      <c r="H426" s="47">
        <f t="shared" si="134"/>
        <v>0</v>
      </c>
      <c r="I426" s="47">
        <f t="shared" si="142"/>
        <v>0</v>
      </c>
      <c r="J426" s="47">
        <f t="shared" si="133"/>
        <v>0</v>
      </c>
      <c r="K426" s="47">
        <f t="shared" si="135"/>
        <v>0</v>
      </c>
      <c r="L426" s="47">
        <f t="shared" si="136"/>
        <v>0</v>
      </c>
      <c r="M426" s="47">
        <f t="shared" si="137"/>
        <v>0</v>
      </c>
      <c r="N426" s="80">
        <v>0</v>
      </c>
      <c r="O426" s="47">
        <v>0</v>
      </c>
      <c r="P426" s="47">
        <v>0</v>
      </c>
      <c r="Q426" s="47">
        <v>0</v>
      </c>
      <c r="R426" s="47">
        <v>0</v>
      </c>
      <c r="S426" s="136">
        <v>0</v>
      </c>
      <c r="T426" s="47">
        <v>0</v>
      </c>
      <c r="U426" s="81">
        <f t="shared" si="144"/>
        <v>0</v>
      </c>
      <c r="V426" s="47">
        <f t="shared" si="140"/>
        <v>0</v>
      </c>
      <c r="W426" s="47">
        <f t="shared" si="147"/>
        <v>0</v>
      </c>
      <c r="X426" s="47">
        <f t="shared" si="138"/>
        <v>0</v>
      </c>
      <c r="Y426" s="47">
        <v>0</v>
      </c>
      <c r="Z426" s="47">
        <f t="shared" si="139"/>
        <v>0</v>
      </c>
      <c r="AA426" s="47">
        <v>0</v>
      </c>
      <c r="AB426" s="47">
        <v>0</v>
      </c>
      <c r="AC426" s="71">
        <f t="shared" si="145"/>
        <v>0</v>
      </c>
      <c r="AD426" s="118">
        <f t="shared" si="146"/>
        <v>0</v>
      </c>
    </row>
    <row r="427" spans="1:30" s="49" customFormat="1" ht="12.75" hidden="1" x14ac:dyDescent="0.2">
      <c r="A427" s="94">
        <v>422</v>
      </c>
      <c r="B427" s="36"/>
      <c r="C427" s="148"/>
      <c r="D427" s="57"/>
      <c r="E427" s="79">
        <f t="shared" si="143"/>
        <v>0</v>
      </c>
      <c r="F427" s="80">
        <f t="shared" si="132"/>
        <v>0</v>
      </c>
      <c r="G427" s="47">
        <f t="shared" si="141"/>
        <v>0</v>
      </c>
      <c r="H427" s="47">
        <f t="shared" si="134"/>
        <v>0</v>
      </c>
      <c r="I427" s="47">
        <f t="shared" si="142"/>
        <v>0</v>
      </c>
      <c r="J427" s="47">
        <f t="shared" si="133"/>
        <v>0</v>
      </c>
      <c r="K427" s="47">
        <f t="shared" si="135"/>
        <v>0</v>
      </c>
      <c r="L427" s="47">
        <f t="shared" si="136"/>
        <v>0</v>
      </c>
      <c r="M427" s="47">
        <f t="shared" si="137"/>
        <v>0</v>
      </c>
      <c r="N427" s="80">
        <v>0</v>
      </c>
      <c r="O427" s="47">
        <v>0</v>
      </c>
      <c r="P427" s="47">
        <v>0</v>
      </c>
      <c r="Q427" s="47">
        <v>0</v>
      </c>
      <c r="R427" s="47">
        <v>0</v>
      </c>
      <c r="S427" s="136">
        <v>0</v>
      </c>
      <c r="T427" s="47">
        <v>0</v>
      </c>
      <c r="U427" s="81">
        <f t="shared" si="144"/>
        <v>0</v>
      </c>
      <c r="V427" s="47">
        <f t="shared" si="140"/>
        <v>0</v>
      </c>
      <c r="W427" s="47">
        <f t="shared" si="147"/>
        <v>0</v>
      </c>
      <c r="X427" s="47">
        <f t="shared" si="138"/>
        <v>0</v>
      </c>
      <c r="Y427" s="47">
        <v>0</v>
      </c>
      <c r="Z427" s="47">
        <f t="shared" si="139"/>
        <v>0</v>
      </c>
      <c r="AA427" s="47">
        <v>0</v>
      </c>
      <c r="AB427" s="47">
        <v>0</v>
      </c>
      <c r="AC427" s="71">
        <f t="shared" si="145"/>
        <v>0</v>
      </c>
      <c r="AD427" s="118">
        <f t="shared" si="146"/>
        <v>0</v>
      </c>
    </row>
    <row r="428" spans="1:30" s="49" customFormat="1" ht="12.75" hidden="1" x14ac:dyDescent="0.2">
      <c r="A428" s="94">
        <v>423</v>
      </c>
      <c r="B428" s="36"/>
      <c r="C428" s="148"/>
      <c r="D428" s="57"/>
      <c r="E428" s="79">
        <f t="shared" si="143"/>
        <v>0</v>
      </c>
      <c r="F428" s="80">
        <f t="shared" si="132"/>
        <v>0</v>
      </c>
      <c r="G428" s="47">
        <f t="shared" si="141"/>
        <v>0</v>
      </c>
      <c r="H428" s="47">
        <f t="shared" si="134"/>
        <v>0</v>
      </c>
      <c r="I428" s="47">
        <f t="shared" si="142"/>
        <v>0</v>
      </c>
      <c r="J428" s="47">
        <f t="shared" si="133"/>
        <v>0</v>
      </c>
      <c r="K428" s="47">
        <f t="shared" si="135"/>
        <v>0</v>
      </c>
      <c r="L428" s="47">
        <f t="shared" si="136"/>
        <v>0</v>
      </c>
      <c r="M428" s="47">
        <f t="shared" si="137"/>
        <v>0</v>
      </c>
      <c r="N428" s="80">
        <v>0</v>
      </c>
      <c r="O428" s="47">
        <v>0</v>
      </c>
      <c r="P428" s="47">
        <v>0</v>
      </c>
      <c r="Q428" s="47">
        <v>0</v>
      </c>
      <c r="R428" s="47">
        <v>0</v>
      </c>
      <c r="S428" s="136">
        <v>0</v>
      </c>
      <c r="T428" s="47">
        <v>0</v>
      </c>
      <c r="U428" s="81">
        <f t="shared" si="144"/>
        <v>0</v>
      </c>
      <c r="V428" s="47">
        <f t="shared" si="140"/>
        <v>0</v>
      </c>
      <c r="W428" s="47">
        <f t="shared" si="147"/>
        <v>0</v>
      </c>
      <c r="X428" s="47">
        <f t="shared" si="138"/>
        <v>0</v>
      </c>
      <c r="Y428" s="47">
        <v>0</v>
      </c>
      <c r="Z428" s="47">
        <f t="shared" si="139"/>
        <v>0</v>
      </c>
      <c r="AA428" s="47">
        <v>0</v>
      </c>
      <c r="AB428" s="47">
        <v>0</v>
      </c>
      <c r="AC428" s="71">
        <f t="shared" si="145"/>
        <v>0</v>
      </c>
      <c r="AD428" s="118">
        <f t="shared" si="146"/>
        <v>0</v>
      </c>
    </row>
    <row r="429" spans="1:30" s="49" customFormat="1" ht="12.75" hidden="1" x14ac:dyDescent="0.2">
      <c r="A429" s="94">
        <v>424</v>
      </c>
      <c r="B429" s="36"/>
      <c r="C429" s="148"/>
      <c r="D429" s="57"/>
      <c r="E429" s="79">
        <f t="shared" si="143"/>
        <v>0</v>
      </c>
      <c r="F429" s="80">
        <f t="shared" si="132"/>
        <v>0</v>
      </c>
      <c r="G429" s="47">
        <f t="shared" si="141"/>
        <v>0</v>
      </c>
      <c r="H429" s="47">
        <f t="shared" si="134"/>
        <v>0</v>
      </c>
      <c r="I429" s="47">
        <f t="shared" si="142"/>
        <v>0</v>
      </c>
      <c r="J429" s="47">
        <f t="shared" si="133"/>
        <v>0</v>
      </c>
      <c r="K429" s="47">
        <f t="shared" si="135"/>
        <v>0</v>
      </c>
      <c r="L429" s="47">
        <f t="shared" si="136"/>
        <v>0</v>
      </c>
      <c r="M429" s="47">
        <f t="shared" si="137"/>
        <v>0</v>
      </c>
      <c r="N429" s="80">
        <v>0</v>
      </c>
      <c r="O429" s="47">
        <v>0</v>
      </c>
      <c r="P429" s="47">
        <v>0</v>
      </c>
      <c r="Q429" s="47">
        <v>0</v>
      </c>
      <c r="R429" s="47">
        <v>0</v>
      </c>
      <c r="S429" s="136">
        <v>0</v>
      </c>
      <c r="T429" s="47">
        <v>0</v>
      </c>
      <c r="U429" s="81">
        <f t="shared" si="144"/>
        <v>0</v>
      </c>
      <c r="V429" s="47">
        <f t="shared" si="140"/>
        <v>0</v>
      </c>
      <c r="W429" s="47">
        <f t="shared" si="147"/>
        <v>0</v>
      </c>
      <c r="X429" s="47">
        <f t="shared" si="138"/>
        <v>0</v>
      </c>
      <c r="Y429" s="47">
        <v>0</v>
      </c>
      <c r="Z429" s="47">
        <f t="shared" si="139"/>
        <v>0</v>
      </c>
      <c r="AA429" s="47">
        <v>0</v>
      </c>
      <c r="AB429" s="47">
        <v>0</v>
      </c>
      <c r="AC429" s="71">
        <f t="shared" si="145"/>
        <v>0</v>
      </c>
      <c r="AD429" s="118">
        <f t="shared" si="146"/>
        <v>0</v>
      </c>
    </row>
    <row r="430" spans="1:30" s="49" customFormat="1" ht="12.75" hidden="1" x14ac:dyDescent="0.2">
      <c r="A430" s="94">
        <v>425</v>
      </c>
      <c r="B430" s="36"/>
      <c r="C430" s="148"/>
      <c r="D430" s="57"/>
      <c r="E430" s="79">
        <f t="shared" si="143"/>
        <v>0</v>
      </c>
      <c r="F430" s="80">
        <f t="shared" si="132"/>
        <v>0</v>
      </c>
      <c r="G430" s="47">
        <f t="shared" si="141"/>
        <v>0</v>
      </c>
      <c r="H430" s="47">
        <f t="shared" si="134"/>
        <v>0</v>
      </c>
      <c r="I430" s="47">
        <f t="shared" si="142"/>
        <v>0</v>
      </c>
      <c r="J430" s="47">
        <f t="shared" si="133"/>
        <v>0</v>
      </c>
      <c r="K430" s="47">
        <f t="shared" si="135"/>
        <v>0</v>
      </c>
      <c r="L430" s="47">
        <f t="shared" si="136"/>
        <v>0</v>
      </c>
      <c r="M430" s="47">
        <f t="shared" si="137"/>
        <v>0</v>
      </c>
      <c r="N430" s="80">
        <v>0</v>
      </c>
      <c r="O430" s="47">
        <v>0</v>
      </c>
      <c r="P430" s="47">
        <v>0</v>
      </c>
      <c r="Q430" s="47">
        <v>0</v>
      </c>
      <c r="R430" s="47">
        <v>0</v>
      </c>
      <c r="S430" s="136">
        <v>0</v>
      </c>
      <c r="T430" s="47">
        <v>0</v>
      </c>
      <c r="U430" s="81">
        <f t="shared" si="144"/>
        <v>0</v>
      </c>
      <c r="V430" s="47">
        <f t="shared" si="140"/>
        <v>0</v>
      </c>
      <c r="W430" s="47">
        <f t="shared" si="147"/>
        <v>0</v>
      </c>
      <c r="X430" s="47">
        <f t="shared" si="138"/>
        <v>0</v>
      </c>
      <c r="Y430" s="47">
        <v>0</v>
      </c>
      <c r="Z430" s="47">
        <f t="shared" si="139"/>
        <v>0</v>
      </c>
      <c r="AA430" s="47">
        <v>0</v>
      </c>
      <c r="AB430" s="47">
        <v>0</v>
      </c>
      <c r="AC430" s="71">
        <f t="shared" si="145"/>
        <v>0</v>
      </c>
      <c r="AD430" s="118">
        <f t="shared" si="146"/>
        <v>0</v>
      </c>
    </row>
    <row r="431" spans="1:30" s="49" customFormat="1" ht="12.75" hidden="1" x14ac:dyDescent="0.2">
      <c r="A431" s="94">
        <v>426</v>
      </c>
      <c r="B431" s="36"/>
      <c r="C431" s="148"/>
      <c r="D431" s="57"/>
      <c r="E431" s="79">
        <f t="shared" si="143"/>
        <v>0</v>
      </c>
      <c r="F431" s="80">
        <f t="shared" si="132"/>
        <v>0</v>
      </c>
      <c r="G431" s="47">
        <f t="shared" si="141"/>
        <v>0</v>
      </c>
      <c r="H431" s="47">
        <f t="shared" si="134"/>
        <v>0</v>
      </c>
      <c r="I431" s="47">
        <f t="shared" si="142"/>
        <v>0</v>
      </c>
      <c r="J431" s="47">
        <f t="shared" si="133"/>
        <v>0</v>
      </c>
      <c r="K431" s="47">
        <f t="shared" si="135"/>
        <v>0</v>
      </c>
      <c r="L431" s="47">
        <f t="shared" si="136"/>
        <v>0</v>
      </c>
      <c r="M431" s="47">
        <f t="shared" si="137"/>
        <v>0</v>
      </c>
      <c r="N431" s="80">
        <v>0</v>
      </c>
      <c r="O431" s="47">
        <v>0</v>
      </c>
      <c r="P431" s="47">
        <v>0</v>
      </c>
      <c r="Q431" s="47">
        <v>0</v>
      </c>
      <c r="R431" s="47">
        <v>0</v>
      </c>
      <c r="S431" s="136">
        <v>0</v>
      </c>
      <c r="T431" s="47">
        <v>0</v>
      </c>
      <c r="U431" s="81">
        <f t="shared" si="144"/>
        <v>0</v>
      </c>
      <c r="V431" s="47">
        <f t="shared" si="140"/>
        <v>0</v>
      </c>
      <c r="W431" s="47">
        <f t="shared" si="147"/>
        <v>0</v>
      </c>
      <c r="X431" s="47">
        <f t="shared" si="138"/>
        <v>0</v>
      </c>
      <c r="Y431" s="47">
        <v>0</v>
      </c>
      <c r="Z431" s="47">
        <f t="shared" si="139"/>
        <v>0</v>
      </c>
      <c r="AA431" s="47">
        <v>0</v>
      </c>
      <c r="AB431" s="47">
        <v>0</v>
      </c>
      <c r="AC431" s="71">
        <f t="shared" si="145"/>
        <v>0</v>
      </c>
      <c r="AD431" s="118">
        <f t="shared" si="146"/>
        <v>0</v>
      </c>
    </row>
    <row r="432" spans="1:30" s="49" customFormat="1" ht="12.75" hidden="1" x14ac:dyDescent="0.2">
      <c r="A432" s="94">
        <v>427</v>
      </c>
      <c r="B432" s="36"/>
      <c r="C432" s="148"/>
      <c r="D432" s="57"/>
      <c r="E432" s="79">
        <f t="shared" si="143"/>
        <v>0</v>
      </c>
      <c r="F432" s="80">
        <f t="shared" si="132"/>
        <v>0</v>
      </c>
      <c r="G432" s="47">
        <f t="shared" si="141"/>
        <v>0</v>
      </c>
      <c r="H432" s="47">
        <f t="shared" si="134"/>
        <v>0</v>
      </c>
      <c r="I432" s="47">
        <f t="shared" si="142"/>
        <v>0</v>
      </c>
      <c r="J432" s="47">
        <f t="shared" si="133"/>
        <v>0</v>
      </c>
      <c r="K432" s="47">
        <f t="shared" si="135"/>
        <v>0</v>
      </c>
      <c r="L432" s="47">
        <f t="shared" si="136"/>
        <v>0</v>
      </c>
      <c r="M432" s="47">
        <f t="shared" si="137"/>
        <v>0</v>
      </c>
      <c r="N432" s="80">
        <v>0</v>
      </c>
      <c r="O432" s="47">
        <v>0</v>
      </c>
      <c r="P432" s="47">
        <v>0</v>
      </c>
      <c r="Q432" s="47">
        <v>0</v>
      </c>
      <c r="R432" s="47">
        <v>0</v>
      </c>
      <c r="S432" s="136">
        <v>0</v>
      </c>
      <c r="T432" s="47">
        <v>0</v>
      </c>
      <c r="U432" s="81">
        <f t="shared" si="144"/>
        <v>0</v>
      </c>
      <c r="V432" s="47">
        <f t="shared" si="140"/>
        <v>0</v>
      </c>
      <c r="W432" s="47">
        <f t="shared" si="147"/>
        <v>0</v>
      </c>
      <c r="X432" s="47">
        <f t="shared" si="138"/>
        <v>0</v>
      </c>
      <c r="Y432" s="47">
        <v>0</v>
      </c>
      <c r="Z432" s="47">
        <f t="shared" si="139"/>
        <v>0</v>
      </c>
      <c r="AA432" s="47">
        <v>0</v>
      </c>
      <c r="AB432" s="47">
        <v>0</v>
      </c>
      <c r="AC432" s="71">
        <f t="shared" si="145"/>
        <v>0</v>
      </c>
      <c r="AD432" s="118">
        <f t="shared" si="146"/>
        <v>0</v>
      </c>
    </row>
    <row r="433" spans="1:30" s="49" customFormat="1" ht="12.75" hidden="1" x14ac:dyDescent="0.2">
      <c r="A433" s="94">
        <v>428</v>
      </c>
      <c r="B433" s="36"/>
      <c r="C433" s="148"/>
      <c r="D433" s="57"/>
      <c r="E433" s="79">
        <f t="shared" si="143"/>
        <v>0</v>
      </c>
      <c r="F433" s="80">
        <f t="shared" si="132"/>
        <v>0</v>
      </c>
      <c r="G433" s="47">
        <f t="shared" si="141"/>
        <v>0</v>
      </c>
      <c r="H433" s="47">
        <f t="shared" si="134"/>
        <v>0</v>
      </c>
      <c r="I433" s="47">
        <f t="shared" si="142"/>
        <v>0</v>
      </c>
      <c r="J433" s="47">
        <f t="shared" si="133"/>
        <v>0</v>
      </c>
      <c r="K433" s="47">
        <f t="shared" si="135"/>
        <v>0</v>
      </c>
      <c r="L433" s="47">
        <f t="shared" si="136"/>
        <v>0</v>
      </c>
      <c r="M433" s="47">
        <f t="shared" si="137"/>
        <v>0</v>
      </c>
      <c r="N433" s="80">
        <v>0</v>
      </c>
      <c r="O433" s="47">
        <v>0</v>
      </c>
      <c r="P433" s="47">
        <v>0</v>
      </c>
      <c r="Q433" s="47">
        <v>0</v>
      </c>
      <c r="R433" s="47">
        <v>0</v>
      </c>
      <c r="S433" s="136">
        <v>0</v>
      </c>
      <c r="T433" s="47">
        <v>0</v>
      </c>
      <c r="U433" s="81">
        <f t="shared" si="144"/>
        <v>0</v>
      </c>
      <c r="V433" s="47">
        <f t="shared" si="140"/>
        <v>0</v>
      </c>
      <c r="W433" s="47">
        <f t="shared" si="147"/>
        <v>0</v>
      </c>
      <c r="X433" s="47">
        <f t="shared" si="138"/>
        <v>0</v>
      </c>
      <c r="Y433" s="47">
        <v>0</v>
      </c>
      <c r="Z433" s="47">
        <f t="shared" si="139"/>
        <v>0</v>
      </c>
      <c r="AA433" s="47">
        <v>0</v>
      </c>
      <c r="AB433" s="47">
        <v>0</v>
      </c>
      <c r="AC433" s="71">
        <f t="shared" si="145"/>
        <v>0</v>
      </c>
      <c r="AD433" s="118">
        <f t="shared" si="146"/>
        <v>0</v>
      </c>
    </row>
    <row r="434" spans="1:30" s="49" customFormat="1" ht="12.75" hidden="1" x14ac:dyDescent="0.2">
      <c r="A434" s="94">
        <v>429</v>
      </c>
      <c r="B434" s="36"/>
      <c r="C434" s="148"/>
      <c r="D434" s="57"/>
      <c r="E434" s="79">
        <f t="shared" si="143"/>
        <v>0</v>
      </c>
      <c r="F434" s="80">
        <f t="shared" si="132"/>
        <v>0</v>
      </c>
      <c r="G434" s="47">
        <f t="shared" si="141"/>
        <v>0</v>
      </c>
      <c r="H434" s="47">
        <f t="shared" si="134"/>
        <v>0</v>
      </c>
      <c r="I434" s="47">
        <f t="shared" si="142"/>
        <v>0</v>
      </c>
      <c r="J434" s="47">
        <f t="shared" si="133"/>
        <v>0</v>
      </c>
      <c r="K434" s="47">
        <f t="shared" si="135"/>
        <v>0</v>
      </c>
      <c r="L434" s="47">
        <f t="shared" si="136"/>
        <v>0</v>
      </c>
      <c r="M434" s="47">
        <f t="shared" si="137"/>
        <v>0</v>
      </c>
      <c r="N434" s="80">
        <v>0</v>
      </c>
      <c r="O434" s="47">
        <v>0</v>
      </c>
      <c r="P434" s="47">
        <v>0</v>
      </c>
      <c r="Q434" s="47">
        <v>0</v>
      </c>
      <c r="R434" s="47">
        <v>0</v>
      </c>
      <c r="S434" s="136">
        <v>0</v>
      </c>
      <c r="T434" s="47">
        <v>0</v>
      </c>
      <c r="U434" s="81">
        <f t="shared" si="144"/>
        <v>0</v>
      </c>
      <c r="V434" s="47">
        <f t="shared" si="140"/>
        <v>0</v>
      </c>
      <c r="W434" s="47">
        <f t="shared" si="147"/>
        <v>0</v>
      </c>
      <c r="X434" s="47">
        <f t="shared" si="138"/>
        <v>0</v>
      </c>
      <c r="Y434" s="47">
        <v>0</v>
      </c>
      <c r="Z434" s="47">
        <f t="shared" si="139"/>
        <v>0</v>
      </c>
      <c r="AA434" s="47">
        <v>0</v>
      </c>
      <c r="AB434" s="47">
        <v>0</v>
      </c>
      <c r="AC434" s="71">
        <f t="shared" si="145"/>
        <v>0</v>
      </c>
      <c r="AD434" s="118">
        <f t="shared" si="146"/>
        <v>0</v>
      </c>
    </row>
    <row r="435" spans="1:30" s="49" customFormat="1" ht="12.75" hidden="1" x14ac:dyDescent="0.2">
      <c r="A435" s="94">
        <v>430</v>
      </c>
      <c r="B435" s="36"/>
      <c r="C435" s="148"/>
      <c r="D435" s="57"/>
      <c r="E435" s="79">
        <f t="shared" si="143"/>
        <v>0</v>
      </c>
      <c r="F435" s="80">
        <f t="shared" si="132"/>
        <v>0</v>
      </c>
      <c r="G435" s="47">
        <f t="shared" si="141"/>
        <v>0</v>
      </c>
      <c r="H435" s="47">
        <f t="shared" si="134"/>
        <v>0</v>
      </c>
      <c r="I435" s="47">
        <f t="shared" si="142"/>
        <v>0</v>
      </c>
      <c r="J435" s="47">
        <f t="shared" si="133"/>
        <v>0</v>
      </c>
      <c r="K435" s="47">
        <f t="shared" si="135"/>
        <v>0</v>
      </c>
      <c r="L435" s="47">
        <f t="shared" si="136"/>
        <v>0</v>
      </c>
      <c r="M435" s="47">
        <f t="shared" si="137"/>
        <v>0</v>
      </c>
      <c r="N435" s="80">
        <v>0</v>
      </c>
      <c r="O435" s="47">
        <v>0</v>
      </c>
      <c r="P435" s="47">
        <v>0</v>
      </c>
      <c r="Q435" s="47">
        <v>0</v>
      </c>
      <c r="R435" s="47">
        <v>0</v>
      </c>
      <c r="S435" s="136">
        <v>0</v>
      </c>
      <c r="T435" s="47">
        <v>0</v>
      </c>
      <c r="U435" s="81">
        <f t="shared" si="144"/>
        <v>0</v>
      </c>
      <c r="V435" s="47">
        <f t="shared" si="140"/>
        <v>0</v>
      </c>
      <c r="W435" s="47">
        <f t="shared" si="147"/>
        <v>0</v>
      </c>
      <c r="X435" s="47">
        <f t="shared" si="138"/>
        <v>0</v>
      </c>
      <c r="Y435" s="47">
        <v>0</v>
      </c>
      <c r="Z435" s="47">
        <f t="shared" si="139"/>
        <v>0</v>
      </c>
      <c r="AA435" s="47">
        <v>0</v>
      </c>
      <c r="AB435" s="47">
        <v>0</v>
      </c>
      <c r="AC435" s="71">
        <f t="shared" si="145"/>
        <v>0</v>
      </c>
      <c r="AD435" s="118">
        <f t="shared" si="146"/>
        <v>0</v>
      </c>
    </row>
    <row r="436" spans="1:30" s="49" customFormat="1" ht="12.75" hidden="1" x14ac:dyDescent="0.2">
      <c r="A436" s="94">
        <v>431</v>
      </c>
      <c r="B436" s="36"/>
      <c r="C436" s="148"/>
      <c r="D436" s="57"/>
      <c r="E436" s="79">
        <f t="shared" si="143"/>
        <v>0</v>
      </c>
      <c r="F436" s="80">
        <f t="shared" si="132"/>
        <v>0</v>
      </c>
      <c r="G436" s="47">
        <f t="shared" si="141"/>
        <v>0</v>
      </c>
      <c r="H436" s="47">
        <f t="shared" si="134"/>
        <v>0</v>
      </c>
      <c r="I436" s="47">
        <f t="shared" si="142"/>
        <v>0</v>
      </c>
      <c r="J436" s="47">
        <f t="shared" si="133"/>
        <v>0</v>
      </c>
      <c r="K436" s="47">
        <f t="shared" si="135"/>
        <v>0</v>
      </c>
      <c r="L436" s="47">
        <f t="shared" si="136"/>
        <v>0</v>
      </c>
      <c r="M436" s="47">
        <f t="shared" si="137"/>
        <v>0</v>
      </c>
      <c r="N436" s="80">
        <v>0</v>
      </c>
      <c r="O436" s="47">
        <v>0</v>
      </c>
      <c r="P436" s="47">
        <v>0</v>
      </c>
      <c r="Q436" s="47">
        <v>0</v>
      </c>
      <c r="R436" s="47">
        <v>0</v>
      </c>
      <c r="S436" s="136">
        <v>0</v>
      </c>
      <c r="T436" s="47">
        <v>0</v>
      </c>
      <c r="U436" s="81">
        <f t="shared" si="144"/>
        <v>0</v>
      </c>
      <c r="V436" s="47">
        <f t="shared" si="140"/>
        <v>0</v>
      </c>
      <c r="W436" s="47">
        <f t="shared" si="147"/>
        <v>0</v>
      </c>
      <c r="X436" s="47">
        <f t="shared" si="138"/>
        <v>0</v>
      </c>
      <c r="Y436" s="47">
        <v>0</v>
      </c>
      <c r="Z436" s="47">
        <f t="shared" si="139"/>
        <v>0</v>
      </c>
      <c r="AA436" s="47">
        <v>0</v>
      </c>
      <c r="AB436" s="47">
        <v>0</v>
      </c>
      <c r="AC436" s="71">
        <f t="shared" si="145"/>
        <v>0</v>
      </c>
      <c r="AD436" s="118">
        <f t="shared" si="146"/>
        <v>0</v>
      </c>
    </row>
    <row r="437" spans="1:30" s="49" customFormat="1" ht="12.75" hidden="1" x14ac:dyDescent="0.2">
      <c r="A437" s="94">
        <v>432</v>
      </c>
      <c r="B437" s="36"/>
      <c r="C437" s="148"/>
      <c r="D437" s="57"/>
      <c r="E437" s="79">
        <f t="shared" si="143"/>
        <v>0</v>
      </c>
      <c r="F437" s="80">
        <f t="shared" si="132"/>
        <v>0</v>
      </c>
      <c r="G437" s="47">
        <f t="shared" si="141"/>
        <v>0</v>
      </c>
      <c r="H437" s="47">
        <f t="shared" si="134"/>
        <v>0</v>
      </c>
      <c r="I437" s="47">
        <f t="shared" si="142"/>
        <v>0</v>
      </c>
      <c r="J437" s="47">
        <f t="shared" si="133"/>
        <v>0</v>
      </c>
      <c r="K437" s="47">
        <f t="shared" si="135"/>
        <v>0</v>
      </c>
      <c r="L437" s="47">
        <f t="shared" si="136"/>
        <v>0</v>
      </c>
      <c r="M437" s="47">
        <f t="shared" si="137"/>
        <v>0</v>
      </c>
      <c r="N437" s="80">
        <v>0</v>
      </c>
      <c r="O437" s="47">
        <v>0</v>
      </c>
      <c r="P437" s="47">
        <v>0</v>
      </c>
      <c r="Q437" s="47">
        <v>0</v>
      </c>
      <c r="R437" s="47">
        <v>0</v>
      </c>
      <c r="S437" s="136">
        <v>0</v>
      </c>
      <c r="T437" s="47">
        <v>0</v>
      </c>
      <c r="U437" s="81">
        <f t="shared" si="144"/>
        <v>0</v>
      </c>
      <c r="V437" s="47">
        <f t="shared" si="140"/>
        <v>0</v>
      </c>
      <c r="W437" s="47">
        <f t="shared" si="147"/>
        <v>0</v>
      </c>
      <c r="X437" s="47">
        <f t="shared" si="138"/>
        <v>0</v>
      </c>
      <c r="Y437" s="47">
        <v>0</v>
      </c>
      <c r="Z437" s="47">
        <f t="shared" si="139"/>
        <v>0</v>
      </c>
      <c r="AA437" s="47">
        <v>0</v>
      </c>
      <c r="AB437" s="47">
        <v>0</v>
      </c>
      <c r="AC437" s="71">
        <f t="shared" si="145"/>
        <v>0</v>
      </c>
      <c r="AD437" s="118">
        <f t="shared" si="146"/>
        <v>0</v>
      </c>
    </row>
    <row r="438" spans="1:30" s="49" customFormat="1" ht="12.75" hidden="1" x14ac:dyDescent="0.2">
      <c r="A438" s="94">
        <v>433</v>
      </c>
      <c r="B438" s="36"/>
      <c r="C438" s="148"/>
      <c r="D438" s="57"/>
      <c r="E438" s="79">
        <f t="shared" si="143"/>
        <v>0</v>
      </c>
      <c r="F438" s="80">
        <f t="shared" si="132"/>
        <v>0</v>
      </c>
      <c r="G438" s="47">
        <f t="shared" si="141"/>
        <v>0</v>
      </c>
      <c r="H438" s="47">
        <f t="shared" si="134"/>
        <v>0</v>
      </c>
      <c r="I438" s="47">
        <f t="shared" si="142"/>
        <v>0</v>
      </c>
      <c r="J438" s="47">
        <f t="shared" si="133"/>
        <v>0</v>
      </c>
      <c r="K438" s="47">
        <f t="shared" si="135"/>
        <v>0</v>
      </c>
      <c r="L438" s="47">
        <f t="shared" si="136"/>
        <v>0</v>
      </c>
      <c r="M438" s="47">
        <f t="shared" si="137"/>
        <v>0</v>
      </c>
      <c r="N438" s="80">
        <v>0</v>
      </c>
      <c r="O438" s="47">
        <v>0</v>
      </c>
      <c r="P438" s="47">
        <v>0</v>
      </c>
      <c r="Q438" s="47">
        <v>0</v>
      </c>
      <c r="R438" s="47">
        <v>0</v>
      </c>
      <c r="S438" s="136">
        <v>0</v>
      </c>
      <c r="T438" s="47">
        <v>0</v>
      </c>
      <c r="U438" s="81">
        <f t="shared" si="144"/>
        <v>0</v>
      </c>
      <c r="V438" s="47">
        <f t="shared" si="140"/>
        <v>0</v>
      </c>
      <c r="W438" s="47">
        <f t="shared" si="147"/>
        <v>0</v>
      </c>
      <c r="X438" s="47">
        <f t="shared" si="138"/>
        <v>0</v>
      </c>
      <c r="Y438" s="47">
        <v>0</v>
      </c>
      <c r="Z438" s="47">
        <f t="shared" si="139"/>
        <v>0</v>
      </c>
      <c r="AA438" s="47">
        <v>0</v>
      </c>
      <c r="AB438" s="47">
        <v>0</v>
      </c>
      <c r="AC438" s="71">
        <f t="shared" si="145"/>
        <v>0</v>
      </c>
      <c r="AD438" s="118">
        <f t="shared" si="146"/>
        <v>0</v>
      </c>
    </row>
    <row r="439" spans="1:30" s="49" customFormat="1" ht="12.75" hidden="1" x14ac:dyDescent="0.2">
      <c r="A439" s="94">
        <v>434</v>
      </c>
      <c r="B439" s="36"/>
      <c r="C439" s="148"/>
      <c r="D439" s="57"/>
      <c r="E439" s="79">
        <f t="shared" si="143"/>
        <v>0</v>
      </c>
      <c r="F439" s="80">
        <f t="shared" si="132"/>
        <v>0</v>
      </c>
      <c r="G439" s="47">
        <f t="shared" si="141"/>
        <v>0</v>
      </c>
      <c r="H439" s="47">
        <f t="shared" si="134"/>
        <v>0</v>
      </c>
      <c r="I439" s="47">
        <f t="shared" si="142"/>
        <v>0</v>
      </c>
      <c r="J439" s="47">
        <f t="shared" si="133"/>
        <v>0</v>
      </c>
      <c r="K439" s="47">
        <f t="shared" si="135"/>
        <v>0</v>
      </c>
      <c r="L439" s="47">
        <f t="shared" si="136"/>
        <v>0</v>
      </c>
      <c r="M439" s="47">
        <f t="shared" si="137"/>
        <v>0</v>
      </c>
      <c r="N439" s="80">
        <v>0</v>
      </c>
      <c r="O439" s="47">
        <v>0</v>
      </c>
      <c r="P439" s="47">
        <v>0</v>
      </c>
      <c r="Q439" s="47">
        <v>0</v>
      </c>
      <c r="R439" s="47">
        <v>0</v>
      </c>
      <c r="S439" s="136">
        <v>0</v>
      </c>
      <c r="T439" s="47">
        <v>0</v>
      </c>
      <c r="U439" s="81">
        <f t="shared" si="144"/>
        <v>0</v>
      </c>
      <c r="V439" s="47">
        <f t="shared" si="140"/>
        <v>0</v>
      </c>
      <c r="W439" s="47">
        <f t="shared" si="147"/>
        <v>0</v>
      </c>
      <c r="X439" s="47">
        <f t="shared" si="138"/>
        <v>0</v>
      </c>
      <c r="Y439" s="47">
        <v>0</v>
      </c>
      <c r="Z439" s="47">
        <f t="shared" si="139"/>
        <v>0</v>
      </c>
      <c r="AA439" s="47">
        <v>0</v>
      </c>
      <c r="AB439" s="47">
        <v>0</v>
      </c>
      <c r="AC439" s="71">
        <f t="shared" si="145"/>
        <v>0</v>
      </c>
      <c r="AD439" s="118">
        <f t="shared" si="146"/>
        <v>0</v>
      </c>
    </row>
    <row r="440" spans="1:30" s="49" customFormat="1" ht="12.75" hidden="1" x14ac:dyDescent="0.2">
      <c r="A440" s="94">
        <v>435</v>
      </c>
      <c r="B440" s="36"/>
      <c r="C440" s="148"/>
      <c r="D440" s="57"/>
      <c r="E440" s="79">
        <f t="shared" si="143"/>
        <v>0</v>
      </c>
      <c r="F440" s="80">
        <f t="shared" si="132"/>
        <v>0</v>
      </c>
      <c r="G440" s="47">
        <f t="shared" si="141"/>
        <v>0</v>
      </c>
      <c r="H440" s="47">
        <f t="shared" si="134"/>
        <v>0</v>
      </c>
      <c r="I440" s="47">
        <f t="shared" si="142"/>
        <v>0</v>
      </c>
      <c r="J440" s="47">
        <f t="shared" si="133"/>
        <v>0</v>
      </c>
      <c r="K440" s="47">
        <f t="shared" si="135"/>
        <v>0</v>
      </c>
      <c r="L440" s="47">
        <f t="shared" si="136"/>
        <v>0</v>
      </c>
      <c r="M440" s="47">
        <f t="shared" si="137"/>
        <v>0</v>
      </c>
      <c r="N440" s="80">
        <v>0</v>
      </c>
      <c r="O440" s="47">
        <v>0</v>
      </c>
      <c r="P440" s="47">
        <v>0</v>
      </c>
      <c r="Q440" s="47">
        <v>0</v>
      </c>
      <c r="R440" s="47">
        <v>0</v>
      </c>
      <c r="S440" s="136">
        <v>0</v>
      </c>
      <c r="T440" s="47">
        <v>0</v>
      </c>
      <c r="U440" s="81">
        <f t="shared" si="144"/>
        <v>0</v>
      </c>
      <c r="V440" s="47">
        <f t="shared" si="140"/>
        <v>0</v>
      </c>
      <c r="W440" s="47">
        <f t="shared" si="147"/>
        <v>0</v>
      </c>
      <c r="X440" s="47">
        <f t="shared" si="138"/>
        <v>0</v>
      </c>
      <c r="Y440" s="47">
        <v>0</v>
      </c>
      <c r="Z440" s="47">
        <f t="shared" si="139"/>
        <v>0</v>
      </c>
      <c r="AA440" s="47">
        <v>0</v>
      </c>
      <c r="AB440" s="47">
        <v>0</v>
      </c>
      <c r="AC440" s="71">
        <f t="shared" si="145"/>
        <v>0</v>
      </c>
      <c r="AD440" s="118">
        <f t="shared" si="146"/>
        <v>0</v>
      </c>
    </row>
    <row r="441" spans="1:30" s="49" customFormat="1" ht="12.75" hidden="1" x14ac:dyDescent="0.2">
      <c r="A441" s="94">
        <v>436</v>
      </c>
      <c r="B441" s="36"/>
      <c r="C441" s="148"/>
      <c r="D441" s="57"/>
      <c r="E441" s="79">
        <f t="shared" si="143"/>
        <v>0</v>
      </c>
      <c r="F441" s="80">
        <f t="shared" si="132"/>
        <v>0</v>
      </c>
      <c r="G441" s="47">
        <f t="shared" si="141"/>
        <v>0</v>
      </c>
      <c r="H441" s="47">
        <f t="shared" si="134"/>
        <v>0</v>
      </c>
      <c r="I441" s="47">
        <f t="shared" si="142"/>
        <v>0</v>
      </c>
      <c r="J441" s="47">
        <f t="shared" si="133"/>
        <v>0</v>
      </c>
      <c r="K441" s="47">
        <f t="shared" si="135"/>
        <v>0</v>
      </c>
      <c r="L441" s="47">
        <f t="shared" si="136"/>
        <v>0</v>
      </c>
      <c r="M441" s="47">
        <f t="shared" si="137"/>
        <v>0</v>
      </c>
      <c r="N441" s="80">
        <v>0</v>
      </c>
      <c r="O441" s="47">
        <v>0</v>
      </c>
      <c r="P441" s="47">
        <v>0</v>
      </c>
      <c r="Q441" s="47">
        <v>0</v>
      </c>
      <c r="R441" s="47">
        <v>0</v>
      </c>
      <c r="S441" s="136">
        <v>0</v>
      </c>
      <c r="T441" s="47">
        <v>0</v>
      </c>
      <c r="U441" s="81">
        <f t="shared" si="144"/>
        <v>0</v>
      </c>
      <c r="V441" s="47">
        <f t="shared" si="140"/>
        <v>0</v>
      </c>
      <c r="W441" s="47">
        <f t="shared" si="147"/>
        <v>0</v>
      </c>
      <c r="X441" s="47">
        <f t="shared" si="138"/>
        <v>0</v>
      </c>
      <c r="Y441" s="47">
        <v>0</v>
      </c>
      <c r="Z441" s="47">
        <f t="shared" si="139"/>
        <v>0</v>
      </c>
      <c r="AA441" s="47">
        <v>0</v>
      </c>
      <c r="AB441" s="47">
        <v>0</v>
      </c>
      <c r="AC441" s="71">
        <f t="shared" si="145"/>
        <v>0</v>
      </c>
      <c r="AD441" s="118">
        <f t="shared" si="146"/>
        <v>0</v>
      </c>
    </row>
    <row r="442" spans="1:30" s="49" customFormat="1" ht="12.75" hidden="1" x14ac:dyDescent="0.2">
      <c r="A442" s="94">
        <v>437</v>
      </c>
      <c r="B442" s="36"/>
      <c r="C442" s="148"/>
      <c r="D442" s="57"/>
      <c r="E442" s="79">
        <f t="shared" si="143"/>
        <v>0</v>
      </c>
      <c r="F442" s="80">
        <f t="shared" si="132"/>
        <v>0</v>
      </c>
      <c r="G442" s="47">
        <f t="shared" si="141"/>
        <v>0</v>
      </c>
      <c r="H442" s="47">
        <f t="shared" si="134"/>
        <v>0</v>
      </c>
      <c r="I442" s="47">
        <f t="shared" si="142"/>
        <v>0</v>
      </c>
      <c r="J442" s="47">
        <f t="shared" si="133"/>
        <v>0</v>
      </c>
      <c r="K442" s="47">
        <f t="shared" si="135"/>
        <v>0</v>
      </c>
      <c r="L442" s="47">
        <f t="shared" si="136"/>
        <v>0</v>
      </c>
      <c r="M442" s="47">
        <f t="shared" si="137"/>
        <v>0</v>
      </c>
      <c r="N442" s="80">
        <v>0</v>
      </c>
      <c r="O442" s="47">
        <v>0</v>
      </c>
      <c r="P442" s="47">
        <v>0</v>
      </c>
      <c r="Q442" s="47">
        <v>0</v>
      </c>
      <c r="R442" s="47">
        <v>0</v>
      </c>
      <c r="S442" s="136">
        <v>0</v>
      </c>
      <c r="T442" s="47">
        <v>0</v>
      </c>
      <c r="U442" s="81">
        <f t="shared" si="144"/>
        <v>0</v>
      </c>
      <c r="V442" s="47">
        <f t="shared" si="140"/>
        <v>0</v>
      </c>
      <c r="W442" s="47">
        <f t="shared" si="147"/>
        <v>0</v>
      </c>
      <c r="X442" s="47">
        <f t="shared" si="138"/>
        <v>0</v>
      </c>
      <c r="Y442" s="47">
        <v>0</v>
      </c>
      <c r="Z442" s="47">
        <f t="shared" si="139"/>
        <v>0</v>
      </c>
      <c r="AA442" s="47">
        <v>0</v>
      </c>
      <c r="AB442" s="47">
        <v>0</v>
      </c>
      <c r="AC442" s="71">
        <f t="shared" si="145"/>
        <v>0</v>
      </c>
      <c r="AD442" s="118">
        <f t="shared" si="146"/>
        <v>0</v>
      </c>
    </row>
    <row r="443" spans="1:30" s="49" customFormat="1" ht="12.75" hidden="1" x14ac:dyDescent="0.2">
      <c r="A443" s="94">
        <v>438</v>
      </c>
      <c r="B443" s="36"/>
      <c r="C443" s="148"/>
      <c r="D443" s="57"/>
      <c r="E443" s="79">
        <f t="shared" si="143"/>
        <v>0</v>
      </c>
      <c r="F443" s="80">
        <f t="shared" si="132"/>
        <v>0</v>
      </c>
      <c r="G443" s="47">
        <f t="shared" si="141"/>
        <v>0</v>
      </c>
      <c r="H443" s="47">
        <f t="shared" si="134"/>
        <v>0</v>
      </c>
      <c r="I443" s="47">
        <f t="shared" si="142"/>
        <v>0</v>
      </c>
      <c r="J443" s="47">
        <f t="shared" si="133"/>
        <v>0</v>
      </c>
      <c r="K443" s="47">
        <f t="shared" si="135"/>
        <v>0</v>
      </c>
      <c r="L443" s="47">
        <f t="shared" si="136"/>
        <v>0</v>
      </c>
      <c r="M443" s="47">
        <f t="shared" si="137"/>
        <v>0</v>
      </c>
      <c r="N443" s="80">
        <v>0</v>
      </c>
      <c r="O443" s="47">
        <v>0</v>
      </c>
      <c r="P443" s="47">
        <v>0</v>
      </c>
      <c r="Q443" s="47">
        <v>0</v>
      </c>
      <c r="R443" s="47">
        <v>0</v>
      </c>
      <c r="S443" s="136">
        <v>0</v>
      </c>
      <c r="T443" s="47">
        <v>0</v>
      </c>
      <c r="U443" s="81">
        <f t="shared" si="144"/>
        <v>0</v>
      </c>
      <c r="V443" s="47">
        <f t="shared" si="140"/>
        <v>0</v>
      </c>
      <c r="W443" s="47">
        <f t="shared" si="147"/>
        <v>0</v>
      </c>
      <c r="X443" s="47">
        <f t="shared" si="138"/>
        <v>0</v>
      </c>
      <c r="Y443" s="47">
        <v>0</v>
      </c>
      <c r="Z443" s="47">
        <f t="shared" si="139"/>
        <v>0</v>
      </c>
      <c r="AA443" s="47">
        <v>0</v>
      </c>
      <c r="AB443" s="47">
        <v>0</v>
      </c>
      <c r="AC443" s="71">
        <f t="shared" si="145"/>
        <v>0</v>
      </c>
      <c r="AD443" s="118">
        <f t="shared" si="146"/>
        <v>0</v>
      </c>
    </row>
    <row r="444" spans="1:30" s="49" customFormat="1" ht="12.75" hidden="1" x14ac:dyDescent="0.2">
      <c r="A444" s="94">
        <v>439</v>
      </c>
      <c r="B444" s="36"/>
      <c r="C444" s="148"/>
      <c r="D444" s="57"/>
      <c r="E444" s="79">
        <f t="shared" si="143"/>
        <v>0</v>
      </c>
      <c r="F444" s="80">
        <f t="shared" si="132"/>
        <v>0</v>
      </c>
      <c r="G444" s="47">
        <f t="shared" si="141"/>
        <v>0</v>
      </c>
      <c r="H444" s="47">
        <f t="shared" si="134"/>
        <v>0</v>
      </c>
      <c r="I444" s="47">
        <f t="shared" si="142"/>
        <v>0</v>
      </c>
      <c r="J444" s="47">
        <f t="shared" si="133"/>
        <v>0</v>
      </c>
      <c r="K444" s="47">
        <f t="shared" si="135"/>
        <v>0</v>
      </c>
      <c r="L444" s="47">
        <f t="shared" si="136"/>
        <v>0</v>
      </c>
      <c r="M444" s="47">
        <f t="shared" si="137"/>
        <v>0</v>
      </c>
      <c r="N444" s="80">
        <v>0</v>
      </c>
      <c r="O444" s="47">
        <v>0</v>
      </c>
      <c r="P444" s="47">
        <v>0</v>
      </c>
      <c r="Q444" s="47">
        <v>0</v>
      </c>
      <c r="R444" s="47">
        <v>0</v>
      </c>
      <c r="S444" s="136">
        <v>0</v>
      </c>
      <c r="T444" s="47">
        <v>0</v>
      </c>
      <c r="U444" s="81">
        <f t="shared" si="144"/>
        <v>0</v>
      </c>
      <c r="V444" s="47">
        <f t="shared" si="140"/>
        <v>0</v>
      </c>
      <c r="W444" s="47">
        <f t="shared" si="147"/>
        <v>0</v>
      </c>
      <c r="X444" s="47">
        <f t="shared" si="138"/>
        <v>0</v>
      </c>
      <c r="Y444" s="47">
        <v>0</v>
      </c>
      <c r="Z444" s="47">
        <f t="shared" si="139"/>
        <v>0</v>
      </c>
      <c r="AA444" s="47">
        <v>0</v>
      </c>
      <c r="AB444" s="47">
        <v>0</v>
      </c>
      <c r="AC444" s="71">
        <f t="shared" si="145"/>
        <v>0</v>
      </c>
      <c r="AD444" s="118">
        <f t="shared" si="146"/>
        <v>0</v>
      </c>
    </row>
    <row r="445" spans="1:30" s="49" customFormat="1" ht="12.75" hidden="1" x14ac:dyDescent="0.2">
      <c r="A445" s="94">
        <v>440</v>
      </c>
      <c r="B445" s="36"/>
      <c r="C445" s="148"/>
      <c r="D445" s="57"/>
      <c r="E445" s="79">
        <f t="shared" si="143"/>
        <v>0</v>
      </c>
      <c r="F445" s="80">
        <f t="shared" si="132"/>
        <v>0</v>
      </c>
      <c r="G445" s="47">
        <f t="shared" si="141"/>
        <v>0</v>
      </c>
      <c r="H445" s="47">
        <f t="shared" si="134"/>
        <v>0</v>
      </c>
      <c r="I445" s="47">
        <f t="shared" si="142"/>
        <v>0</v>
      </c>
      <c r="J445" s="47">
        <f t="shared" si="133"/>
        <v>0</v>
      </c>
      <c r="K445" s="47">
        <f t="shared" si="135"/>
        <v>0</v>
      </c>
      <c r="L445" s="47">
        <f t="shared" si="136"/>
        <v>0</v>
      </c>
      <c r="M445" s="47">
        <f t="shared" si="137"/>
        <v>0</v>
      </c>
      <c r="N445" s="80">
        <v>0</v>
      </c>
      <c r="O445" s="47">
        <v>0</v>
      </c>
      <c r="P445" s="47">
        <v>0</v>
      </c>
      <c r="Q445" s="47">
        <v>0</v>
      </c>
      <c r="R445" s="47">
        <v>0</v>
      </c>
      <c r="S445" s="136">
        <v>0</v>
      </c>
      <c r="T445" s="47">
        <v>0</v>
      </c>
      <c r="U445" s="81">
        <f t="shared" si="144"/>
        <v>0</v>
      </c>
      <c r="V445" s="47">
        <f t="shared" si="140"/>
        <v>0</v>
      </c>
      <c r="W445" s="47">
        <f t="shared" si="147"/>
        <v>0</v>
      </c>
      <c r="X445" s="47">
        <f t="shared" si="138"/>
        <v>0</v>
      </c>
      <c r="Y445" s="47">
        <v>0</v>
      </c>
      <c r="Z445" s="47">
        <f t="shared" si="139"/>
        <v>0</v>
      </c>
      <c r="AA445" s="47">
        <v>0</v>
      </c>
      <c r="AB445" s="47">
        <v>0</v>
      </c>
      <c r="AC445" s="71">
        <f t="shared" si="145"/>
        <v>0</v>
      </c>
      <c r="AD445" s="118">
        <f t="shared" si="146"/>
        <v>0</v>
      </c>
    </row>
    <row r="446" spans="1:30" s="49" customFormat="1" ht="12.75" hidden="1" x14ac:dyDescent="0.2">
      <c r="A446" s="94">
        <v>441</v>
      </c>
      <c r="B446" s="36"/>
      <c r="C446" s="148"/>
      <c r="D446" s="57"/>
      <c r="E446" s="79">
        <f t="shared" si="143"/>
        <v>0</v>
      </c>
      <c r="F446" s="80">
        <f t="shared" si="132"/>
        <v>0</v>
      </c>
      <c r="G446" s="47">
        <f t="shared" si="141"/>
        <v>0</v>
      </c>
      <c r="H446" s="47">
        <f t="shared" si="134"/>
        <v>0</v>
      </c>
      <c r="I446" s="47">
        <f t="shared" si="142"/>
        <v>0</v>
      </c>
      <c r="J446" s="47">
        <f t="shared" si="133"/>
        <v>0</v>
      </c>
      <c r="K446" s="47">
        <f t="shared" si="135"/>
        <v>0</v>
      </c>
      <c r="L446" s="47">
        <f t="shared" si="136"/>
        <v>0</v>
      </c>
      <c r="M446" s="47">
        <f t="shared" si="137"/>
        <v>0</v>
      </c>
      <c r="N446" s="80">
        <v>0</v>
      </c>
      <c r="O446" s="47">
        <v>0</v>
      </c>
      <c r="P446" s="47">
        <v>0</v>
      </c>
      <c r="Q446" s="47">
        <v>0</v>
      </c>
      <c r="R446" s="47">
        <v>0</v>
      </c>
      <c r="S446" s="136">
        <v>0</v>
      </c>
      <c r="T446" s="47">
        <v>0</v>
      </c>
      <c r="U446" s="81">
        <f t="shared" si="144"/>
        <v>0</v>
      </c>
      <c r="V446" s="47">
        <f t="shared" si="140"/>
        <v>0</v>
      </c>
      <c r="W446" s="47">
        <f t="shared" si="147"/>
        <v>0</v>
      </c>
      <c r="X446" s="47">
        <f t="shared" si="138"/>
        <v>0</v>
      </c>
      <c r="Y446" s="47">
        <v>0</v>
      </c>
      <c r="Z446" s="47">
        <f t="shared" si="139"/>
        <v>0</v>
      </c>
      <c r="AA446" s="47">
        <v>0</v>
      </c>
      <c r="AB446" s="47">
        <v>0</v>
      </c>
      <c r="AC446" s="71">
        <f t="shared" si="145"/>
        <v>0</v>
      </c>
      <c r="AD446" s="118">
        <f t="shared" si="146"/>
        <v>0</v>
      </c>
    </row>
    <row r="447" spans="1:30" s="49" customFormat="1" ht="12.75" hidden="1" x14ac:dyDescent="0.2">
      <c r="A447" s="94">
        <v>442</v>
      </c>
      <c r="B447" s="36"/>
      <c r="C447" s="148"/>
      <c r="D447" s="57"/>
      <c r="E447" s="79">
        <f t="shared" si="143"/>
        <v>0</v>
      </c>
      <c r="F447" s="80">
        <f t="shared" si="132"/>
        <v>0</v>
      </c>
      <c r="G447" s="47">
        <f t="shared" si="141"/>
        <v>0</v>
      </c>
      <c r="H447" s="47">
        <f t="shared" si="134"/>
        <v>0</v>
      </c>
      <c r="I447" s="47">
        <f t="shared" si="142"/>
        <v>0</v>
      </c>
      <c r="J447" s="47">
        <f t="shared" si="133"/>
        <v>0</v>
      </c>
      <c r="K447" s="47">
        <f t="shared" si="135"/>
        <v>0</v>
      </c>
      <c r="L447" s="47">
        <f t="shared" si="136"/>
        <v>0</v>
      </c>
      <c r="M447" s="47">
        <f t="shared" si="137"/>
        <v>0</v>
      </c>
      <c r="N447" s="80">
        <v>0</v>
      </c>
      <c r="O447" s="47">
        <v>0</v>
      </c>
      <c r="P447" s="47">
        <v>0</v>
      </c>
      <c r="Q447" s="47">
        <v>0</v>
      </c>
      <c r="R447" s="47">
        <v>0</v>
      </c>
      <c r="S447" s="136">
        <v>0</v>
      </c>
      <c r="T447" s="47">
        <v>0</v>
      </c>
      <c r="U447" s="81">
        <f t="shared" si="144"/>
        <v>0</v>
      </c>
      <c r="V447" s="47">
        <f t="shared" si="140"/>
        <v>0</v>
      </c>
      <c r="W447" s="47">
        <f t="shared" si="147"/>
        <v>0</v>
      </c>
      <c r="X447" s="47">
        <f t="shared" si="138"/>
        <v>0</v>
      </c>
      <c r="Y447" s="47">
        <v>0</v>
      </c>
      <c r="Z447" s="47">
        <f t="shared" si="139"/>
        <v>0</v>
      </c>
      <c r="AA447" s="47">
        <v>0</v>
      </c>
      <c r="AB447" s="47">
        <v>0</v>
      </c>
      <c r="AC447" s="71">
        <f t="shared" si="145"/>
        <v>0</v>
      </c>
      <c r="AD447" s="118">
        <f t="shared" si="146"/>
        <v>0</v>
      </c>
    </row>
    <row r="448" spans="1:30" s="49" customFormat="1" ht="12.75" hidden="1" x14ac:dyDescent="0.2">
      <c r="A448" s="94">
        <v>443</v>
      </c>
      <c r="B448" s="36"/>
      <c r="C448" s="148"/>
      <c r="D448" s="57"/>
      <c r="E448" s="79">
        <f t="shared" si="143"/>
        <v>0</v>
      </c>
      <c r="F448" s="80">
        <f t="shared" si="132"/>
        <v>0</v>
      </c>
      <c r="G448" s="47">
        <f t="shared" si="141"/>
        <v>0</v>
      </c>
      <c r="H448" s="47">
        <f t="shared" si="134"/>
        <v>0</v>
      </c>
      <c r="I448" s="47">
        <f t="shared" si="142"/>
        <v>0</v>
      </c>
      <c r="J448" s="47">
        <f t="shared" si="133"/>
        <v>0</v>
      </c>
      <c r="K448" s="47">
        <f t="shared" si="135"/>
        <v>0</v>
      </c>
      <c r="L448" s="47">
        <f t="shared" si="136"/>
        <v>0</v>
      </c>
      <c r="M448" s="47">
        <f t="shared" si="137"/>
        <v>0</v>
      </c>
      <c r="N448" s="80">
        <v>0</v>
      </c>
      <c r="O448" s="47">
        <v>0</v>
      </c>
      <c r="P448" s="47">
        <v>0</v>
      </c>
      <c r="Q448" s="47">
        <v>0</v>
      </c>
      <c r="R448" s="47">
        <v>0</v>
      </c>
      <c r="S448" s="136">
        <v>0</v>
      </c>
      <c r="T448" s="47">
        <v>0</v>
      </c>
      <c r="U448" s="81">
        <f t="shared" si="144"/>
        <v>0</v>
      </c>
      <c r="V448" s="47">
        <f t="shared" si="140"/>
        <v>0</v>
      </c>
      <c r="W448" s="47">
        <f t="shared" si="147"/>
        <v>0</v>
      </c>
      <c r="X448" s="47">
        <f t="shared" si="138"/>
        <v>0</v>
      </c>
      <c r="Y448" s="47">
        <v>0</v>
      </c>
      <c r="Z448" s="47">
        <f t="shared" si="139"/>
        <v>0</v>
      </c>
      <c r="AA448" s="47">
        <v>0</v>
      </c>
      <c r="AB448" s="47">
        <v>0</v>
      </c>
      <c r="AC448" s="71">
        <f t="shared" si="145"/>
        <v>0</v>
      </c>
      <c r="AD448" s="118">
        <f t="shared" si="146"/>
        <v>0</v>
      </c>
    </row>
    <row r="449" spans="1:30" s="49" customFormat="1" ht="12.75" hidden="1" x14ac:dyDescent="0.2">
      <c r="A449" s="94">
        <v>444</v>
      </c>
      <c r="B449" s="36"/>
      <c r="C449" s="148"/>
      <c r="D449" s="57"/>
      <c r="E449" s="79">
        <f t="shared" si="143"/>
        <v>0</v>
      </c>
      <c r="F449" s="80">
        <f t="shared" si="132"/>
        <v>0</v>
      </c>
      <c r="G449" s="47">
        <f t="shared" si="141"/>
        <v>0</v>
      </c>
      <c r="H449" s="47">
        <f t="shared" si="134"/>
        <v>0</v>
      </c>
      <c r="I449" s="47">
        <f t="shared" si="142"/>
        <v>0</v>
      </c>
      <c r="J449" s="47">
        <f t="shared" si="133"/>
        <v>0</v>
      </c>
      <c r="K449" s="47">
        <f t="shared" si="135"/>
        <v>0</v>
      </c>
      <c r="L449" s="47">
        <f t="shared" si="136"/>
        <v>0</v>
      </c>
      <c r="M449" s="47">
        <f t="shared" si="137"/>
        <v>0</v>
      </c>
      <c r="N449" s="80">
        <v>0</v>
      </c>
      <c r="O449" s="47">
        <v>0</v>
      </c>
      <c r="P449" s="47">
        <v>0</v>
      </c>
      <c r="Q449" s="47">
        <v>0</v>
      </c>
      <c r="R449" s="47">
        <v>0</v>
      </c>
      <c r="S449" s="136">
        <v>0</v>
      </c>
      <c r="T449" s="47">
        <v>0</v>
      </c>
      <c r="U449" s="81">
        <f t="shared" si="144"/>
        <v>0</v>
      </c>
      <c r="V449" s="47">
        <f t="shared" si="140"/>
        <v>0</v>
      </c>
      <c r="W449" s="47">
        <f t="shared" si="147"/>
        <v>0</v>
      </c>
      <c r="X449" s="47">
        <f t="shared" si="138"/>
        <v>0</v>
      </c>
      <c r="Y449" s="47">
        <v>0</v>
      </c>
      <c r="Z449" s="47">
        <f t="shared" si="139"/>
        <v>0</v>
      </c>
      <c r="AA449" s="47">
        <v>0</v>
      </c>
      <c r="AB449" s="47">
        <v>0</v>
      </c>
      <c r="AC449" s="71">
        <f t="shared" si="145"/>
        <v>0</v>
      </c>
      <c r="AD449" s="118">
        <f t="shared" si="146"/>
        <v>0</v>
      </c>
    </row>
    <row r="450" spans="1:30" s="49" customFormat="1" ht="12.75" hidden="1" x14ac:dyDescent="0.2">
      <c r="A450" s="94">
        <v>445</v>
      </c>
      <c r="B450" s="36"/>
      <c r="C450" s="148"/>
      <c r="D450" s="57"/>
      <c r="E450" s="79">
        <f t="shared" si="143"/>
        <v>0</v>
      </c>
      <c r="F450" s="80">
        <f t="shared" si="132"/>
        <v>0</v>
      </c>
      <c r="G450" s="47">
        <f t="shared" si="141"/>
        <v>0</v>
      </c>
      <c r="H450" s="47">
        <f t="shared" si="134"/>
        <v>0</v>
      </c>
      <c r="I450" s="47">
        <f t="shared" si="142"/>
        <v>0</v>
      </c>
      <c r="J450" s="47">
        <f t="shared" si="133"/>
        <v>0</v>
      </c>
      <c r="K450" s="47">
        <f t="shared" si="135"/>
        <v>0</v>
      </c>
      <c r="L450" s="47">
        <f t="shared" si="136"/>
        <v>0</v>
      </c>
      <c r="M450" s="47">
        <f t="shared" si="137"/>
        <v>0</v>
      </c>
      <c r="N450" s="80">
        <v>0</v>
      </c>
      <c r="O450" s="47">
        <v>0</v>
      </c>
      <c r="P450" s="47">
        <v>0</v>
      </c>
      <c r="Q450" s="47">
        <v>0</v>
      </c>
      <c r="R450" s="47">
        <v>0</v>
      </c>
      <c r="S450" s="136">
        <v>0</v>
      </c>
      <c r="T450" s="47">
        <v>0</v>
      </c>
      <c r="U450" s="81">
        <f t="shared" si="144"/>
        <v>0</v>
      </c>
      <c r="V450" s="47">
        <f t="shared" si="140"/>
        <v>0</v>
      </c>
      <c r="W450" s="47">
        <f t="shared" si="147"/>
        <v>0</v>
      </c>
      <c r="X450" s="47">
        <f t="shared" si="138"/>
        <v>0</v>
      </c>
      <c r="Y450" s="47">
        <v>0</v>
      </c>
      <c r="Z450" s="47">
        <f t="shared" si="139"/>
        <v>0</v>
      </c>
      <c r="AA450" s="47">
        <v>0</v>
      </c>
      <c r="AB450" s="47">
        <v>0</v>
      </c>
      <c r="AC450" s="71">
        <f t="shared" si="145"/>
        <v>0</v>
      </c>
      <c r="AD450" s="118">
        <f t="shared" si="146"/>
        <v>0</v>
      </c>
    </row>
    <row r="451" spans="1:30" s="49" customFormat="1" ht="12.75" hidden="1" x14ac:dyDescent="0.2">
      <c r="A451" s="94">
        <v>446</v>
      </c>
      <c r="B451" s="36"/>
      <c r="C451" s="148"/>
      <c r="D451" s="57"/>
      <c r="E451" s="79">
        <f t="shared" si="143"/>
        <v>0</v>
      </c>
      <c r="F451" s="80">
        <f t="shared" si="132"/>
        <v>0</v>
      </c>
      <c r="G451" s="47">
        <f t="shared" si="141"/>
        <v>0</v>
      </c>
      <c r="H451" s="47">
        <f t="shared" si="134"/>
        <v>0</v>
      </c>
      <c r="I451" s="47">
        <f t="shared" si="142"/>
        <v>0</v>
      </c>
      <c r="J451" s="47">
        <f t="shared" si="133"/>
        <v>0</v>
      </c>
      <c r="K451" s="47">
        <f t="shared" si="135"/>
        <v>0</v>
      </c>
      <c r="L451" s="47">
        <f t="shared" si="136"/>
        <v>0</v>
      </c>
      <c r="M451" s="47">
        <f t="shared" si="137"/>
        <v>0</v>
      </c>
      <c r="N451" s="80">
        <v>0</v>
      </c>
      <c r="O451" s="47">
        <v>0</v>
      </c>
      <c r="P451" s="47">
        <v>0</v>
      </c>
      <c r="Q451" s="47">
        <v>0</v>
      </c>
      <c r="R451" s="47">
        <v>0</v>
      </c>
      <c r="S451" s="136">
        <v>0</v>
      </c>
      <c r="T451" s="47">
        <v>0</v>
      </c>
      <c r="U451" s="81">
        <f t="shared" si="144"/>
        <v>0</v>
      </c>
      <c r="V451" s="47">
        <f t="shared" si="140"/>
        <v>0</v>
      </c>
      <c r="W451" s="47">
        <f t="shared" si="147"/>
        <v>0</v>
      </c>
      <c r="X451" s="47">
        <f t="shared" si="138"/>
        <v>0</v>
      </c>
      <c r="Y451" s="47">
        <v>0</v>
      </c>
      <c r="Z451" s="47">
        <f t="shared" si="139"/>
        <v>0</v>
      </c>
      <c r="AA451" s="47">
        <v>0</v>
      </c>
      <c r="AB451" s="47">
        <v>0</v>
      </c>
      <c r="AC451" s="71">
        <f t="shared" si="145"/>
        <v>0</v>
      </c>
      <c r="AD451" s="118">
        <f t="shared" si="146"/>
        <v>0</v>
      </c>
    </row>
    <row r="452" spans="1:30" s="49" customFormat="1" ht="12.75" hidden="1" x14ac:dyDescent="0.2">
      <c r="A452" s="94">
        <v>447</v>
      </c>
      <c r="B452" s="36"/>
      <c r="C452" s="148"/>
      <c r="D452" s="57"/>
      <c r="E452" s="79">
        <f t="shared" si="143"/>
        <v>0</v>
      </c>
      <c r="F452" s="80">
        <f t="shared" si="132"/>
        <v>0</v>
      </c>
      <c r="G452" s="47">
        <f t="shared" si="141"/>
        <v>0</v>
      </c>
      <c r="H452" s="47">
        <f t="shared" si="134"/>
        <v>0</v>
      </c>
      <c r="I452" s="47">
        <f t="shared" si="142"/>
        <v>0</v>
      </c>
      <c r="J452" s="47">
        <f t="shared" si="133"/>
        <v>0</v>
      </c>
      <c r="K452" s="47">
        <f t="shared" si="135"/>
        <v>0</v>
      </c>
      <c r="L452" s="47">
        <f t="shared" si="136"/>
        <v>0</v>
      </c>
      <c r="M452" s="47">
        <f t="shared" si="137"/>
        <v>0</v>
      </c>
      <c r="N452" s="80">
        <v>0</v>
      </c>
      <c r="O452" s="47">
        <v>0</v>
      </c>
      <c r="P452" s="47">
        <v>0</v>
      </c>
      <c r="Q452" s="47">
        <v>0</v>
      </c>
      <c r="R452" s="47">
        <v>0</v>
      </c>
      <c r="S452" s="136">
        <v>0</v>
      </c>
      <c r="T452" s="47">
        <v>0</v>
      </c>
      <c r="U452" s="81">
        <f t="shared" si="144"/>
        <v>0</v>
      </c>
      <c r="V452" s="47">
        <f t="shared" si="140"/>
        <v>0</v>
      </c>
      <c r="W452" s="47">
        <f t="shared" si="147"/>
        <v>0</v>
      </c>
      <c r="X452" s="47">
        <f t="shared" si="138"/>
        <v>0</v>
      </c>
      <c r="Y452" s="47">
        <v>0</v>
      </c>
      <c r="Z452" s="47">
        <f t="shared" si="139"/>
        <v>0</v>
      </c>
      <c r="AA452" s="47">
        <v>0</v>
      </c>
      <c r="AB452" s="47">
        <v>0</v>
      </c>
      <c r="AC452" s="71">
        <f t="shared" si="145"/>
        <v>0</v>
      </c>
      <c r="AD452" s="118">
        <f t="shared" si="146"/>
        <v>0</v>
      </c>
    </row>
    <row r="453" spans="1:30" s="49" customFormat="1" ht="12.75" hidden="1" x14ac:dyDescent="0.2">
      <c r="A453" s="94">
        <v>448</v>
      </c>
      <c r="B453" s="36"/>
      <c r="C453" s="148"/>
      <c r="D453" s="57"/>
      <c r="E453" s="79">
        <f t="shared" si="143"/>
        <v>0</v>
      </c>
      <c r="F453" s="80">
        <f t="shared" si="132"/>
        <v>0</v>
      </c>
      <c r="G453" s="47">
        <f t="shared" si="141"/>
        <v>0</v>
      </c>
      <c r="H453" s="47">
        <f t="shared" si="134"/>
        <v>0</v>
      </c>
      <c r="I453" s="47">
        <f t="shared" si="142"/>
        <v>0</v>
      </c>
      <c r="J453" s="47">
        <f t="shared" si="133"/>
        <v>0</v>
      </c>
      <c r="K453" s="47">
        <f t="shared" si="135"/>
        <v>0</v>
      </c>
      <c r="L453" s="47">
        <f t="shared" si="136"/>
        <v>0</v>
      </c>
      <c r="M453" s="47">
        <f t="shared" si="137"/>
        <v>0</v>
      </c>
      <c r="N453" s="80">
        <v>0</v>
      </c>
      <c r="O453" s="47">
        <v>0</v>
      </c>
      <c r="P453" s="47">
        <v>0</v>
      </c>
      <c r="Q453" s="47">
        <v>0</v>
      </c>
      <c r="R453" s="47">
        <v>0</v>
      </c>
      <c r="S453" s="136">
        <v>0</v>
      </c>
      <c r="T453" s="47">
        <v>0</v>
      </c>
      <c r="U453" s="81">
        <f t="shared" si="144"/>
        <v>0</v>
      </c>
      <c r="V453" s="47">
        <f t="shared" si="140"/>
        <v>0</v>
      </c>
      <c r="W453" s="47">
        <f t="shared" si="147"/>
        <v>0</v>
      </c>
      <c r="X453" s="47">
        <f t="shared" si="138"/>
        <v>0</v>
      </c>
      <c r="Y453" s="47">
        <v>0</v>
      </c>
      <c r="Z453" s="47">
        <f t="shared" si="139"/>
        <v>0</v>
      </c>
      <c r="AA453" s="47">
        <v>0</v>
      </c>
      <c r="AB453" s="47">
        <v>0</v>
      </c>
      <c r="AC453" s="71">
        <f t="shared" si="145"/>
        <v>0</v>
      </c>
      <c r="AD453" s="118">
        <f t="shared" si="146"/>
        <v>0</v>
      </c>
    </row>
    <row r="454" spans="1:30" s="49" customFormat="1" ht="12.75" hidden="1" x14ac:dyDescent="0.2">
      <c r="A454" s="94">
        <v>449</v>
      </c>
      <c r="B454" s="36"/>
      <c r="C454" s="148"/>
      <c r="D454" s="57"/>
      <c r="E454" s="79">
        <f t="shared" si="143"/>
        <v>0</v>
      </c>
      <c r="F454" s="80">
        <f t="shared" ref="F454:F505" si="148">(E454+J454+L454+K454+N454+R454+O454+S454+P454+Q454+T454)*4.5%</f>
        <v>0</v>
      </c>
      <c r="G454" s="47">
        <f t="shared" si="141"/>
        <v>0</v>
      </c>
      <c r="H454" s="47">
        <f t="shared" si="134"/>
        <v>0</v>
      </c>
      <c r="I454" s="47">
        <f t="shared" si="142"/>
        <v>0</v>
      </c>
      <c r="J454" s="47">
        <f t="shared" ref="J454:J505" si="149">(E454+N454+O454+P454+Q454+R454+S454+T454)/12</f>
        <v>0</v>
      </c>
      <c r="K454" s="47">
        <f t="shared" si="135"/>
        <v>0</v>
      </c>
      <c r="L454" s="47">
        <f t="shared" si="136"/>
        <v>0</v>
      </c>
      <c r="M454" s="47">
        <f t="shared" si="137"/>
        <v>0</v>
      </c>
      <c r="N454" s="80">
        <v>0</v>
      </c>
      <c r="O454" s="47">
        <v>0</v>
      </c>
      <c r="P454" s="47">
        <v>0</v>
      </c>
      <c r="Q454" s="47">
        <v>0</v>
      </c>
      <c r="R454" s="47">
        <v>0</v>
      </c>
      <c r="S454" s="136">
        <v>0</v>
      </c>
      <c r="T454" s="47">
        <v>0</v>
      </c>
      <c r="U454" s="81">
        <f t="shared" si="144"/>
        <v>0</v>
      </c>
      <c r="V454" s="47">
        <f t="shared" si="140"/>
        <v>0</v>
      </c>
      <c r="W454" s="47">
        <f t="shared" si="147"/>
        <v>0</v>
      </c>
      <c r="X454" s="47">
        <f t="shared" si="138"/>
        <v>0</v>
      </c>
      <c r="Y454" s="47">
        <v>0</v>
      </c>
      <c r="Z454" s="47">
        <f t="shared" si="139"/>
        <v>0</v>
      </c>
      <c r="AA454" s="47">
        <v>0</v>
      </c>
      <c r="AB454" s="47">
        <v>0</v>
      </c>
      <c r="AC454" s="71">
        <f t="shared" si="145"/>
        <v>0</v>
      </c>
      <c r="AD454" s="118">
        <f t="shared" si="146"/>
        <v>0</v>
      </c>
    </row>
    <row r="455" spans="1:30" s="49" customFormat="1" ht="12.75" hidden="1" x14ac:dyDescent="0.2">
      <c r="A455" s="94">
        <v>450</v>
      </c>
      <c r="B455" s="36"/>
      <c r="C455" s="148"/>
      <c r="D455" s="57"/>
      <c r="E455" s="79">
        <f t="shared" si="143"/>
        <v>0</v>
      </c>
      <c r="F455" s="80">
        <f t="shared" si="148"/>
        <v>0</v>
      </c>
      <c r="G455" s="47">
        <f t="shared" si="141"/>
        <v>0</v>
      </c>
      <c r="H455" s="47">
        <f t="shared" ref="H455:H505" si="150">(E455+J455+L455+K455+M455+N455+O455+P455+Q455+R455+S455+T455)*8%</f>
        <v>0</v>
      </c>
      <c r="I455" s="47">
        <f t="shared" si="142"/>
        <v>0</v>
      </c>
      <c r="J455" s="47">
        <f t="shared" si="149"/>
        <v>0</v>
      </c>
      <c r="K455" s="47">
        <f t="shared" ref="K455:K505" si="151">(E455+N455+O455+P455+Q455+R455+S455+T455)/12/3</f>
        <v>0</v>
      </c>
      <c r="L455" s="47">
        <f t="shared" ref="L455:L505" si="152">K455</f>
        <v>0</v>
      </c>
      <c r="M455" s="47">
        <f t="shared" ref="M455:M504" si="153">(E455+N455+O455+P455+Q455+R455+S455+T455)/12/1.3</f>
        <v>0</v>
      </c>
      <c r="N455" s="80">
        <v>0</v>
      </c>
      <c r="O455" s="47">
        <v>0</v>
      </c>
      <c r="P455" s="47">
        <v>0</v>
      </c>
      <c r="Q455" s="47">
        <v>0</v>
      </c>
      <c r="R455" s="47">
        <v>0</v>
      </c>
      <c r="S455" s="136">
        <v>0</v>
      </c>
      <c r="T455" s="47">
        <v>0</v>
      </c>
      <c r="U455" s="81">
        <f t="shared" si="144"/>
        <v>0</v>
      </c>
      <c r="V455" s="47">
        <f t="shared" si="140"/>
        <v>0</v>
      </c>
      <c r="W455" s="47">
        <f t="shared" si="147"/>
        <v>0</v>
      </c>
      <c r="X455" s="47">
        <f t="shared" ref="X455:X505" si="154">320*C455</f>
        <v>0</v>
      </c>
      <c r="Y455" s="47">
        <v>0</v>
      </c>
      <c r="Z455" s="47">
        <f t="shared" ref="Z455:Z505" si="155">(C455*21)</f>
        <v>0</v>
      </c>
      <c r="AA455" s="47">
        <v>0</v>
      </c>
      <c r="AB455" s="47">
        <v>0</v>
      </c>
      <c r="AC455" s="71">
        <f t="shared" si="145"/>
        <v>0</v>
      </c>
      <c r="AD455" s="118">
        <f t="shared" si="146"/>
        <v>0</v>
      </c>
    </row>
    <row r="456" spans="1:30" s="49" customFormat="1" ht="12.75" hidden="1" x14ac:dyDescent="0.2">
      <c r="A456" s="94">
        <v>451</v>
      </c>
      <c r="B456" s="36"/>
      <c r="C456" s="148"/>
      <c r="D456" s="57"/>
      <c r="E456" s="79">
        <f t="shared" si="143"/>
        <v>0</v>
      </c>
      <c r="F456" s="80">
        <f t="shared" si="148"/>
        <v>0</v>
      </c>
      <c r="G456" s="47">
        <f t="shared" si="141"/>
        <v>0</v>
      </c>
      <c r="H456" s="47">
        <f t="shared" si="150"/>
        <v>0</v>
      </c>
      <c r="I456" s="47">
        <f t="shared" si="142"/>
        <v>0</v>
      </c>
      <c r="J456" s="47">
        <f t="shared" si="149"/>
        <v>0</v>
      </c>
      <c r="K456" s="47">
        <f t="shared" si="151"/>
        <v>0</v>
      </c>
      <c r="L456" s="47">
        <f t="shared" si="152"/>
        <v>0</v>
      </c>
      <c r="M456" s="47">
        <f t="shared" si="153"/>
        <v>0</v>
      </c>
      <c r="N456" s="80">
        <v>0</v>
      </c>
      <c r="O456" s="47">
        <v>0</v>
      </c>
      <c r="P456" s="47">
        <v>0</v>
      </c>
      <c r="Q456" s="47">
        <v>0</v>
      </c>
      <c r="R456" s="47">
        <v>0</v>
      </c>
      <c r="S456" s="136">
        <v>0</v>
      </c>
      <c r="T456" s="47">
        <v>0</v>
      </c>
      <c r="U456" s="81">
        <f t="shared" si="144"/>
        <v>0</v>
      </c>
      <c r="V456" s="47">
        <f t="shared" ref="V456:V505" si="156">(290*C456)-(E456*6%)</f>
        <v>0</v>
      </c>
      <c r="W456" s="47">
        <f t="shared" si="147"/>
        <v>0</v>
      </c>
      <c r="X456" s="47">
        <f t="shared" si="154"/>
        <v>0</v>
      </c>
      <c r="Y456" s="47">
        <v>0</v>
      </c>
      <c r="Z456" s="47">
        <f t="shared" si="155"/>
        <v>0</v>
      </c>
      <c r="AA456" s="47">
        <v>0</v>
      </c>
      <c r="AB456" s="47">
        <v>0</v>
      </c>
      <c r="AC456" s="71">
        <f t="shared" si="145"/>
        <v>0</v>
      </c>
      <c r="AD456" s="118">
        <f t="shared" si="146"/>
        <v>0</v>
      </c>
    </row>
    <row r="457" spans="1:30" s="49" customFormat="1" ht="12.75" hidden="1" x14ac:dyDescent="0.2">
      <c r="A457" s="94">
        <v>452</v>
      </c>
      <c r="B457" s="36"/>
      <c r="C457" s="148"/>
      <c r="D457" s="57"/>
      <c r="E457" s="79">
        <f t="shared" si="143"/>
        <v>0</v>
      </c>
      <c r="F457" s="80">
        <f t="shared" si="148"/>
        <v>0</v>
      </c>
      <c r="G457" s="47">
        <f t="shared" si="141"/>
        <v>0</v>
      </c>
      <c r="H457" s="47">
        <f t="shared" si="150"/>
        <v>0</v>
      </c>
      <c r="I457" s="47">
        <f t="shared" si="142"/>
        <v>0</v>
      </c>
      <c r="J457" s="47">
        <f t="shared" si="149"/>
        <v>0</v>
      </c>
      <c r="K457" s="47">
        <f t="shared" si="151"/>
        <v>0</v>
      </c>
      <c r="L457" s="47">
        <f t="shared" si="152"/>
        <v>0</v>
      </c>
      <c r="M457" s="47">
        <f t="shared" si="153"/>
        <v>0</v>
      </c>
      <c r="N457" s="80">
        <v>0</v>
      </c>
      <c r="O457" s="47">
        <v>0</v>
      </c>
      <c r="P457" s="47">
        <v>0</v>
      </c>
      <c r="Q457" s="47">
        <v>0</v>
      </c>
      <c r="R457" s="47">
        <v>0</v>
      </c>
      <c r="S457" s="136">
        <v>0</v>
      </c>
      <c r="T457" s="47">
        <v>0</v>
      </c>
      <c r="U457" s="81">
        <f t="shared" si="144"/>
        <v>0</v>
      </c>
      <c r="V457" s="47">
        <f t="shared" si="156"/>
        <v>0</v>
      </c>
      <c r="W457" s="47">
        <f t="shared" si="147"/>
        <v>0</v>
      </c>
      <c r="X457" s="47">
        <f t="shared" si="154"/>
        <v>0</v>
      </c>
      <c r="Y457" s="47">
        <v>0</v>
      </c>
      <c r="Z457" s="47">
        <f t="shared" si="155"/>
        <v>0</v>
      </c>
      <c r="AA457" s="47">
        <v>0</v>
      </c>
      <c r="AB457" s="47">
        <v>0</v>
      </c>
      <c r="AC457" s="71">
        <f t="shared" si="145"/>
        <v>0</v>
      </c>
      <c r="AD457" s="118">
        <f t="shared" si="146"/>
        <v>0</v>
      </c>
    </row>
    <row r="458" spans="1:30" s="49" customFormat="1" ht="12.75" hidden="1" x14ac:dyDescent="0.2">
      <c r="A458" s="94">
        <v>453</v>
      </c>
      <c r="B458" s="36"/>
      <c r="C458" s="148"/>
      <c r="D458" s="57"/>
      <c r="E458" s="79">
        <f t="shared" si="143"/>
        <v>0</v>
      </c>
      <c r="F458" s="80">
        <f t="shared" si="148"/>
        <v>0</v>
      </c>
      <c r="G458" s="47">
        <f t="shared" ref="G458:G505" si="157">(E458+J458+L458+K458+M458)*1%</f>
        <v>0</v>
      </c>
      <c r="H458" s="47">
        <f t="shared" si="150"/>
        <v>0</v>
      </c>
      <c r="I458" s="47">
        <f t="shared" ref="I458:I505" si="158">H458/2</f>
        <v>0</v>
      </c>
      <c r="J458" s="47">
        <f t="shared" si="149"/>
        <v>0</v>
      </c>
      <c r="K458" s="47">
        <f t="shared" si="151"/>
        <v>0</v>
      </c>
      <c r="L458" s="47">
        <f t="shared" si="152"/>
        <v>0</v>
      </c>
      <c r="M458" s="47">
        <f t="shared" si="153"/>
        <v>0</v>
      </c>
      <c r="N458" s="80">
        <v>0</v>
      </c>
      <c r="O458" s="47">
        <v>0</v>
      </c>
      <c r="P458" s="47">
        <v>0</v>
      </c>
      <c r="Q458" s="47">
        <v>0</v>
      </c>
      <c r="R458" s="47">
        <v>0</v>
      </c>
      <c r="S458" s="136">
        <v>0</v>
      </c>
      <c r="T458" s="47">
        <v>0</v>
      </c>
      <c r="U458" s="81">
        <f t="shared" si="144"/>
        <v>0</v>
      </c>
      <c r="V458" s="47">
        <f t="shared" si="156"/>
        <v>0</v>
      </c>
      <c r="W458" s="47">
        <f t="shared" si="147"/>
        <v>0</v>
      </c>
      <c r="X458" s="47">
        <f t="shared" si="154"/>
        <v>0</v>
      </c>
      <c r="Y458" s="47">
        <v>0</v>
      </c>
      <c r="Z458" s="47">
        <f t="shared" si="155"/>
        <v>0</v>
      </c>
      <c r="AA458" s="47">
        <v>0</v>
      </c>
      <c r="AB458" s="47">
        <v>0</v>
      </c>
      <c r="AC458" s="71">
        <f t="shared" si="145"/>
        <v>0</v>
      </c>
      <c r="AD458" s="118">
        <f t="shared" si="146"/>
        <v>0</v>
      </c>
    </row>
    <row r="459" spans="1:30" s="49" customFormat="1" ht="12.75" hidden="1" x14ac:dyDescent="0.2">
      <c r="A459" s="94">
        <v>454</v>
      </c>
      <c r="B459" s="36"/>
      <c r="C459" s="148"/>
      <c r="D459" s="57"/>
      <c r="E459" s="79">
        <f t="shared" ref="E459:E505" si="159">C459*D459</f>
        <v>0</v>
      </c>
      <c r="F459" s="80">
        <f t="shared" si="148"/>
        <v>0</v>
      </c>
      <c r="G459" s="47">
        <f t="shared" si="157"/>
        <v>0</v>
      </c>
      <c r="H459" s="47">
        <f t="shared" si="150"/>
        <v>0</v>
      </c>
      <c r="I459" s="47">
        <f t="shared" si="158"/>
        <v>0</v>
      </c>
      <c r="J459" s="47">
        <f t="shared" si="149"/>
        <v>0</v>
      </c>
      <c r="K459" s="47">
        <f t="shared" si="151"/>
        <v>0</v>
      </c>
      <c r="L459" s="47">
        <f t="shared" si="152"/>
        <v>0</v>
      </c>
      <c r="M459" s="47">
        <f t="shared" si="153"/>
        <v>0</v>
      </c>
      <c r="N459" s="80">
        <v>0</v>
      </c>
      <c r="O459" s="47">
        <v>0</v>
      </c>
      <c r="P459" s="47">
        <v>0</v>
      </c>
      <c r="Q459" s="47">
        <v>0</v>
      </c>
      <c r="R459" s="47">
        <v>0</v>
      </c>
      <c r="S459" s="136">
        <v>0</v>
      </c>
      <c r="T459" s="47">
        <v>0</v>
      </c>
      <c r="U459" s="81">
        <f t="shared" ref="U459:U505" si="160">SUM(F459:T459)</f>
        <v>0</v>
      </c>
      <c r="V459" s="47">
        <f t="shared" si="156"/>
        <v>0</v>
      </c>
      <c r="W459" s="47">
        <f t="shared" si="147"/>
        <v>0</v>
      </c>
      <c r="X459" s="47">
        <f t="shared" si="154"/>
        <v>0</v>
      </c>
      <c r="Y459" s="47">
        <v>0</v>
      </c>
      <c r="Z459" s="47">
        <f t="shared" si="155"/>
        <v>0</v>
      </c>
      <c r="AA459" s="47">
        <v>0</v>
      </c>
      <c r="AB459" s="47">
        <v>0</v>
      </c>
      <c r="AC459" s="71">
        <f t="shared" ref="AC459:AC505" si="161">SUM(V459:AB459)</f>
        <v>0</v>
      </c>
      <c r="AD459" s="118">
        <f t="shared" ref="AD459:AD505" si="162">E459+U459+AC459</f>
        <v>0</v>
      </c>
    </row>
    <row r="460" spans="1:30" s="49" customFormat="1" ht="12.75" hidden="1" x14ac:dyDescent="0.2">
      <c r="A460" s="94">
        <v>455</v>
      </c>
      <c r="B460" s="36"/>
      <c r="C460" s="148"/>
      <c r="D460" s="57"/>
      <c r="E460" s="79">
        <f t="shared" si="159"/>
        <v>0</v>
      </c>
      <c r="F460" s="80">
        <f t="shared" si="148"/>
        <v>0</v>
      </c>
      <c r="G460" s="47">
        <f t="shared" si="157"/>
        <v>0</v>
      </c>
      <c r="H460" s="47">
        <f t="shared" si="150"/>
        <v>0</v>
      </c>
      <c r="I460" s="47">
        <f t="shared" si="158"/>
        <v>0</v>
      </c>
      <c r="J460" s="47">
        <f t="shared" si="149"/>
        <v>0</v>
      </c>
      <c r="K460" s="47">
        <f t="shared" si="151"/>
        <v>0</v>
      </c>
      <c r="L460" s="47">
        <f t="shared" si="152"/>
        <v>0</v>
      </c>
      <c r="M460" s="47">
        <f t="shared" si="153"/>
        <v>0</v>
      </c>
      <c r="N460" s="80">
        <v>0</v>
      </c>
      <c r="O460" s="47">
        <v>0</v>
      </c>
      <c r="P460" s="47">
        <v>0</v>
      </c>
      <c r="Q460" s="47">
        <v>0</v>
      </c>
      <c r="R460" s="47">
        <v>0</v>
      </c>
      <c r="S460" s="136">
        <v>0</v>
      </c>
      <c r="T460" s="47">
        <v>0</v>
      </c>
      <c r="U460" s="81">
        <f t="shared" si="160"/>
        <v>0</v>
      </c>
      <c r="V460" s="47">
        <f t="shared" si="156"/>
        <v>0</v>
      </c>
      <c r="W460" s="47">
        <f t="shared" si="147"/>
        <v>0</v>
      </c>
      <c r="X460" s="47">
        <f t="shared" si="154"/>
        <v>0</v>
      </c>
      <c r="Y460" s="47">
        <v>0</v>
      </c>
      <c r="Z460" s="47">
        <f t="shared" si="155"/>
        <v>0</v>
      </c>
      <c r="AA460" s="47">
        <v>0</v>
      </c>
      <c r="AB460" s="47">
        <v>0</v>
      </c>
      <c r="AC460" s="71">
        <f t="shared" si="161"/>
        <v>0</v>
      </c>
      <c r="AD460" s="118">
        <f t="shared" si="162"/>
        <v>0</v>
      </c>
    </row>
    <row r="461" spans="1:30" s="49" customFormat="1" ht="12.75" hidden="1" x14ac:dyDescent="0.2">
      <c r="A461" s="94">
        <v>456</v>
      </c>
      <c r="B461" s="36"/>
      <c r="C461" s="148"/>
      <c r="D461" s="57"/>
      <c r="E461" s="79">
        <f t="shared" si="159"/>
        <v>0</v>
      </c>
      <c r="F461" s="80">
        <f t="shared" si="148"/>
        <v>0</v>
      </c>
      <c r="G461" s="47">
        <f t="shared" si="157"/>
        <v>0</v>
      </c>
      <c r="H461" s="47">
        <f t="shared" si="150"/>
        <v>0</v>
      </c>
      <c r="I461" s="47">
        <f t="shared" si="158"/>
        <v>0</v>
      </c>
      <c r="J461" s="47">
        <f t="shared" si="149"/>
        <v>0</v>
      </c>
      <c r="K461" s="47">
        <f t="shared" si="151"/>
        <v>0</v>
      </c>
      <c r="L461" s="47">
        <f t="shared" si="152"/>
        <v>0</v>
      </c>
      <c r="M461" s="47">
        <f t="shared" si="153"/>
        <v>0</v>
      </c>
      <c r="N461" s="80">
        <v>0</v>
      </c>
      <c r="O461" s="47">
        <v>0</v>
      </c>
      <c r="P461" s="47">
        <v>0</v>
      </c>
      <c r="Q461" s="47">
        <v>0</v>
      </c>
      <c r="R461" s="47">
        <v>0</v>
      </c>
      <c r="S461" s="136">
        <v>0</v>
      </c>
      <c r="T461" s="47">
        <v>0</v>
      </c>
      <c r="U461" s="81">
        <f t="shared" si="160"/>
        <v>0</v>
      </c>
      <c r="V461" s="47">
        <f t="shared" si="156"/>
        <v>0</v>
      </c>
      <c r="W461" s="47">
        <f t="shared" si="147"/>
        <v>0</v>
      </c>
      <c r="X461" s="47">
        <f t="shared" si="154"/>
        <v>0</v>
      </c>
      <c r="Y461" s="47">
        <v>0</v>
      </c>
      <c r="Z461" s="47">
        <f t="shared" si="155"/>
        <v>0</v>
      </c>
      <c r="AA461" s="47">
        <v>0</v>
      </c>
      <c r="AB461" s="47">
        <v>0</v>
      </c>
      <c r="AC461" s="71">
        <f t="shared" si="161"/>
        <v>0</v>
      </c>
      <c r="AD461" s="118">
        <f t="shared" si="162"/>
        <v>0</v>
      </c>
    </row>
    <row r="462" spans="1:30" s="49" customFormat="1" ht="12.75" hidden="1" x14ac:dyDescent="0.2">
      <c r="A462" s="94">
        <v>457</v>
      </c>
      <c r="B462" s="36"/>
      <c r="C462" s="148"/>
      <c r="D462" s="57"/>
      <c r="E462" s="79">
        <f t="shared" si="159"/>
        <v>0</v>
      </c>
      <c r="F462" s="80">
        <f t="shared" si="148"/>
        <v>0</v>
      </c>
      <c r="G462" s="47">
        <f t="shared" si="157"/>
        <v>0</v>
      </c>
      <c r="H462" s="47">
        <f t="shared" si="150"/>
        <v>0</v>
      </c>
      <c r="I462" s="47">
        <f t="shared" si="158"/>
        <v>0</v>
      </c>
      <c r="J462" s="47">
        <f t="shared" si="149"/>
        <v>0</v>
      </c>
      <c r="K462" s="47">
        <f t="shared" si="151"/>
        <v>0</v>
      </c>
      <c r="L462" s="47">
        <f t="shared" si="152"/>
        <v>0</v>
      </c>
      <c r="M462" s="47">
        <f t="shared" si="153"/>
        <v>0</v>
      </c>
      <c r="N462" s="80">
        <v>0</v>
      </c>
      <c r="O462" s="47">
        <v>0</v>
      </c>
      <c r="P462" s="47">
        <v>0</v>
      </c>
      <c r="Q462" s="47">
        <v>0</v>
      </c>
      <c r="R462" s="47">
        <v>0</v>
      </c>
      <c r="S462" s="136">
        <v>0</v>
      </c>
      <c r="T462" s="47">
        <v>0</v>
      </c>
      <c r="U462" s="81">
        <f t="shared" si="160"/>
        <v>0</v>
      </c>
      <c r="V462" s="47">
        <f t="shared" si="156"/>
        <v>0</v>
      </c>
      <c r="W462" s="47">
        <f t="shared" si="147"/>
        <v>0</v>
      </c>
      <c r="X462" s="47">
        <f t="shared" si="154"/>
        <v>0</v>
      </c>
      <c r="Y462" s="47">
        <v>0</v>
      </c>
      <c r="Z462" s="47">
        <f t="shared" si="155"/>
        <v>0</v>
      </c>
      <c r="AA462" s="47">
        <v>0</v>
      </c>
      <c r="AB462" s="47">
        <v>0</v>
      </c>
      <c r="AC462" s="71">
        <f t="shared" si="161"/>
        <v>0</v>
      </c>
      <c r="AD462" s="118">
        <f t="shared" si="162"/>
        <v>0</v>
      </c>
    </row>
    <row r="463" spans="1:30" s="49" customFormat="1" ht="12.75" hidden="1" x14ac:dyDescent="0.2">
      <c r="A463" s="94">
        <v>458</v>
      </c>
      <c r="B463" s="36"/>
      <c r="C463" s="148"/>
      <c r="D463" s="57"/>
      <c r="E463" s="79">
        <f t="shared" si="159"/>
        <v>0</v>
      </c>
      <c r="F463" s="80">
        <f t="shared" si="148"/>
        <v>0</v>
      </c>
      <c r="G463" s="47">
        <f t="shared" si="157"/>
        <v>0</v>
      </c>
      <c r="H463" s="47">
        <f t="shared" si="150"/>
        <v>0</v>
      </c>
      <c r="I463" s="47">
        <f t="shared" si="158"/>
        <v>0</v>
      </c>
      <c r="J463" s="47">
        <f t="shared" si="149"/>
        <v>0</v>
      </c>
      <c r="K463" s="47">
        <f t="shared" si="151"/>
        <v>0</v>
      </c>
      <c r="L463" s="47">
        <f t="shared" si="152"/>
        <v>0</v>
      </c>
      <c r="M463" s="47">
        <f t="shared" si="153"/>
        <v>0</v>
      </c>
      <c r="N463" s="80">
        <v>0</v>
      </c>
      <c r="O463" s="47">
        <v>0</v>
      </c>
      <c r="P463" s="47">
        <v>0</v>
      </c>
      <c r="Q463" s="47">
        <v>0</v>
      </c>
      <c r="R463" s="47">
        <v>0</v>
      </c>
      <c r="S463" s="136">
        <v>0</v>
      </c>
      <c r="T463" s="47">
        <v>0</v>
      </c>
      <c r="U463" s="81">
        <f t="shared" si="160"/>
        <v>0</v>
      </c>
      <c r="V463" s="47">
        <f t="shared" si="156"/>
        <v>0</v>
      </c>
      <c r="W463" s="47">
        <f t="shared" si="147"/>
        <v>0</v>
      </c>
      <c r="X463" s="47">
        <f t="shared" si="154"/>
        <v>0</v>
      </c>
      <c r="Y463" s="47">
        <v>0</v>
      </c>
      <c r="Z463" s="47">
        <f t="shared" si="155"/>
        <v>0</v>
      </c>
      <c r="AA463" s="47">
        <v>0</v>
      </c>
      <c r="AB463" s="47">
        <v>0</v>
      </c>
      <c r="AC463" s="71">
        <f t="shared" si="161"/>
        <v>0</v>
      </c>
      <c r="AD463" s="118">
        <f t="shared" si="162"/>
        <v>0</v>
      </c>
    </row>
    <row r="464" spans="1:30" s="49" customFormat="1" ht="12.75" hidden="1" x14ac:dyDescent="0.2">
      <c r="A464" s="94">
        <v>459</v>
      </c>
      <c r="B464" s="36"/>
      <c r="C464" s="148"/>
      <c r="D464" s="57"/>
      <c r="E464" s="79">
        <f t="shared" si="159"/>
        <v>0</v>
      </c>
      <c r="F464" s="80">
        <f t="shared" si="148"/>
        <v>0</v>
      </c>
      <c r="G464" s="47">
        <f t="shared" si="157"/>
        <v>0</v>
      </c>
      <c r="H464" s="47">
        <f t="shared" si="150"/>
        <v>0</v>
      </c>
      <c r="I464" s="47">
        <f t="shared" si="158"/>
        <v>0</v>
      </c>
      <c r="J464" s="47">
        <f t="shared" si="149"/>
        <v>0</v>
      </c>
      <c r="K464" s="47">
        <f t="shared" si="151"/>
        <v>0</v>
      </c>
      <c r="L464" s="47">
        <f t="shared" si="152"/>
        <v>0</v>
      </c>
      <c r="M464" s="47">
        <f t="shared" si="153"/>
        <v>0</v>
      </c>
      <c r="N464" s="80">
        <v>0</v>
      </c>
      <c r="O464" s="47">
        <v>0</v>
      </c>
      <c r="P464" s="47">
        <v>0</v>
      </c>
      <c r="Q464" s="47">
        <v>0</v>
      </c>
      <c r="R464" s="47">
        <v>0</v>
      </c>
      <c r="S464" s="136">
        <v>0</v>
      </c>
      <c r="T464" s="47">
        <v>0</v>
      </c>
      <c r="U464" s="81">
        <f t="shared" si="160"/>
        <v>0</v>
      </c>
      <c r="V464" s="47">
        <f t="shared" si="156"/>
        <v>0</v>
      </c>
      <c r="W464" s="47">
        <f t="shared" si="147"/>
        <v>0</v>
      </c>
      <c r="X464" s="47">
        <f t="shared" si="154"/>
        <v>0</v>
      </c>
      <c r="Y464" s="47">
        <v>0</v>
      </c>
      <c r="Z464" s="47">
        <f t="shared" si="155"/>
        <v>0</v>
      </c>
      <c r="AA464" s="47">
        <v>0</v>
      </c>
      <c r="AB464" s="47">
        <v>0</v>
      </c>
      <c r="AC464" s="71">
        <f t="shared" si="161"/>
        <v>0</v>
      </c>
      <c r="AD464" s="118">
        <f t="shared" si="162"/>
        <v>0</v>
      </c>
    </row>
    <row r="465" spans="1:30" s="49" customFormat="1" ht="12.75" hidden="1" x14ac:dyDescent="0.2">
      <c r="A465" s="94">
        <v>460</v>
      </c>
      <c r="B465" s="36"/>
      <c r="C465" s="148"/>
      <c r="D465" s="57"/>
      <c r="E465" s="79">
        <f t="shared" si="159"/>
        <v>0</v>
      </c>
      <c r="F465" s="80">
        <f t="shared" si="148"/>
        <v>0</v>
      </c>
      <c r="G465" s="47">
        <f t="shared" si="157"/>
        <v>0</v>
      </c>
      <c r="H465" s="47">
        <f t="shared" si="150"/>
        <v>0</v>
      </c>
      <c r="I465" s="47">
        <f t="shared" si="158"/>
        <v>0</v>
      </c>
      <c r="J465" s="47">
        <f t="shared" si="149"/>
        <v>0</v>
      </c>
      <c r="K465" s="47">
        <f t="shared" si="151"/>
        <v>0</v>
      </c>
      <c r="L465" s="47">
        <f t="shared" si="152"/>
        <v>0</v>
      </c>
      <c r="M465" s="47">
        <f t="shared" si="153"/>
        <v>0</v>
      </c>
      <c r="N465" s="80">
        <v>0</v>
      </c>
      <c r="O465" s="47">
        <v>0</v>
      </c>
      <c r="P465" s="47">
        <v>0</v>
      </c>
      <c r="Q465" s="47">
        <v>0</v>
      </c>
      <c r="R465" s="47">
        <v>0</v>
      </c>
      <c r="S465" s="136">
        <v>0</v>
      </c>
      <c r="T465" s="47">
        <v>0</v>
      </c>
      <c r="U465" s="81">
        <f t="shared" si="160"/>
        <v>0</v>
      </c>
      <c r="V465" s="47">
        <f t="shared" si="156"/>
        <v>0</v>
      </c>
      <c r="W465" s="47">
        <f t="shared" si="147"/>
        <v>0</v>
      </c>
      <c r="X465" s="47">
        <f t="shared" si="154"/>
        <v>0</v>
      </c>
      <c r="Y465" s="47">
        <v>0</v>
      </c>
      <c r="Z465" s="47">
        <f t="shared" si="155"/>
        <v>0</v>
      </c>
      <c r="AA465" s="47">
        <v>0</v>
      </c>
      <c r="AB465" s="47">
        <v>0</v>
      </c>
      <c r="AC465" s="71">
        <f t="shared" si="161"/>
        <v>0</v>
      </c>
      <c r="AD465" s="118">
        <f t="shared" si="162"/>
        <v>0</v>
      </c>
    </row>
    <row r="466" spans="1:30" s="49" customFormat="1" ht="12.75" hidden="1" x14ac:dyDescent="0.2">
      <c r="A466" s="94">
        <v>461</v>
      </c>
      <c r="B466" s="36"/>
      <c r="C466" s="148"/>
      <c r="D466" s="57"/>
      <c r="E466" s="79">
        <f t="shared" si="159"/>
        <v>0</v>
      </c>
      <c r="F466" s="80">
        <f t="shared" si="148"/>
        <v>0</v>
      </c>
      <c r="G466" s="47">
        <f t="shared" si="157"/>
        <v>0</v>
      </c>
      <c r="H466" s="47">
        <f t="shared" si="150"/>
        <v>0</v>
      </c>
      <c r="I466" s="47">
        <f t="shared" si="158"/>
        <v>0</v>
      </c>
      <c r="J466" s="47">
        <f t="shared" si="149"/>
        <v>0</v>
      </c>
      <c r="K466" s="47">
        <f t="shared" si="151"/>
        <v>0</v>
      </c>
      <c r="L466" s="47">
        <f t="shared" si="152"/>
        <v>0</v>
      </c>
      <c r="M466" s="47">
        <f t="shared" si="153"/>
        <v>0</v>
      </c>
      <c r="N466" s="80">
        <v>0</v>
      </c>
      <c r="O466" s="47">
        <v>0</v>
      </c>
      <c r="P466" s="47">
        <v>0</v>
      </c>
      <c r="Q466" s="47">
        <v>0</v>
      </c>
      <c r="R466" s="47">
        <v>0</v>
      </c>
      <c r="S466" s="136">
        <v>0</v>
      </c>
      <c r="T466" s="47">
        <v>0</v>
      </c>
      <c r="U466" s="81">
        <f t="shared" si="160"/>
        <v>0</v>
      </c>
      <c r="V466" s="47">
        <f t="shared" si="156"/>
        <v>0</v>
      </c>
      <c r="W466" s="47">
        <f t="shared" si="147"/>
        <v>0</v>
      </c>
      <c r="X466" s="47">
        <f t="shared" si="154"/>
        <v>0</v>
      </c>
      <c r="Y466" s="47">
        <v>0</v>
      </c>
      <c r="Z466" s="47">
        <f t="shared" si="155"/>
        <v>0</v>
      </c>
      <c r="AA466" s="47">
        <v>0</v>
      </c>
      <c r="AB466" s="47">
        <v>0</v>
      </c>
      <c r="AC466" s="71">
        <f t="shared" si="161"/>
        <v>0</v>
      </c>
      <c r="AD466" s="118">
        <f t="shared" si="162"/>
        <v>0</v>
      </c>
    </row>
    <row r="467" spans="1:30" s="49" customFormat="1" ht="12.75" hidden="1" x14ac:dyDescent="0.2">
      <c r="A467" s="94">
        <v>462</v>
      </c>
      <c r="B467" s="36"/>
      <c r="C467" s="148"/>
      <c r="D467" s="57"/>
      <c r="E467" s="79">
        <f t="shared" si="159"/>
        <v>0</v>
      </c>
      <c r="F467" s="80">
        <f t="shared" si="148"/>
        <v>0</v>
      </c>
      <c r="G467" s="47">
        <f t="shared" si="157"/>
        <v>0</v>
      </c>
      <c r="H467" s="47">
        <f t="shared" si="150"/>
        <v>0</v>
      </c>
      <c r="I467" s="47">
        <f t="shared" si="158"/>
        <v>0</v>
      </c>
      <c r="J467" s="47">
        <f t="shared" si="149"/>
        <v>0</v>
      </c>
      <c r="K467" s="47">
        <f t="shared" si="151"/>
        <v>0</v>
      </c>
      <c r="L467" s="47">
        <f t="shared" si="152"/>
        <v>0</v>
      </c>
      <c r="M467" s="47">
        <f t="shared" si="153"/>
        <v>0</v>
      </c>
      <c r="N467" s="80">
        <v>0</v>
      </c>
      <c r="O467" s="47">
        <v>0</v>
      </c>
      <c r="P467" s="47">
        <v>0</v>
      </c>
      <c r="Q467" s="47">
        <v>0</v>
      </c>
      <c r="R467" s="47">
        <v>0</v>
      </c>
      <c r="S467" s="136">
        <v>0</v>
      </c>
      <c r="T467" s="47">
        <v>0</v>
      </c>
      <c r="U467" s="81">
        <f t="shared" si="160"/>
        <v>0</v>
      </c>
      <c r="V467" s="47">
        <f t="shared" si="156"/>
        <v>0</v>
      </c>
      <c r="W467" s="47">
        <f t="shared" si="147"/>
        <v>0</v>
      </c>
      <c r="X467" s="47">
        <f t="shared" si="154"/>
        <v>0</v>
      </c>
      <c r="Y467" s="47">
        <v>0</v>
      </c>
      <c r="Z467" s="47">
        <f t="shared" si="155"/>
        <v>0</v>
      </c>
      <c r="AA467" s="47">
        <v>0</v>
      </c>
      <c r="AB467" s="47">
        <v>0</v>
      </c>
      <c r="AC467" s="71">
        <f t="shared" si="161"/>
        <v>0</v>
      </c>
      <c r="AD467" s="118">
        <f t="shared" si="162"/>
        <v>0</v>
      </c>
    </row>
    <row r="468" spans="1:30" s="49" customFormat="1" ht="12.75" hidden="1" x14ac:dyDescent="0.2">
      <c r="A468" s="94">
        <v>463</v>
      </c>
      <c r="B468" s="36"/>
      <c r="C468" s="148"/>
      <c r="D468" s="57"/>
      <c r="E468" s="79">
        <f t="shared" si="159"/>
        <v>0</v>
      </c>
      <c r="F468" s="80">
        <f t="shared" si="148"/>
        <v>0</v>
      </c>
      <c r="G468" s="47">
        <f t="shared" si="157"/>
        <v>0</v>
      </c>
      <c r="H468" s="47">
        <f t="shared" si="150"/>
        <v>0</v>
      </c>
      <c r="I468" s="47">
        <f t="shared" si="158"/>
        <v>0</v>
      </c>
      <c r="J468" s="47">
        <f t="shared" si="149"/>
        <v>0</v>
      </c>
      <c r="K468" s="47">
        <f t="shared" si="151"/>
        <v>0</v>
      </c>
      <c r="L468" s="47">
        <f t="shared" si="152"/>
        <v>0</v>
      </c>
      <c r="M468" s="47">
        <f t="shared" si="153"/>
        <v>0</v>
      </c>
      <c r="N468" s="80">
        <v>0</v>
      </c>
      <c r="O468" s="47">
        <v>0</v>
      </c>
      <c r="P468" s="47">
        <v>0</v>
      </c>
      <c r="Q468" s="47">
        <v>0</v>
      </c>
      <c r="R468" s="47">
        <v>0</v>
      </c>
      <c r="S468" s="136">
        <v>0</v>
      </c>
      <c r="T468" s="47">
        <v>0</v>
      </c>
      <c r="U468" s="81">
        <f t="shared" si="160"/>
        <v>0</v>
      </c>
      <c r="V468" s="47">
        <f t="shared" si="156"/>
        <v>0</v>
      </c>
      <c r="W468" s="47">
        <f t="shared" si="147"/>
        <v>0</v>
      </c>
      <c r="X468" s="47">
        <f t="shared" si="154"/>
        <v>0</v>
      </c>
      <c r="Y468" s="47">
        <v>0</v>
      </c>
      <c r="Z468" s="47">
        <f t="shared" si="155"/>
        <v>0</v>
      </c>
      <c r="AA468" s="47">
        <v>0</v>
      </c>
      <c r="AB468" s="47">
        <v>0</v>
      </c>
      <c r="AC468" s="71">
        <f t="shared" si="161"/>
        <v>0</v>
      </c>
      <c r="AD468" s="118">
        <f t="shared" si="162"/>
        <v>0</v>
      </c>
    </row>
    <row r="469" spans="1:30" s="49" customFormat="1" ht="12.75" hidden="1" x14ac:dyDescent="0.2">
      <c r="A469" s="94">
        <v>464</v>
      </c>
      <c r="B469" s="36"/>
      <c r="C469" s="148"/>
      <c r="D469" s="57"/>
      <c r="E469" s="79">
        <f t="shared" si="159"/>
        <v>0</v>
      </c>
      <c r="F469" s="80">
        <f t="shared" si="148"/>
        <v>0</v>
      </c>
      <c r="G469" s="47">
        <f t="shared" si="157"/>
        <v>0</v>
      </c>
      <c r="H469" s="47">
        <f t="shared" si="150"/>
        <v>0</v>
      </c>
      <c r="I469" s="47">
        <f t="shared" si="158"/>
        <v>0</v>
      </c>
      <c r="J469" s="47">
        <f t="shared" si="149"/>
        <v>0</v>
      </c>
      <c r="K469" s="47">
        <f t="shared" si="151"/>
        <v>0</v>
      </c>
      <c r="L469" s="47">
        <f t="shared" si="152"/>
        <v>0</v>
      </c>
      <c r="M469" s="47">
        <f t="shared" si="153"/>
        <v>0</v>
      </c>
      <c r="N469" s="80">
        <v>0</v>
      </c>
      <c r="O469" s="47">
        <v>0</v>
      </c>
      <c r="P469" s="47">
        <v>0</v>
      </c>
      <c r="Q469" s="47">
        <v>0</v>
      </c>
      <c r="R469" s="47">
        <v>0</v>
      </c>
      <c r="S469" s="136">
        <v>0</v>
      </c>
      <c r="T469" s="47">
        <v>0</v>
      </c>
      <c r="U469" s="81">
        <f t="shared" si="160"/>
        <v>0</v>
      </c>
      <c r="V469" s="47">
        <f t="shared" si="156"/>
        <v>0</v>
      </c>
      <c r="W469" s="47">
        <f t="shared" si="147"/>
        <v>0</v>
      </c>
      <c r="X469" s="47">
        <f t="shared" si="154"/>
        <v>0</v>
      </c>
      <c r="Y469" s="47">
        <v>0</v>
      </c>
      <c r="Z469" s="47">
        <f t="shared" si="155"/>
        <v>0</v>
      </c>
      <c r="AA469" s="47">
        <v>0</v>
      </c>
      <c r="AB469" s="47">
        <v>0</v>
      </c>
      <c r="AC469" s="71">
        <f t="shared" si="161"/>
        <v>0</v>
      </c>
      <c r="AD469" s="118">
        <f t="shared" si="162"/>
        <v>0</v>
      </c>
    </row>
    <row r="470" spans="1:30" s="49" customFormat="1" ht="12.75" hidden="1" x14ac:dyDescent="0.2">
      <c r="A470" s="94">
        <v>465</v>
      </c>
      <c r="B470" s="36"/>
      <c r="C470" s="148"/>
      <c r="D470" s="57"/>
      <c r="E470" s="79">
        <f t="shared" si="159"/>
        <v>0</v>
      </c>
      <c r="F470" s="80">
        <f t="shared" si="148"/>
        <v>0</v>
      </c>
      <c r="G470" s="47">
        <f t="shared" si="157"/>
        <v>0</v>
      </c>
      <c r="H470" s="47">
        <f t="shared" si="150"/>
        <v>0</v>
      </c>
      <c r="I470" s="47">
        <f t="shared" si="158"/>
        <v>0</v>
      </c>
      <c r="J470" s="47">
        <f t="shared" si="149"/>
        <v>0</v>
      </c>
      <c r="K470" s="47">
        <f t="shared" si="151"/>
        <v>0</v>
      </c>
      <c r="L470" s="47">
        <f t="shared" si="152"/>
        <v>0</v>
      </c>
      <c r="M470" s="47">
        <f t="shared" si="153"/>
        <v>0</v>
      </c>
      <c r="N470" s="80">
        <v>0</v>
      </c>
      <c r="O470" s="47">
        <v>0</v>
      </c>
      <c r="P470" s="47">
        <v>0</v>
      </c>
      <c r="Q470" s="47">
        <v>0</v>
      </c>
      <c r="R470" s="47">
        <v>0</v>
      </c>
      <c r="S470" s="136">
        <v>0</v>
      </c>
      <c r="T470" s="47">
        <v>0</v>
      </c>
      <c r="U470" s="81">
        <f t="shared" si="160"/>
        <v>0</v>
      </c>
      <c r="V470" s="47">
        <f t="shared" si="156"/>
        <v>0</v>
      </c>
      <c r="W470" s="47">
        <f t="shared" si="147"/>
        <v>0</v>
      </c>
      <c r="X470" s="47">
        <f t="shared" si="154"/>
        <v>0</v>
      </c>
      <c r="Y470" s="47">
        <v>0</v>
      </c>
      <c r="Z470" s="47">
        <f t="shared" si="155"/>
        <v>0</v>
      </c>
      <c r="AA470" s="47">
        <v>0</v>
      </c>
      <c r="AB470" s="47">
        <v>0</v>
      </c>
      <c r="AC470" s="71">
        <f t="shared" si="161"/>
        <v>0</v>
      </c>
      <c r="AD470" s="118">
        <f t="shared" si="162"/>
        <v>0</v>
      </c>
    </row>
    <row r="471" spans="1:30" s="49" customFormat="1" ht="12.75" hidden="1" x14ac:dyDescent="0.2">
      <c r="A471" s="94">
        <v>466</v>
      </c>
      <c r="B471" s="36"/>
      <c r="C471" s="148"/>
      <c r="D471" s="57"/>
      <c r="E471" s="79">
        <f t="shared" si="159"/>
        <v>0</v>
      </c>
      <c r="F471" s="80">
        <f t="shared" si="148"/>
        <v>0</v>
      </c>
      <c r="G471" s="47">
        <f t="shared" si="157"/>
        <v>0</v>
      </c>
      <c r="H471" s="47">
        <f t="shared" si="150"/>
        <v>0</v>
      </c>
      <c r="I471" s="47">
        <f t="shared" si="158"/>
        <v>0</v>
      </c>
      <c r="J471" s="47">
        <f t="shared" si="149"/>
        <v>0</v>
      </c>
      <c r="K471" s="47">
        <f t="shared" si="151"/>
        <v>0</v>
      </c>
      <c r="L471" s="47">
        <f t="shared" si="152"/>
        <v>0</v>
      </c>
      <c r="M471" s="47">
        <f t="shared" si="153"/>
        <v>0</v>
      </c>
      <c r="N471" s="80">
        <v>0</v>
      </c>
      <c r="O471" s="47">
        <v>0</v>
      </c>
      <c r="P471" s="47">
        <v>0</v>
      </c>
      <c r="Q471" s="47">
        <v>0</v>
      </c>
      <c r="R471" s="47">
        <v>0</v>
      </c>
      <c r="S471" s="136">
        <v>0</v>
      </c>
      <c r="T471" s="47">
        <v>0</v>
      </c>
      <c r="U471" s="81">
        <f t="shared" si="160"/>
        <v>0</v>
      </c>
      <c r="V471" s="47">
        <f t="shared" si="156"/>
        <v>0</v>
      </c>
      <c r="W471" s="47">
        <f t="shared" si="147"/>
        <v>0</v>
      </c>
      <c r="X471" s="47">
        <f t="shared" si="154"/>
        <v>0</v>
      </c>
      <c r="Y471" s="47">
        <v>0</v>
      </c>
      <c r="Z471" s="47">
        <f t="shared" si="155"/>
        <v>0</v>
      </c>
      <c r="AA471" s="47">
        <v>0</v>
      </c>
      <c r="AB471" s="47">
        <v>0</v>
      </c>
      <c r="AC471" s="71">
        <f t="shared" si="161"/>
        <v>0</v>
      </c>
      <c r="AD471" s="118">
        <f t="shared" si="162"/>
        <v>0</v>
      </c>
    </row>
    <row r="472" spans="1:30" s="49" customFormat="1" ht="12.75" hidden="1" x14ac:dyDescent="0.2">
      <c r="A472" s="94">
        <v>467</v>
      </c>
      <c r="B472" s="36"/>
      <c r="C472" s="148"/>
      <c r="D472" s="57"/>
      <c r="E472" s="79">
        <f t="shared" si="159"/>
        <v>0</v>
      </c>
      <c r="F472" s="80">
        <f t="shared" si="148"/>
        <v>0</v>
      </c>
      <c r="G472" s="47">
        <f t="shared" si="157"/>
        <v>0</v>
      </c>
      <c r="H472" s="47">
        <f t="shared" si="150"/>
        <v>0</v>
      </c>
      <c r="I472" s="47">
        <f t="shared" si="158"/>
        <v>0</v>
      </c>
      <c r="J472" s="47">
        <f t="shared" si="149"/>
        <v>0</v>
      </c>
      <c r="K472" s="47">
        <f t="shared" si="151"/>
        <v>0</v>
      </c>
      <c r="L472" s="47">
        <f t="shared" si="152"/>
        <v>0</v>
      </c>
      <c r="M472" s="47">
        <f t="shared" si="153"/>
        <v>0</v>
      </c>
      <c r="N472" s="80">
        <v>0</v>
      </c>
      <c r="O472" s="47">
        <v>0</v>
      </c>
      <c r="P472" s="47">
        <v>0</v>
      </c>
      <c r="Q472" s="47">
        <v>0</v>
      </c>
      <c r="R472" s="47">
        <v>0</v>
      </c>
      <c r="S472" s="136">
        <v>0</v>
      </c>
      <c r="T472" s="47">
        <v>0</v>
      </c>
      <c r="U472" s="81">
        <f t="shared" si="160"/>
        <v>0</v>
      </c>
      <c r="V472" s="47">
        <f t="shared" si="156"/>
        <v>0</v>
      </c>
      <c r="W472" s="47">
        <f t="shared" ref="W472:W505" si="163">600*C472</f>
        <v>0</v>
      </c>
      <c r="X472" s="47">
        <f t="shared" si="154"/>
        <v>0</v>
      </c>
      <c r="Y472" s="47">
        <v>0</v>
      </c>
      <c r="Z472" s="47">
        <f t="shared" si="155"/>
        <v>0</v>
      </c>
      <c r="AA472" s="47">
        <v>0</v>
      </c>
      <c r="AB472" s="47">
        <v>0</v>
      </c>
      <c r="AC472" s="71">
        <f t="shared" si="161"/>
        <v>0</v>
      </c>
      <c r="AD472" s="118">
        <f t="shared" si="162"/>
        <v>0</v>
      </c>
    </row>
    <row r="473" spans="1:30" s="49" customFormat="1" ht="12.75" hidden="1" x14ac:dyDescent="0.2">
      <c r="A473" s="94">
        <v>468</v>
      </c>
      <c r="B473" s="36"/>
      <c r="C473" s="148"/>
      <c r="D473" s="57"/>
      <c r="E473" s="79">
        <f t="shared" si="159"/>
        <v>0</v>
      </c>
      <c r="F473" s="80">
        <f t="shared" si="148"/>
        <v>0</v>
      </c>
      <c r="G473" s="47">
        <f t="shared" si="157"/>
        <v>0</v>
      </c>
      <c r="H473" s="47">
        <f t="shared" si="150"/>
        <v>0</v>
      </c>
      <c r="I473" s="47">
        <f t="shared" si="158"/>
        <v>0</v>
      </c>
      <c r="J473" s="47">
        <f t="shared" si="149"/>
        <v>0</v>
      </c>
      <c r="K473" s="47">
        <f t="shared" si="151"/>
        <v>0</v>
      </c>
      <c r="L473" s="47">
        <f t="shared" si="152"/>
        <v>0</v>
      </c>
      <c r="M473" s="47">
        <f t="shared" si="153"/>
        <v>0</v>
      </c>
      <c r="N473" s="80">
        <v>0</v>
      </c>
      <c r="O473" s="47">
        <v>0</v>
      </c>
      <c r="P473" s="47">
        <v>0</v>
      </c>
      <c r="Q473" s="47">
        <v>0</v>
      </c>
      <c r="R473" s="47">
        <v>0</v>
      </c>
      <c r="S473" s="136">
        <v>0</v>
      </c>
      <c r="T473" s="47">
        <v>0</v>
      </c>
      <c r="U473" s="81">
        <f t="shared" si="160"/>
        <v>0</v>
      </c>
      <c r="V473" s="47">
        <f t="shared" si="156"/>
        <v>0</v>
      </c>
      <c r="W473" s="47">
        <f t="shared" si="163"/>
        <v>0</v>
      </c>
      <c r="X473" s="47">
        <f t="shared" si="154"/>
        <v>0</v>
      </c>
      <c r="Y473" s="47">
        <v>0</v>
      </c>
      <c r="Z473" s="47">
        <f t="shared" si="155"/>
        <v>0</v>
      </c>
      <c r="AA473" s="47">
        <v>0</v>
      </c>
      <c r="AB473" s="47">
        <v>0</v>
      </c>
      <c r="AC473" s="71">
        <f t="shared" si="161"/>
        <v>0</v>
      </c>
      <c r="AD473" s="118">
        <f t="shared" si="162"/>
        <v>0</v>
      </c>
    </row>
    <row r="474" spans="1:30" s="49" customFormat="1" ht="12.75" hidden="1" x14ac:dyDescent="0.2">
      <c r="A474" s="94">
        <v>469</v>
      </c>
      <c r="B474" s="36"/>
      <c r="C474" s="148"/>
      <c r="D474" s="57"/>
      <c r="E474" s="79">
        <f t="shared" si="159"/>
        <v>0</v>
      </c>
      <c r="F474" s="80">
        <f t="shared" si="148"/>
        <v>0</v>
      </c>
      <c r="G474" s="47">
        <f t="shared" si="157"/>
        <v>0</v>
      </c>
      <c r="H474" s="47">
        <f t="shared" si="150"/>
        <v>0</v>
      </c>
      <c r="I474" s="47">
        <f t="shared" si="158"/>
        <v>0</v>
      </c>
      <c r="J474" s="47">
        <f t="shared" si="149"/>
        <v>0</v>
      </c>
      <c r="K474" s="47">
        <f t="shared" si="151"/>
        <v>0</v>
      </c>
      <c r="L474" s="47">
        <f t="shared" si="152"/>
        <v>0</v>
      </c>
      <c r="M474" s="47">
        <f t="shared" si="153"/>
        <v>0</v>
      </c>
      <c r="N474" s="80">
        <v>0</v>
      </c>
      <c r="O474" s="47">
        <v>0</v>
      </c>
      <c r="P474" s="47">
        <v>0</v>
      </c>
      <c r="Q474" s="47">
        <v>0</v>
      </c>
      <c r="R474" s="47">
        <v>0</v>
      </c>
      <c r="S474" s="136">
        <v>0</v>
      </c>
      <c r="T474" s="47">
        <v>0</v>
      </c>
      <c r="U474" s="81">
        <f t="shared" si="160"/>
        <v>0</v>
      </c>
      <c r="V474" s="47">
        <f t="shared" si="156"/>
        <v>0</v>
      </c>
      <c r="W474" s="47">
        <f t="shared" si="163"/>
        <v>0</v>
      </c>
      <c r="X474" s="47">
        <f t="shared" si="154"/>
        <v>0</v>
      </c>
      <c r="Y474" s="47">
        <v>0</v>
      </c>
      <c r="Z474" s="47">
        <f t="shared" si="155"/>
        <v>0</v>
      </c>
      <c r="AA474" s="47">
        <v>0</v>
      </c>
      <c r="AB474" s="47">
        <v>0</v>
      </c>
      <c r="AC474" s="71">
        <f t="shared" si="161"/>
        <v>0</v>
      </c>
      <c r="AD474" s="118">
        <f t="shared" si="162"/>
        <v>0</v>
      </c>
    </row>
    <row r="475" spans="1:30" s="49" customFormat="1" ht="12.75" hidden="1" x14ac:dyDescent="0.2">
      <c r="A475" s="94">
        <v>470</v>
      </c>
      <c r="B475" s="36"/>
      <c r="C475" s="148"/>
      <c r="D475" s="57"/>
      <c r="E475" s="79">
        <f t="shared" si="159"/>
        <v>0</v>
      </c>
      <c r="F475" s="80">
        <f t="shared" si="148"/>
        <v>0</v>
      </c>
      <c r="G475" s="47">
        <f t="shared" si="157"/>
        <v>0</v>
      </c>
      <c r="H475" s="47">
        <f t="shared" si="150"/>
        <v>0</v>
      </c>
      <c r="I475" s="47">
        <f t="shared" si="158"/>
        <v>0</v>
      </c>
      <c r="J475" s="47">
        <f t="shared" si="149"/>
        <v>0</v>
      </c>
      <c r="K475" s="47">
        <f t="shared" si="151"/>
        <v>0</v>
      </c>
      <c r="L475" s="47">
        <f t="shared" si="152"/>
        <v>0</v>
      </c>
      <c r="M475" s="47">
        <f t="shared" si="153"/>
        <v>0</v>
      </c>
      <c r="N475" s="80">
        <v>0</v>
      </c>
      <c r="O475" s="47">
        <v>0</v>
      </c>
      <c r="P475" s="47">
        <v>0</v>
      </c>
      <c r="Q475" s="47">
        <v>0</v>
      </c>
      <c r="R475" s="47">
        <v>0</v>
      </c>
      <c r="S475" s="136">
        <v>0</v>
      </c>
      <c r="T475" s="47">
        <v>0</v>
      </c>
      <c r="U475" s="81">
        <f t="shared" si="160"/>
        <v>0</v>
      </c>
      <c r="V475" s="47">
        <f t="shared" si="156"/>
        <v>0</v>
      </c>
      <c r="W475" s="47">
        <f t="shared" si="163"/>
        <v>0</v>
      </c>
      <c r="X475" s="47">
        <f t="shared" si="154"/>
        <v>0</v>
      </c>
      <c r="Y475" s="47">
        <v>0</v>
      </c>
      <c r="Z475" s="47">
        <f t="shared" si="155"/>
        <v>0</v>
      </c>
      <c r="AA475" s="47">
        <v>0</v>
      </c>
      <c r="AB475" s="47">
        <v>0</v>
      </c>
      <c r="AC475" s="71">
        <f t="shared" si="161"/>
        <v>0</v>
      </c>
      <c r="AD475" s="118">
        <f t="shared" si="162"/>
        <v>0</v>
      </c>
    </row>
    <row r="476" spans="1:30" s="49" customFormat="1" ht="12.75" hidden="1" x14ac:dyDescent="0.2">
      <c r="A476" s="94">
        <v>471</v>
      </c>
      <c r="B476" s="36"/>
      <c r="C476" s="148"/>
      <c r="D476" s="57"/>
      <c r="E476" s="79">
        <f t="shared" si="159"/>
        <v>0</v>
      </c>
      <c r="F476" s="80">
        <f t="shared" si="148"/>
        <v>0</v>
      </c>
      <c r="G476" s="47">
        <f t="shared" si="157"/>
        <v>0</v>
      </c>
      <c r="H476" s="47">
        <f t="shared" si="150"/>
        <v>0</v>
      </c>
      <c r="I476" s="47">
        <f t="shared" si="158"/>
        <v>0</v>
      </c>
      <c r="J476" s="47">
        <f t="shared" si="149"/>
        <v>0</v>
      </c>
      <c r="K476" s="47">
        <f t="shared" si="151"/>
        <v>0</v>
      </c>
      <c r="L476" s="47">
        <f t="shared" si="152"/>
        <v>0</v>
      </c>
      <c r="M476" s="47">
        <f t="shared" si="153"/>
        <v>0</v>
      </c>
      <c r="N476" s="80">
        <v>0</v>
      </c>
      <c r="O476" s="47">
        <v>0</v>
      </c>
      <c r="P476" s="47">
        <v>0</v>
      </c>
      <c r="Q476" s="47">
        <v>0</v>
      </c>
      <c r="R476" s="47">
        <v>0</v>
      </c>
      <c r="S476" s="136">
        <v>0</v>
      </c>
      <c r="T476" s="47">
        <v>0</v>
      </c>
      <c r="U476" s="81">
        <f t="shared" si="160"/>
        <v>0</v>
      </c>
      <c r="V476" s="47">
        <f t="shared" si="156"/>
        <v>0</v>
      </c>
      <c r="W476" s="47">
        <f t="shared" si="163"/>
        <v>0</v>
      </c>
      <c r="X476" s="47">
        <f t="shared" si="154"/>
        <v>0</v>
      </c>
      <c r="Y476" s="47">
        <v>0</v>
      </c>
      <c r="Z476" s="47">
        <f t="shared" si="155"/>
        <v>0</v>
      </c>
      <c r="AA476" s="47">
        <v>0</v>
      </c>
      <c r="AB476" s="47">
        <v>0</v>
      </c>
      <c r="AC476" s="71">
        <f t="shared" si="161"/>
        <v>0</v>
      </c>
      <c r="AD476" s="118">
        <f t="shared" si="162"/>
        <v>0</v>
      </c>
    </row>
    <row r="477" spans="1:30" s="49" customFormat="1" ht="12.75" hidden="1" x14ac:dyDescent="0.2">
      <c r="A477" s="94">
        <v>472</v>
      </c>
      <c r="B477" s="36"/>
      <c r="C477" s="148"/>
      <c r="D477" s="57"/>
      <c r="E477" s="79">
        <f t="shared" si="159"/>
        <v>0</v>
      </c>
      <c r="F477" s="80">
        <f t="shared" si="148"/>
        <v>0</v>
      </c>
      <c r="G477" s="47">
        <f t="shared" si="157"/>
        <v>0</v>
      </c>
      <c r="H477" s="47">
        <f t="shared" si="150"/>
        <v>0</v>
      </c>
      <c r="I477" s="47">
        <f t="shared" si="158"/>
        <v>0</v>
      </c>
      <c r="J477" s="47">
        <f t="shared" si="149"/>
        <v>0</v>
      </c>
      <c r="K477" s="47">
        <f t="shared" si="151"/>
        <v>0</v>
      </c>
      <c r="L477" s="47">
        <f t="shared" si="152"/>
        <v>0</v>
      </c>
      <c r="M477" s="47">
        <f t="shared" si="153"/>
        <v>0</v>
      </c>
      <c r="N477" s="80">
        <v>0</v>
      </c>
      <c r="O477" s="47">
        <v>0</v>
      </c>
      <c r="P477" s="47">
        <v>0</v>
      </c>
      <c r="Q477" s="47">
        <v>0</v>
      </c>
      <c r="R477" s="47">
        <v>0</v>
      </c>
      <c r="S477" s="136">
        <v>0</v>
      </c>
      <c r="T477" s="47">
        <v>0</v>
      </c>
      <c r="U477" s="81">
        <f t="shared" si="160"/>
        <v>0</v>
      </c>
      <c r="V477" s="47">
        <f t="shared" si="156"/>
        <v>0</v>
      </c>
      <c r="W477" s="47">
        <f t="shared" si="163"/>
        <v>0</v>
      </c>
      <c r="X477" s="47">
        <f t="shared" si="154"/>
        <v>0</v>
      </c>
      <c r="Y477" s="47">
        <v>0</v>
      </c>
      <c r="Z477" s="47">
        <f t="shared" si="155"/>
        <v>0</v>
      </c>
      <c r="AA477" s="47">
        <v>0</v>
      </c>
      <c r="AB477" s="47">
        <v>0</v>
      </c>
      <c r="AC477" s="71">
        <f t="shared" si="161"/>
        <v>0</v>
      </c>
      <c r="AD477" s="118">
        <f t="shared" si="162"/>
        <v>0</v>
      </c>
    </row>
    <row r="478" spans="1:30" s="49" customFormat="1" ht="12.75" hidden="1" x14ac:dyDescent="0.2">
      <c r="A478" s="94">
        <v>473</v>
      </c>
      <c r="B478" s="36"/>
      <c r="C478" s="148"/>
      <c r="D478" s="57"/>
      <c r="E478" s="79">
        <f t="shared" si="159"/>
        <v>0</v>
      </c>
      <c r="F478" s="80">
        <f t="shared" si="148"/>
        <v>0</v>
      </c>
      <c r="G478" s="47">
        <f t="shared" si="157"/>
        <v>0</v>
      </c>
      <c r="H478" s="47">
        <f t="shared" si="150"/>
        <v>0</v>
      </c>
      <c r="I478" s="47">
        <f t="shared" si="158"/>
        <v>0</v>
      </c>
      <c r="J478" s="47">
        <f t="shared" si="149"/>
        <v>0</v>
      </c>
      <c r="K478" s="47">
        <f t="shared" si="151"/>
        <v>0</v>
      </c>
      <c r="L478" s="47">
        <f t="shared" si="152"/>
        <v>0</v>
      </c>
      <c r="M478" s="47">
        <f t="shared" si="153"/>
        <v>0</v>
      </c>
      <c r="N478" s="80">
        <v>0</v>
      </c>
      <c r="O478" s="47">
        <v>0</v>
      </c>
      <c r="P478" s="47">
        <v>0</v>
      </c>
      <c r="Q478" s="47">
        <v>0</v>
      </c>
      <c r="R478" s="47">
        <v>0</v>
      </c>
      <c r="S478" s="136">
        <v>0</v>
      </c>
      <c r="T478" s="47">
        <v>0</v>
      </c>
      <c r="U478" s="81">
        <f t="shared" si="160"/>
        <v>0</v>
      </c>
      <c r="V478" s="47">
        <f t="shared" si="156"/>
        <v>0</v>
      </c>
      <c r="W478" s="47">
        <f t="shared" si="163"/>
        <v>0</v>
      </c>
      <c r="X478" s="47">
        <f t="shared" si="154"/>
        <v>0</v>
      </c>
      <c r="Y478" s="47">
        <v>0</v>
      </c>
      <c r="Z478" s="47">
        <f t="shared" si="155"/>
        <v>0</v>
      </c>
      <c r="AA478" s="47">
        <v>0</v>
      </c>
      <c r="AB478" s="47">
        <v>0</v>
      </c>
      <c r="AC478" s="71">
        <f t="shared" si="161"/>
        <v>0</v>
      </c>
      <c r="AD478" s="118">
        <f t="shared" si="162"/>
        <v>0</v>
      </c>
    </row>
    <row r="479" spans="1:30" s="49" customFormat="1" ht="12.75" hidden="1" x14ac:dyDescent="0.2">
      <c r="A479" s="94">
        <v>474</v>
      </c>
      <c r="B479" s="36"/>
      <c r="C479" s="148"/>
      <c r="D479" s="57"/>
      <c r="E479" s="79">
        <f t="shared" si="159"/>
        <v>0</v>
      </c>
      <c r="F479" s="80">
        <f t="shared" si="148"/>
        <v>0</v>
      </c>
      <c r="G479" s="47">
        <f t="shared" si="157"/>
        <v>0</v>
      </c>
      <c r="H479" s="47">
        <f t="shared" si="150"/>
        <v>0</v>
      </c>
      <c r="I479" s="47">
        <f t="shared" si="158"/>
        <v>0</v>
      </c>
      <c r="J479" s="47">
        <f t="shared" si="149"/>
        <v>0</v>
      </c>
      <c r="K479" s="47">
        <f t="shared" si="151"/>
        <v>0</v>
      </c>
      <c r="L479" s="47">
        <f t="shared" si="152"/>
        <v>0</v>
      </c>
      <c r="M479" s="47">
        <f t="shared" si="153"/>
        <v>0</v>
      </c>
      <c r="N479" s="80">
        <v>0</v>
      </c>
      <c r="O479" s="47">
        <v>0</v>
      </c>
      <c r="P479" s="47">
        <v>0</v>
      </c>
      <c r="Q479" s="47">
        <v>0</v>
      </c>
      <c r="R479" s="47">
        <v>0</v>
      </c>
      <c r="S479" s="136">
        <v>0</v>
      </c>
      <c r="T479" s="47">
        <v>0</v>
      </c>
      <c r="U479" s="81">
        <f t="shared" si="160"/>
        <v>0</v>
      </c>
      <c r="V479" s="47">
        <f t="shared" si="156"/>
        <v>0</v>
      </c>
      <c r="W479" s="47">
        <f t="shared" si="163"/>
        <v>0</v>
      </c>
      <c r="X479" s="47">
        <f t="shared" si="154"/>
        <v>0</v>
      </c>
      <c r="Y479" s="47">
        <v>0</v>
      </c>
      <c r="Z479" s="47">
        <f t="shared" si="155"/>
        <v>0</v>
      </c>
      <c r="AA479" s="47">
        <v>0</v>
      </c>
      <c r="AB479" s="47">
        <v>0</v>
      </c>
      <c r="AC479" s="71">
        <f t="shared" si="161"/>
        <v>0</v>
      </c>
      <c r="AD479" s="118">
        <f t="shared" si="162"/>
        <v>0</v>
      </c>
    </row>
    <row r="480" spans="1:30" s="49" customFormat="1" ht="12.75" hidden="1" x14ac:dyDescent="0.2">
      <c r="A480" s="94">
        <v>475</v>
      </c>
      <c r="B480" s="36"/>
      <c r="C480" s="148"/>
      <c r="D480" s="57"/>
      <c r="E480" s="79">
        <f t="shared" si="159"/>
        <v>0</v>
      </c>
      <c r="F480" s="80">
        <f t="shared" si="148"/>
        <v>0</v>
      </c>
      <c r="G480" s="47">
        <f t="shared" si="157"/>
        <v>0</v>
      </c>
      <c r="H480" s="47">
        <f t="shared" si="150"/>
        <v>0</v>
      </c>
      <c r="I480" s="47">
        <f t="shared" si="158"/>
        <v>0</v>
      </c>
      <c r="J480" s="47">
        <f t="shared" si="149"/>
        <v>0</v>
      </c>
      <c r="K480" s="47">
        <f t="shared" si="151"/>
        <v>0</v>
      </c>
      <c r="L480" s="47">
        <f t="shared" si="152"/>
        <v>0</v>
      </c>
      <c r="M480" s="47">
        <f t="shared" si="153"/>
        <v>0</v>
      </c>
      <c r="N480" s="80">
        <v>0</v>
      </c>
      <c r="O480" s="47">
        <v>0</v>
      </c>
      <c r="P480" s="47">
        <v>0</v>
      </c>
      <c r="Q480" s="47">
        <v>0</v>
      </c>
      <c r="R480" s="47">
        <v>0</v>
      </c>
      <c r="S480" s="136">
        <v>0</v>
      </c>
      <c r="T480" s="47">
        <v>0</v>
      </c>
      <c r="U480" s="81">
        <f t="shared" si="160"/>
        <v>0</v>
      </c>
      <c r="V480" s="47">
        <f t="shared" si="156"/>
        <v>0</v>
      </c>
      <c r="W480" s="47">
        <f t="shared" si="163"/>
        <v>0</v>
      </c>
      <c r="X480" s="47">
        <f t="shared" si="154"/>
        <v>0</v>
      </c>
      <c r="Y480" s="47">
        <v>0</v>
      </c>
      <c r="Z480" s="47">
        <f t="shared" si="155"/>
        <v>0</v>
      </c>
      <c r="AA480" s="47">
        <v>0</v>
      </c>
      <c r="AB480" s="47">
        <v>0</v>
      </c>
      <c r="AC480" s="71">
        <f t="shared" si="161"/>
        <v>0</v>
      </c>
      <c r="AD480" s="118">
        <f t="shared" si="162"/>
        <v>0</v>
      </c>
    </row>
    <row r="481" spans="1:30" s="49" customFormat="1" ht="12.75" hidden="1" x14ac:dyDescent="0.2">
      <c r="A481" s="94">
        <v>476</v>
      </c>
      <c r="B481" s="36"/>
      <c r="C481" s="148"/>
      <c r="D481" s="57"/>
      <c r="E481" s="79">
        <f t="shared" si="159"/>
        <v>0</v>
      </c>
      <c r="F481" s="80">
        <f t="shared" si="148"/>
        <v>0</v>
      </c>
      <c r="G481" s="47">
        <f t="shared" si="157"/>
        <v>0</v>
      </c>
      <c r="H481" s="47">
        <f t="shared" si="150"/>
        <v>0</v>
      </c>
      <c r="I481" s="47">
        <f t="shared" si="158"/>
        <v>0</v>
      </c>
      <c r="J481" s="47">
        <f t="shared" si="149"/>
        <v>0</v>
      </c>
      <c r="K481" s="47">
        <f t="shared" si="151"/>
        <v>0</v>
      </c>
      <c r="L481" s="47">
        <f t="shared" si="152"/>
        <v>0</v>
      </c>
      <c r="M481" s="47">
        <f t="shared" si="153"/>
        <v>0</v>
      </c>
      <c r="N481" s="80">
        <v>0</v>
      </c>
      <c r="O481" s="47">
        <v>0</v>
      </c>
      <c r="P481" s="47">
        <v>0</v>
      </c>
      <c r="Q481" s="47">
        <v>0</v>
      </c>
      <c r="R481" s="47">
        <v>0</v>
      </c>
      <c r="S481" s="136">
        <v>0</v>
      </c>
      <c r="T481" s="47">
        <v>0</v>
      </c>
      <c r="U481" s="81">
        <f t="shared" si="160"/>
        <v>0</v>
      </c>
      <c r="V481" s="47">
        <f t="shared" si="156"/>
        <v>0</v>
      </c>
      <c r="W481" s="47">
        <f t="shared" si="163"/>
        <v>0</v>
      </c>
      <c r="X481" s="47">
        <f t="shared" si="154"/>
        <v>0</v>
      </c>
      <c r="Y481" s="47">
        <v>0</v>
      </c>
      <c r="Z481" s="47">
        <f t="shared" si="155"/>
        <v>0</v>
      </c>
      <c r="AA481" s="47">
        <v>0</v>
      </c>
      <c r="AB481" s="47">
        <v>0</v>
      </c>
      <c r="AC481" s="71">
        <f t="shared" si="161"/>
        <v>0</v>
      </c>
      <c r="AD481" s="118">
        <f t="shared" si="162"/>
        <v>0</v>
      </c>
    </row>
    <row r="482" spans="1:30" s="49" customFormat="1" ht="12.75" hidden="1" x14ac:dyDescent="0.2">
      <c r="A482" s="94">
        <v>477</v>
      </c>
      <c r="B482" s="36"/>
      <c r="C482" s="148"/>
      <c r="D482" s="57"/>
      <c r="E482" s="79">
        <f t="shared" si="159"/>
        <v>0</v>
      </c>
      <c r="F482" s="80">
        <f t="shared" si="148"/>
        <v>0</v>
      </c>
      <c r="G482" s="47">
        <f t="shared" si="157"/>
        <v>0</v>
      </c>
      <c r="H482" s="47">
        <f t="shared" si="150"/>
        <v>0</v>
      </c>
      <c r="I482" s="47">
        <f t="shared" si="158"/>
        <v>0</v>
      </c>
      <c r="J482" s="47">
        <f t="shared" si="149"/>
        <v>0</v>
      </c>
      <c r="K482" s="47">
        <f t="shared" si="151"/>
        <v>0</v>
      </c>
      <c r="L482" s="47">
        <f t="shared" si="152"/>
        <v>0</v>
      </c>
      <c r="M482" s="47">
        <f t="shared" si="153"/>
        <v>0</v>
      </c>
      <c r="N482" s="80">
        <v>0</v>
      </c>
      <c r="O482" s="47">
        <v>0</v>
      </c>
      <c r="P482" s="47">
        <v>0</v>
      </c>
      <c r="Q482" s="47">
        <v>0</v>
      </c>
      <c r="R482" s="47">
        <v>0</v>
      </c>
      <c r="S482" s="136">
        <v>0</v>
      </c>
      <c r="T482" s="47">
        <v>0</v>
      </c>
      <c r="U482" s="81">
        <f t="shared" si="160"/>
        <v>0</v>
      </c>
      <c r="V482" s="47">
        <f t="shared" si="156"/>
        <v>0</v>
      </c>
      <c r="W482" s="47">
        <f t="shared" si="163"/>
        <v>0</v>
      </c>
      <c r="X482" s="47">
        <f t="shared" si="154"/>
        <v>0</v>
      </c>
      <c r="Y482" s="47">
        <v>0</v>
      </c>
      <c r="Z482" s="47">
        <f t="shared" si="155"/>
        <v>0</v>
      </c>
      <c r="AA482" s="47">
        <v>0</v>
      </c>
      <c r="AB482" s="47">
        <v>0</v>
      </c>
      <c r="AC482" s="71">
        <f t="shared" si="161"/>
        <v>0</v>
      </c>
      <c r="AD482" s="118">
        <f t="shared" si="162"/>
        <v>0</v>
      </c>
    </row>
    <row r="483" spans="1:30" s="49" customFormat="1" ht="12.75" hidden="1" x14ac:dyDescent="0.2">
      <c r="A483" s="94">
        <v>478</v>
      </c>
      <c r="B483" s="36"/>
      <c r="C483" s="148"/>
      <c r="D483" s="57"/>
      <c r="E483" s="79">
        <f t="shared" si="159"/>
        <v>0</v>
      </c>
      <c r="F483" s="80">
        <f t="shared" si="148"/>
        <v>0</v>
      </c>
      <c r="G483" s="47">
        <f t="shared" si="157"/>
        <v>0</v>
      </c>
      <c r="H483" s="47">
        <f t="shared" si="150"/>
        <v>0</v>
      </c>
      <c r="I483" s="47">
        <f t="shared" si="158"/>
        <v>0</v>
      </c>
      <c r="J483" s="47">
        <f t="shared" si="149"/>
        <v>0</v>
      </c>
      <c r="K483" s="47">
        <f t="shared" si="151"/>
        <v>0</v>
      </c>
      <c r="L483" s="47">
        <f t="shared" si="152"/>
        <v>0</v>
      </c>
      <c r="M483" s="47">
        <f t="shared" si="153"/>
        <v>0</v>
      </c>
      <c r="N483" s="80">
        <v>0</v>
      </c>
      <c r="O483" s="47">
        <v>0</v>
      </c>
      <c r="P483" s="47">
        <v>0</v>
      </c>
      <c r="Q483" s="47">
        <v>0</v>
      </c>
      <c r="R483" s="47">
        <v>0</v>
      </c>
      <c r="S483" s="136">
        <v>0</v>
      </c>
      <c r="T483" s="47">
        <v>0</v>
      </c>
      <c r="U483" s="81">
        <f t="shared" si="160"/>
        <v>0</v>
      </c>
      <c r="V483" s="47">
        <f t="shared" si="156"/>
        <v>0</v>
      </c>
      <c r="W483" s="47">
        <f t="shared" si="163"/>
        <v>0</v>
      </c>
      <c r="X483" s="47">
        <f t="shared" si="154"/>
        <v>0</v>
      </c>
      <c r="Y483" s="47">
        <v>0</v>
      </c>
      <c r="Z483" s="47">
        <f t="shared" si="155"/>
        <v>0</v>
      </c>
      <c r="AA483" s="47">
        <v>0</v>
      </c>
      <c r="AB483" s="47">
        <v>0</v>
      </c>
      <c r="AC483" s="71">
        <f t="shared" si="161"/>
        <v>0</v>
      </c>
      <c r="AD483" s="118">
        <f t="shared" si="162"/>
        <v>0</v>
      </c>
    </row>
    <row r="484" spans="1:30" s="49" customFormat="1" ht="12.75" hidden="1" x14ac:dyDescent="0.2">
      <c r="A484" s="94">
        <v>479</v>
      </c>
      <c r="B484" s="36"/>
      <c r="C484" s="148"/>
      <c r="D484" s="57"/>
      <c r="E484" s="79">
        <f t="shared" si="159"/>
        <v>0</v>
      </c>
      <c r="F484" s="80">
        <f t="shared" si="148"/>
        <v>0</v>
      </c>
      <c r="G484" s="47">
        <f t="shared" si="157"/>
        <v>0</v>
      </c>
      <c r="H484" s="47">
        <f t="shared" si="150"/>
        <v>0</v>
      </c>
      <c r="I484" s="47">
        <f t="shared" si="158"/>
        <v>0</v>
      </c>
      <c r="J484" s="47">
        <f t="shared" si="149"/>
        <v>0</v>
      </c>
      <c r="K484" s="47">
        <f t="shared" si="151"/>
        <v>0</v>
      </c>
      <c r="L484" s="47">
        <f t="shared" si="152"/>
        <v>0</v>
      </c>
      <c r="M484" s="47">
        <f t="shared" si="153"/>
        <v>0</v>
      </c>
      <c r="N484" s="80">
        <v>0</v>
      </c>
      <c r="O484" s="47">
        <v>0</v>
      </c>
      <c r="P484" s="47">
        <v>0</v>
      </c>
      <c r="Q484" s="47">
        <v>0</v>
      </c>
      <c r="R484" s="47">
        <v>0</v>
      </c>
      <c r="S484" s="136">
        <v>0</v>
      </c>
      <c r="T484" s="47">
        <v>0</v>
      </c>
      <c r="U484" s="81">
        <f t="shared" si="160"/>
        <v>0</v>
      </c>
      <c r="V484" s="47">
        <f t="shared" si="156"/>
        <v>0</v>
      </c>
      <c r="W484" s="47">
        <f t="shared" si="163"/>
        <v>0</v>
      </c>
      <c r="X484" s="47">
        <f t="shared" si="154"/>
        <v>0</v>
      </c>
      <c r="Y484" s="47">
        <v>0</v>
      </c>
      <c r="Z484" s="47">
        <f t="shared" si="155"/>
        <v>0</v>
      </c>
      <c r="AA484" s="47">
        <v>0</v>
      </c>
      <c r="AB484" s="47">
        <v>0</v>
      </c>
      <c r="AC484" s="71">
        <f t="shared" si="161"/>
        <v>0</v>
      </c>
      <c r="AD484" s="118">
        <f t="shared" si="162"/>
        <v>0</v>
      </c>
    </row>
    <row r="485" spans="1:30" s="49" customFormat="1" ht="12.75" hidden="1" x14ac:dyDescent="0.2">
      <c r="A485" s="94">
        <v>480</v>
      </c>
      <c r="B485" s="36"/>
      <c r="C485" s="148"/>
      <c r="D485" s="57"/>
      <c r="E485" s="79">
        <f t="shared" si="159"/>
        <v>0</v>
      </c>
      <c r="F485" s="80">
        <f t="shared" si="148"/>
        <v>0</v>
      </c>
      <c r="G485" s="47">
        <f t="shared" si="157"/>
        <v>0</v>
      </c>
      <c r="H485" s="47">
        <f t="shared" si="150"/>
        <v>0</v>
      </c>
      <c r="I485" s="47">
        <f t="shared" si="158"/>
        <v>0</v>
      </c>
      <c r="J485" s="47">
        <f t="shared" si="149"/>
        <v>0</v>
      </c>
      <c r="K485" s="47">
        <f t="shared" si="151"/>
        <v>0</v>
      </c>
      <c r="L485" s="47">
        <f t="shared" si="152"/>
        <v>0</v>
      </c>
      <c r="M485" s="47">
        <f t="shared" si="153"/>
        <v>0</v>
      </c>
      <c r="N485" s="80">
        <v>0</v>
      </c>
      <c r="O485" s="47">
        <v>0</v>
      </c>
      <c r="P485" s="47">
        <v>0</v>
      </c>
      <c r="Q485" s="47">
        <v>0</v>
      </c>
      <c r="R485" s="47">
        <v>0</v>
      </c>
      <c r="S485" s="136">
        <v>0</v>
      </c>
      <c r="T485" s="47">
        <v>0</v>
      </c>
      <c r="U485" s="81">
        <f t="shared" si="160"/>
        <v>0</v>
      </c>
      <c r="V485" s="47">
        <f t="shared" si="156"/>
        <v>0</v>
      </c>
      <c r="W485" s="47">
        <f t="shared" si="163"/>
        <v>0</v>
      </c>
      <c r="X485" s="47">
        <f t="shared" si="154"/>
        <v>0</v>
      </c>
      <c r="Y485" s="47">
        <v>0</v>
      </c>
      <c r="Z485" s="47">
        <f t="shared" si="155"/>
        <v>0</v>
      </c>
      <c r="AA485" s="47">
        <v>0</v>
      </c>
      <c r="AB485" s="47">
        <v>0</v>
      </c>
      <c r="AC485" s="71">
        <f t="shared" si="161"/>
        <v>0</v>
      </c>
      <c r="AD485" s="118">
        <f t="shared" si="162"/>
        <v>0</v>
      </c>
    </row>
    <row r="486" spans="1:30" s="49" customFormat="1" ht="12.75" hidden="1" x14ac:dyDescent="0.2">
      <c r="A486" s="94">
        <v>481</v>
      </c>
      <c r="B486" s="36"/>
      <c r="C486" s="148"/>
      <c r="D486" s="57"/>
      <c r="E486" s="79">
        <f t="shared" si="159"/>
        <v>0</v>
      </c>
      <c r="F486" s="80">
        <f t="shared" si="148"/>
        <v>0</v>
      </c>
      <c r="G486" s="47">
        <f t="shared" si="157"/>
        <v>0</v>
      </c>
      <c r="H486" s="47">
        <f t="shared" si="150"/>
        <v>0</v>
      </c>
      <c r="I486" s="47">
        <f t="shared" si="158"/>
        <v>0</v>
      </c>
      <c r="J486" s="47">
        <f t="shared" si="149"/>
        <v>0</v>
      </c>
      <c r="K486" s="47">
        <f t="shared" si="151"/>
        <v>0</v>
      </c>
      <c r="L486" s="47">
        <f t="shared" si="152"/>
        <v>0</v>
      </c>
      <c r="M486" s="47">
        <f t="shared" si="153"/>
        <v>0</v>
      </c>
      <c r="N486" s="80">
        <v>0</v>
      </c>
      <c r="O486" s="47">
        <v>0</v>
      </c>
      <c r="P486" s="47">
        <v>0</v>
      </c>
      <c r="Q486" s="47">
        <v>0</v>
      </c>
      <c r="R486" s="47">
        <v>0</v>
      </c>
      <c r="S486" s="136">
        <v>0</v>
      </c>
      <c r="T486" s="47">
        <v>0</v>
      </c>
      <c r="U486" s="81">
        <f t="shared" si="160"/>
        <v>0</v>
      </c>
      <c r="V486" s="47">
        <f t="shared" si="156"/>
        <v>0</v>
      </c>
      <c r="W486" s="47">
        <f t="shared" si="163"/>
        <v>0</v>
      </c>
      <c r="X486" s="47">
        <f t="shared" si="154"/>
        <v>0</v>
      </c>
      <c r="Y486" s="47">
        <v>0</v>
      </c>
      <c r="Z486" s="47">
        <f t="shared" si="155"/>
        <v>0</v>
      </c>
      <c r="AA486" s="47">
        <v>0</v>
      </c>
      <c r="AB486" s="47">
        <v>0</v>
      </c>
      <c r="AC486" s="71">
        <f t="shared" si="161"/>
        <v>0</v>
      </c>
      <c r="AD486" s="118">
        <f t="shared" si="162"/>
        <v>0</v>
      </c>
    </row>
    <row r="487" spans="1:30" s="49" customFormat="1" ht="12.75" hidden="1" x14ac:dyDescent="0.2">
      <c r="A487" s="94">
        <v>482</v>
      </c>
      <c r="B487" s="36"/>
      <c r="C487" s="148"/>
      <c r="D487" s="57"/>
      <c r="E487" s="79">
        <f t="shared" si="159"/>
        <v>0</v>
      </c>
      <c r="F487" s="80">
        <f t="shared" si="148"/>
        <v>0</v>
      </c>
      <c r="G487" s="47">
        <f t="shared" si="157"/>
        <v>0</v>
      </c>
      <c r="H487" s="47">
        <f t="shared" si="150"/>
        <v>0</v>
      </c>
      <c r="I487" s="47">
        <f t="shared" si="158"/>
        <v>0</v>
      </c>
      <c r="J487" s="47">
        <f t="shared" si="149"/>
        <v>0</v>
      </c>
      <c r="K487" s="47">
        <f t="shared" si="151"/>
        <v>0</v>
      </c>
      <c r="L487" s="47">
        <f t="shared" si="152"/>
        <v>0</v>
      </c>
      <c r="M487" s="47">
        <f t="shared" si="153"/>
        <v>0</v>
      </c>
      <c r="N487" s="80">
        <v>0</v>
      </c>
      <c r="O487" s="47">
        <v>0</v>
      </c>
      <c r="P487" s="47">
        <v>0</v>
      </c>
      <c r="Q487" s="47">
        <v>0</v>
      </c>
      <c r="R487" s="47">
        <v>0</v>
      </c>
      <c r="S487" s="136">
        <v>0</v>
      </c>
      <c r="T487" s="47">
        <v>0</v>
      </c>
      <c r="U487" s="81">
        <f t="shared" si="160"/>
        <v>0</v>
      </c>
      <c r="V487" s="47">
        <f t="shared" si="156"/>
        <v>0</v>
      </c>
      <c r="W487" s="47">
        <f t="shared" si="163"/>
        <v>0</v>
      </c>
      <c r="X487" s="47">
        <f t="shared" si="154"/>
        <v>0</v>
      </c>
      <c r="Y487" s="47">
        <v>0</v>
      </c>
      <c r="Z487" s="47">
        <f t="shared" si="155"/>
        <v>0</v>
      </c>
      <c r="AA487" s="47">
        <v>0</v>
      </c>
      <c r="AB487" s="47">
        <v>0</v>
      </c>
      <c r="AC487" s="71">
        <f t="shared" si="161"/>
        <v>0</v>
      </c>
      <c r="AD487" s="118">
        <f t="shared" si="162"/>
        <v>0</v>
      </c>
    </row>
    <row r="488" spans="1:30" s="49" customFormat="1" ht="12.75" hidden="1" x14ac:dyDescent="0.2">
      <c r="A488" s="94">
        <v>483</v>
      </c>
      <c r="B488" s="36"/>
      <c r="C488" s="148"/>
      <c r="D488" s="57"/>
      <c r="E488" s="79">
        <f t="shared" si="159"/>
        <v>0</v>
      </c>
      <c r="F488" s="80">
        <f t="shared" si="148"/>
        <v>0</v>
      </c>
      <c r="G488" s="47">
        <f t="shared" si="157"/>
        <v>0</v>
      </c>
      <c r="H488" s="47">
        <f t="shared" si="150"/>
        <v>0</v>
      </c>
      <c r="I488" s="47">
        <f t="shared" si="158"/>
        <v>0</v>
      </c>
      <c r="J488" s="47">
        <f t="shared" si="149"/>
        <v>0</v>
      </c>
      <c r="K488" s="47">
        <f t="shared" si="151"/>
        <v>0</v>
      </c>
      <c r="L488" s="47">
        <f t="shared" si="152"/>
        <v>0</v>
      </c>
      <c r="M488" s="47">
        <f t="shared" si="153"/>
        <v>0</v>
      </c>
      <c r="N488" s="80">
        <v>0</v>
      </c>
      <c r="O488" s="47">
        <v>0</v>
      </c>
      <c r="P488" s="47">
        <v>0</v>
      </c>
      <c r="Q488" s="47">
        <v>0</v>
      </c>
      <c r="R488" s="47">
        <v>0</v>
      </c>
      <c r="S488" s="136">
        <v>0</v>
      </c>
      <c r="T488" s="47">
        <v>0</v>
      </c>
      <c r="U488" s="81">
        <f t="shared" si="160"/>
        <v>0</v>
      </c>
      <c r="V488" s="47">
        <f t="shared" si="156"/>
        <v>0</v>
      </c>
      <c r="W488" s="47">
        <f t="shared" si="163"/>
        <v>0</v>
      </c>
      <c r="X488" s="47">
        <f t="shared" si="154"/>
        <v>0</v>
      </c>
      <c r="Y488" s="47">
        <v>0</v>
      </c>
      <c r="Z488" s="47">
        <f t="shared" si="155"/>
        <v>0</v>
      </c>
      <c r="AA488" s="47">
        <v>0</v>
      </c>
      <c r="AB488" s="47">
        <v>0</v>
      </c>
      <c r="AC488" s="71">
        <f t="shared" si="161"/>
        <v>0</v>
      </c>
      <c r="AD488" s="118">
        <f t="shared" si="162"/>
        <v>0</v>
      </c>
    </row>
    <row r="489" spans="1:30" s="49" customFormat="1" ht="12.75" hidden="1" x14ac:dyDescent="0.2">
      <c r="A489" s="94">
        <v>484</v>
      </c>
      <c r="B489" s="36"/>
      <c r="C489" s="148"/>
      <c r="D489" s="57"/>
      <c r="E489" s="79">
        <f t="shared" si="159"/>
        <v>0</v>
      </c>
      <c r="F489" s="80">
        <f t="shared" si="148"/>
        <v>0</v>
      </c>
      <c r="G489" s="47">
        <f t="shared" si="157"/>
        <v>0</v>
      </c>
      <c r="H489" s="47">
        <f t="shared" si="150"/>
        <v>0</v>
      </c>
      <c r="I489" s="47">
        <f t="shared" si="158"/>
        <v>0</v>
      </c>
      <c r="J489" s="47">
        <f t="shared" si="149"/>
        <v>0</v>
      </c>
      <c r="K489" s="47">
        <f t="shared" si="151"/>
        <v>0</v>
      </c>
      <c r="L489" s="47">
        <f t="shared" si="152"/>
        <v>0</v>
      </c>
      <c r="M489" s="47">
        <f t="shared" si="153"/>
        <v>0</v>
      </c>
      <c r="N489" s="80">
        <v>0</v>
      </c>
      <c r="O489" s="47">
        <v>0</v>
      </c>
      <c r="P489" s="47">
        <v>0</v>
      </c>
      <c r="Q489" s="47">
        <v>0</v>
      </c>
      <c r="R489" s="47">
        <v>0</v>
      </c>
      <c r="S489" s="136">
        <v>0</v>
      </c>
      <c r="T489" s="47">
        <v>0</v>
      </c>
      <c r="U489" s="81">
        <f t="shared" si="160"/>
        <v>0</v>
      </c>
      <c r="V489" s="47">
        <f t="shared" si="156"/>
        <v>0</v>
      </c>
      <c r="W489" s="47">
        <f t="shared" si="163"/>
        <v>0</v>
      </c>
      <c r="X489" s="47">
        <f t="shared" si="154"/>
        <v>0</v>
      </c>
      <c r="Y489" s="47">
        <v>0</v>
      </c>
      <c r="Z489" s="47">
        <f t="shared" si="155"/>
        <v>0</v>
      </c>
      <c r="AA489" s="47">
        <v>0</v>
      </c>
      <c r="AB489" s="47">
        <v>0</v>
      </c>
      <c r="AC489" s="71">
        <f t="shared" si="161"/>
        <v>0</v>
      </c>
      <c r="AD489" s="118">
        <f t="shared" si="162"/>
        <v>0</v>
      </c>
    </row>
    <row r="490" spans="1:30" s="49" customFormat="1" ht="12.75" hidden="1" x14ac:dyDescent="0.2">
      <c r="A490" s="94">
        <v>485</v>
      </c>
      <c r="B490" s="36"/>
      <c r="C490" s="148"/>
      <c r="D490" s="57"/>
      <c r="E490" s="79">
        <f t="shared" si="159"/>
        <v>0</v>
      </c>
      <c r="F490" s="80">
        <f t="shared" si="148"/>
        <v>0</v>
      </c>
      <c r="G490" s="47">
        <f t="shared" si="157"/>
        <v>0</v>
      </c>
      <c r="H490" s="47">
        <f t="shared" si="150"/>
        <v>0</v>
      </c>
      <c r="I490" s="47">
        <f t="shared" si="158"/>
        <v>0</v>
      </c>
      <c r="J490" s="47">
        <f t="shared" si="149"/>
        <v>0</v>
      </c>
      <c r="K490" s="47">
        <f t="shared" si="151"/>
        <v>0</v>
      </c>
      <c r="L490" s="47">
        <f t="shared" si="152"/>
        <v>0</v>
      </c>
      <c r="M490" s="47">
        <f t="shared" si="153"/>
        <v>0</v>
      </c>
      <c r="N490" s="80">
        <v>0</v>
      </c>
      <c r="O490" s="47">
        <v>0</v>
      </c>
      <c r="P490" s="47">
        <v>0</v>
      </c>
      <c r="Q490" s="47">
        <v>0</v>
      </c>
      <c r="R490" s="47">
        <v>0</v>
      </c>
      <c r="S490" s="136">
        <v>0</v>
      </c>
      <c r="T490" s="47">
        <v>0</v>
      </c>
      <c r="U490" s="81">
        <f t="shared" si="160"/>
        <v>0</v>
      </c>
      <c r="V490" s="47">
        <f t="shared" si="156"/>
        <v>0</v>
      </c>
      <c r="W490" s="47">
        <f t="shared" si="163"/>
        <v>0</v>
      </c>
      <c r="X490" s="47">
        <f t="shared" si="154"/>
        <v>0</v>
      </c>
      <c r="Y490" s="47">
        <v>0</v>
      </c>
      <c r="Z490" s="47">
        <f t="shared" si="155"/>
        <v>0</v>
      </c>
      <c r="AA490" s="47">
        <v>0</v>
      </c>
      <c r="AB490" s="47">
        <v>0</v>
      </c>
      <c r="AC490" s="71">
        <f t="shared" si="161"/>
        <v>0</v>
      </c>
      <c r="AD490" s="118">
        <f t="shared" si="162"/>
        <v>0</v>
      </c>
    </row>
    <row r="491" spans="1:30" s="49" customFormat="1" ht="12.75" hidden="1" x14ac:dyDescent="0.2">
      <c r="A491" s="94">
        <v>486</v>
      </c>
      <c r="B491" s="36"/>
      <c r="C491" s="148"/>
      <c r="D491" s="57"/>
      <c r="E491" s="79">
        <f t="shared" si="159"/>
        <v>0</v>
      </c>
      <c r="F491" s="80">
        <f t="shared" si="148"/>
        <v>0</v>
      </c>
      <c r="G491" s="47">
        <f t="shared" si="157"/>
        <v>0</v>
      </c>
      <c r="H491" s="47">
        <f t="shared" si="150"/>
        <v>0</v>
      </c>
      <c r="I491" s="47">
        <f t="shared" si="158"/>
        <v>0</v>
      </c>
      <c r="J491" s="47">
        <f t="shared" si="149"/>
        <v>0</v>
      </c>
      <c r="K491" s="47">
        <f t="shared" si="151"/>
        <v>0</v>
      </c>
      <c r="L491" s="47">
        <f t="shared" si="152"/>
        <v>0</v>
      </c>
      <c r="M491" s="47">
        <f t="shared" si="153"/>
        <v>0</v>
      </c>
      <c r="N491" s="80">
        <v>0</v>
      </c>
      <c r="O491" s="47">
        <v>0</v>
      </c>
      <c r="P491" s="47">
        <v>0</v>
      </c>
      <c r="Q491" s="47">
        <v>0</v>
      </c>
      <c r="R491" s="47">
        <v>0</v>
      </c>
      <c r="S491" s="136">
        <v>0</v>
      </c>
      <c r="T491" s="47">
        <v>0</v>
      </c>
      <c r="U491" s="81">
        <f t="shared" si="160"/>
        <v>0</v>
      </c>
      <c r="V491" s="47">
        <f t="shared" si="156"/>
        <v>0</v>
      </c>
      <c r="W491" s="47">
        <f t="shared" si="163"/>
        <v>0</v>
      </c>
      <c r="X491" s="47">
        <f t="shared" si="154"/>
        <v>0</v>
      </c>
      <c r="Y491" s="47">
        <v>0</v>
      </c>
      <c r="Z491" s="47">
        <f t="shared" si="155"/>
        <v>0</v>
      </c>
      <c r="AA491" s="47">
        <v>0</v>
      </c>
      <c r="AB491" s="47">
        <v>0</v>
      </c>
      <c r="AC491" s="71">
        <f t="shared" si="161"/>
        <v>0</v>
      </c>
      <c r="AD491" s="118">
        <f t="shared" si="162"/>
        <v>0</v>
      </c>
    </row>
    <row r="492" spans="1:30" s="49" customFormat="1" ht="12.75" hidden="1" x14ac:dyDescent="0.2">
      <c r="A492" s="94">
        <v>487</v>
      </c>
      <c r="B492" s="36"/>
      <c r="C492" s="148"/>
      <c r="D492" s="57"/>
      <c r="E492" s="79">
        <f t="shared" si="159"/>
        <v>0</v>
      </c>
      <c r="F492" s="80">
        <f t="shared" si="148"/>
        <v>0</v>
      </c>
      <c r="G492" s="47">
        <f t="shared" si="157"/>
        <v>0</v>
      </c>
      <c r="H492" s="47">
        <f t="shared" si="150"/>
        <v>0</v>
      </c>
      <c r="I492" s="47">
        <f t="shared" si="158"/>
        <v>0</v>
      </c>
      <c r="J492" s="47">
        <f t="shared" si="149"/>
        <v>0</v>
      </c>
      <c r="K492" s="47">
        <f t="shared" si="151"/>
        <v>0</v>
      </c>
      <c r="L492" s="47">
        <f t="shared" si="152"/>
        <v>0</v>
      </c>
      <c r="M492" s="47">
        <f t="shared" si="153"/>
        <v>0</v>
      </c>
      <c r="N492" s="80">
        <v>0</v>
      </c>
      <c r="O492" s="47">
        <v>0</v>
      </c>
      <c r="P492" s="47">
        <v>0</v>
      </c>
      <c r="Q492" s="47">
        <v>0</v>
      </c>
      <c r="R492" s="47">
        <v>0</v>
      </c>
      <c r="S492" s="136">
        <v>0</v>
      </c>
      <c r="T492" s="47">
        <v>0</v>
      </c>
      <c r="U492" s="81">
        <f t="shared" si="160"/>
        <v>0</v>
      </c>
      <c r="V492" s="47">
        <f t="shared" si="156"/>
        <v>0</v>
      </c>
      <c r="W492" s="47">
        <f t="shared" si="163"/>
        <v>0</v>
      </c>
      <c r="X492" s="47">
        <f t="shared" si="154"/>
        <v>0</v>
      </c>
      <c r="Y492" s="47">
        <v>0</v>
      </c>
      <c r="Z492" s="47">
        <f t="shared" si="155"/>
        <v>0</v>
      </c>
      <c r="AA492" s="47">
        <v>0</v>
      </c>
      <c r="AB492" s="47">
        <v>0</v>
      </c>
      <c r="AC492" s="71">
        <f t="shared" si="161"/>
        <v>0</v>
      </c>
      <c r="AD492" s="118">
        <f t="shared" si="162"/>
        <v>0</v>
      </c>
    </row>
    <row r="493" spans="1:30" s="49" customFormat="1" ht="12.75" hidden="1" x14ac:dyDescent="0.2">
      <c r="A493" s="94">
        <v>488</v>
      </c>
      <c r="B493" s="36"/>
      <c r="C493" s="148"/>
      <c r="D493" s="57"/>
      <c r="E493" s="79">
        <f t="shared" si="159"/>
        <v>0</v>
      </c>
      <c r="F493" s="80">
        <f t="shared" si="148"/>
        <v>0</v>
      </c>
      <c r="G493" s="47">
        <f t="shared" si="157"/>
        <v>0</v>
      </c>
      <c r="H493" s="47">
        <f t="shared" si="150"/>
        <v>0</v>
      </c>
      <c r="I493" s="47">
        <f t="shared" si="158"/>
        <v>0</v>
      </c>
      <c r="J493" s="47">
        <f t="shared" si="149"/>
        <v>0</v>
      </c>
      <c r="K493" s="47">
        <f t="shared" si="151"/>
        <v>0</v>
      </c>
      <c r="L493" s="47">
        <f t="shared" si="152"/>
        <v>0</v>
      </c>
      <c r="M493" s="47">
        <f t="shared" si="153"/>
        <v>0</v>
      </c>
      <c r="N493" s="80">
        <v>0</v>
      </c>
      <c r="O493" s="47">
        <v>0</v>
      </c>
      <c r="P493" s="47">
        <v>0</v>
      </c>
      <c r="Q493" s="47">
        <v>0</v>
      </c>
      <c r="R493" s="47">
        <v>0</v>
      </c>
      <c r="S493" s="136">
        <v>0</v>
      </c>
      <c r="T493" s="47">
        <v>0</v>
      </c>
      <c r="U493" s="81">
        <f t="shared" si="160"/>
        <v>0</v>
      </c>
      <c r="V493" s="47">
        <f t="shared" si="156"/>
        <v>0</v>
      </c>
      <c r="W493" s="47">
        <f t="shared" si="163"/>
        <v>0</v>
      </c>
      <c r="X493" s="47">
        <f t="shared" si="154"/>
        <v>0</v>
      </c>
      <c r="Y493" s="47">
        <v>0</v>
      </c>
      <c r="Z493" s="47">
        <f t="shared" si="155"/>
        <v>0</v>
      </c>
      <c r="AA493" s="47">
        <v>0</v>
      </c>
      <c r="AB493" s="47">
        <v>0</v>
      </c>
      <c r="AC493" s="71">
        <f t="shared" si="161"/>
        <v>0</v>
      </c>
      <c r="AD493" s="118">
        <f t="shared" si="162"/>
        <v>0</v>
      </c>
    </row>
    <row r="494" spans="1:30" s="49" customFormat="1" ht="12.75" hidden="1" x14ac:dyDescent="0.2">
      <c r="A494" s="94">
        <v>489</v>
      </c>
      <c r="B494" s="36"/>
      <c r="C494" s="148"/>
      <c r="D494" s="57"/>
      <c r="E494" s="79">
        <f t="shared" si="159"/>
        <v>0</v>
      </c>
      <c r="F494" s="80">
        <f t="shared" si="148"/>
        <v>0</v>
      </c>
      <c r="G494" s="47">
        <f t="shared" si="157"/>
        <v>0</v>
      </c>
      <c r="H494" s="47">
        <f t="shared" si="150"/>
        <v>0</v>
      </c>
      <c r="I494" s="47">
        <f t="shared" si="158"/>
        <v>0</v>
      </c>
      <c r="J494" s="47">
        <f t="shared" si="149"/>
        <v>0</v>
      </c>
      <c r="K494" s="47">
        <f t="shared" si="151"/>
        <v>0</v>
      </c>
      <c r="L494" s="47">
        <f t="shared" si="152"/>
        <v>0</v>
      </c>
      <c r="M494" s="47">
        <f t="shared" si="153"/>
        <v>0</v>
      </c>
      <c r="N494" s="80">
        <v>0</v>
      </c>
      <c r="O494" s="47">
        <v>0</v>
      </c>
      <c r="P494" s="47">
        <v>0</v>
      </c>
      <c r="Q494" s="47">
        <v>0</v>
      </c>
      <c r="R494" s="47">
        <v>0</v>
      </c>
      <c r="S494" s="136">
        <v>0</v>
      </c>
      <c r="T494" s="47">
        <v>0</v>
      </c>
      <c r="U494" s="81">
        <f t="shared" si="160"/>
        <v>0</v>
      </c>
      <c r="V494" s="47">
        <f t="shared" si="156"/>
        <v>0</v>
      </c>
      <c r="W494" s="47">
        <f t="shared" si="163"/>
        <v>0</v>
      </c>
      <c r="X494" s="47">
        <f t="shared" si="154"/>
        <v>0</v>
      </c>
      <c r="Y494" s="47">
        <v>0</v>
      </c>
      <c r="Z494" s="47">
        <f t="shared" si="155"/>
        <v>0</v>
      </c>
      <c r="AA494" s="47">
        <v>0</v>
      </c>
      <c r="AB494" s="47">
        <v>0</v>
      </c>
      <c r="AC494" s="71">
        <f t="shared" si="161"/>
        <v>0</v>
      </c>
      <c r="AD494" s="118">
        <f t="shared" si="162"/>
        <v>0</v>
      </c>
    </row>
    <row r="495" spans="1:30" s="49" customFormat="1" ht="12.75" hidden="1" x14ac:dyDescent="0.2">
      <c r="A495" s="94">
        <v>490</v>
      </c>
      <c r="B495" s="36"/>
      <c r="C495" s="148"/>
      <c r="D495" s="57"/>
      <c r="E495" s="79">
        <f t="shared" si="159"/>
        <v>0</v>
      </c>
      <c r="F495" s="80">
        <f t="shared" si="148"/>
        <v>0</v>
      </c>
      <c r="G495" s="47">
        <f t="shared" si="157"/>
        <v>0</v>
      </c>
      <c r="H495" s="47">
        <f t="shared" si="150"/>
        <v>0</v>
      </c>
      <c r="I495" s="47">
        <f t="shared" si="158"/>
        <v>0</v>
      </c>
      <c r="J495" s="47">
        <f t="shared" si="149"/>
        <v>0</v>
      </c>
      <c r="K495" s="47">
        <f t="shared" si="151"/>
        <v>0</v>
      </c>
      <c r="L495" s="47">
        <f t="shared" si="152"/>
        <v>0</v>
      </c>
      <c r="M495" s="47">
        <f t="shared" si="153"/>
        <v>0</v>
      </c>
      <c r="N495" s="80">
        <v>0</v>
      </c>
      <c r="O495" s="47">
        <v>0</v>
      </c>
      <c r="P495" s="47">
        <v>0</v>
      </c>
      <c r="Q495" s="47">
        <v>0</v>
      </c>
      <c r="R495" s="47">
        <v>0</v>
      </c>
      <c r="S495" s="136">
        <v>0</v>
      </c>
      <c r="T495" s="47">
        <v>0</v>
      </c>
      <c r="U495" s="81">
        <f t="shared" si="160"/>
        <v>0</v>
      </c>
      <c r="V495" s="47">
        <f t="shared" si="156"/>
        <v>0</v>
      </c>
      <c r="W495" s="47">
        <f t="shared" si="163"/>
        <v>0</v>
      </c>
      <c r="X495" s="47">
        <f t="shared" si="154"/>
        <v>0</v>
      </c>
      <c r="Y495" s="47">
        <v>0</v>
      </c>
      <c r="Z495" s="47">
        <f t="shared" si="155"/>
        <v>0</v>
      </c>
      <c r="AA495" s="47">
        <v>0</v>
      </c>
      <c r="AB495" s="47">
        <v>0</v>
      </c>
      <c r="AC495" s="71">
        <f t="shared" si="161"/>
        <v>0</v>
      </c>
      <c r="AD495" s="118">
        <f t="shared" si="162"/>
        <v>0</v>
      </c>
    </row>
    <row r="496" spans="1:30" s="49" customFormat="1" ht="12.75" hidden="1" x14ac:dyDescent="0.2">
      <c r="A496" s="94">
        <v>491</v>
      </c>
      <c r="B496" s="36"/>
      <c r="C496" s="148"/>
      <c r="D496" s="57"/>
      <c r="E496" s="79">
        <f t="shared" si="159"/>
        <v>0</v>
      </c>
      <c r="F496" s="80">
        <f t="shared" si="148"/>
        <v>0</v>
      </c>
      <c r="G496" s="47">
        <f t="shared" si="157"/>
        <v>0</v>
      </c>
      <c r="H496" s="47">
        <f t="shared" si="150"/>
        <v>0</v>
      </c>
      <c r="I496" s="47">
        <f t="shared" si="158"/>
        <v>0</v>
      </c>
      <c r="J496" s="47">
        <f t="shared" si="149"/>
        <v>0</v>
      </c>
      <c r="K496" s="47">
        <f t="shared" si="151"/>
        <v>0</v>
      </c>
      <c r="L496" s="47">
        <f t="shared" si="152"/>
        <v>0</v>
      </c>
      <c r="M496" s="47">
        <f t="shared" si="153"/>
        <v>0</v>
      </c>
      <c r="N496" s="80">
        <v>0</v>
      </c>
      <c r="O496" s="47">
        <v>0</v>
      </c>
      <c r="P496" s="47">
        <v>0</v>
      </c>
      <c r="Q496" s="47">
        <v>0</v>
      </c>
      <c r="R496" s="47">
        <v>0</v>
      </c>
      <c r="S496" s="136">
        <v>0</v>
      </c>
      <c r="T496" s="47">
        <v>0</v>
      </c>
      <c r="U496" s="81">
        <f t="shared" si="160"/>
        <v>0</v>
      </c>
      <c r="V496" s="47">
        <f t="shared" si="156"/>
        <v>0</v>
      </c>
      <c r="W496" s="47">
        <f t="shared" si="163"/>
        <v>0</v>
      </c>
      <c r="X496" s="47">
        <f t="shared" si="154"/>
        <v>0</v>
      </c>
      <c r="Y496" s="47">
        <v>0</v>
      </c>
      <c r="Z496" s="47">
        <f t="shared" si="155"/>
        <v>0</v>
      </c>
      <c r="AA496" s="47">
        <v>0</v>
      </c>
      <c r="AB496" s="47">
        <v>0</v>
      </c>
      <c r="AC496" s="71">
        <f t="shared" si="161"/>
        <v>0</v>
      </c>
      <c r="AD496" s="118">
        <f t="shared" si="162"/>
        <v>0</v>
      </c>
    </row>
    <row r="497" spans="1:30" s="49" customFormat="1" ht="12.75" hidden="1" x14ac:dyDescent="0.2">
      <c r="A497" s="94">
        <v>492</v>
      </c>
      <c r="B497" s="36"/>
      <c r="C497" s="148"/>
      <c r="D497" s="57"/>
      <c r="E497" s="79">
        <f t="shared" si="159"/>
        <v>0</v>
      </c>
      <c r="F497" s="80">
        <f t="shared" si="148"/>
        <v>0</v>
      </c>
      <c r="G497" s="47">
        <f t="shared" si="157"/>
        <v>0</v>
      </c>
      <c r="H497" s="47">
        <f t="shared" si="150"/>
        <v>0</v>
      </c>
      <c r="I497" s="47">
        <f t="shared" si="158"/>
        <v>0</v>
      </c>
      <c r="J497" s="47">
        <f t="shared" si="149"/>
        <v>0</v>
      </c>
      <c r="K497" s="47">
        <f t="shared" si="151"/>
        <v>0</v>
      </c>
      <c r="L497" s="47">
        <f t="shared" si="152"/>
        <v>0</v>
      </c>
      <c r="M497" s="47">
        <f t="shared" si="153"/>
        <v>0</v>
      </c>
      <c r="N497" s="80">
        <v>0</v>
      </c>
      <c r="O497" s="47">
        <v>0</v>
      </c>
      <c r="P497" s="47">
        <v>0</v>
      </c>
      <c r="Q497" s="47">
        <v>0</v>
      </c>
      <c r="R497" s="47">
        <v>0</v>
      </c>
      <c r="S497" s="136">
        <v>0</v>
      </c>
      <c r="T497" s="47">
        <v>0</v>
      </c>
      <c r="U497" s="81">
        <f t="shared" si="160"/>
        <v>0</v>
      </c>
      <c r="V497" s="47">
        <f t="shared" si="156"/>
        <v>0</v>
      </c>
      <c r="W497" s="47">
        <f t="shared" si="163"/>
        <v>0</v>
      </c>
      <c r="X497" s="47">
        <f t="shared" si="154"/>
        <v>0</v>
      </c>
      <c r="Y497" s="47">
        <v>0</v>
      </c>
      <c r="Z497" s="47">
        <f t="shared" si="155"/>
        <v>0</v>
      </c>
      <c r="AA497" s="47">
        <v>0</v>
      </c>
      <c r="AB497" s="47">
        <v>0</v>
      </c>
      <c r="AC497" s="71">
        <f t="shared" si="161"/>
        <v>0</v>
      </c>
      <c r="AD497" s="118">
        <f t="shared" si="162"/>
        <v>0</v>
      </c>
    </row>
    <row r="498" spans="1:30" s="49" customFormat="1" ht="12.75" hidden="1" x14ac:dyDescent="0.2">
      <c r="A498" s="94">
        <v>493</v>
      </c>
      <c r="B498" s="36"/>
      <c r="C498" s="148"/>
      <c r="D498" s="57"/>
      <c r="E498" s="79">
        <f t="shared" si="159"/>
        <v>0</v>
      </c>
      <c r="F498" s="80">
        <f t="shared" si="148"/>
        <v>0</v>
      </c>
      <c r="G498" s="47">
        <f t="shared" si="157"/>
        <v>0</v>
      </c>
      <c r="H498" s="47">
        <f t="shared" si="150"/>
        <v>0</v>
      </c>
      <c r="I498" s="47">
        <f t="shared" si="158"/>
        <v>0</v>
      </c>
      <c r="J498" s="47">
        <f t="shared" si="149"/>
        <v>0</v>
      </c>
      <c r="K498" s="47">
        <f t="shared" si="151"/>
        <v>0</v>
      </c>
      <c r="L498" s="47">
        <f t="shared" si="152"/>
        <v>0</v>
      </c>
      <c r="M498" s="47">
        <f t="shared" si="153"/>
        <v>0</v>
      </c>
      <c r="N498" s="80">
        <v>0</v>
      </c>
      <c r="O498" s="47">
        <v>0</v>
      </c>
      <c r="P498" s="47">
        <v>0</v>
      </c>
      <c r="Q498" s="47">
        <v>0</v>
      </c>
      <c r="R498" s="47">
        <v>0</v>
      </c>
      <c r="S498" s="136">
        <v>0</v>
      </c>
      <c r="T498" s="47">
        <v>0</v>
      </c>
      <c r="U498" s="81">
        <f t="shared" si="160"/>
        <v>0</v>
      </c>
      <c r="V498" s="47">
        <f t="shared" si="156"/>
        <v>0</v>
      </c>
      <c r="W498" s="47">
        <f t="shared" si="163"/>
        <v>0</v>
      </c>
      <c r="X498" s="47">
        <f t="shared" si="154"/>
        <v>0</v>
      </c>
      <c r="Y498" s="47">
        <v>0</v>
      </c>
      <c r="Z498" s="47">
        <f t="shared" si="155"/>
        <v>0</v>
      </c>
      <c r="AA498" s="47">
        <v>0</v>
      </c>
      <c r="AB498" s="47">
        <v>0</v>
      </c>
      <c r="AC498" s="71">
        <f t="shared" si="161"/>
        <v>0</v>
      </c>
      <c r="AD498" s="118">
        <f t="shared" si="162"/>
        <v>0</v>
      </c>
    </row>
    <row r="499" spans="1:30" s="49" customFormat="1" ht="12.75" hidden="1" x14ac:dyDescent="0.2">
      <c r="A499" s="94">
        <v>494</v>
      </c>
      <c r="B499" s="36"/>
      <c r="C499" s="148"/>
      <c r="D499" s="57"/>
      <c r="E499" s="79">
        <f t="shared" si="159"/>
        <v>0</v>
      </c>
      <c r="F499" s="80">
        <f t="shared" si="148"/>
        <v>0</v>
      </c>
      <c r="G499" s="47">
        <f t="shared" si="157"/>
        <v>0</v>
      </c>
      <c r="H499" s="47">
        <f t="shared" si="150"/>
        <v>0</v>
      </c>
      <c r="I499" s="47">
        <f t="shared" si="158"/>
        <v>0</v>
      </c>
      <c r="J499" s="47">
        <f t="shared" si="149"/>
        <v>0</v>
      </c>
      <c r="K499" s="47">
        <f t="shared" si="151"/>
        <v>0</v>
      </c>
      <c r="L499" s="47">
        <f t="shared" si="152"/>
        <v>0</v>
      </c>
      <c r="M499" s="47">
        <f t="shared" si="153"/>
        <v>0</v>
      </c>
      <c r="N499" s="80">
        <v>0</v>
      </c>
      <c r="O499" s="47">
        <v>0</v>
      </c>
      <c r="P499" s="47">
        <v>0</v>
      </c>
      <c r="Q499" s="47">
        <v>0</v>
      </c>
      <c r="R499" s="47">
        <v>0</v>
      </c>
      <c r="S499" s="136">
        <v>0</v>
      </c>
      <c r="T499" s="47">
        <v>0</v>
      </c>
      <c r="U499" s="81">
        <f t="shared" si="160"/>
        <v>0</v>
      </c>
      <c r="V499" s="47">
        <f t="shared" si="156"/>
        <v>0</v>
      </c>
      <c r="W499" s="47">
        <f t="shared" si="163"/>
        <v>0</v>
      </c>
      <c r="X499" s="47">
        <f t="shared" si="154"/>
        <v>0</v>
      </c>
      <c r="Y499" s="47">
        <v>0</v>
      </c>
      <c r="Z499" s="47">
        <f t="shared" si="155"/>
        <v>0</v>
      </c>
      <c r="AA499" s="47">
        <v>0</v>
      </c>
      <c r="AB499" s="47">
        <v>0</v>
      </c>
      <c r="AC499" s="71">
        <f t="shared" si="161"/>
        <v>0</v>
      </c>
      <c r="AD499" s="118">
        <f t="shared" si="162"/>
        <v>0</v>
      </c>
    </row>
    <row r="500" spans="1:30" s="49" customFormat="1" ht="12.75" hidden="1" x14ac:dyDescent="0.2">
      <c r="A500" s="94">
        <v>495</v>
      </c>
      <c r="B500" s="36"/>
      <c r="C500" s="148"/>
      <c r="D500" s="57"/>
      <c r="E500" s="79">
        <f t="shared" si="159"/>
        <v>0</v>
      </c>
      <c r="F500" s="80">
        <f t="shared" si="148"/>
        <v>0</v>
      </c>
      <c r="G500" s="47">
        <f t="shared" si="157"/>
        <v>0</v>
      </c>
      <c r="H500" s="47">
        <f t="shared" si="150"/>
        <v>0</v>
      </c>
      <c r="I500" s="47">
        <f t="shared" si="158"/>
        <v>0</v>
      </c>
      <c r="J500" s="47">
        <f t="shared" si="149"/>
        <v>0</v>
      </c>
      <c r="K500" s="47">
        <f t="shared" si="151"/>
        <v>0</v>
      </c>
      <c r="L500" s="47">
        <f t="shared" si="152"/>
        <v>0</v>
      </c>
      <c r="M500" s="47">
        <f t="shared" si="153"/>
        <v>0</v>
      </c>
      <c r="N500" s="80">
        <v>0</v>
      </c>
      <c r="O500" s="47">
        <v>0</v>
      </c>
      <c r="P500" s="47">
        <v>0</v>
      </c>
      <c r="Q500" s="47">
        <v>0</v>
      </c>
      <c r="R500" s="47">
        <v>0</v>
      </c>
      <c r="S500" s="136">
        <v>0</v>
      </c>
      <c r="T500" s="47">
        <v>0</v>
      </c>
      <c r="U500" s="81">
        <f t="shared" si="160"/>
        <v>0</v>
      </c>
      <c r="V500" s="47">
        <f t="shared" si="156"/>
        <v>0</v>
      </c>
      <c r="W500" s="47">
        <f t="shared" si="163"/>
        <v>0</v>
      </c>
      <c r="X500" s="47">
        <f t="shared" si="154"/>
        <v>0</v>
      </c>
      <c r="Y500" s="47">
        <v>0</v>
      </c>
      <c r="Z500" s="47">
        <f t="shared" si="155"/>
        <v>0</v>
      </c>
      <c r="AA500" s="47">
        <v>0</v>
      </c>
      <c r="AB500" s="47">
        <v>0</v>
      </c>
      <c r="AC500" s="71">
        <f t="shared" si="161"/>
        <v>0</v>
      </c>
      <c r="AD500" s="118">
        <f t="shared" si="162"/>
        <v>0</v>
      </c>
    </row>
    <row r="501" spans="1:30" s="49" customFormat="1" ht="12.75" hidden="1" x14ac:dyDescent="0.2">
      <c r="A501" s="94">
        <v>496</v>
      </c>
      <c r="B501" s="36"/>
      <c r="C501" s="148"/>
      <c r="D501" s="57"/>
      <c r="E501" s="79">
        <f t="shared" si="159"/>
        <v>0</v>
      </c>
      <c r="F501" s="80">
        <f t="shared" si="148"/>
        <v>0</v>
      </c>
      <c r="G501" s="47">
        <f t="shared" si="157"/>
        <v>0</v>
      </c>
      <c r="H501" s="47">
        <f t="shared" si="150"/>
        <v>0</v>
      </c>
      <c r="I501" s="47">
        <f t="shared" si="158"/>
        <v>0</v>
      </c>
      <c r="J501" s="47">
        <f t="shared" si="149"/>
        <v>0</v>
      </c>
      <c r="K501" s="47">
        <f t="shared" si="151"/>
        <v>0</v>
      </c>
      <c r="L501" s="47">
        <f t="shared" si="152"/>
        <v>0</v>
      </c>
      <c r="M501" s="47">
        <f t="shared" si="153"/>
        <v>0</v>
      </c>
      <c r="N501" s="80">
        <v>0</v>
      </c>
      <c r="O501" s="47">
        <v>0</v>
      </c>
      <c r="P501" s="47">
        <v>0</v>
      </c>
      <c r="Q501" s="47">
        <v>0</v>
      </c>
      <c r="R501" s="47">
        <v>0</v>
      </c>
      <c r="S501" s="136">
        <v>0</v>
      </c>
      <c r="T501" s="47">
        <v>0</v>
      </c>
      <c r="U501" s="81">
        <f t="shared" si="160"/>
        <v>0</v>
      </c>
      <c r="V501" s="47">
        <f t="shared" si="156"/>
        <v>0</v>
      </c>
      <c r="W501" s="47">
        <f t="shared" si="163"/>
        <v>0</v>
      </c>
      <c r="X501" s="47">
        <f t="shared" si="154"/>
        <v>0</v>
      </c>
      <c r="Y501" s="47">
        <v>0</v>
      </c>
      <c r="Z501" s="47">
        <f t="shared" si="155"/>
        <v>0</v>
      </c>
      <c r="AA501" s="47">
        <v>0</v>
      </c>
      <c r="AB501" s="47">
        <v>0</v>
      </c>
      <c r="AC501" s="71">
        <f t="shared" si="161"/>
        <v>0</v>
      </c>
      <c r="AD501" s="118">
        <f t="shared" si="162"/>
        <v>0</v>
      </c>
    </row>
    <row r="502" spans="1:30" s="49" customFormat="1" ht="12.75" hidden="1" x14ac:dyDescent="0.2">
      <c r="A502" s="94">
        <v>497</v>
      </c>
      <c r="B502" s="36"/>
      <c r="C502" s="148"/>
      <c r="D502" s="57"/>
      <c r="E502" s="79">
        <f t="shared" si="159"/>
        <v>0</v>
      </c>
      <c r="F502" s="80">
        <f t="shared" si="148"/>
        <v>0</v>
      </c>
      <c r="G502" s="47">
        <f t="shared" si="157"/>
        <v>0</v>
      </c>
      <c r="H502" s="47">
        <f t="shared" si="150"/>
        <v>0</v>
      </c>
      <c r="I502" s="47">
        <f t="shared" si="158"/>
        <v>0</v>
      </c>
      <c r="J502" s="47">
        <f t="shared" si="149"/>
        <v>0</v>
      </c>
      <c r="K502" s="47">
        <f t="shared" si="151"/>
        <v>0</v>
      </c>
      <c r="L502" s="47">
        <f t="shared" si="152"/>
        <v>0</v>
      </c>
      <c r="M502" s="47">
        <f t="shared" si="153"/>
        <v>0</v>
      </c>
      <c r="N502" s="80">
        <v>0</v>
      </c>
      <c r="O502" s="47">
        <v>0</v>
      </c>
      <c r="P502" s="47">
        <v>0</v>
      </c>
      <c r="Q502" s="47">
        <v>0</v>
      </c>
      <c r="R502" s="47">
        <v>0</v>
      </c>
      <c r="S502" s="136">
        <v>0</v>
      </c>
      <c r="T502" s="47">
        <v>0</v>
      </c>
      <c r="U502" s="81">
        <f t="shared" si="160"/>
        <v>0</v>
      </c>
      <c r="V502" s="47">
        <f t="shared" si="156"/>
        <v>0</v>
      </c>
      <c r="W502" s="47">
        <f t="shared" si="163"/>
        <v>0</v>
      </c>
      <c r="X502" s="47">
        <f t="shared" si="154"/>
        <v>0</v>
      </c>
      <c r="Y502" s="47">
        <v>0</v>
      </c>
      <c r="Z502" s="47">
        <f t="shared" si="155"/>
        <v>0</v>
      </c>
      <c r="AA502" s="47">
        <v>0</v>
      </c>
      <c r="AB502" s="47">
        <v>0</v>
      </c>
      <c r="AC502" s="71">
        <f t="shared" si="161"/>
        <v>0</v>
      </c>
      <c r="AD502" s="118">
        <f t="shared" si="162"/>
        <v>0</v>
      </c>
    </row>
    <row r="503" spans="1:30" s="49" customFormat="1" ht="12.75" hidden="1" x14ac:dyDescent="0.2">
      <c r="A503" s="94">
        <v>498</v>
      </c>
      <c r="B503" s="36"/>
      <c r="C503" s="148"/>
      <c r="D503" s="57"/>
      <c r="E503" s="79">
        <f t="shared" si="159"/>
        <v>0</v>
      </c>
      <c r="F503" s="80">
        <f t="shared" si="148"/>
        <v>0</v>
      </c>
      <c r="G503" s="47">
        <f t="shared" si="157"/>
        <v>0</v>
      </c>
      <c r="H503" s="47">
        <f t="shared" si="150"/>
        <v>0</v>
      </c>
      <c r="I503" s="47">
        <f t="shared" si="158"/>
        <v>0</v>
      </c>
      <c r="J503" s="47">
        <f t="shared" si="149"/>
        <v>0</v>
      </c>
      <c r="K503" s="47">
        <f t="shared" si="151"/>
        <v>0</v>
      </c>
      <c r="L503" s="47">
        <f t="shared" si="152"/>
        <v>0</v>
      </c>
      <c r="M503" s="47">
        <f t="shared" si="153"/>
        <v>0</v>
      </c>
      <c r="N503" s="80">
        <v>0</v>
      </c>
      <c r="O503" s="47">
        <v>0</v>
      </c>
      <c r="P503" s="47">
        <v>0</v>
      </c>
      <c r="Q503" s="47">
        <v>0</v>
      </c>
      <c r="R503" s="47">
        <v>0</v>
      </c>
      <c r="S503" s="136">
        <v>0</v>
      </c>
      <c r="T503" s="47">
        <v>0</v>
      </c>
      <c r="U503" s="81">
        <f t="shared" si="160"/>
        <v>0</v>
      </c>
      <c r="V503" s="47">
        <f t="shared" si="156"/>
        <v>0</v>
      </c>
      <c r="W503" s="47">
        <f t="shared" si="163"/>
        <v>0</v>
      </c>
      <c r="X503" s="47">
        <f t="shared" si="154"/>
        <v>0</v>
      </c>
      <c r="Y503" s="47">
        <v>0</v>
      </c>
      <c r="Z503" s="47">
        <f t="shared" si="155"/>
        <v>0</v>
      </c>
      <c r="AA503" s="47">
        <v>0</v>
      </c>
      <c r="AB503" s="47">
        <v>0</v>
      </c>
      <c r="AC503" s="71">
        <f t="shared" si="161"/>
        <v>0</v>
      </c>
      <c r="AD503" s="118">
        <f t="shared" si="162"/>
        <v>0</v>
      </c>
    </row>
    <row r="504" spans="1:30" s="49" customFormat="1" ht="12.75" hidden="1" x14ac:dyDescent="0.2">
      <c r="A504" s="94">
        <v>499</v>
      </c>
      <c r="B504" s="36"/>
      <c r="C504" s="148"/>
      <c r="D504" s="57"/>
      <c r="E504" s="79">
        <f t="shared" si="159"/>
        <v>0</v>
      </c>
      <c r="F504" s="80">
        <f t="shared" si="148"/>
        <v>0</v>
      </c>
      <c r="G504" s="47">
        <f t="shared" si="157"/>
        <v>0</v>
      </c>
      <c r="H504" s="47">
        <f t="shared" si="150"/>
        <v>0</v>
      </c>
      <c r="I504" s="47">
        <f t="shared" si="158"/>
        <v>0</v>
      </c>
      <c r="J504" s="47">
        <f t="shared" si="149"/>
        <v>0</v>
      </c>
      <c r="K504" s="47">
        <f t="shared" si="151"/>
        <v>0</v>
      </c>
      <c r="L504" s="47">
        <f t="shared" si="152"/>
        <v>0</v>
      </c>
      <c r="M504" s="47">
        <f t="shared" si="153"/>
        <v>0</v>
      </c>
      <c r="N504" s="80">
        <v>0</v>
      </c>
      <c r="O504" s="47">
        <v>0</v>
      </c>
      <c r="P504" s="47">
        <v>0</v>
      </c>
      <c r="Q504" s="47">
        <v>0</v>
      </c>
      <c r="R504" s="47">
        <v>0</v>
      </c>
      <c r="S504" s="136">
        <v>0</v>
      </c>
      <c r="T504" s="47">
        <v>0</v>
      </c>
      <c r="U504" s="81">
        <f t="shared" si="160"/>
        <v>0</v>
      </c>
      <c r="V504" s="47">
        <f t="shared" si="156"/>
        <v>0</v>
      </c>
      <c r="W504" s="47">
        <f t="shared" si="163"/>
        <v>0</v>
      </c>
      <c r="X504" s="47">
        <f t="shared" si="154"/>
        <v>0</v>
      </c>
      <c r="Y504" s="47">
        <v>0</v>
      </c>
      <c r="Z504" s="47">
        <f t="shared" si="155"/>
        <v>0</v>
      </c>
      <c r="AA504" s="47">
        <v>0</v>
      </c>
      <c r="AB504" s="47">
        <v>0</v>
      </c>
      <c r="AC504" s="71">
        <f t="shared" si="161"/>
        <v>0</v>
      </c>
      <c r="AD504" s="118">
        <f t="shared" si="162"/>
        <v>0</v>
      </c>
    </row>
    <row r="505" spans="1:30" s="49" customFormat="1" ht="12.75" hidden="1" x14ac:dyDescent="0.2">
      <c r="A505" s="94">
        <v>500</v>
      </c>
      <c r="B505" s="36"/>
      <c r="C505" s="148"/>
      <c r="D505" s="57"/>
      <c r="E505" s="79">
        <f t="shared" si="159"/>
        <v>0</v>
      </c>
      <c r="F505" s="80">
        <f t="shared" si="148"/>
        <v>0</v>
      </c>
      <c r="G505" s="47">
        <f t="shared" si="157"/>
        <v>0</v>
      </c>
      <c r="H505" s="47">
        <f t="shared" si="150"/>
        <v>0</v>
      </c>
      <c r="I505" s="47">
        <f t="shared" si="158"/>
        <v>0</v>
      </c>
      <c r="J505" s="47">
        <f t="shared" si="149"/>
        <v>0</v>
      </c>
      <c r="K505" s="47">
        <f t="shared" si="151"/>
        <v>0</v>
      </c>
      <c r="L505" s="47">
        <f t="shared" si="152"/>
        <v>0</v>
      </c>
      <c r="M505" s="47">
        <f t="shared" ref="M505" si="164">(E505+N505+O505+P505+Q505+R505+S505+T505)/12/1.4</f>
        <v>0</v>
      </c>
      <c r="N505" s="80">
        <v>0</v>
      </c>
      <c r="O505" s="47">
        <v>0</v>
      </c>
      <c r="P505" s="47">
        <v>0</v>
      </c>
      <c r="Q505" s="47">
        <v>0</v>
      </c>
      <c r="R505" s="47">
        <v>0</v>
      </c>
      <c r="S505" s="136">
        <v>0</v>
      </c>
      <c r="T505" s="47">
        <v>0</v>
      </c>
      <c r="U505" s="81">
        <f t="shared" si="160"/>
        <v>0</v>
      </c>
      <c r="V505" s="47">
        <f t="shared" si="156"/>
        <v>0</v>
      </c>
      <c r="W505" s="47">
        <f t="shared" si="163"/>
        <v>0</v>
      </c>
      <c r="X505" s="47">
        <f t="shared" si="154"/>
        <v>0</v>
      </c>
      <c r="Y505" s="47">
        <v>0</v>
      </c>
      <c r="Z505" s="47">
        <f t="shared" si="155"/>
        <v>0</v>
      </c>
      <c r="AA505" s="47">
        <v>0</v>
      </c>
      <c r="AB505" s="47">
        <v>0</v>
      </c>
      <c r="AC505" s="71">
        <f t="shared" si="161"/>
        <v>0</v>
      </c>
      <c r="AD505" s="118">
        <f t="shared" si="162"/>
        <v>0</v>
      </c>
    </row>
    <row r="506" spans="1:30" s="49" customFormat="1" ht="27" customHeight="1" x14ac:dyDescent="0.2">
      <c r="A506" s="334" t="s">
        <v>60</v>
      </c>
      <c r="B506" s="335"/>
      <c r="C506" s="335"/>
      <c r="D506" s="336">
        <f t="shared" ref="D506:AD506" si="165">ROUND(SUM(D6:D505),2)</f>
        <v>897745.93</v>
      </c>
      <c r="E506" s="336">
        <f t="shared" si="165"/>
        <v>3449073.52</v>
      </c>
      <c r="F506" s="336">
        <f t="shared" ref="F506" si="166">ROUND(SUM(F6:F505),2)</f>
        <v>227315.23</v>
      </c>
      <c r="G506" s="336">
        <f t="shared" ref="G506" si="167">ROUND(SUM(G6:G505),2)</f>
        <v>0</v>
      </c>
      <c r="H506" s="336">
        <f t="shared" ref="H506" si="168">ROUND(SUM(H6:H505),2)</f>
        <v>418954.36</v>
      </c>
      <c r="I506" s="336">
        <f t="shared" ref="I506" si="169">ROUND(SUM(I6:I505),2)</f>
        <v>168101.33</v>
      </c>
      <c r="J506" s="336">
        <f t="shared" ref="J506" si="170">ROUND(SUM(J6:J505),2)</f>
        <v>370959.85</v>
      </c>
      <c r="K506" s="336">
        <f t="shared" ref="K506" si="171">ROUND(SUM(K6:K505),2)</f>
        <v>106921.95</v>
      </c>
      <c r="L506" s="336">
        <f t="shared" ref="L506" si="172">ROUND(SUM(L6:L505),2)</f>
        <v>122049.62</v>
      </c>
      <c r="M506" s="336">
        <f t="shared" ref="M506" si="173">ROUND(SUM(M6:M505),2)</f>
        <v>185479.93</v>
      </c>
      <c r="N506" s="336">
        <f t="shared" si="165"/>
        <v>80204.399999999994</v>
      </c>
      <c r="O506" s="336">
        <f t="shared" si="165"/>
        <v>16040.88</v>
      </c>
      <c r="P506" s="336">
        <f t="shared" si="165"/>
        <v>279741.76</v>
      </c>
      <c r="Q506" s="336">
        <f t="shared" si="165"/>
        <v>44983.79</v>
      </c>
      <c r="R506" s="336">
        <f t="shared" si="165"/>
        <v>543617.91</v>
      </c>
      <c r="S506" s="336">
        <f t="shared" si="165"/>
        <v>37855.94</v>
      </c>
      <c r="T506" s="336">
        <f t="shared" si="165"/>
        <v>0</v>
      </c>
      <c r="U506" s="336">
        <f t="shared" si="165"/>
        <v>2602226.96</v>
      </c>
      <c r="V506" s="336">
        <f t="shared" si="165"/>
        <v>247305.60000000001</v>
      </c>
      <c r="W506" s="336">
        <f t="shared" si="165"/>
        <v>59800</v>
      </c>
      <c r="X506" s="336">
        <f t="shared" ref="X506" si="174">ROUND(SUM(X6:X505),2)</f>
        <v>434520</v>
      </c>
      <c r="Y506" s="336">
        <f t="shared" si="165"/>
        <v>11348.4</v>
      </c>
      <c r="Z506" s="336">
        <f t="shared" si="165"/>
        <v>25347</v>
      </c>
      <c r="AA506" s="336">
        <f t="shared" si="165"/>
        <v>33582</v>
      </c>
      <c r="AB506" s="336">
        <f t="shared" si="165"/>
        <v>22002</v>
      </c>
      <c r="AC506" s="336">
        <f t="shared" si="165"/>
        <v>833905</v>
      </c>
      <c r="AD506" s="336">
        <f t="shared" si="165"/>
        <v>6885205.4800000004</v>
      </c>
    </row>
    <row r="507" spans="1:30" s="49" customFormat="1" ht="15.75" customHeight="1" x14ac:dyDescent="0.2">
      <c r="A507" s="219"/>
      <c r="B507" s="131"/>
      <c r="C507" s="333"/>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row>
    <row r="508" spans="1:30" s="49" customFormat="1" ht="15.75" customHeight="1" x14ac:dyDescent="0.2">
      <c r="T508" s="116"/>
      <c r="U508" s="116"/>
      <c r="V508" s="116"/>
      <c r="W508" s="116"/>
      <c r="X508" s="116"/>
      <c r="Y508" s="116"/>
      <c r="Z508" s="116"/>
      <c r="AA508" s="116"/>
      <c r="AB508" s="116"/>
      <c r="AC508" s="116"/>
      <c r="AD508" s="116"/>
    </row>
    <row r="509" spans="1:30" s="49" customFormat="1" ht="30" customHeight="1" x14ac:dyDescent="0.2">
      <c r="A509" s="394" t="s">
        <v>437</v>
      </c>
      <c r="B509" s="394"/>
      <c r="C509" s="394"/>
      <c r="D509" s="394"/>
      <c r="E509" s="394"/>
      <c r="F509" s="394"/>
      <c r="G509" s="394"/>
      <c r="H509" s="394"/>
      <c r="I509" s="394"/>
      <c r="J509" s="394"/>
      <c r="K509" s="394"/>
      <c r="L509" s="394"/>
      <c r="M509" s="394"/>
      <c r="N509" s="167"/>
      <c r="O509" s="167"/>
      <c r="P509" s="167"/>
      <c r="Q509" s="167"/>
      <c r="R509" s="167"/>
      <c r="S509" s="167"/>
      <c r="T509" s="128"/>
      <c r="U509" s="128"/>
      <c r="W509" s="50"/>
      <c r="X509" s="50"/>
      <c r="Y509" s="50"/>
      <c r="Z509" s="50"/>
      <c r="AA509" s="50"/>
      <c r="AB509" s="50"/>
      <c r="AC509" s="50"/>
      <c r="AD509" s="50"/>
    </row>
    <row r="510" spans="1:30" s="50" customFormat="1" ht="30" customHeight="1" x14ac:dyDescent="0.2">
      <c r="A510" s="337"/>
      <c r="B510" s="337"/>
      <c r="C510" s="337"/>
      <c r="D510" s="337"/>
      <c r="E510" s="337"/>
      <c r="F510" s="337"/>
      <c r="G510" s="392" t="s">
        <v>88</v>
      </c>
      <c r="H510" s="392"/>
      <c r="I510" s="392"/>
      <c r="J510" s="392"/>
      <c r="K510" s="392"/>
      <c r="L510" s="392"/>
      <c r="M510" s="392" t="s">
        <v>438</v>
      </c>
      <c r="N510" s="131"/>
      <c r="O510" s="131"/>
      <c r="P510" s="131"/>
      <c r="Q510" s="131"/>
      <c r="R510" s="131"/>
      <c r="S510" s="131"/>
    </row>
    <row r="511" spans="1:30" s="50" customFormat="1" ht="38.25" customHeight="1" x14ac:dyDescent="0.2">
      <c r="A511" s="332" t="s">
        <v>31</v>
      </c>
      <c r="B511" s="332" t="s">
        <v>374</v>
      </c>
      <c r="C511" s="332" t="s">
        <v>439</v>
      </c>
      <c r="D511" s="332" t="s">
        <v>440</v>
      </c>
      <c r="E511" s="332" t="s">
        <v>140</v>
      </c>
      <c r="F511" s="332" t="s">
        <v>155</v>
      </c>
      <c r="G511" s="332" t="s">
        <v>142</v>
      </c>
      <c r="H511" s="332" t="s">
        <v>176</v>
      </c>
      <c r="I511" s="306"/>
      <c r="J511" s="306"/>
      <c r="K511" s="306"/>
      <c r="L511" s="332" t="s">
        <v>60</v>
      </c>
      <c r="M511" s="393"/>
      <c r="N511" s="131"/>
      <c r="O511" s="131"/>
      <c r="P511" s="131"/>
      <c r="Q511" s="131"/>
      <c r="R511" s="131"/>
      <c r="S511" s="131"/>
    </row>
    <row r="512" spans="1:30" s="49" customFormat="1" ht="12.75" x14ac:dyDescent="0.2">
      <c r="A512" s="94">
        <v>1</v>
      </c>
      <c r="B512" s="36"/>
      <c r="C512" s="46"/>
      <c r="D512" s="57"/>
      <c r="E512" s="79">
        <f>C512*D512</f>
        <v>0</v>
      </c>
      <c r="F512" s="117"/>
      <c r="G512" s="47"/>
      <c r="H512" s="47"/>
      <c r="I512" s="47"/>
      <c r="J512" s="47"/>
      <c r="K512" s="47"/>
      <c r="L512" s="71">
        <f>SUM(G512:K512)</f>
        <v>0</v>
      </c>
      <c r="M512" s="118">
        <f>E512+L512+F512</f>
        <v>0</v>
      </c>
      <c r="N512" s="71"/>
      <c r="O512" s="71"/>
      <c r="P512" s="71"/>
      <c r="Q512" s="71"/>
      <c r="R512" s="71"/>
      <c r="S512" s="71"/>
      <c r="T512" s="50"/>
      <c r="U512" s="50"/>
      <c r="V512" s="50"/>
      <c r="W512" s="50"/>
      <c r="Y512" s="50"/>
    </row>
    <row r="513" spans="1:30" s="49" customFormat="1" ht="12.75" x14ac:dyDescent="0.2">
      <c r="A513" s="94">
        <v>2</v>
      </c>
      <c r="B513" s="36"/>
      <c r="C513" s="46"/>
      <c r="D513" s="57"/>
      <c r="E513" s="79">
        <f t="shared" ref="E513:E521" si="175">C513*D513</f>
        <v>0</v>
      </c>
      <c r="F513" s="117"/>
      <c r="G513" s="47"/>
      <c r="H513" s="47"/>
      <c r="I513" s="47"/>
      <c r="J513" s="47"/>
      <c r="K513" s="47"/>
      <c r="L513" s="71">
        <f t="shared" ref="L513:L521" si="176">SUM(G513:K513)</f>
        <v>0</v>
      </c>
      <c r="M513" s="118">
        <f t="shared" ref="M513:M521" si="177">E513+L513+F513</f>
        <v>0</v>
      </c>
      <c r="N513" s="71"/>
      <c r="O513" s="71"/>
      <c r="P513" s="71"/>
      <c r="Q513" s="71"/>
      <c r="R513" s="71"/>
      <c r="S513" s="71"/>
      <c r="T513" s="50"/>
      <c r="U513" s="50"/>
      <c r="V513" s="50"/>
      <c r="W513" s="50"/>
      <c r="Y513" s="50"/>
    </row>
    <row r="514" spans="1:30" s="49" customFormat="1" ht="12.75" x14ac:dyDescent="0.2">
      <c r="A514" s="94">
        <v>3</v>
      </c>
      <c r="B514" s="36"/>
      <c r="C514" s="46"/>
      <c r="D514" s="57"/>
      <c r="E514" s="79">
        <f t="shared" si="175"/>
        <v>0</v>
      </c>
      <c r="F514" s="117"/>
      <c r="G514" s="47"/>
      <c r="H514" s="47"/>
      <c r="I514" s="47"/>
      <c r="J514" s="47"/>
      <c r="K514" s="47"/>
      <c r="L514" s="71">
        <f t="shared" si="176"/>
        <v>0</v>
      </c>
      <c r="M514" s="118">
        <f t="shared" si="177"/>
        <v>0</v>
      </c>
      <c r="N514" s="71"/>
      <c r="O514" s="71"/>
      <c r="P514" s="71"/>
      <c r="Q514" s="71"/>
      <c r="R514" s="71"/>
      <c r="S514" s="71"/>
      <c r="T514" s="50"/>
      <c r="U514" s="50"/>
      <c r="V514" s="50"/>
      <c r="W514" s="50"/>
      <c r="Y514" s="50"/>
    </row>
    <row r="515" spans="1:30" s="49" customFormat="1" ht="12.75" x14ac:dyDescent="0.2">
      <c r="A515" s="94">
        <v>4</v>
      </c>
      <c r="B515" s="36"/>
      <c r="C515" s="46"/>
      <c r="D515" s="57"/>
      <c r="E515" s="79">
        <f t="shared" si="175"/>
        <v>0</v>
      </c>
      <c r="F515" s="117"/>
      <c r="G515" s="47"/>
      <c r="H515" s="47"/>
      <c r="I515" s="47"/>
      <c r="J515" s="47"/>
      <c r="K515" s="47"/>
      <c r="L515" s="71">
        <f t="shared" si="176"/>
        <v>0</v>
      </c>
      <c r="M515" s="118">
        <f t="shared" si="177"/>
        <v>0</v>
      </c>
      <c r="N515" s="71"/>
      <c r="O515" s="71"/>
      <c r="P515" s="71"/>
      <c r="Q515" s="71"/>
      <c r="R515" s="71"/>
      <c r="S515" s="71"/>
      <c r="T515" s="50"/>
      <c r="U515" s="50"/>
      <c r="V515" s="50"/>
      <c r="W515" s="50"/>
      <c r="Y515" s="50"/>
    </row>
    <row r="516" spans="1:30" s="49" customFormat="1" ht="12.75" x14ac:dyDescent="0.2">
      <c r="A516" s="94">
        <v>5</v>
      </c>
      <c r="B516" s="36"/>
      <c r="C516" s="46"/>
      <c r="D516" s="57"/>
      <c r="E516" s="79">
        <f t="shared" si="175"/>
        <v>0</v>
      </c>
      <c r="F516" s="117"/>
      <c r="G516" s="47"/>
      <c r="H516" s="47"/>
      <c r="I516" s="47"/>
      <c r="J516" s="47"/>
      <c r="K516" s="47"/>
      <c r="L516" s="71">
        <f t="shared" si="176"/>
        <v>0</v>
      </c>
      <c r="M516" s="118">
        <f t="shared" si="177"/>
        <v>0</v>
      </c>
      <c r="N516" s="71"/>
      <c r="O516" s="71"/>
      <c r="P516" s="71"/>
      <c r="Q516" s="71"/>
      <c r="R516" s="71"/>
      <c r="S516" s="71"/>
      <c r="T516" s="50"/>
      <c r="U516" s="50"/>
      <c r="V516" s="50"/>
      <c r="W516" s="50"/>
      <c r="Y516" s="50"/>
    </row>
    <row r="517" spans="1:30" s="49" customFormat="1" ht="12.75" x14ac:dyDescent="0.2">
      <c r="A517" s="94">
        <v>6</v>
      </c>
      <c r="B517" s="36"/>
      <c r="C517" s="46"/>
      <c r="D517" s="57"/>
      <c r="E517" s="79">
        <f t="shared" si="175"/>
        <v>0</v>
      </c>
      <c r="F517" s="117"/>
      <c r="G517" s="47"/>
      <c r="H517" s="47"/>
      <c r="I517" s="47"/>
      <c r="J517" s="47"/>
      <c r="K517" s="47"/>
      <c r="L517" s="71">
        <f t="shared" si="176"/>
        <v>0</v>
      </c>
      <c r="M517" s="118">
        <f t="shared" si="177"/>
        <v>0</v>
      </c>
      <c r="N517" s="71"/>
      <c r="O517" s="71"/>
      <c r="P517" s="71"/>
      <c r="Q517" s="71"/>
      <c r="R517" s="71"/>
      <c r="S517" s="71"/>
      <c r="T517" s="50"/>
      <c r="U517" s="50"/>
      <c r="V517" s="50"/>
      <c r="W517" s="50"/>
      <c r="Y517" s="50"/>
    </row>
    <row r="518" spans="1:30" s="49" customFormat="1" ht="12.75" x14ac:dyDescent="0.2">
      <c r="A518" s="94">
        <v>7</v>
      </c>
      <c r="B518" s="36"/>
      <c r="C518" s="46"/>
      <c r="D518" s="57"/>
      <c r="E518" s="79">
        <f t="shared" si="175"/>
        <v>0</v>
      </c>
      <c r="F518" s="117"/>
      <c r="G518" s="47"/>
      <c r="H518" s="47"/>
      <c r="I518" s="47"/>
      <c r="J518" s="47"/>
      <c r="K518" s="47"/>
      <c r="L518" s="71">
        <f t="shared" si="176"/>
        <v>0</v>
      </c>
      <c r="M518" s="118">
        <f t="shared" si="177"/>
        <v>0</v>
      </c>
      <c r="N518" s="71"/>
      <c r="O518" s="71"/>
      <c r="P518" s="71"/>
      <c r="Q518" s="71"/>
      <c r="R518" s="71"/>
      <c r="S518" s="71"/>
      <c r="T518" s="50"/>
      <c r="U518" s="50"/>
      <c r="V518" s="50"/>
      <c r="W518" s="50"/>
      <c r="Y518" s="50"/>
    </row>
    <row r="519" spans="1:30" s="49" customFormat="1" ht="12.75" x14ac:dyDescent="0.2">
      <c r="A519" s="94">
        <v>8</v>
      </c>
      <c r="B519" s="36"/>
      <c r="C519" s="46"/>
      <c r="D519" s="57"/>
      <c r="E519" s="79">
        <f t="shared" si="175"/>
        <v>0</v>
      </c>
      <c r="F519" s="117"/>
      <c r="G519" s="47"/>
      <c r="H519" s="47"/>
      <c r="I519" s="47"/>
      <c r="J519" s="47"/>
      <c r="K519" s="47"/>
      <c r="L519" s="71">
        <f t="shared" si="176"/>
        <v>0</v>
      </c>
      <c r="M519" s="118">
        <f t="shared" si="177"/>
        <v>0</v>
      </c>
      <c r="N519" s="71"/>
      <c r="O519" s="71"/>
      <c r="P519" s="71"/>
      <c r="Q519" s="71"/>
      <c r="R519" s="71"/>
      <c r="S519" s="71"/>
      <c r="T519" s="50"/>
      <c r="U519" s="50"/>
      <c r="V519" s="50"/>
      <c r="W519" s="50"/>
      <c r="Y519" s="50"/>
    </row>
    <row r="520" spans="1:30" s="49" customFormat="1" ht="12.75" x14ac:dyDescent="0.2">
      <c r="A520" s="94">
        <v>9</v>
      </c>
      <c r="B520" s="36"/>
      <c r="C520" s="46"/>
      <c r="D520" s="57"/>
      <c r="E520" s="79">
        <f t="shared" si="175"/>
        <v>0</v>
      </c>
      <c r="F520" s="117"/>
      <c r="G520" s="47"/>
      <c r="H520" s="47"/>
      <c r="I520" s="47"/>
      <c r="J520" s="47"/>
      <c r="K520" s="47"/>
      <c r="L520" s="71">
        <f t="shared" si="176"/>
        <v>0</v>
      </c>
      <c r="M520" s="118">
        <f t="shared" si="177"/>
        <v>0</v>
      </c>
      <c r="N520" s="71"/>
      <c r="O520" s="71"/>
      <c r="P520" s="71"/>
      <c r="Q520" s="71"/>
      <c r="R520" s="71"/>
      <c r="S520" s="71"/>
      <c r="T520" s="50"/>
      <c r="U520" s="50"/>
      <c r="V520" s="50"/>
      <c r="W520" s="50"/>
      <c r="Y520" s="50"/>
    </row>
    <row r="521" spans="1:30" s="49" customFormat="1" ht="12.75" x14ac:dyDescent="0.2">
      <c r="A521" s="94">
        <v>10</v>
      </c>
      <c r="B521" s="36"/>
      <c r="C521" s="46"/>
      <c r="D521" s="57"/>
      <c r="E521" s="79">
        <f t="shared" si="175"/>
        <v>0</v>
      </c>
      <c r="F521" s="117"/>
      <c r="G521" s="47"/>
      <c r="H521" s="47"/>
      <c r="I521" s="47"/>
      <c r="J521" s="47"/>
      <c r="K521" s="47"/>
      <c r="L521" s="71">
        <f t="shared" si="176"/>
        <v>0</v>
      </c>
      <c r="M521" s="118">
        <f t="shared" si="177"/>
        <v>0</v>
      </c>
      <c r="N521" s="71"/>
      <c r="O521" s="71"/>
      <c r="P521" s="71"/>
      <c r="Q521" s="71"/>
      <c r="R521" s="71"/>
      <c r="S521" s="71"/>
      <c r="T521" s="50"/>
      <c r="U521" s="50"/>
      <c r="V521" s="50"/>
      <c r="W521" s="50"/>
      <c r="Y521" s="50"/>
    </row>
    <row r="522" spans="1:30" s="49" customFormat="1" ht="27" customHeight="1" x14ac:dyDescent="0.2">
      <c r="A522" s="334" t="s">
        <v>60</v>
      </c>
      <c r="B522" s="335"/>
      <c r="C522" s="338">
        <f>SUM(C512:C521)</f>
        <v>0</v>
      </c>
      <c r="D522" s="336">
        <f>SUM(D512:D521)</f>
        <v>0</v>
      </c>
      <c r="E522" s="336">
        <f>SUM(E512:E521)</f>
        <v>0</v>
      </c>
      <c r="F522" s="336">
        <f t="shared" ref="F522:M522" si="178">ROUND(SUM(F512:F521),2)</f>
        <v>0</v>
      </c>
      <c r="G522" s="336">
        <f t="shared" si="178"/>
        <v>0</v>
      </c>
      <c r="H522" s="336">
        <f t="shared" si="178"/>
        <v>0</v>
      </c>
      <c r="I522" s="336">
        <f t="shared" si="178"/>
        <v>0</v>
      </c>
      <c r="J522" s="336">
        <f t="shared" si="178"/>
        <v>0</v>
      </c>
      <c r="K522" s="336">
        <f t="shared" si="178"/>
        <v>0</v>
      </c>
      <c r="L522" s="336">
        <f t="shared" si="178"/>
        <v>0</v>
      </c>
      <c r="M522" s="336">
        <f t="shared" si="178"/>
        <v>0</v>
      </c>
      <c r="N522" s="116"/>
      <c r="O522" s="116"/>
      <c r="P522" s="116"/>
      <c r="Q522" s="116"/>
      <c r="R522" s="116"/>
      <c r="S522" s="116"/>
      <c r="T522" s="50"/>
      <c r="U522" s="50"/>
      <c r="V522" s="50"/>
      <c r="W522" s="50"/>
      <c r="Y522" s="50"/>
    </row>
    <row r="523" spans="1:30" s="49" customFormat="1" ht="27" customHeight="1" x14ac:dyDescent="0.2">
      <c r="A523" s="3"/>
      <c r="B523" s="3"/>
      <c r="C523" s="3"/>
      <c r="D523" s="3"/>
      <c r="E523" s="3"/>
      <c r="F523" s="74"/>
      <c r="G523" s="74"/>
      <c r="H523" s="74"/>
      <c r="I523" s="74"/>
      <c r="J523" s="74"/>
      <c r="K523" s="74"/>
      <c r="L523" s="74"/>
      <c r="M523" s="74"/>
      <c r="N523" s="74"/>
      <c r="O523" s="74"/>
      <c r="P523" s="74"/>
      <c r="Q523" s="74"/>
      <c r="R523" s="74"/>
      <c r="S523" s="74"/>
      <c r="T523" s="74"/>
      <c r="U523" s="74"/>
      <c r="V523" s="74"/>
      <c r="W523" s="74"/>
      <c r="X523" s="74"/>
      <c r="Y523" s="74"/>
      <c r="Z523" s="74"/>
      <c r="AA523" s="74"/>
      <c r="AB523" s="74"/>
      <c r="AC523" s="74"/>
      <c r="AD523" s="74"/>
    </row>
    <row r="524" spans="1:30" s="49" customFormat="1" ht="27" customHeight="1" x14ac:dyDescent="0.2">
      <c r="A524" s="3"/>
      <c r="B524" s="3"/>
      <c r="C524" s="3"/>
      <c r="D524" s="3"/>
      <c r="E524" s="3"/>
      <c r="F524" s="74"/>
      <c r="G524" s="74"/>
      <c r="H524" s="74"/>
      <c r="I524" s="74"/>
      <c r="J524" s="74"/>
      <c r="K524" s="74"/>
      <c r="L524" s="74"/>
      <c r="M524" s="74"/>
      <c r="N524" s="74"/>
      <c r="O524" s="74"/>
      <c r="P524" s="74"/>
      <c r="Q524" s="74"/>
      <c r="R524" s="74"/>
      <c r="S524" s="74"/>
      <c r="T524" s="74"/>
      <c r="U524" s="74"/>
      <c r="V524" s="74"/>
      <c r="W524" s="74"/>
      <c r="X524" s="74"/>
      <c r="Y524" s="74"/>
      <c r="Z524" s="74"/>
      <c r="AA524" s="74"/>
      <c r="AB524" s="74"/>
      <c r="AC524" s="74"/>
      <c r="AD524" s="74"/>
    </row>
    <row r="525" spans="1:30" s="49" customFormat="1" ht="27" customHeight="1" x14ac:dyDescent="0.2">
      <c r="A525" s="3"/>
      <c r="B525" s="95"/>
      <c r="C525" s="95"/>
      <c r="D525" s="82"/>
      <c r="E525" s="3"/>
      <c r="F525" s="3"/>
      <c r="G525" s="3"/>
      <c r="H525" s="3"/>
      <c r="I525" s="3"/>
      <c r="J525" s="3"/>
      <c r="K525" s="3"/>
      <c r="L525" s="3"/>
      <c r="M525" s="3"/>
      <c r="N525" s="3"/>
      <c r="O525" s="3"/>
      <c r="P525" s="3"/>
      <c r="Q525" s="3"/>
      <c r="R525" s="3"/>
      <c r="S525" s="3"/>
      <c r="T525" s="3"/>
      <c r="U525" s="4"/>
      <c r="V525" s="3"/>
      <c r="W525" s="4"/>
      <c r="X525" s="3"/>
      <c r="Y525" s="4"/>
      <c r="Z525" s="3"/>
      <c r="AA525" s="3"/>
      <c r="AB525" s="3"/>
      <c r="AC525" s="3"/>
      <c r="AD525" s="3"/>
    </row>
    <row r="526" spans="1:30" s="49" customFormat="1" ht="27" customHeight="1" x14ac:dyDescent="0.2">
      <c r="A526" s="3"/>
      <c r="B526" s="95"/>
      <c r="C526" s="95"/>
      <c r="D526" s="82"/>
      <c r="E526" s="3"/>
      <c r="F526" s="3"/>
      <c r="G526" s="3"/>
      <c r="H526" s="3"/>
      <c r="I526" s="3"/>
      <c r="J526" s="3"/>
      <c r="K526" s="3"/>
      <c r="L526" s="3"/>
      <c r="M526" s="3"/>
      <c r="N526" s="3"/>
      <c r="O526" s="3"/>
      <c r="P526" s="3"/>
      <c r="Q526" s="3"/>
      <c r="R526" s="3"/>
      <c r="S526" s="3"/>
      <c r="T526" s="3"/>
      <c r="U526" s="4"/>
      <c r="V526" s="3"/>
      <c r="W526" s="4"/>
      <c r="X526" s="3"/>
      <c r="Y526" s="4"/>
      <c r="Z526" s="3"/>
      <c r="AA526" s="3"/>
      <c r="AB526" s="3"/>
      <c r="AC526" s="3"/>
      <c r="AD526" s="3"/>
    </row>
    <row r="527" spans="1:30" s="49" customFormat="1" ht="19.5" customHeight="1" x14ac:dyDescent="0.2">
      <c r="A527" s="3"/>
      <c r="M527" s="3"/>
      <c r="N527" s="3"/>
      <c r="O527" s="3"/>
      <c r="P527" s="3"/>
      <c r="Q527" s="3"/>
      <c r="R527" s="3"/>
      <c r="S527" s="3"/>
      <c r="T527" s="3"/>
      <c r="U527" s="4"/>
      <c r="V527" s="3"/>
      <c r="W527" s="4"/>
      <c r="X527" s="3"/>
      <c r="Y527" s="4"/>
      <c r="Z527" s="3"/>
      <c r="AA527" s="3"/>
      <c r="AB527" s="3"/>
      <c r="AC527" s="3"/>
      <c r="AD527" s="3"/>
    </row>
    <row r="528" spans="1:30" s="49" customFormat="1" ht="24.75" customHeight="1" x14ac:dyDescent="0.2">
      <c r="A528" s="3"/>
      <c r="M528" s="3"/>
      <c r="N528" s="3"/>
      <c r="O528" s="3"/>
      <c r="P528" s="3"/>
      <c r="Q528" s="3"/>
      <c r="R528" s="3"/>
      <c r="S528" s="3"/>
      <c r="T528" s="3"/>
      <c r="U528" s="3"/>
      <c r="V528" s="4"/>
      <c r="W528" s="3"/>
      <c r="X528" s="4"/>
      <c r="Y528" s="3"/>
      <c r="Z528" s="4"/>
      <c r="AA528" s="3"/>
      <c r="AB528" s="3"/>
      <c r="AC528" s="3"/>
      <c r="AD528" s="3"/>
    </row>
    <row r="529" spans="1:30" s="49" customFormat="1" ht="19.5" customHeight="1" x14ac:dyDescent="0.2">
      <c r="A529" s="3"/>
      <c r="M529" s="3"/>
      <c r="N529" s="3"/>
      <c r="O529" s="3"/>
      <c r="P529" s="3"/>
      <c r="Q529" s="3"/>
      <c r="R529" s="3"/>
      <c r="S529" s="3"/>
      <c r="T529" s="3"/>
      <c r="U529" s="3"/>
      <c r="V529" s="4"/>
      <c r="W529" s="3"/>
      <c r="X529" s="4"/>
      <c r="Y529" s="3"/>
      <c r="Z529" s="4"/>
      <c r="AA529" s="3"/>
      <c r="AB529" s="3"/>
      <c r="AC529" s="3"/>
      <c r="AD529" s="3"/>
    </row>
    <row r="530" spans="1:30" s="49" customFormat="1" ht="19.5" customHeight="1" x14ac:dyDescent="0.2">
      <c r="A530" s="3"/>
      <c r="M530" s="3"/>
      <c r="N530" s="3"/>
      <c r="O530" s="3"/>
      <c r="P530" s="3"/>
      <c r="Q530" s="3"/>
      <c r="R530" s="3"/>
      <c r="S530" s="3"/>
      <c r="T530" s="3"/>
      <c r="U530" s="3"/>
      <c r="V530" s="4"/>
      <c r="W530" s="3"/>
      <c r="X530" s="4"/>
      <c r="Y530" s="3"/>
      <c r="Z530" s="4"/>
      <c r="AA530" s="3"/>
      <c r="AB530" s="3"/>
      <c r="AC530" s="3"/>
      <c r="AD530" s="3"/>
    </row>
    <row r="531" spans="1:30" ht="14.25" customHeight="1" x14ac:dyDescent="0.2"/>
  </sheetData>
  <sheetProtection algorithmName="SHA-512" hashValue="iBnkclSIok+VETHGn0d2ECe8Y0/MslC9K1P716CR+DbRC1uJHkJfwcFEX2Q/FFCUZkLzPTz2uZqRqfuO3bi15Q==" saltValue="fxFjF2/fL7ble4Yu/pjvqg==" spinCount="100000" sheet="1" objects="1" scenarios="1" formatColumns="0" formatRows="0"/>
  <mergeCells count="9">
    <mergeCell ref="G510:L510"/>
    <mergeCell ref="M510:M511"/>
    <mergeCell ref="A509:M509"/>
    <mergeCell ref="AD4:AD5"/>
    <mergeCell ref="A1:AD1"/>
    <mergeCell ref="A2:AD2"/>
    <mergeCell ref="A3:AD3"/>
    <mergeCell ref="V4:AC4"/>
    <mergeCell ref="F4:U4"/>
  </mergeCells>
  <dataValidations count="2">
    <dataValidation type="list" allowBlank="1" showInputMessage="1" showErrorMessage="1" sqref="V5:AB5">
      <formula1>Benefícios</formula1>
    </dataValidation>
    <dataValidation type="list" allowBlank="1" showInputMessage="1" showErrorMessage="1" sqref="I511:K511">
      <formula1>Beneficios2</formula1>
    </dataValidation>
  </dataValidations>
  <pageMargins left="0.19685039370078741" right="0.19685039370078741" top="0.59055118110236227" bottom="0.59055118110236227" header="0" footer="0"/>
  <pageSetup paperSize="9" scale="44" fitToHeight="0" orientation="landscape" r:id="rId1"/>
  <headerFooter>
    <oddFooter>Página &amp;P de &amp;N</oddFooter>
  </headerFooter>
  <rowBreaks count="1" manualBreakCount="1">
    <brk id="507" max="21" man="1"/>
  </rowBreaks>
  <ignoredErrors>
    <ignoredError sqref="L512:L521 U6:U9" formulaRange="1"/>
    <ignoredError sqref="E6:E9 G314:G505 I231:I233 I314:I50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4">
    <tabColor theme="3" tint="-0.249977111117893"/>
    <pageSetUpPr fitToPage="1"/>
  </sheetPr>
  <dimension ref="A1:BJ532"/>
  <sheetViews>
    <sheetView tabSelected="1" zoomScaleNormal="100" zoomScaleSheetLayoutView="100" workbookViewId="0">
      <pane xSplit="6" ySplit="6" topLeftCell="AN177" activePane="bottomRight" state="frozen"/>
      <selection pane="topRight" activeCell="G1" sqref="G1"/>
      <selection pane="bottomLeft" activeCell="A7" sqref="A7"/>
      <selection pane="bottomRight" activeCell="AQ174" sqref="AQ174"/>
    </sheetView>
  </sheetViews>
  <sheetFormatPr defaultColWidth="17" defaultRowHeight="30" customHeight="1" x14ac:dyDescent="0.2"/>
  <cols>
    <col min="1" max="1" width="6.7109375" style="3" customWidth="1"/>
    <col min="2" max="2" width="32" style="3" customWidth="1"/>
    <col min="3" max="3" width="6.7109375" style="3" customWidth="1"/>
    <col min="4" max="4" width="10.7109375" style="39" customWidth="1"/>
    <col min="5" max="6" width="9.28515625" style="3" customWidth="1"/>
    <col min="7" max="7" width="10.28515625" style="39" bestFit="1" customWidth="1"/>
    <col min="8" max="8" width="7.85546875" style="39" customWidth="1"/>
    <col min="9" max="10" width="9.5703125" style="39" customWidth="1"/>
    <col min="11" max="12" width="8.7109375" style="39" customWidth="1"/>
    <col min="13" max="13" width="10.28515625" style="39" customWidth="1"/>
    <col min="14" max="14" width="7.85546875" style="3" customWidth="1"/>
    <col min="15" max="17" width="9.5703125" style="3" customWidth="1"/>
    <col min="18" max="18" width="9.5703125" style="4" customWidth="1"/>
    <col min="19" max="19" width="10.28515625" style="39" customWidth="1"/>
    <col min="20" max="20" width="7.7109375" style="3" customWidth="1"/>
    <col min="21" max="23" width="9.5703125" style="3" customWidth="1"/>
    <col min="24" max="24" width="9.5703125" style="4" customWidth="1"/>
    <col min="25" max="25" width="10.28515625" style="39" customWidth="1"/>
    <col min="26" max="26" width="7.7109375" style="3" customWidth="1"/>
    <col min="27" max="29" width="9.5703125" style="3" customWidth="1"/>
    <col min="30" max="30" width="9.5703125" style="4" customWidth="1"/>
    <col min="31" max="31" width="10.28515625" style="39" customWidth="1"/>
    <col min="32" max="32" width="7.7109375" style="3" customWidth="1"/>
    <col min="33" max="35" width="9.5703125" style="3" customWidth="1"/>
    <col min="36" max="36" width="9.5703125" style="4" customWidth="1"/>
    <col min="37" max="37" width="11.7109375" style="4" customWidth="1"/>
    <col min="38" max="39" width="9.5703125" style="3" customWidth="1"/>
    <col min="40" max="40" width="10.7109375" style="3" customWidth="1"/>
    <col min="41" max="41" width="11.85546875" style="3" customWidth="1"/>
    <col min="42" max="42" width="11.140625" style="3" customWidth="1"/>
    <col min="43" max="43" width="10.5703125" style="3" customWidth="1"/>
    <col min="44" max="44" width="72.42578125" style="39" customWidth="1"/>
    <col min="45" max="45" width="8.7109375" style="3" customWidth="1"/>
    <col min="46" max="46" width="17" style="3" customWidth="1"/>
    <col min="47" max="47" width="17" style="3" hidden="1" customWidth="1"/>
    <col min="48" max="48" width="17" style="3" customWidth="1"/>
    <col min="49" max="16384" width="17" style="3"/>
  </cols>
  <sheetData>
    <row r="1" spans="1:47" ht="30.75" customHeight="1" x14ac:dyDescent="0.2">
      <c r="A1" s="385" t="str">
        <f>Capa!A1</f>
        <v>Memória de Cálculo
Contrato de Gestão nº 008/2021 celebrado entre a SEJUSP e o Instituto Elo</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385"/>
      <c r="AJ1" s="385"/>
      <c r="AK1" s="385"/>
      <c r="AL1" s="385"/>
      <c r="AM1" s="385"/>
      <c r="AN1" s="385"/>
      <c r="AO1" s="385"/>
      <c r="AP1" s="385"/>
      <c r="AQ1" s="385"/>
      <c r="AR1" s="385"/>
      <c r="AS1" s="129"/>
      <c r="AU1" s="12" t="s">
        <v>142</v>
      </c>
    </row>
    <row r="2" spans="1:47" ht="21.75" customHeight="1" x14ac:dyDescent="0.2">
      <c r="A2" s="385" t="s">
        <v>441</v>
      </c>
      <c r="B2" s="385"/>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385"/>
      <c r="AO2" s="385"/>
      <c r="AP2" s="385"/>
      <c r="AQ2" s="385"/>
      <c r="AR2" s="385"/>
      <c r="AS2" s="129"/>
      <c r="AU2" s="12" t="s">
        <v>172</v>
      </c>
    </row>
    <row r="3" spans="1:47" ht="15" customHeight="1" x14ac:dyDescent="0.2">
      <c r="A3" s="385" t="s">
        <v>372</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129"/>
      <c r="AU3" s="12" t="s">
        <v>442</v>
      </c>
    </row>
    <row r="4" spans="1:47" s="77" customFormat="1" ht="21" customHeight="1" x14ac:dyDescent="0.2">
      <c r="A4" s="392" t="s">
        <v>31</v>
      </c>
      <c r="B4" s="392" t="s">
        <v>374</v>
      </c>
      <c r="C4" s="392" t="s">
        <v>443</v>
      </c>
      <c r="D4" s="392" t="s">
        <v>444</v>
      </c>
      <c r="E4" s="392" t="s">
        <v>445</v>
      </c>
      <c r="F4" s="398" t="s">
        <v>446</v>
      </c>
      <c r="G4" s="401" t="s">
        <v>447</v>
      </c>
      <c r="H4" s="392"/>
      <c r="I4" s="392"/>
      <c r="J4" s="392"/>
      <c r="K4" s="392"/>
      <c r="L4" s="398"/>
      <c r="M4" s="401" t="s">
        <v>448</v>
      </c>
      <c r="N4" s="392"/>
      <c r="O4" s="392"/>
      <c r="P4" s="392"/>
      <c r="Q4" s="392"/>
      <c r="R4" s="398"/>
      <c r="S4" s="401" t="s">
        <v>449</v>
      </c>
      <c r="T4" s="392"/>
      <c r="U4" s="392"/>
      <c r="V4" s="392"/>
      <c r="W4" s="392"/>
      <c r="X4" s="398"/>
      <c r="Y4" s="401" t="s">
        <v>450</v>
      </c>
      <c r="Z4" s="392"/>
      <c r="AA4" s="392"/>
      <c r="AB4" s="392"/>
      <c r="AC4" s="392"/>
      <c r="AD4" s="398"/>
      <c r="AE4" s="401" t="s">
        <v>451</v>
      </c>
      <c r="AF4" s="392"/>
      <c r="AG4" s="392"/>
      <c r="AH4" s="392"/>
      <c r="AI4" s="392"/>
      <c r="AJ4" s="398"/>
      <c r="AK4" s="401" t="s">
        <v>452</v>
      </c>
      <c r="AL4" s="392"/>
      <c r="AM4" s="392"/>
      <c r="AN4" s="398"/>
      <c r="AO4" s="407" t="s">
        <v>453</v>
      </c>
      <c r="AP4" s="408"/>
      <c r="AQ4" s="408"/>
      <c r="AR4" s="404" t="s">
        <v>100</v>
      </c>
      <c r="AS4" s="132"/>
      <c r="AU4" s="12" t="s">
        <v>176</v>
      </c>
    </row>
    <row r="5" spans="1:47" s="77" customFormat="1" ht="27" customHeight="1" x14ac:dyDescent="0.2">
      <c r="A5" s="397"/>
      <c r="B5" s="397"/>
      <c r="C5" s="397"/>
      <c r="D5" s="397"/>
      <c r="E5" s="397"/>
      <c r="F5" s="399"/>
      <c r="G5" s="402" t="s">
        <v>454</v>
      </c>
      <c r="H5" s="395" t="s">
        <v>455</v>
      </c>
      <c r="I5" s="409" t="s">
        <v>456</v>
      </c>
      <c r="J5" s="397"/>
      <c r="K5" s="397"/>
      <c r="L5" s="399"/>
      <c r="M5" s="402" t="s">
        <v>454</v>
      </c>
      <c r="N5" s="395" t="s">
        <v>455</v>
      </c>
      <c r="O5" s="409" t="s">
        <v>456</v>
      </c>
      <c r="P5" s="397"/>
      <c r="Q5" s="397"/>
      <c r="R5" s="399"/>
      <c r="S5" s="402" t="s">
        <v>454</v>
      </c>
      <c r="T5" s="395" t="s">
        <v>455</v>
      </c>
      <c r="U5" s="409" t="s">
        <v>456</v>
      </c>
      <c r="V5" s="397"/>
      <c r="W5" s="397"/>
      <c r="X5" s="399"/>
      <c r="Y5" s="402" t="s">
        <v>454</v>
      </c>
      <c r="Z5" s="395" t="s">
        <v>455</v>
      </c>
      <c r="AA5" s="409" t="s">
        <v>456</v>
      </c>
      <c r="AB5" s="397"/>
      <c r="AC5" s="397"/>
      <c r="AD5" s="399"/>
      <c r="AE5" s="402" t="s">
        <v>454</v>
      </c>
      <c r="AF5" s="395" t="s">
        <v>455</v>
      </c>
      <c r="AG5" s="409" t="s">
        <v>456</v>
      </c>
      <c r="AH5" s="397"/>
      <c r="AI5" s="397"/>
      <c r="AJ5" s="399"/>
      <c r="AK5" s="402" t="s">
        <v>457</v>
      </c>
      <c r="AL5" s="397" t="s">
        <v>86</v>
      </c>
      <c r="AM5" s="397" t="s">
        <v>88</v>
      </c>
      <c r="AN5" s="399" t="s">
        <v>458</v>
      </c>
      <c r="AO5" s="402" t="s">
        <v>459</v>
      </c>
      <c r="AP5" s="397" t="s">
        <v>460</v>
      </c>
      <c r="AQ5" s="397" t="s">
        <v>461</v>
      </c>
      <c r="AR5" s="405"/>
      <c r="AS5" s="131"/>
      <c r="AU5" s="12" t="s">
        <v>178</v>
      </c>
    </row>
    <row r="6" spans="1:47" s="77" customFormat="1" ht="39" customHeight="1" x14ac:dyDescent="0.2">
      <c r="A6" s="393"/>
      <c r="B6" s="393"/>
      <c r="C6" s="393"/>
      <c r="D6" s="393"/>
      <c r="E6" s="393"/>
      <c r="F6" s="400"/>
      <c r="G6" s="403"/>
      <c r="H6" s="396"/>
      <c r="I6" s="306" t="s">
        <v>172</v>
      </c>
      <c r="J6" s="306" t="s">
        <v>178</v>
      </c>
      <c r="K6" s="306"/>
      <c r="L6" s="306"/>
      <c r="M6" s="403"/>
      <c r="N6" s="396"/>
      <c r="O6" s="306"/>
      <c r="P6" s="306"/>
      <c r="Q6" s="306"/>
      <c r="R6" s="306"/>
      <c r="S6" s="403"/>
      <c r="T6" s="396"/>
      <c r="U6" s="306"/>
      <c r="V6" s="306"/>
      <c r="W6" s="306"/>
      <c r="X6" s="306"/>
      <c r="Y6" s="403"/>
      <c r="Z6" s="396"/>
      <c r="AA6" s="306"/>
      <c r="AB6" s="306"/>
      <c r="AC6" s="306"/>
      <c r="AD6" s="306"/>
      <c r="AE6" s="403"/>
      <c r="AF6" s="396"/>
      <c r="AG6" s="306"/>
      <c r="AH6" s="306"/>
      <c r="AI6" s="306"/>
      <c r="AJ6" s="306"/>
      <c r="AK6" s="403"/>
      <c r="AL6" s="393"/>
      <c r="AM6" s="393"/>
      <c r="AN6" s="400"/>
      <c r="AO6" s="403"/>
      <c r="AP6" s="393"/>
      <c r="AQ6" s="393"/>
      <c r="AR6" s="406"/>
      <c r="AS6" s="131"/>
      <c r="AU6" s="12" t="s">
        <v>180</v>
      </c>
    </row>
    <row r="7" spans="1:47" ht="22.5" x14ac:dyDescent="0.2">
      <c r="A7" s="48">
        <v>1</v>
      </c>
      <c r="B7" s="12" t="str">
        <f>'Encargos e Benefícios'!B6</f>
        <v>Diretor Geral de Unidade Socioeducativa (SÃO JERÔNIMO)</v>
      </c>
      <c r="C7" s="10">
        <f>'Encargos e Benefícios'!C6</f>
        <v>1</v>
      </c>
      <c r="D7" s="38" t="s">
        <v>615</v>
      </c>
      <c r="E7" s="174">
        <v>46023</v>
      </c>
      <c r="F7" s="173">
        <v>47118</v>
      </c>
      <c r="G7" s="172">
        <v>46023</v>
      </c>
      <c r="H7" s="133">
        <v>3.5000000000000003E-2</v>
      </c>
      <c r="I7" s="47"/>
      <c r="J7" s="47"/>
      <c r="K7" s="47"/>
      <c r="L7" s="47"/>
      <c r="M7" s="172">
        <v>46388</v>
      </c>
      <c r="N7" s="370">
        <v>0.04</v>
      </c>
      <c r="O7" s="47"/>
      <c r="P7" s="47"/>
      <c r="Q7" s="47"/>
      <c r="R7" s="47"/>
      <c r="S7" s="172">
        <v>46753</v>
      </c>
      <c r="T7" s="370">
        <v>0.04</v>
      </c>
      <c r="U7" s="47"/>
      <c r="V7" s="47"/>
      <c r="W7" s="47"/>
      <c r="X7" s="47"/>
      <c r="Y7" s="172"/>
      <c r="Z7" s="133"/>
      <c r="AA7" s="47"/>
      <c r="AB7" s="47"/>
      <c r="AC7" s="47"/>
      <c r="AD7" s="47"/>
      <c r="AE7" s="172"/>
      <c r="AF7" s="133"/>
      <c r="AG7" s="47"/>
      <c r="AH7" s="47"/>
      <c r="AI7" s="47"/>
      <c r="AJ7" s="136"/>
      <c r="AK7" s="11">
        <f>'Encargos e Benefícios'!D6</f>
        <v>8626.8483514359996</v>
      </c>
      <c r="AL7" s="11">
        <f>IF('Encargos e Benefícios'!C6=0,0,'Encargos e Benefícios'!U6/'Encargos e Benefícios'!C6)</f>
        <v>3694.9270758553248</v>
      </c>
      <c r="AM7" s="11">
        <f>IF('Encargos e Benefícios'!C6=0,0,'Encargos e Benefícios'!AC6/'Encargos e Benefícios'!C6)</f>
        <v>438.8</v>
      </c>
      <c r="AN7" s="119">
        <f>IF('Encargos e Benefícios'!C6=0,0,'Encargos e Benefícios'!AD6/'Encargos e Benefícios'!C6)</f>
        <v>12760.575427291324</v>
      </c>
      <c r="AO7" s="32">
        <f>(AQ7+AP7)/2</f>
        <v>9992.880000000001</v>
      </c>
      <c r="AP7" s="373">
        <v>7137.77</v>
      </c>
      <c r="AQ7" s="373">
        <v>12847.99</v>
      </c>
      <c r="AR7" s="304" t="s">
        <v>106</v>
      </c>
      <c r="AS7" s="32"/>
      <c r="AU7" s="12" t="s">
        <v>182</v>
      </c>
    </row>
    <row r="8" spans="1:47" ht="18.75" customHeight="1" x14ac:dyDescent="0.2">
      <c r="A8" s="48">
        <v>2</v>
      </c>
      <c r="B8" s="12" t="str">
        <f>'Encargos e Benefícios'!B7</f>
        <v>Analista Administrativo (São Jerônimo)</v>
      </c>
      <c r="C8" s="10">
        <f>'Encargos e Benefícios'!C7</f>
        <v>1</v>
      </c>
      <c r="D8" s="38" t="s">
        <v>615</v>
      </c>
      <c r="E8" s="174">
        <v>46023</v>
      </c>
      <c r="F8" s="173">
        <v>47118</v>
      </c>
      <c r="G8" s="172">
        <v>46023</v>
      </c>
      <c r="H8" s="133">
        <v>3.5000000000000003E-2</v>
      </c>
      <c r="I8" s="47"/>
      <c r="J8" s="47"/>
      <c r="K8" s="47"/>
      <c r="L8" s="47"/>
      <c r="M8" s="172">
        <v>46388</v>
      </c>
      <c r="N8" s="370">
        <v>0.04</v>
      </c>
      <c r="O8" s="47"/>
      <c r="P8" s="47"/>
      <c r="Q8" s="47"/>
      <c r="R8" s="47"/>
      <c r="S8" s="172">
        <v>46753</v>
      </c>
      <c r="T8" s="370">
        <v>0.04</v>
      </c>
      <c r="U8" s="47"/>
      <c r="V8" s="47"/>
      <c r="W8" s="47"/>
      <c r="X8" s="47"/>
      <c r="Y8" s="172"/>
      <c r="Z8" s="133"/>
      <c r="AA8" s="47"/>
      <c r="AB8" s="47"/>
      <c r="AC8" s="47"/>
      <c r="AD8" s="47"/>
      <c r="AE8" s="172"/>
      <c r="AF8" s="133"/>
      <c r="AG8" s="47"/>
      <c r="AH8" s="47"/>
      <c r="AI8" s="47"/>
      <c r="AJ8" s="136"/>
      <c r="AK8" s="11">
        <f>'Encargos e Benefícios'!D7</f>
        <v>4664.5671649779988</v>
      </c>
      <c r="AL8" s="11">
        <f>IF('Encargos e Benefícios'!C7=0,0,'Encargos e Benefícios'!U7/'Encargos e Benefícios'!C7)</f>
        <v>1997.8600310221045</v>
      </c>
      <c r="AM8" s="11">
        <f>IF('Encargos e Benefícios'!C7=0,0,'Encargos e Benefícios'!AC7/'Encargos e Benefícios'!C7)</f>
        <v>528.9259701013201</v>
      </c>
      <c r="AN8" s="119">
        <f>IF('Encargos e Benefícios'!C7=0,0,'Encargos e Benefícios'!AD7/'Encargos e Benefícios'!C7)</f>
        <v>7191.3531661014231</v>
      </c>
      <c r="AO8" s="32">
        <f t="shared" ref="AO8:AO71" si="0">(AQ8+AP8)/2</f>
        <v>7383.3099999999995</v>
      </c>
      <c r="AP8" s="31">
        <v>5273.79</v>
      </c>
      <c r="AQ8" s="31">
        <v>9492.83</v>
      </c>
      <c r="AR8" s="304" t="s">
        <v>106</v>
      </c>
      <c r="AS8" s="32"/>
      <c r="AU8" s="21" t="s">
        <v>186</v>
      </c>
    </row>
    <row r="9" spans="1:47" ht="21.75" customHeight="1" x14ac:dyDescent="0.2">
      <c r="A9" s="48">
        <v>3</v>
      </c>
      <c r="B9" s="12" t="str">
        <f>'Encargos e Benefícios'!B8</f>
        <v>Diretor de Atendimento (SÃO JERÔNIMO)</v>
      </c>
      <c r="C9" s="10">
        <f>'Encargos e Benefícios'!C8</f>
        <v>1</v>
      </c>
      <c r="D9" s="38" t="s">
        <v>615</v>
      </c>
      <c r="E9" s="174">
        <v>46023</v>
      </c>
      <c r="F9" s="173">
        <v>47118</v>
      </c>
      <c r="G9" s="172">
        <v>46023</v>
      </c>
      <c r="H9" s="370">
        <v>3.5000000000000003E-2</v>
      </c>
      <c r="I9" s="47"/>
      <c r="J9" s="47"/>
      <c r="K9" s="47"/>
      <c r="L9" s="47"/>
      <c r="M9" s="172">
        <v>46388</v>
      </c>
      <c r="N9" s="370">
        <v>0.04</v>
      </c>
      <c r="O9" s="47"/>
      <c r="P9" s="47"/>
      <c r="Q9" s="47"/>
      <c r="R9" s="47"/>
      <c r="S9" s="172">
        <v>46753</v>
      </c>
      <c r="T9" s="370">
        <v>0.04</v>
      </c>
      <c r="U9" s="47"/>
      <c r="V9" s="47"/>
      <c r="W9" s="47"/>
      <c r="X9" s="47"/>
      <c r="Y9" s="172"/>
      <c r="Z9" s="133"/>
      <c r="AA9" s="47"/>
      <c r="AB9" s="47"/>
      <c r="AC9" s="47"/>
      <c r="AD9" s="47"/>
      <c r="AE9" s="172"/>
      <c r="AF9" s="133"/>
      <c r="AG9" s="47"/>
      <c r="AH9" s="47"/>
      <c r="AI9" s="47"/>
      <c r="AJ9" s="136"/>
      <c r="AK9" s="11">
        <f>'Encargos e Benefícios'!D8</f>
        <v>6971.8487432299989</v>
      </c>
      <c r="AL9" s="11">
        <f>IF('Encargos e Benefícios'!C8=0,0,'Encargos e Benefícios'!U8/'Encargos e Benefícios'!C8)</f>
        <v>2986.0815492184261</v>
      </c>
      <c r="AM9" s="11">
        <f>IF('Encargos e Benefícios'!C8=0,0,'Encargos e Benefícios'!AC8/'Encargos e Benefícios'!C8)</f>
        <v>438.8</v>
      </c>
      <c r="AN9" s="119">
        <f>IF('Encargos e Benefícios'!C8=0,0,'Encargos e Benefícios'!AD8/'Encargos e Benefícios'!C8)</f>
        <v>10396.730292448425</v>
      </c>
      <c r="AO9" s="32">
        <f t="shared" si="0"/>
        <v>6777.27</v>
      </c>
      <c r="AP9" s="375">
        <v>3515.09</v>
      </c>
      <c r="AQ9" s="375">
        <v>10039.450000000001</v>
      </c>
      <c r="AR9" s="374" t="s">
        <v>106</v>
      </c>
      <c r="AS9" s="32"/>
    </row>
    <row r="10" spans="1:47" ht="23.25" customHeight="1" x14ac:dyDescent="0.2">
      <c r="A10" s="48">
        <v>4</v>
      </c>
      <c r="B10" s="12" t="str">
        <f>'Encargos e Benefícios'!B9</f>
        <v>Analista de Pedagogia</v>
      </c>
      <c r="C10" s="10">
        <f>'Encargos e Benefícios'!C9</f>
        <v>2</v>
      </c>
      <c r="D10" s="38" t="s">
        <v>616</v>
      </c>
      <c r="E10" s="174">
        <v>46023</v>
      </c>
      <c r="F10" s="173">
        <v>47118</v>
      </c>
      <c r="G10" s="172">
        <v>46023</v>
      </c>
      <c r="H10" s="370">
        <v>3.5000000000000003E-2</v>
      </c>
      <c r="I10" s="47"/>
      <c r="J10" s="47"/>
      <c r="K10" s="47"/>
      <c r="L10" s="47"/>
      <c r="M10" s="172">
        <v>46388</v>
      </c>
      <c r="N10" s="370">
        <v>0.04</v>
      </c>
      <c r="O10" s="47"/>
      <c r="P10" s="47"/>
      <c r="Q10" s="47"/>
      <c r="R10" s="47"/>
      <c r="S10" s="172">
        <v>46753</v>
      </c>
      <c r="T10" s="370">
        <v>0.04</v>
      </c>
      <c r="U10" s="47"/>
      <c r="V10" s="47"/>
      <c r="W10" s="47"/>
      <c r="X10" s="47"/>
      <c r="Y10" s="172"/>
      <c r="Z10" s="133"/>
      <c r="AA10" s="47"/>
      <c r="AB10" s="47"/>
      <c r="AC10" s="47"/>
      <c r="AD10" s="47"/>
      <c r="AE10" s="172"/>
      <c r="AF10" s="133"/>
      <c r="AG10" s="47"/>
      <c r="AH10" s="47"/>
      <c r="AI10" s="47"/>
      <c r="AJ10" s="136"/>
      <c r="AK10" s="11">
        <f>'Encargos e Benefícios'!D9</f>
        <v>3432.9771878639999</v>
      </c>
      <c r="AL10" s="11">
        <f>IF('Encargos e Benefícios'!C9=0,0,'Encargos e Benefícios'!U9/'Encargos e Benefícios'!C9)</f>
        <v>1470.3632016576396</v>
      </c>
      <c r="AM10" s="11">
        <f>IF('Encargos e Benefícios'!C9=0,0,'Encargos e Benefícios'!AC9/'Encargos e Benefícios'!C9)</f>
        <v>602.82136872816</v>
      </c>
      <c r="AN10" s="119">
        <f>IF('Encargos e Benefícios'!C9=0,0,'Encargos e Benefícios'!AD9/'Encargos e Benefícios'!C9)</f>
        <v>5506.1617582498002</v>
      </c>
      <c r="AO10" s="32">
        <f t="shared" si="0"/>
        <v>4280.8549999999996</v>
      </c>
      <c r="AP10" s="31">
        <v>3057.75</v>
      </c>
      <c r="AQ10" s="31">
        <v>5503.96</v>
      </c>
      <c r="AR10" s="304" t="s">
        <v>106</v>
      </c>
      <c r="AS10" s="32"/>
    </row>
    <row r="11" spans="1:47" ht="12.75" x14ac:dyDescent="0.2">
      <c r="A11" s="48">
        <v>5</v>
      </c>
      <c r="B11" s="12" t="str">
        <f>'Encargos e Benefícios'!B10</f>
        <v>Analista de Psicologia</v>
      </c>
      <c r="C11" s="10">
        <f>'Encargos e Benefícios'!C10</f>
        <v>3</v>
      </c>
      <c r="D11" s="38" t="s">
        <v>616</v>
      </c>
      <c r="E11" s="174">
        <v>46023</v>
      </c>
      <c r="F11" s="173">
        <v>47118</v>
      </c>
      <c r="G11" s="172">
        <v>46023</v>
      </c>
      <c r="H11" s="370">
        <v>3.5000000000000003E-2</v>
      </c>
      <c r="I11" s="47"/>
      <c r="J11" s="47"/>
      <c r="K11" s="47"/>
      <c r="L11" s="47"/>
      <c r="M11" s="172">
        <v>46388</v>
      </c>
      <c r="N11" s="370">
        <v>0.04</v>
      </c>
      <c r="O11" s="47"/>
      <c r="P11" s="47"/>
      <c r="Q11" s="47"/>
      <c r="R11" s="47"/>
      <c r="S11" s="172">
        <v>46753</v>
      </c>
      <c r="T11" s="370">
        <v>0.04</v>
      </c>
      <c r="U11" s="47"/>
      <c r="V11" s="47"/>
      <c r="W11" s="47"/>
      <c r="X11" s="47"/>
      <c r="Y11" s="172"/>
      <c r="Z11" s="133"/>
      <c r="AA11" s="47"/>
      <c r="AB11" s="47"/>
      <c r="AC11" s="47"/>
      <c r="AD11" s="47"/>
      <c r="AE11" s="172"/>
      <c r="AF11" s="133"/>
      <c r="AG11" s="47"/>
      <c r="AH11" s="47"/>
      <c r="AI11" s="47"/>
      <c r="AJ11" s="136"/>
      <c r="AK11" s="11">
        <f>'Encargos e Benefícios'!D10</f>
        <v>3432.9771878639999</v>
      </c>
      <c r="AL11" s="11">
        <f>IF('Encargos e Benefícios'!C10=0,0,'Encargos e Benefícios'!U10/'Encargos e Benefícios'!C10)</f>
        <v>1470.3632016576394</v>
      </c>
      <c r="AM11" s="11">
        <f>IF('Encargos e Benefícios'!C10=0,0,'Encargos e Benefícios'!AC10/'Encargos e Benefícios'!C10)</f>
        <v>602.82136872816</v>
      </c>
      <c r="AN11" s="119">
        <f>IF('Encargos e Benefícios'!C10=0,0,'Encargos e Benefícios'!AD10/'Encargos e Benefícios'!C10)</f>
        <v>5506.1617582497993</v>
      </c>
      <c r="AO11" s="32">
        <f t="shared" si="0"/>
        <v>4280.8549999999996</v>
      </c>
      <c r="AP11" s="31">
        <v>3057.75</v>
      </c>
      <c r="AQ11" s="31">
        <v>5503.96</v>
      </c>
      <c r="AR11" s="304" t="s">
        <v>106</v>
      </c>
      <c r="AS11" s="32"/>
    </row>
    <row r="12" spans="1:47" ht="12.75" x14ac:dyDescent="0.2">
      <c r="A12" s="48">
        <v>6</v>
      </c>
      <c r="B12" s="12" t="str">
        <f>'Encargos e Benefícios'!B11</f>
        <v>Analista de Terapia Ocupacional</v>
      </c>
      <c r="C12" s="10">
        <f>'Encargos e Benefícios'!C11</f>
        <v>1</v>
      </c>
      <c r="D12" s="38" t="s">
        <v>616</v>
      </c>
      <c r="E12" s="174">
        <v>46023</v>
      </c>
      <c r="F12" s="173">
        <v>47118</v>
      </c>
      <c r="G12" s="172">
        <v>46023</v>
      </c>
      <c r="H12" s="370">
        <v>3.5000000000000003E-2</v>
      </c>
      <c r="I12" s="47"/>
      <c r="J12" s="47"/>
      <c r="K12" s="47"/>
      <c r="L12" s="47"/>
      <c r="M12" s="172">
        <v>46388</v>
      </c>
      <c r="N12" s="370">
        <v>0.04</v>
      </c>
      <c r="O12" s="47"/>
      <c r="P12" s="47"/>
      <c r="Q12" s="47"/>
      <c r="R12" s="47"/>
      <c r="S12" s="172">
        <v>46753</v>
      </c>
      <c r="T12" s="370">
        <v>0.04</v>
      </c>
      <c r="U12" s="47"/>
      <c r="V12" s="47"/>
      <c r="W12" s="47"/>
      <c r="X12" s="47"/>
      <c r="Y12" s="172"/>
      <c r="Z12" s="133"/>
      <c r="AA12" s="47"/>
      <c r="AB12" s="47"/>
      <c r="AC12" s="47"/>
      <c r="AD12" s="47"/>
      <c r="AE12" s="172"/>
      <c r="AF12" s="133"/>
      <c r="AG12" s="47"/>
      <c r="AH12" s="47"/>
      <c r="AI12" s="47"/>
      <c r="AJ12" s="136"/>
      <c r="AK12" s="11">
        <f>'Encargos e Benefícios'!D11</f>
        <v>3432.9771878639999</v>
      </c>
      <c r="AL12" s="11">
        <f>IF('Encargos e Benefícios'!C11=0,0,'Encargos e Benefícios'!U11/'Encargos e Benefícios'!C11)</f>
        <v>1470.3632016576396</v>
      </c>
      <c r="AM12" s="11">
        <f>IF('Encargos e Benefícios'!C11=0,0,'Encargos e Benefícios'!AC11/'Encargos e Benefícios'!C11)</f>
        <v>602.82136872816</v>
      </c>
      <c r="AN12" s="119">
        <f>IF('Encargos e Benefícios'!C11=0,0,'Encargos e Benefícios'!AD11/'Encargos e Benefícios'!C11)</f>
        <v>5506.1617582498002</v>
      </c>
      <c r="AO12" s="32">
        <f t="shared" si="0"/>
        <v>4280.8549999999996</v>
      </c>
      <c r="AP12" s="31">
        <v>3057.75</v>
      </c>
      <c r="AQ12" s="31">
        <v>5503.96</v>
      </c>
      <c r="AR12" s="304" t="s">
        <v>106</v>
      </c>
      <c r="AS12" s="32"/>
    </row>
    <row r="13" spans="1:47" ht="12.75" x14ac:dyDescent="0.2">
      <c r="A13" s="48">
        <v>7</v>
      </c>
      <c r="B13" s="12" t="str">
        <f>'Encargos e Benefícios'!B12</f>
        <v>Analista de Assistencia Social</v>
      </c>
      <c r="C13" s="10">
        <f>'Encargos e Benefícios'!C12</f>
        <v>2</v>
      </c>
      <c r="D13" s="38" t="s">
        <v>616</v>
      </c>
      <c r="E13" s="174">
        <v>46023</v>
      </c>
      <c r="F13" s="173">
        <v>47118</v>
      </c>
      <c r="G13" s="172">
        <v>46023</v>
      </c>
      <c r="H13" s="370">
        <v>3.5000000000000003E-2</v>
      </c>
      <c r="I13" s="47"/>
      <c r="J13" s="47"/>
      <c r="K13" s="47"/>
      <c r="L13" s="47"/>
      <c r="M13" s="172">
        <v>46388</v>
      </c>
      <c r="N13" s="370">
        <v>0.04</v>
      </c>
      <c r="O13" s="47"/>
      <c r="P13" s="47"/>
      <c r="Q13" s="47"/>
      <c r="R13" s="47"/>
      <c r="S13" s="172">
        <v>46753</v>
      </c>
      <c r="T13" s="370">
        <v>0.04</v>
      </c>
      <c r="U13" s="47"/>
      <c r="V13" s="47"/>
      <c r="W13" s="47"/>
      <c r="X13" s="47"/>
      <c r="Y13" s="172"/>
      <c r="Z13" s="133"/>
      <c r="AA13" s="47"/>
      <c r="AB13" s="47"/>
      <c r="AC13" s="47"/>
      <c r="AD13" s="47"/>
      <c r="AE13" s="172"/>
      <c r="AF13" s="133"/>
      <c r="AG13" s="47"/>
      <c r="AH13" s="47"/>
      <c r="AI13" s="47"/>
      <c r="AJ13" s="136"/>
      <c r="AK13" s="11">
        <f>'Encargos e Benefícios'!D12</f>
        <v>3432.9771878639999</v>
      </c>
      <c r="AL13" s="11">
        <f>IF('Encargos e Benefícios'!C12=0,0,'Encargos e Benefícios'!U12/'Encargos e Benefícios'!C12)</f>
        <v>1470.3632016576396</v>
      </c>
      <c r="AM13" s="11">
        <f>IF('Encargos e Benefícios'!C12=0,0,'Encargos e Benefícios'!AC12/'Encargos e Benefícios'!C12)</f>
        <v>602.82136872816</v>
      </c>
      <c r="AN13" s="119">
        <f>IF('Encargos e Benefícios'!C12=0,0,'Encargos e Benefícios'!AD12/'Encargos e Benefícios'!C12)</f>
        <v>5506.1617582498002</v>
      </c>
      <c r="AO13" s="32">
        <f t="shared" si="0"/>
        <v>4280.8549999999996</v>
      </c>
      <c r="AP13" s="31">
        <v>3057.75</v>
      </c>
      <c r="AQ13" s="31">
        <v>5503.96</v>
      </c>
      <c r="AR13" s="304" t="s">
        <v>106</v>
      </c>
      <c r="AS13" s="32"/>
    </row>
    <row r="14" spans="1:47" ht="12.75" x14ac:dyDescent="0.2">
      <c r="A14" s="48">
        <v>8</v>
      </c>
      <c r="B14" s="12" t="str">
        <f>'Encargos e Benefícios'!B13</f>
        <v>Analista de Direito</v>
      </c>
      <c r="C14" s="10">
        <f>'Encargos e Benefícios'!C13</f>
        <v>2</v>
      </c>
      <c r="D14" s="38" t="s">
        <v>616</v>
      </c>
      <c r="E14" s="174">
        <v>46023</v>
      </c>
      <c r="F14" s="173">
        <v>47118</v>
      </c>
      <c r="G14" s="172">
        <v>46023</v>
      </c>
      <c r="H14" s="370">
        <v>3.5000000000000003E-2</v>
      </c>
      <c r="I14" s="47"/>
      <c r="J14" s="47"/>
      <c r="K14" s="47"/>
      <c r="L14" s="47"/>
      <c r="M14" s="172">
        <v>46388</v>
      </c>
      <c r="N14" s="370">
        <v>0.04</v>
      </c>
      <c r="O14" s="47"/>
      <c r="P14" s="47"/>
      <c r="Q14" s="47"/>
      <c r="R14" s="47"/>
      <c r="S14" s="172">
        <v>46753</v>
      </c>
      <c r="T14" s="370">
        <v>0.04</v>
      </c>
      <c r="U14" s="47"/>
      <c r="V14" s="47"/>
      <c r="W14" s="47"/>
      <c r="X14" s="47"/>
      <c r="Y14" s="172"/>
      <c r="Z14" s="133"/>
      <c r="AA14" s="47"/>
      <c r="AB14" s="47"/>
      <c r="AC14" s="47"/>
      <c r="AD14" s="47"/>
      <c r="AE14" s="172"/>
      <c r="AF14" s="133"/>
      <c r="AG14" s="47"/>
      <c r="AH14" s="47"/>
      <c r="AI14" s="47"/>
      <c r="AJ14" s="136"/>
      <c r="AK14" s="11">
        <f>'Encargos e Benefícios'!D13</f>
        <v>3432.9771878639999</v>
      </c>
      <c r="AL14" s="11">
        <f>IF('Encargos e Benefícios'!C13=0,0,'Encargos e Benefícios'!U13/'Encargos e Benefícios'!C13)</f>
        <v>1470.3632016576396</v>
      </c>
      <c r="AM14" s="11">
        <f>IF('Encargos e Benefícios'!C13=0,0,'Encargos e Benefícios'!AC13/'Encargos e Benefícios'!C13)</f>
        <v>602.82136872816</v>
      </c>
      <c r="AN14" s="119">
        <f>IF('Encargos e Benefícios'!C13=0,0,'Encargos e Benefícios'!AD13/'Encargos e Benefícios'!C13)</f>
        <v>5506.1617582498002</v>
      </c>
      <c r="AO14" s="32">
        <f t="shared" si="0"/>
        <v>4280.8549999999996</v>
      </c>
      <c r="AP14" s="31">
        <v>3057.75</v>
      </c>
      <c r="AQ14" s="31">
        <v>5503.96</v>
      </c>
      <c r="AR14" s="304" t="s">
        <v>106</v>
      </c>
      <c r="AS14" s="32"/>
    </row>
    <row r="15" spans="1:47" ht="12.75" x14ac:dyDescent="0.2">
      <c r="A15" s="48">
        <v>9</v>
      </c>
      <c r="B15" s="12" t="str">
        <f>'Encargos e Benefícios'!B14</f>
        <v>Analista de Educação Física</v>
      </c>
      <c r="C15" s="10">
        <f>'Encargos e Benefícios'!C14</f>
        <v>1</v>
      </c>
      <c r="D15" s="38" t="s">
        <v>616</v>
      </c>
      <c r="E15" s="174">
        <v>46023</v>
      </c>
      <c r="F15" s="173">
        <v>47118</v>
      </c>
      <c r="G15" s="172">
        <v>46023</v>
      </c>
      <c r="H15" s="370">
        <v>3.5000000000000003E-2</v>
      </c>
      <c r="I15" s="47"/>
      <c r="J15" s="47"/>
      <c r="K15" s="47"/>
      <c r="L15" s="47"/>
      <c r="M15" s="172">
        <v>46388</v>
      </c>
      <c r="N15" s="370">
        <v>0.04</v>
      </c>
      <c r="O15" s="47"/>
      <c r="P15" s="47"/>
      <c r="Q15" s="47"/>
      <c r="R15" s="47"/>
      <c r="S15" s="172">
        <v>46753</v>
      </c>
      <c r="T15" s="370">
        <v>0.04</v>
      </c>
      <c r="U15" s="47"/>
      <c r="V15" s="47"/>
      <c r="W15" s="47"/>
      <c r="X15" s="47"/>
      <c r="Y15" s="172"/>
      <c r="Z15" s="133"/>
      <c r="AA15" s="47"/>
      <c r="AB15" s="47"/>
      <c r="AC15" s="47"/>
      <c r="AD15" s="47"/>
      <c r="AE15" s="172"/>
      <c r="AF15" s="133"/>
      <c r="AG15" s="47"/>
      <c r="AH15" s="47"/>
      <c r="AI15" s="47"/>
      <c r="AJ15" s="136"/>
      <c r="AK15" s="11">
        <f>'Encargos e Benefícios'!D14</f>
        <v>3432.9771878639999</v>
      </c>
      <c r="AL15" s="11">
        <f>IF('Encargos e Benefícios'!C14=0,0,'Encargos e Benefícios'!U14/'Encargos e Benefícios'!C14)</f>
        <v>1470.3632016576396</v>
      </c>
      <c r="AM15" s="11">
        <f>IF('Encargos e Benefícios'!C14=0,0,'Encargos e Benefícios'!AC14/'Encargos e Benefícios'!C14)</f>
        <v>602.82136872816</v>
      </c>
      <c r="AN15" s="119">
        <f>IF('Encargos e Benefícios'!C14=0,0,'Encargos e Benefícios'!AD14/'Encargos e Benefícios'!C14)</f>
        <v>5506.1617582498002</v>
      </c>
      <c r="AO15" s="32">
        <f t="shared" si="0"/>
        <v>4280.8549999999996</v>
      </c>
      <c r="AP15" s="31">
        <v>3057.75</v>
      </c>
      <c r="AQ15" s="31">
        <v>5503.96</v>
      </c>
      <c r="AR15" s="304" t="s">
        <v>106</v>
      </c>
      <c r="AS15" s="32"/>
    </row>
    <row r="16" spans="1:47" ht="12.75" x14ac:dyDescent="0.2">
      <c r="A16" s="48">
        <v>10</v>
      </c>
      <c r="B16" s="12" t="str">
        <f>'Encargos e Benefícios'!B15</f>
        <v>Auxiliar Educacional</v>
      </c>
      <c r="C16" s="10">
        <f>'Encargos e Benefícios'!C15</f>
        <v>10</v>
      </c>
      <c r="D16" s="38" t="s">
        <v>615</v>
      </c>
      <c r="E16" s="174">
        <v>46023</v>
      </c>
      <c r="F16" s="173">
        <v>47118</v>
      </c>
      <c r="G16" s="172">
        <v>46023</v>
      </c>
      <c r="H16" s="370">
        <v>3.5000000000000003E-2</v>
      </c>
      <c r="I16" s="47"/>
      <c r="J16" s="47"/>
      <c r="K16" s="47"/>
      <c r="L16" s="47"/>
      <c r="M16" s="172">
        <v>46388</v>
      </c>
      <c r="N16" s="370">
        <v>0.04</v>
      </c>
      <c r="O16" s="47"/>
      <c r="P16" s="47"/>
      <c r="Q16" s="47"/>
      <c r="R16" s="47"/>
      <c r="S16" s="172">
        <v>46753</v>
      </c>
      <c r="T16" s="370">
        <v>0.04</v>
      </c>
      <c r="U16" s="47"/>
      <c r="V16" s="47"/>
      <c r="W16" s="47"/>
      <c r="X16" s="47"/>
      <c r="Y16" s="172"/>
      <c r="Z16" s="133"/>
      <c r="AA16" s="47"/>
      <c r="AB16" s="47"/>
      <c r="AC16" s="47"/>
      <c r="AD16" s="47"/>
      <c r="AE16" s="172"/>
      <c r="AF16" s="133"/>
      <c r="AG16" s="47"/>
      <c r="AH16" s="47"/>
      <c r="AI16" s="47"/>
      <c r="AJ16" s="136"/>
      <c r="AK16" s="11">
        <f>'Encargos e Benefícios'!D15</f>
        <v>1954.7239466999999</v>
      </c>
      <c r="AL16" s="11">
        <f>IF('Encargos e Benefícios'!C15=0,0,'Encargos e Benefícios'!U15/'Encargos e Benefícios'!C15)</f>
        <v>1674.8020477438192</v>
      </c>
      <c r="AM16" s="11">
        <f>IF('Encargos e Benefícios'!C15=0,0,'Encargos e Benefícios'!AC15/'Encargos e Benefícios'!C15)</f>
        <v>691.51656319800009</v>
      </c>
      <c r="AN16" s="119">
        <f>IF('Encargos e Benefícios'!C15=0,0,'Encargos e Benefícios'!AD15/'Encargos e Benefícios'!C15)</f>
        <v>4321.0425576418193</v>
      </c>
      <c r="AO16" s="32">
        <f t="shared" si="0"/>
        <v>3332.11</v>
      </c>
      <c r="AP16" s="31">
        <v>2380.08</v>
      </c>
      <c r="AQ16" s="31">
        <v>4284.1400000000003</v>
      </c>
      <c r="AR16" s="304" t="s">
        <v>106</v>
      </c>
      <c r="AS16" s="32"/>
    </row>
    <row r="17" spans="1:45" ht="12.75" x14ac:dyDescent="0.2">
      <c r="A17" s="48">
        <v>11</v>
      </c>
      <c r="B17" s="12" t="str">
        <f>'Encargos e Benefícios'!B16</f>
        <v>Auxiliar Administrativo</v>
      </c>
      <c r="C17" s="10">
        <f>'Encargos e Benefícios'!C16</f>
        <v>4</v>
      </c>
      <c r="D17" s="38" t="s">
        <v>615</v>
      </c>
      <c r="E17" s="174">
        <v>46023</v>
      </c>
      <c r="F17" s="173">
        <v>47118</v>
      </c>
      <c r="G17" s="172">
        <v>46023</v>
      </c>
      <c r="H17" s="370">
        <v>3.5000000000000003E-2</v>
      </c>
      <c r="I17" s="47"/>
      <c r="J17" s="47"/>
      <c r="K17" s="47"/>
      <c r="L17" s="47"/>
      <c r="M17" s="172">
        <v>46388</v>
      </c>
      <c r="N17" s="370">
        <v>0.04</v>
      </c>
      <c r="O17" s="47"/>
      <c r="P17" s="47"/>
      <c r="Q17" s="47"/>
      <c r="R17" s="47"/>
      <c r="S17" s="172">
        <v>46753</v>
      </c>
      <c r="T17" s="370">
        <v>0.04</v>
      </c>
      <c r="U17" s="47"/>
      <c r="V17" s="47"/>
      <c r="W17" s="47"/>
      <c r="X17" s="47"/>
      <c r="Y17" s="172"/>
      <c r="Z17" s="133"/>
      <c r="AA17" s="47"/>
      <c r="AB17" s="47"/>
      <c r="AC17" s="47"/>
      <c r="AD17" s="47"/>
      <c r="AE17" s="172"/>
      <c r="AF17" s="133"/>
      <c r="AG17" s="47"/>
      <c r="AH17" s="47"/>
      <c r="AI17" s="47"/>
      <c r="AJ17" s="136"/>
      <c r="AK17" s="11">
        <f>'Encargos e Benefícios'!D16</f>
        <v>1954.7239466999999</v>
      </c>
      <c r="AL17" s="11">
        <f>IF('Encargos e Benefícios'!C16=0,0,'Encargos e Benefícios'!U16/'Encargos e Benefícios'!C16)</f>
        <v>837.21912594909156</v>
      </c>
      <c r="AM17" s="11">
        <f>IF('Encargos e Benefícios'!C16=0,0,'Encargos e Benefícios'!AC16/'Encargos e Benefícios'!C16)</f>
        <v>691.51656319799997</v>
      </c>
      <c r="AN17" s="119">
        <f>IF('Encargos e Benefícios'!C16=0,0,'Encargos e Benefícios'!AD16/'Encargos e Benefícios'!C16)</f>
        <v>3483.4596358470912</v>
      </c>
      <c r="AO17" s="32">
        <f t="shared" si="0"/>
        <v>3332.11</v>
      </c>
      <c r="AP17" s="31">
        <v>2380.08</v>
      </c>
      <c r="AQ17" s="31">
        <v>4284.1400000000003</v>
      </c>
      <c r="AR17" s="304" t="s">
        <v>106</v>
      </c>
      <c r="AS17" s="32"/>
    </row>
    <row r="18" spans="1:45" ht="25.5" customHeight="1" x14ac:dyDescent="0.2">
      <c r="A18" s="48">
        <v>12</v>
      </c>
      <c r="B18" s="12" t="str">
        <f>'Encargos e Benefícios'!B17</f>
        <v>Auxiliar de Serviços Gerais</v>
      </c>
      <c r="C18" s="10">
        <f>'Encargos e Benefícios'!C17</f>
        <v>2</v>
      </c>
      <c r="D18" s="38" t="s">
        <v>615</v>
      </c>
      <c r="E18" s="174">
        <v>46023</v>
      </c>
      <c r="F18" s="173">
        <v>47118</v>
      </c>
      <c r="G18" s="172">
        <v>46023</v>
      </c>
      <c r="H18" s="370">
        <v>3.5000000000000003E-2</v>
      </c>
      <c r="I18" s="47"/>
      <c r="J18" s="47"/>
      <c r="K18" s="47"/>
      <c r="L18" s="47"/>
      <c r="M18" s="172">
        <v>46388</v>
      </c>
      <c r="N18" s="370">
        <v>0.04</v>
      </c>
      <c r="O18" s="47"/>
      <c r="P18" s="47"/>
      <c r="Q18" s="47"/>
      <c r="R18" s="47"/>
      <c r="S18" s="172">
        <v>46753</v>
      </c>
      <c r="T18" s="370">
        <v>0.04</v>
      </c>
      <c r="U18" s="47"/>
      <c r="V18" s="47"/>
      <c r="W18" s="47"/>
      <c r="X18" s="47"/>
      <c r="Y18" s="172"/>
      <c r="Z18" s="133"/>
      <c r="AA18" s="47"/>
      <c r="AB18" s="47"/>
      <c r="AC18" s="47"/>
      <c r="AD18" s="47"/>
      <c r="AE18" s="172"/>
      <c r="AF18" s="133"/>
      <c r="AG18" s="47"/>
      <c r="AH18" s="47"/>
      <c r="AI18" s="47"/>
      <c r="AJ18" s="136"/>
      <c r="AK18" s="11">
        <f>'Encargos e Benefícios'!D17</f>
        <v>1604</v>
      </c>
      <c r="AL18" s="11">
        <f>IF('Encargos e Benefícios'!C17=0,0,'Encargos e Benefícios'!U17/'Encargos e Benefícios'!C17)</f>
        <v>687.00211111111116</v>
      </c>
      <c r="AM18" s="11">
        <f>IF('Encargos e Benefícios'!C17=0,0,'Encargos e Benefícios'!AC17/'Encargos e Benefícios'!C17)</f>
        <v>712.56</v>
      </c>
      <c r="AN18" s="119">
        <f>IF('Encargos e Benefícios'!C17=0,0,'Encargos e Benefícios'!AD17/'Encargos e Benefícios'!C17)</f>
        <v>3003.5621111111109</v>
      </c>
      <c r="AO18" s="32">
        <f t="shared" si="0"/>
        <v>2286.52</v>
      </c>
      <c r="AP18" s="31">
        <v>1633.23</v>
      </c>
      <c r="AQ18" s="31">
        <v>2939.81</v>
      </c>
      <c r="AR18" s="304" t="s">
        <v>106</v>
      </c>
      <c r="AS18" s="32"/>
    </row>
    <row r="19" spans="1:45" ht="22.5" customHeight="1" x14ac:dyDescent="0.2">
      <c r="A19" s="48">
        <v>13</v>
      </c>
      <c r="B19" s="12" t="str">
        <f>'Encargos e Benefícios'!B18</f>
        <v>Motorista</v>
      </c>
      <c r="C19" s="10">
        <f>'Encargos e Benefícios'!C18</f>
        <v>3</v>
      </c>
      <c r="D19" s="38" t="s">
        <v>615</v>
      </c>
      <c r="E19" s="174">
        <v>46023</v>
      </c>
      <c r="F19" s="173">
        <v>47118</v>
      </c>
      <c r="G19" s="172">
        <v>46023</v>
      </c>
      <c r="H19" s="370">
        <v>3.5000000000000003E-2</v>
      </c>
      <c r="I19" s="47"/>
      <c r="J19" s="47"/>
      <c r="K19" s="47"/>
      <c r="L19" s="47"/>
      <c r="M19" s="172">
        <v>46388</v>
      </c>
      <c r="N19" s="370">
        <v>0.04</v>
      </c>
      <c r="O19" s="47"/>
      <c r="P19" s="47"/>
      <c r="Q19" s="47"/>
      <c r="R19" s="47"/>
      <c r="S19" s="172">
        <v>46753</v>
      </c>
      <c r="T19" s="370">
        <v>0.04</v>
      </c>
      <c r="U19" s="47"/>
      <c r="V19" s="47"/>
      <c r="W19" s="47"/>
      <c r="X19" s="47"/>
      <c r="Y19" s="172"/>
      <c r="Z19" s="133"/>
      <c r="AA19" s="47"/>
      <c r="AB19" s="47"/>
      <c r="AC19" s="47"/>
      <c r="AD19" s="47"/>
      <c r="AE19" s="172"/>
      <c r="AF19" s="133"/>
      <c r="AG19" s="47"/>
      <c r="AH19" s="47"/>
      <c r="AI19" s="47"/>
      <c r="AJ19" s="136"/>
      <c r="AK19" s="11">
        <f>'Encargos e Benefícios'!D18</f>
        <v>2216.5886211419997</v>
      </c>
      <c r="AL19" s="11">
        <f>IF('Encargos e Benefícios'!C18=0,0,'Encargos e Benefícios'!U18/'Encargos e Benefícios'!C18)</f>
        <v>949.37722081634718</v>
      </c>
      <c r="AM19" s="11">
        <f>IF('Encargos e Benefícios'!C18=0,0,'Encargos e Benefícios'!AC18/'Encargos e Benefícios'!C18)</f>
        <v>675.80468273148006</v>
      </c>
      <c r="AN19" s="119">
        <f>IF('Encargos e Benefícios'!C18=0,0,'Encargos e Benefícios'!AD18/'Encargos e Benefícios'!C18)</f>
        <v>3841.7705246898263</v>
      </c>
      <c r="AO19" s="32">
        <f t="shared" si="0"/>
        <v>2638.67</v>
      </c>
      <c r="AP19" s="31">
        <v>1884.76</v>
      </c>
      <c r="AQ19" s="31">
        <v>3392.58</v>
      </c>
      <c r="AR19" s="304" t="s">
        <v>106</v>
      </c>
      <c r="AS19" s="32"/>
    </row>
    <row r="20" spans="1:45" ht="12.75" x14ac:dyDescent="0.2">
      <c r="A20" s="48">
        <v>14</v>
      </c>
      <c r="B20" s="12" t="str">
        <f>'Encargos e Benefícios'!B19</f>
        <v xml:space="preserve">Gestor de Monitoria e Socioeducação </v>
      </c>
      <c r="C20" s="10">
        <f>'Encargos e Benefícios'!C19</f>
        <v>1</v>
      </c>
      <c r="D20" s="38" t="s">
        <v>615</v>
      </c>
      <c r="E20" s="174">
        <v>46023</v>
      </c>
      <c r="F20" s="173">
        <v>47118</v>
      </c>
      <c r="G20" s="172">
        <v>46023</v>
      </c>
      <c r="H20" s="370">
        <v>3.5000000000000003E-2</v>
      </c>
      <c r="I20" s="47"/>
      <c r="J20" s="47"/>
      <c r="K20" s="47"/>
      <c r="L20" s="47"/>
      <c r="M20" s="172">
        <v>46388</v>
      </c>
      <c r="N20" s="370">
        <v>0.04</v>
      </c>
      <c r="O20" s="47"/>
      <c r="P20" s="47"/>
      <c r="Q20" s="47"/>
      <c r="R20" s="47"/>
      <c r="S20" s="172">
        <v>46753</v>
      </c>
      <c r="T20" s="370">
        <v>0.04</v>
      </c>
      <c r="U20" s="47"/>
      <c r="V20" s="47"/>
      <c r="W20" s="47"/>
      <c r="X20" s="47"/>
      <c r="Y20" s="172"/>
      <c r="Z20" s="133"/>
      <c r="AA20" s="47"/>
      <c r="AB20" s="47"/>
      <c r="AC20" s="47"/>
      <c r="AD20" s="47"/>
      <c r="AE20" s="172"/>
      <c r="AF20" s="133"/>
      <c r="AG20" s="47"/>
      <c r="AH20" s="47"/>
      <c r="AI20" s="47"/>
      <c r="AJ20" s="136"/>
      <c r="AK20" s="11">
        <f>'Encargos e Benefícios'!D19</f>
        <v>6971.8487432299989</v>
      </c>
      <c r="AL20" s="11">
        <f>IF('Encargos e Benefícios'!C19=0,0,'Encargos e Benefícios'!U19/'Encargos e Benefícios'!C19)</f>
        <v>2986.0815492184261</v>
      </c>
      <c r="AM20" s="11">
        <f>IF('Encargos e Benefícios'!C19=0,0,'Encargos e Benefícios'!AC19/'Encargos e Benefícios'!C19)</f>
        <v>438.8</v>
      </c>
      <c r="AN20" s="119">
        <f>IF('Encargos e Benefícios'!C19=0,0,'Encargos e Benefícios'!AD19/'Encargos e Benefícios'!C19)</f>
        <v>10396.730292448425</v>
      </c>
      <c r="AO20" s="32">
        <f t="shared" si="0"/>
        <v>6777.27</v>
      </c>
      <c r="AP20" s="31">
        <v>3515.09</v>
      </c>
      <c r="AQ20" s="31">
        <v>10039.450000000001</v>
      </c>
      <c r="AR20" s="304" t="s">
        <v>106</v>
      </c>
      <c r="AS20" s="32"/>
    </row>
    <row r="21" spans="1:45" ht="12.75" x14ac:dyDescent="0.2">
      <c r="A21" s="48">
        <v>15</v>
      </c>
      <c r="B21" s="12" t="str">
        <f>'Encargos e Benefícios'!B20</f>
        <v>Socioeducador</v>
      </c>
      <c r="C21" s="10">
        <f>'Encargos e Benefícios'!C20</f>
        <v>46</v>
      </c>
      <c r="D21" s="38" t="s">
        <v>615</v>
      </c>
      <c r="E21" s="174">
        <v>46023</v>
      </c>
      <c r="F21" s="173">
        <v>47118</v>
      </c>
      <c r="G21" s="172">
        <v>46023</v>
      </c>
      <c r="H21" s="370">
        <v>3.5000000000000003E-2</v>
      </c>
      <c r="I21" s="47"/>
      <c r="J21" s="47"/>
      <c r="K21" s="47"/>
      <c r="L21" s="47"/>
      <c r="M21" s="172">
        <v>46388</v>
      </c>
      <c r="N21" s="370">
        <v>0.04</v>
      </c>
      <c r="O21" s="47"/>
      <c r="P21" s="47"/>
      <c r="Q21" s="47"/>
      <c r="R21" s="47"/>
      <c r="S21" s="172">
        <v>46753</v>
      </c>
      <c r="T21" s="370">
        <v>0.04</v>
      </c>
      <c r="U21" s="47"/>
      <c r="V21" s="47"/>
      <c r="W21" s="47"/>
      <c r="X21" s="47"/>
      <c r="Y21" s="172"/>
      <c r="Z21" s="133"/>
      <c r="AA21" s="47"/>
      <c r="AB21" s="47"/>
      <c r="AC21" s="47"/>
      <c r="AD21" s="47"/>
      <c r="AE21" s="172"/>
      <c r="AF21" s="133"/>
      <c r="AG21" s="47"/>
      <c r="AH21" s="47"/>
      <c r="AI21" s="47"/>
      <c r="AJ21" s="136"/>
      <c r="AK21" s="11">
        <f>'Encargos e Benefícios'!D20</f>
        <v>2475.9907000000003</v>
      </c>
      <c r="AL21" s="11">
        <f>IF('Encargos e Benefícios'!C20=0,0,'Encargos e Benefícios'!U20/'Encargos e Benefícios'!C20)</f>
        <v>2669.1137223551023</v>
      </c>
      <c r="AM21" s="11">
        <f>IF('Encargos e Benefícios'!C20=0,0,'Encargos e Benefícios'!AC20/'Encargos e Benefícios'!C20)</f>
        <v>660.24055799999996</v>
      </c>
      <c r="AN21" s="119">
        <f>IF('Encargos e Benefícios'!C20=0,0,'Encargos e Benefícios'!AD20/'Encargos e Benefícios'!C20)</f>
        <v>5805.344980355103</v>
      </c>
      <c r="AO21" s="32">
        <f t="shared" si="0"/>
        <v>2621.0150000000003</v>
      </c>
      <c r="AP21" s="31">
        <v>1906.88</v>
      </c>
      <c r="AQ21" s="31">
        <v>3335.15</v>
      </c>
      <c r="AR21" s="304" t="s">
        <v>106</v>
      </c>
      <c r="AS21" s="32"/>
    </row>
    <row r="22" spans="1:45" ht="22.5" x14ac:dyDescent="0.2">
      <c r="A22" s="48">
        <v>16</v>
      </c>
      <c r="B22" s="12" t="str">
        <f>'Encargos e Benefícios'!B21</f>
        <v>Socioeducador</v>
      </c>
      <c r="C22" s="10">
        <f>'Encargos e Benefícios'!C21</f>
        <v>26</v>
      </c>
      <c r="D22" s="38" t="s">
        <v>617</v>
      </c>
      <c r="E22" s="174">
        <v>46023</v>
      </c>
      <c r="F22" s="173">
        <v>47118</v>
      </c>
      <c r="G22" s="172">
        <v>46023</v>
      </c>
      <c r="H22" s="370">
        <v>3.5000000000000003E-2</v>
      </c>
      <c r="I22" s="47"/>
      <c r="J22" s="47"/>
      <c r="K22" s="47"/>
      <c r="L22" s="47"/>
      <c r="M22" s="172">
        <v>46388</v>
      </c>
      <c r="N22" s="370">
        <v>0.04</v>
      </c>
      <c r="O22" s="47"/>
      <c r="P22" s="47"/>
      <c r="Q22" s="47"/>
      <c r="R22" s="47"/>
      <c r="S22" s="172">
        <v>46753</v>
      </c>
      <c r="T22" s="370">
        <v>0.04</v>
      </c>
      <c r="U22" s="47"/>
      <c r="V22" s="47"/>
      <c r="W22" s="47"/>
      <c r="X22" s="47"/>
      <c r="Y22" s="172"/>
      <c r="Z22" s="133"/>
      <c r="AA22" s="47"/>
      <c r="AB22" s="47"/>
      <c r="AC22" s="47"/>
      <c r="AD22" s="47"/>
      <c r="AE22" s="172"/>
      <c r="AF22" s="133"/>
      <c r="AG22" s="47"/>
      <c r="AH22" s="47"/>
      <c r="AI22" s="47"/>
      <c r="AJ22" s="136"/>
      <c r="AK22" s="11">
        <f>'Encargos e Benefícios'!D21</f>
        <v>2475.9907000000003</v>
      </c>
      <c r="AL22" s="11">
        <f>IF('Encargos e Benefícios'!C21=0,0,'Encargos e Benefícios'!U21/'Encargos e Benefícios'!C21)</f>
        <v>3159.717059663878</v>
      </c>
      <c r="AM22" s="11">
        <f>IF('Encargos e Benefícios'!C21=0,0,'Encargos e Benefícios'!AC21/'Encargos e Benefícios'!C21)</f>
        <v>660.24055799999996</v>
      </c>
      <c r="AN22" s="119">
        <f>IF('Encargos e Benefícios'!C21=0,0,'Encargos e Benefícios'!AD21/'Encargos e Benefícios'!C21)</f>
        <v>6295.9483176638787</v>
      </c>
      <c r="AO22" s="32">
        <f t="shared" si="0"/>
        <v>2621.0150000000003</v>
      </c>
      <c r="AP22" s="31">
        <v>1906.88</v>
      </c>
      <c r="AQ22" s="31">
        <v>3335.15</v>
      </c>
      <c r="AR22" s="304" t="s">
        <v>106</v>
      </c>
      <c r="AS22" s="32"/>
    </row>
    <row r="23" spans="1:45" ht="22.5" x14ac:dyDescent="0.2">
      <c r="A23" s="48">
        <v>17</v>
      </c>
      <c r="B23" s="12" t="str">
        <f>'Encargos e Benefícios'!B22</f>
        <v xml:space="preserve">Supervisor </v>
      </c>
      <c r="C23" s="10">
        <f>'Encargos e Benefícios'!C22</f>
        <v>2</v>
      </c>
      <c r="D23" s="38" t="s">
        <v>617</v>
      </c>
      <c r="E23" s="174">
        <v>46023</v>
      </c>
      <c r="F23" s="173">
        <v>47118</v>
      </c>
      <c r="G23" s="172">
        <v>46023</v>
      </c>
      <c r="H23" s="370">
        <v>3.5000000000000003E-2</v>
      </c>
      <c r="I23" s="47"/>
      <c r="J23" s="47"/>
      <c r="K23" s="47"/>
      <c r="L23" s="47"/>
      <c r="M23" s="172">
        <v>46388</v>
      </c>
      <c r="N23" s="370">
        <v>0.04</v>
      </c>
      <c r="O23" s="47"/>
      <c r="P23" s="47"/>
      <c r="Q23" s="47"/>
      <c r="R23" s="47"/>
      <c r="S23" s="172">
        <v>46753</v>
      </c>
      <c r="T23" s="370">
        <v>0.04</v>
      </c>
      <c r="U23" s="47"/>
      <c r="V23" s="47"/>
      <c r="W23" s="47"/>
      <c r="X23" s="47"/>
      <c r="Y23" s="172"/>
      <c r="Z23" s="133"/>
      <c r="AA23" s="47"/>
      <c r="AB23" s="47"/>
      <c r="AC23" s="47"/>
      <c r="AD23" s="47"/>
      <c r="AE23" s="172"/>
      <c r="AF23" s="133"/>
      <c r="AG23" s="47"/>
      <c r="AH23" s="47"/>
      <c r="AI23" s="47"/>
      <c r="AJ23" s="136"/>
      <c r="AK23" s="11">
        <f>'Encargos e Benefícios'!D22</f>
        <v>4195.9728999999998</v>
      </c>
      <c r="AL23" s="11">
        <f>IF('Encargos e Benefícios'!C22=0,0,'Encargos e Benefícios'!U22/'Encargos e Benefícios'!C22)</f>
        <v>1797.1585040305554</v>
      </c>
      <c r="AM23" s="11">
        <f>IF('Encargos e Benefícios'!C22=0,0,'Encargos e Benefícios'!AC22/'Encargos e Benefícios'!C22)</f>
        <v>557.04162599999995</v>
      </c>
      <c r="AN23" s="119">
        <f>IF('Encargos e Benefícios'!C22=0,0,'Encargos e Benefícios'!AD22/'Encargos e Benefícios'!C22)</f>
        <v>6550.1730300305553</v>
      </c>
      <c r="AO23" s="32">
        <f t="shared" si="0"/>
        <v>4917.4850000000006</v>
      </c>
      <c r="AP23" s="31">
        <v>2550.5</v>
      </c>
      <c r="AQ23" s="31">
        <v>7284.47</v>
      </c>
      <c r="AR23" s="304" t="s">
        <v>106</v>
      </c>
      <c r="AS23" s="32"/>
    </row>
    <row r="24" spans="1:45" ht="22.5" x14ac:dyDescent="0.2">
      <c r="A24" s="48">
        <v>18</v>
      </c>
      <c r="B24" s="12" t="str">
        <f>'Encargos e Benefícios'!B23</f>
        <v>Enfermeiro</v>
      </c>
      <c r="C24" s="10">
        <f>'Encargos e Benefícios'!C23</f>
        <v>2</v>
      </c>
      <c r="D24" s="38" t="s">
        <v>617</v>
      </c>
      <c r="E24" s="174">
        <v>46023</v>
      </c>
      <c r="F24" s="173">
        <v>47118</v>
      </c>
      <c r="G24" s="172">
        <v>46023</v>
      </c>
      <c r="H24" s="370">
        <v>3.5000000000000003E-2</v>
      </c>
      <c r="I24" s="47"/>
      <c r="J24" s="47"/>
      <c r="K24" s="47"/>
      <c r="L24" s="47"/>
      <c r="M24" s="172">
        <v>46388</v>
      </c>
      <c r="N24" s="370">
        <v>0.04</v>
      </c>
      <c r="O24" s="47"/>
      <c r="P24" s="47"/>
      <c r="Q24" s="47"/>
      <c r="R24" s="47"/>
      <c r="S24" s="172">
        <v>46753</v>
      </c>
      <c r="T24" s="370">
        <v>0.04</v>
      </c>
      <c r="U24" s="47"/>
      <c r="V24" s="47"/>
      <c r="W24" s="47"/>
      <c r="X24" s="47"/>
      <c r="Y24" s="172"/>
      <c r="Z24" s="133"/>
      <c r="AA24" s="47"/>
      <c r="AB24" s="47"/>
      <c r="AC24" s="47"/>
      <c r="AD24" s="47"/>
      <c r="AE24" s="172"/>
      <c r="AF24" s="133"/>
      <c r="AG24" s="47"/>
      <c r="AH24" s="47"/>
      <c r="AI24" s="47"/>
      <c r="AJ24" s="136"/>
      <c r="AK24" s="11">
        <f>'Encargos e Benefícios'!D23</f>
        <v>5372.2025000000003</v>
      </c>
      <c r="AL24" s="11">
        <f>IF('Encargos e Benefícios'!C23=0,0,'Encargos e Benefícios'!U23/'Encargos e Benefícios'!C23)</f>
        <v>3405.8772977094445</v>
      </c>
      <c r="AM24" s="11">
        <f>IF('Encargos e Benefícios'!C23=0,0,'Encargos e Benefícios'!AC23/'Encargos e Benefícios'!C23)</f>
        <v>486.46785</v>
      </c>
      <c r="AN24" s="119">
        <f>IF('Encargos e Benefícios'!C23=0,0,'Encargos e Benefícios'!AD23/'Encargos e Benefícios'!C23)</f>
        <v>9264.5476477094453</v>
      </c>
      <c r="AO24" s="32">
        <f t="shared" si="0"/>
        <v>4535.9449999999997</v>
      </c>
      <c r="AP24" s="31">
        <v>3300.06</v>
      </c>
      <c r="AQ24" s="31">
        <v>5771.83</v>
      </c>
      <c r="AR24" s="304" t="s">
        <v>106</v>
      </c>
      <c r="AS24" s="32"/>
    </row>
    <row r="25" spans="1:45" ht="22.5" x14ac:dyDescent="0.2">
      <c r="A25" s="48">
        <v>19</v>
      </c>
      <c r="B25" s="12" t="str">
        <f>'Encargos e Benefícios'!B24</f>
        <v>Técnico de Enfermagem</v>
      </c>
      <c r="C25" s="10">
        <f>'Encargos e Benefícios'!C24</f>
        <v>3</v>
      </c>
      <c r="D25" s="38" t="s">
        <v>617</v>
      </c>
      <c r="E25" s="174">
        <v>46023</v>
      </c>
      <c r="F25" s="173">
        <v>47118</v>
      </c>
      <c r="G25" s="172">
        <v>46023</v>
      </c>
      <c r="H25" s="370">
        <v>3.5000000000000003E-2</v>
      </c>
      <c r="I25" s="47"/>
      <c r="J25" s="47"/>
      <c r="K25" s="47"/>
      <c r="L25" s="47"/>
      <c r="M25" s="172">
        <v>46388</v>
      </c>
      <c r="N25" s="370">
        <v>0.04</v>
      </c>
      <c r="O25" s="47"/>
      <c r="P25" s="47"/>
      <c r="Q25" s="47"/>
      <c r="R25" s="47"/>
      <c r="S25" s="172">
        <v>46753</v>
      </c>
      <c r="T25" s="370">
        <v>0.04</v>
      </c>
      <c r="U25" s="47"/>
      <c r="V25" s="47"/>
      <c r="W25" s="47"/>
      <c r="X25" s="47"/>
      <c r="Y25" s="172"/>
      <c r="Z25" s="133"/>
      <c r="AA25" s="47"/>
      <c r="AB25" s="47"/>
      <c r="AC25" s="47"/>
      <c r="AD25" s="47"/>
      <c r="AE25" s="172"/>
      <c r="AF25" s="133"/>
      <c r="AG25" s="47"/>
      <c r="AH25" s="47"/>
      <c r="AI25" s="47"/>
      <c r="AJ25" s="136"/>
      <c r="AK25" s="11">
        <f>'Encargos e Benefícios'!D24</f>
        <v>3760.5471000000002</v>
      </c>
      <c r="AL25" s="11">
        <f>IF('Encargos e Benefícios'!C24=0,0,'Encargos e Benefícios'!U24/'Encargos e Benefícios'!C24)</f>
        <v>2341.147817679067</v>
      </c>
      <c r="AM25" s="11">
        <f>IF('Encargos e Benefícios'!C24=0,0,'Encargos e Benefícios'!AC24/'Encargos e Benefícios'!C24)</f>
        <v>583.16717400000005</v>
      </c>
      <c r="AN25" s="119">
        <f>IF('Encargos e Benefícios'!C24=0,0,'Encargos e Benefícios'!AD24/'Encargos e Benefícios'!C24)</f>
        <v>6684.8620916790669</v>
      </c>
      <c r="AO25" s="32">
        <f t="shared" si="0"/>
        <v>2955.75</v>
      </c>
      <c r="AP25" s="31">
        <v>2150.41</v>
      </c>
      <c r="AQ25" s="31">
        <v>3761.09</v>
      </c>
      <c r="AR25" s="304" t="s">
        <v>106</v>
      </c>
      <c r="AS25" s="32"/>
    </row>
    <row r="26" spans="1:45" ht="22.5" x14ac:dyDescent="0.2">
      <c r="A26" s="48">
        <v>20</v>
      </c>
      <c r="B26" s="12" t="str">
        <f>'Encargos e Benefícios'!B25</f>
        <v>Porteiro</v>
      </c>
      <c r="C26" s="10">
        <f>'Encargos e Benefícios'!C25</f>
        <v>4</v>
      </c>
      <c r="D26" s="38" t="s">
        <v>617</v>
      </c>
      <c r="E26" s="174">
        <v>46023</v>
      </c>
      <c r="F26" s="173">
        <v>47118</v>
      </c>
      <c r="G26" s="172">
        <v>46023</v>
      </c>
      <c r="H26" s="370">
        <v>3.5000000000000003E-2</v>
      </c>
      <c r="I26" s="47"/>
      <c r="J26" s="47"/>
      <c r="K26" s="47"/>
      <c r="L26" s="47"/>
      <c r="M26" s="172">
        <v>46388</v>
      </c>
      <c r="N26" s="370">
        <v>0.04</v>
      </c>
      <c r="O26" s="47"/>
      <c r="P26" s="47"/>
      <c r="Q26" s="47"/>
      <c r="R26" s="47"/>
      <c r="S26" s="172">
        <v>46753</v>
      </c>
      <c r="T26" s="370">
        <v>0.04</v>
      </c>
      <c r="U26" s="47"/>
      <c r="V26" s="47"/>
      <c r="W26" s="47"/>
      <c r="X26" s="47"/>
      <c r="Y26" s="172"/>
      <c r="Z26" s="133"/>
      <c r="AA26" s="47"/>
      <c r="AB26" s="47"/>
      <c r="AC26" s="47"/>
      <c r="AD26" s="47"/>
      <c r="AE26" s="172"/>
      <c r="AF26" s="133"/>
      <c r="AG26" s="47"/>
      <c r="AH26" s="47"/>
      <c r="AI26" s="47"/>
      <c r="AJ26" s="136"/>
      <c r="AK26" s="11">
        <f>'Encargos e Benefícios'!D25</f>
        <v>1759.2515520300001</v>
      </c>
      <c r="AL26" s="11">
        <f>IF('Encargos e Benefícios'!C25=0,0,'Encargos e Benefícios'!U25/'Encargos e Benefícios'!C25)</f>
        <v>1310.3132024950796</v>
      </c>
      <c r="AM26" s="11">
        <f>IF('Encargos e Benefícios'!C25=0,0,'Encargos e Benefícios'!AC25/'Encargos e Benefícios'!C25)</f>
        <v>703.24490687820003</v>
      </c>
      <c r="AN26" s="119">
        <f>IF('Encargos e Benefícios'!C25=0,0,'Encargos e Benefícios'!AD25/'Encargos e Benefícios'!C25)</f>
        <v>3772.8096614032793</v>
      </c>
      <c r="AO26" s="32">
        <f t="shared" si="0"/>
        <v>2638.67</v>
      </c>
      <c r="AP26" s="31">
        <v>1884.76</v>
      </c>
      <c r="AQ26" s="31">
        <v>3392.58</v>
      </c>
      <c r="AR26" s="304" t="s">
        <v>106</v>
      </c>
      <c r="AS26" s="32"/>
    </row>
    <row r="27" spans="1:45" ht="22.5" x14ac:dyDescent="0.2">
      <c r="A27" s="48">
        <v>21</v>
      </c>
      <c r="B27" s="12" t="str">
        <f>'Encargos e Benefícios'!B26</f>
        <v>Diretor Geral de Unidade Socioeducativa (LINDÉIA)</v>
      </c>
      <c r="C27" s="10">
        <f>'Encargos e Benefícios'!C26</f>
        <v>1</v>
      </c>
      <c r="D27" s="38" t="s">
        <v>615</v>
      </c>
      <c r="E27" s="174">
        <v>46023</v>
      </c>
      <c r="F27" s="173">
        <v>47118</v>
      </c>
      <c r="G27" s="172">
        <v>46023</v>
      </c>
      <c r="H27" s="370">
        <v>3.5000000000000003E-2</v>
      </c>
      <c r="I27" s="47"/>
      <c r="J27" s="47"/>
      <c r="K27" s="47"/>
      <c r="L27" s="47"/>
      <c r="M27" s="172">
        <v>46388</v>
      </c>
      <c r="N27" s="370">
        <v>0.04</v>
      </c>
      <c r="O27" s="47"/>
      <c r="P27" s="47"/>
      <c r="Q27" s="47"/>
      <c r="R27" s="47"/>
      <c r="S27" s="172">
        <v>46753</v>
      </c>
      <c r="T27" s="370">
        <v>0.04</v>
      </c>
      <c r="U27" s="47"/>
      <c r="V27" s="47"/>
      <c r="W27" s="47"/>
      <c r="X27" s="47"/>
      <c r="Y27" s="172"/>
      <c r="Z27" s="133"/>
      <c r="AA27" s="47"/>
      <c r="AB27" s="47"/>
      <c r="AC27" s="47"/>
      <c r="AD27" s="47"/>
      <c r="AE27" s="172"/>
      <c r="AF27" s="133"/>
      <c r="AG27" s="47"/>
      <c r="AH27" s="47"/>
      <c r="AI27" s="47"/>
      <c r="AJ27" s="136"/>
      <c r="AK27" s="11">
        <f>'Encargos e Benefícios'!D26</f>
        <v>8626.8483514359996</v>
      </c>
      <c r="AL27" s="11">
        <f>IF('Encargos e Benefícios'!C26=0,0,'Encargos e Benefícios'!U26/'Encargos e Benefícios'!C26)</f>
        <v>3694.9270758553248</v>
      </c>
      <c r="AM27" s="11">
        <f>IF('Encargos e Benefícios'!C26=0,0,'Encargos e Benefícios'!AC26/'Encargos e Benefícios'!C26)</f>
        <v>438.8</v>
      </c>
      <c r="AN27" s="119">
        <f>IF('Encargos e Benefícios'!C26=0,0,'Encargos e Benefícios'!AD26/'Encargos e Benefícios'!C26)</f>
        <v>12760.575427291324</v>
      </c>
      <c r="AO27" s="32">
        <f t="shared" si="0"/>
        <v>9992.880000000001</v>
      </c>
      <c r="AP27" s="376">
        <v>7137.77</v>
      </c>
      <c r="AQ27" s="376">
        <v>12847.99</v>
      </c>
      <c r="AR27" s="304" t="s">
        <v>104</v>
      </c>
      <c r="AS27" s="32"/>
    </row>
    <row r="28" spans="1:45" ht="12.75" x14ac:dyDescent="0.2">
      <c r="A28" s="48">
        <v>22</v>
      </c>
      <c r="B28" s="12" t="str">
        <f>'Encargos e Benefícios'!B27</f>
        <v>Analista Administrativo (Lindéia)</v>
      </c>
      <c r="C28" s="10">
        <f>'Encargos e Benefícios'!C27</f>
        <v>1</v>
      </c>
      <c r="D28" s="38" t="s">
        <v>615</v>
      </c>
      <c r="E28" s="174">
        <v>46023</v>
      </c>
      <c r="F28" s="173">
        <v>47118</v>
      </c>
      <c r="G28" s="172">
        <v>46023</v>
      </c>
      <c r="H28" s="370">
        <v>3.5000000000000003E-2</v>
      </c>
      <c r="I28" s="47"/>
      <c r="J28" s="47"/>
      <c r="K28" s="47"/>
      <c r="L28" s="47"/>
      <c r="M28" s="172">
        <v>46388</v>
      </c>
      <c r="N28" s="370">
        <v>0.04</v>
      </c>
      <c r="O28" s="47"/>
      <c r="P28" s="47"/>
      <c r="Q28" s="47"/>
      <c r="R28" s="47"/>
      <c r="S28" s="172">
        <v>46753</v>
      </c>
      <c r="T28" s="370">
        <v>0.04</v>
      </c>
      <c r="U28" s="47"/>
      <c r="V28" s="47"/>
      <c r="W28" s="47"/>
      <c r="X28" s="47"/>
      <c r="Y28" s="172"/>
      <c r="Z28" s="133"/>
      <c r="AA28" s="47"/>
      <c r="AB28" s="47"/>
      <c r="AC28" s="47"/>
      <c r="AD28" s="47"/>
      <c r="AE28" s="172"/>
      <c r="AF28" s="133"/>
      <c r="AG28" s="47"/>
      <c r="AH28" s="47"/>
      <c r="AI28" s="47"/>
      <c r="AJ28" s="136"/>
      <c r="AK28" s="11">
        <f>'Encargos e Benefícios'!D27</f>
        <v>4664.5671649779988</v>
      </c>
      <c r="AL28" s="11">
        <f>IF('Encargos e Benefícios'!C27=0,0,'Encargos e Benefícios'!U27/'Encargos e Benefícios'!C27)</f>
        <v>1997.8600310221045</v>
      </c>
      <c r="AM28" s="11">
        <f>IF('Encargos e Benefícios'!C27=0,0,'Encargos e Benefícios'!AC27/'Encargos e Benefícios'!C27)</f>
        <v>528.9259701013201</v>
      </c>
      <c r="AN28" s="119">
        <f>IF('Encargos e Benefícios'!C27=0,0,'Encargos e Benefícios'!AD27/'Encargos e Benefícios'!C27)</f>
        <v>7191.3531661014231</v>
      </c>
      <c r="AO28" s="32">
        <f t="shared" si="0"/>
        <v>7383.3099999999995</v>
      </c>
      <c r="AP28" s="31">
        <v>5273.79</v>
      </c>
      <c r="AQ28" s="31">
        <v>9492.83</v>
      </c>
      <c r="AR28" s="304" t="s">
        <v>104</v>
      </c>
      <c r="AS28" s="32"/>
    </row>
    <row r="29" spans="1:45" ht="12.75" x14ac:dyDescent="0.2">
      <c r="A29" s="48">
        <v>23</v>
      </c>
      <c r="B29" s="12" t="str">
        <f>'Encargos e Benefícios'!B28</f>
        <v>Diretor de Atendimento (LINDÉIA)</v>
      </c>
      <c r="C29" s="10">
        <f>'Encargos e Benefícios'!C28</f>
        <v>1</v>
      </c>
      <c r="D29" s="38" t="s">
        <v>615</v>
      </c>
      <c r="E29" s="174">
        <v>46023</v>
      </c>
      <c r="F29" s="173">
        <v>47118</v>
      </c>
      <c r="G29" s="172">
        <v>46023</v>
      </c>
      <c r="H29" s="370">
        <v>3.5000000000000003E-2</v>
      </c>
      <c r="I29" s="47"/>
      <c r="J29" s="47"/>
      <c r="K29" s="47"/>
      <c r="L29" s="47"/>
      <c r="M29" s="172">
        <v>46388</v>
      </c>
      <c r="N29" s="370">
        <v>0.04</v>
      </c>
      <c r="O29" s="47"/>
      <c r="P29" s="47"/>
      <c r="Q29" s="47"/>
      <c r="R29" s="47"/>
      <c r="S29" s="172">
        <v>46753</v>
      </c>
      <c r="T29" s="370">
        <v>0.04</v>
      </c>
      <c r="U29" s="47"/>
      <c r="V29" s="47"/>
      <c r="W29" s="47"/>
      <c r="X29" s="47"/>
      <c r="Y29" s="172"/>
      <c r="Z29" s="133"/>
      <c r="AA29" s="47"/>
      <c r="AB29" s="47"/>
      <c r="AC29" s="47"/>
      <c r="AD29" s="47"/>
      <c r="AE29" s="172"/>
      <c r="AF29" s="133"/>
      <c r="AG29" s="47"/>
      <c r="AH29" s="47"/>
      <c r="AI29" s="47"/>
      <c r="AJ29" s="136"/>
      <c r="AK29" s="11">
        <f>'Encargos e Benefícios'!D28</f>
        <v>6971.8487432299989</v>
      </c>
      <c r="AL29" s="11">
        <f>IF('Encargos e Benefícios'!C28=0,0,'Encargos e Benefícios'!U28/'Encargos e Benefícios'!C28)</f>
        <v>2986.0815492184261</v>
      </c>
      <c r="AM29" s="11">
        <f>IF('Encargos e Benefícios'!C28=0,0,'Encargos e Benefícios'!AC28/'Encargos e Benefícios'!C28)</f>
        <v>438.8</v>
      </c>
      <c r="AN29" s="119">
        <f>IF('Encargos e Benefícios'!C28=0,0,'Encargos e Benefícios'!AD28/'Encargos e Benefícios'!C28)</f>
        <v>10396.730292448425</v>
      </c>
      <c r="AO29" s="32">
        <f t="shared" si="0"/>
        <v>6777.27</v>
      </c>
      <c r="AP29" s="31">
        <v>3515.09</v>
      </c>
      <c r="AQ29" s="31">
        <v>10039.450000000001</v>
      </c>
      <c r="AR29" s="304" t="s">
        <v>104</v>
      </c>
      <c r="AS29" s="32"/>
    </row>
    <row r="30" spans="1:45" ht="12.75" x14ac:dyDescent="0.2">
      <c r="A30" s="48">
        <v>24</v>
      </c>
      <c r="B30" s="12" t="str">
        <f>'Encargos e Benefícios'!B29</f>
        <v>Analista de Pedagogia</v>
      </c>
      <c r="C30" s="10">
        <f>'Encargos e Benefícios'!C29</f>
        <v>1</v>
      </c>
      <c r="D30" s="38" t="s">
        <v>616</v>
      </c>
      <c r="E30" s="174">
        <v>46023</v>
      </c>
      <c r="F30" s="173">
        <v>47118</v>
      </c>
      <c r="G30" s="172">
        <v>46023</v>
      </c>
      <c r="H30" s="370">
        <v>3.5000000000000003E-2</v>
      </c>
      <c r="I30" s="47"/>
      <c r="J30" s="47"/>
      <c r="K30" s="47"/>
      <c r="L30" s="47"/>
      <c r="M30" s="172">
        <v>46388</v>
      </c>
      <c r="N30" s="370">
        <v>0.04</v>
      </c>
      <c r="O30" s="47"/>
      <c r="P30" s="47"/>
      <c r="Q30" s="47"/>
      <c r="R30" s="47"/>
      <c r="S30" s="172">
        <v>46753</v>
      </c>
      <c r="T30" s="370">
        <v>0.04</v>
      </c>
      <c r="U30" s="47"/>
      <c r="V30" s="47"/>
      <c r="W30" s="47"/>
      <c r="X30" s="47"/>
      <c r="Y30" s="172"/>
      <c r="Z30" s="133"/>
      <c r="AA30" s="47"/>
      <c r="AB30" s="47"/>
      <c r="AC30" s="47"/>
      <c r="AD30" s="47"/>
      <c r="AE30" s="172"/>
      <c r="AF30" s="133"/>
      <c r="AG30" s="47"/>
      <c r="AH30" s="47"/>
      <c r="AI30" s="47"/>
      <c r="AJ30" s="136"/>
      <c r="AK30" s="11">
        <f>'Encargos e Benefícios'!D29</f>
        <v>3432.9771878639999</v>
      </c>
      <c r="AL30" s="11">
        <f>IF('Encargos e Benefícios'!C29=0,0,'Encargos e Benefícios'!U29/'Encargos e Benefícios'!C29)</f>
        <v>1470.3632016576396</v>
      </c>
      <c r="AM30" s="11">
        <f>IF('Encargos e Benefícios'!C29=0,0,'Encargos e Benefícios'!AC29/'Encargos e Benefícios'!C29)</f>
        <v>438.8</v>
      </c>
      <c r="AN30" s="119">
        <f>IF('Encargos e Benefícios'!C29=0,0,'Encargos e Benefícios'!AD29/'Encargos e Benefícios'!C29)</f>
        <v>5342.1403895216399</v>
      </c>
      <c r="AO30" s="32">
        <f t="shared" si="0"/>
        <v>4280.8549999999996</v>
      </c>
      <c r="AP30" s="31">
        <v>3057.75</v>
      </c>
      <c r="AQ30" s="31">
        <v>5503.96</v>
      </c>
      <c r="AR30" s="304" t="s">
        <v>104</v>
      </c>
      <c r="AS30" s="32"/>
    </row>
    <row r="31" spans="1:45" ht="12.75" x14ac:dyDescent="0.2">
      <c r="A31" s="48">
        <v>25</v>
      </c>
      <c r="B31" s="12" t="str">
        <f>'Encargos e Benefícios'!B30</f>
        <v>Analista de Psicologia</v>
      </c>
      <c r="C31" s="10">
        <f>'Encargos e Benefícios'!C30</f>
        <v>2</v>
      </c>
      <c r="D31" s="38" t="s">
        <v>616</v>
      </c>
      <c r="E31" s="174">
        <v>46023</v>
      </c>
      <c r="F31" s="173">
        <v>47118</v>
      </c>
      <c r="G31" s="172">
        <v>46023</v>
      </c>
      <c r="H31" s="370">
        <v>3.5000000000000003E-2</v>
      </c>
      <c r="I31" s="47"/>
      <c r="J31" s="47"/>
      <c r="K31" s="47"/>
      <c r="L31" s="47"/>
      <c r="M31" s="172">
        <v>46388</v>
      </c>
      <c r="N31" s="370">
        <v>0.04</v>
      </c>
      <c r="O31" s="47"/>
      <c r="P31" s="47"/>
      <c r="Q31" s="47"/>
      <c r="R31" s="47"/>
      <c r="S31" s="172">
        <v>46753</v>
      </c>
      <c r="T31" s="370">
        <v>0.04</v>
      </c>
      <c r="U31" s="47"/>
      <c r="V31" s="47"/>
      <c r="W31" s="47"/>
      <c r="X31" s="47"/>
      <c r="Y31" s="172"/>
      <c r="Z31" s="133"/>
      <c r="AA31" s="47"/>
      <c r="AB31" s="47"/>
      <c r="AC31" s="47"/>
      <c r="AD31" s="47"/>
      <c r="AE31" s="172"/>
      <c r="AF31" s="133"/>
      <c r="AG31" s="47"/>
      <c r="AH31" s="47"/>
      <c r="AI31" s="47"/>
      <c r="AJ31" s="136"/>
      <c r="AK31" s="11">
        <f>'Encargos e Benefícios'!D30</f>
        <v>3432.9771878639999</v>
      </c>
      <c r="AL31" s="11">
        <f>IF('Encargos e Benefícios'!C30=0,0,'Encargos e Benefícios'!U30/'Encargos e Benefícios'!C30)</f>
        <v>1470.3632016576396</v>
      </c>
      <c r="AM31" s="11">
        <f>IF('Encargos e Benefícios'!C30=0,0,'Encargos e Benefícios'!AC30/'Encargos e Benefícios'!C30)</f>
        <v>602.82136872816</v>
      </c>
      <c r="AN31" s="119">
        <f>IF('Encargos e Benefícios'!C30=0,0,'Encargos e Benefícios'!AD30/'Encargos e Benefícios'!C30)</f>
        <v>5506.1617582498002</v>
      </c>
      <c r="AO31" s="32">
        <f t="shared" si="0"/>
        <v>4280.8549999999996</v>
      </c>
      <c r="AP31" s="31">
        <v>3057.75</v>
      </c>
      <c r="AQ31" s="31">
        <v>5503.96</v>
      </c>
      <c r="AR31" s="304" t="s">
        <v>104</v>
      </c>
      <c r="AS31" s="32"/>
    </row>
    <row r="32" spans="1:45" ht="12.75" x14ac:dyDescent="0.2">
      <c r="A32" s="48">
        <v>26</v>
      </c>
      <c r="B32" s="12" t="str">
        <f>'Encargos e Benefícios'!B31</f>
        <v>Analista de Terapia Ocupacional</v>
      </c>
      <c r="C32" s="10">
        <f>'Encargos e Benefícios'!C31</f>
        <v>1</v>
      </c>
      <c r="D32" s="38" t="s">
        <v>616</v>
      </c>
      <c r="E32" s="174">
        <v>46023</v>
      </c>
      <c r="F32" s="173">
        <v>47118</v>
      </c>
      <c r="G32" s="172">
        <v>46023</v>
      </c>
      <c r="H32" s="370">
        <v>3.5000000000000003E-2</v>
      </c>
      <c r="I32" s="47"/>
      <c r="J32" s="47"/>
      <c r="K32" s="47"/>
      <c r="L32" s="47"/>
      <c r="M32" s="172">
        <v>46388</v>
      </c>
      <c r="N32" s="370">
        <v>0.04</v>
      </c>
      <c r="O32" s="47"/>
      <c r="P32" s="47"/>
      <c r="Q32" s="47"/>
      <c r="R32" s="47"/>
      <c r="S32" s="172">
        <v>46753</v>
      </c>
      <c r="T32" s="370">
        <v>0.04</v>
      </c>
      <c r="U32" s="47"/>
      <c r="V32" s="47"/>
      <c r="W32" s="47"/>
      <c r="X32" s="47"/>
      <c r="Y32" s="172"/>
      <c r="Z32" s="133"/>
      <c r="AA32" s="47"/>
      <c r="AB32" s="47"/>
      <c r="AC32" s="47"/>
      <c r="AD32" s="47"/>
      <c r="AE32" s="172"/>
      <c r="AF32" s="133"/>
      <c r="AG32" s="47"/>
      <c r="AH32" s="47"/>
      <c r="AI32" s="47"/>
      <c r="AJ32" s="136"/>
      <c r="AK32" s="11">
        <f>'Encargos e Benefícios'!D31</f>
        <v>3432.9771878639999</v>
      </c>
      <c r="AL32" s="11">
        <f>IF('Encargos e Benefícios'!C31=0,0,'Encargos e Benefícios'!U31/'Encargos e Benefícios'!C31)</f>
        <v>1470.3632016576396</v>
      </c>
      <c r="AM32" s="11">
        <f>IF('Encargos e Benefícios'!C31=0,0,'Encargos e Benefícios'!AC31/'Encargos e Benefícios'!C31)</f>
        <v>602.82136872816</v>
      </c>
      <c r="AN32" s="119">
        <f>IF('Encargos e Benefícios'!C31=0,0,'Encargos e Benefícios'!AD31/'Encargos e Benefícios'!C31)</f>
        <v>5506.1617582498002</v>
      </c>
      <c r="AO32" s="32">
        <f t="shared" si="0"/>
        <v>4280.8549999999996</v>
      </c>
      <c r="AP32" s="31">
        <v>3057.75</v>
      </c>
      <c r="AQ32" s="31">
        <v>5503.96</v>
      </c>
      <c r="AR32" s="304" t="s">
        <v>104</v>
      </c>
      <c r="AS32" s="32"/>
    </row>
    <row r="33" spans="1:45" ht="12.75" x14ac:dyDescent="0.2">
      <c r="A33" s="48">
        <v>27</v>
      </c>
      <c r="B33" s="12" t="str">
        <f>'Encargos e Benefícios'!B32</f>
        <v>Analista de Assistencia Social</v>
      </c>
      <c r="C33" s="10">
        <f>'Encargos e Benefícios'!C32</f>
        <v>2</v>
      </c>
      <c r="D33" s="38" t="s">
        <v>616</v>
      </c>
      <c r="E33" s="174">
        <v>46023</v>
      </c>
      <c r="F33" s="173">
        <v>47118</v>
      </c>
      <c r="G33" s="172">
        <v>46023</v>
      </c>
      <c r="H33" s="370">
        <v>3.5000000000000003E-2</v>
      </c>
      <c r="I33" s="47"/>
      <c r="J33" s="47"/>
      <c r="K33" s="47"/>
      <c r="L33" s="47"/>
      <c r="M33" s="172">
        <v>46388</v>
      </c>
      <c r="N33" s="370">
        <v>0.04</v>
      </c>
      <c r="O33" s="47"/>
      <c r="P33" s="47"/>
      <c r="Q33" s="47"/>
      <c r="R33" s="47"/>
      <c r="S33" s="172">
        <v>46753</v>
      </c>
      <c r="T33" s="370">
        <v>0.04</v>
      </c>
      <c r="U33" s="47"/>
      <c r="V33" s="47"/>
      <c r="W33" s="47"/>
      <c r="X33" s="47"/>
      <c r="Y33" s="172"/>
      <c r="Z33" s="133"/>
      <c r="AA33" s="47"/>
      <c r="AB33" s="47"/>
      <c r="AC33" s="47"/>
      <c r="AD33" s="47"/>
      <c r="AE33" s="172"/>
      <c r="AF33" s="133"/>
      <c r="AG33" s="47"/>
      <c r="AH33" s="47"/>
      <c r="AI33" s="47"/>
      <c r="AJ33" s="136"/>
      <c r="AK33" s="11">
        <f>'Encargos e Benefícios'!D32</f>
        <v>3432.9771878639999</v>
      </c>
      <c r="AL33" s="11">
        <f>IF('Encargos e Benefícios'!C32=0,0,'Encargos e Benefícios'!U32/'Encargos e Benefícios'!C32)</f>
        <v>1470.3632016576396</v>
      </c>
      <c r="AM33" s="11">
        <f>IF('Encargos e Benefícios'!C32=0,0,'Encargos e Benefícios'!AC32/'Encargos e Benefícios'!C32)</f>
        <v>602.82136872816</v>
      </c>
      <c r="AN33" s="119">
        <f>IF('Encargos e Benefícios'!C32=0,0,'Encargos e Benefícios'!AD32/'Encargos e Benefícios'!C32)</f>
        <v>5506.1617582498002</v>
      </c>
      <c r="AO33" s="32">
        <f t="shared" si="0"/>
        <v>4280.8549999999996</v>
      </c>
      <c r="AP33" s="31">
        <v>3057.75</v>
      </c>
      <c r="AQ33" s="31">
        <v>5503.96</v>
      </c>
      <c r="AR33" s="304" t="s">
        <v>104</v>
      </c>
      <c r="AS33" s="32"/>
    </row>
    <row r="34" spans="1:45" ht="12.75" x14ac:dyDescent="0.2">
      <c r="A34" s="48">
        <v>28</v>
      </c>
      <c r="B34" s="12" t="str">
        <f>'Encargos e Benefícios'!B33</f>
        <v>Analista de Direito</v>
      </c>
      <c r="C34" s="10">
        <f>'Encargos e Benefícios'!C33</f>
        <v>1</v>
      </c>
      <c r="D34" s="38" t="s">
        <v>616</v>
      </c>
      <c r="E34" s="174">
        <v>46023</v>
      </c>
      <c r="F34" s="173">
        <v>47118</v>
      </c>
      <c r="G34" s="172">
        <v>46023</v>
      </c>
      <c r="H34" s="370">
        <v>3.5000000000000003E-2</v>
      </c>
      <c r="I34" s="47"/>
      <c r="J34" s="47"/>
      <c r="K34" s="47"/>
      <c r="L34" s="47"/>
      <c r="M34" s="172">
        <v>46388</v>
      </c>
      <c r="N34" s="370">
        <v>0.04</v>
      </c>
      <c r="O34" s="47"/>
      <c r="P34" s="47"/>
      <c r="Q34" s="47"/>
      <c r="R34" s="47"/>
      <c r="S34" s="172">
        <v>46753</v>
      </c>
      <c r="T34" s="370">
        <v>0.04</v>
      </c>
      <c r="U34" s="47"/>
      <c r="V34" s="47"/>
      <c r="W34" s="47"/>
      <c r="X34" s="47"/>
      <c r="Y34" s="172"/>
      <c r="Z34" s="133"/>
      <c r="AA34" s="47"/>
      <c r="AB34" s="47"/>
      <c r="AC34" s="47"/>
      <c r="AD34" s="47"/>
      <c r="AE34" s="172"/>
      <c r="AF34" s="133"/>
      <c r="AG34" s="47"/>
      <c r="AH34" s="47"/>
      <c r="AI34" s="47"/>
      <c r="AJ34" s="136"/>
      <c r="AK34" s="11">
        <f>'Encargos e Benefícios'!D33</f>
        <v>3432.9771878639999</v>
      </c>
      <c r="AL34" s="11">
        <f>IF('Encargos e Benefícios'!C33=0,0,'Encargos e Benefícios'!U33/'Encargos e Benefícios'!C33)</f>
        <v>1470.3632016576396</v>
      </c>
      <c r="AM34" s="11">
        <f>IF('Encargos e Benefícios'!C33=0,0,'Encargos e Benefícios'!AC33/'Encargos e Benefícios'!C33)</f>
        <v>602.82136872816</v>
      </c>
      <c r="AN34" s="119">
        <f>IF('Encargos e Benefícios'!C33=0,0,'Encargos e Benefícios'!AD33/'Encargos e Benefícios'!C33)</f>
        <v>5506.1617582498002</v>
      </c>
      <c r="AO34" s="32">
        <f t="shared" si="0"/>
        <v>4280.8549999999996</v>
      </c>
      <c r="AP34" s="31">
        <v>3057.75</v>
      </c>
      <c r="AQ34" s="31">
        <v>5503.96</v>
      </c>
      <c r="AR34" s="304" t="s">
        <v>104</v>
      </c>
      <c r="AS34" s="32"/>
    </row>
    <row r="35" spans="1:45" ht="12.75" x14ac:dyDescent="0.2">
      <c r="A35" s="48">
        <v>29</v>
      </c>
      <c r="B35" s="12" t="str">
        <f>'Encargos e Benefícios'!B34</f>
        <v>Analista de Educação Física</v>
      </c>
      <c r="C35" s="10">
        <f>'Encargos e Benefícios'!C34</f>
        <v>1</v>
      </c>
      <c r="D35" s="38" t="s">
        <v>616</v>
      </c>
      <c r="E35" s="174">
        <v>46023</v>
      </c>
      <c r="F35" s="173">
        <v>47118</v>
      </c>
      <c r="G35" s="172">
        <v>46023</v>
      </c>
      <c r="H35" s="370">
        <v>3.5000000000000003E-2</v>
      </c>
      <c r="I35" s="47"/>
      <c r="J35" s="47"/>
      <c r="K35" s="47"/>
      <c r="L35" s="47"/>
      <c r="M35" s="172">
        <v>46388</v>
      </c>
      <c r="N35" s="370">
        <v>0.04</v>
      </c>
      <c r="O35" s="47"/>
      <c r="P35" s="47"/>
      <c r="Q35" s="47"/>
      <c r="R35" s="47"/>
      <c r="S35" s="172">
        <v>46753</v>
      </c>
      <c r="T35" s="370">
        <v>0.04</v>
      </c>
      <c r="U35" s="47"/>
      <c r="V35" s="47"/>
      <c r="W35" s="47"/>
      <c r="X35" s="47"/>
      <c r="Y35" s="172"/>
      <c r="Z35" s="133"/>
      <c r="AA35" s="47"/>
      <c r="AB35" s="47"/>
      <c r="AC35" s="47"/>
      <c r="AD35" s="47"/>
      <c r="AE35" s="172"/>
      <c r="AF35" s="133"/>
      <c r="AG35" s="47"/>
      <c r="AH35" s="47"/>
      <c r="AI35" s="47"/>
      <c r="AJ35" s="136"/>
      <c r="AK35" s="11">
        <f>'Encargos e Benefícios'!D34</f>
        <v>3432.9771878639999</v>
      </c>
      <c r="AL35" s="11">
        <f>IF('Encargos e Benefícios'!C34=0,0,'Encargos e Benefícios'!U34/'Encargos e Benefícios'!C34)</f>
        <v>1470.3632016576396</v>
      </c>
      <c r="AM35" s="11">
        <f>IF('Encargos e Benefícios'!C34=0,0,'Encargos e Benefícios'!AC34/'Encargos e Benefícios'!C34)</f>
        <v>602.82136872816</v>
      </c>
      <c r="AN35" s="119">
        <f>IF('Encargos e Benefícios'!C34=0,0,'Encargos e Benefícios'!AD34/'Encargos e Benefícios'!C34)</f>
        <v>5506.1617582498002</v>
      </c>
      <c r="AO35" s="32">
        <f t="shared" si="0"/>
        <v>4280.8549999999996</v>
      </c>
      <c r="AP35" s="31">
        <v>3057.75</v>
      </c>
      <c r="AQ35" s="31">
        <v>5503.96</v>
      </c>
      <c r="AR35" s="304" t="s">
        <v>104</v>
      </c>
      <c r="AS35" s="32"/>
    </row>
    <row r="36" spans="1:45" ht="12.75" x14ac:dyDescent="0.2">
      <c r="A36" s="48">
        <v>30</v>
      </c>
      <c r="B36" s="12" t="str">
        <f>'Encargos e Benefícios'!B35</f>
        <v>Auxiliar Educacional</v>
      </c>
      <c r="C36" s="10">
        <f>'Encargos e Benefícios'!C35</f>
        <v>6</v>
      </c>
      <c r="D36" s="38" t="s">
        <v>615</v>
      </c>
      <c r="E36" s="174">
        <v>46023</v>
      </c>
      <c r="F36" s="173">
        <v>47118</v>
      </c>
      <c r="G36" s="172">
        <v>46023</v>
      </c>
      <c r="H36" s="370">
        <v>3.5000000000000003E-2</v>
      </c>
      <c r="I36" s="47"/>
      <c r="J36" s="47"/>
      <c r="K36" s="47"/>
      <c r="L36" s="47"/>
      <c r="M36" s="172">
        <v>46388</v>
      </c>
      <c r="N36" s="370">
        <v>0.04</v>
      </c>
      <c r="O36" s="47"/>
      <c r="P36" s="47"/>
      <c r="Q36" s="47"/>
      <c r="R36" s="47"/>
      <c r="S36" s="172">
        <v>46753</v>
      </c>
      <c r="T36" s="370">
        <v>0.04</v>
      </c>
      <c r="U36" s="47"/>
      <c r="V36" s="47"/>
      <c r="W36" s="47"/>
      <c r="X36" s="47"/>
      <c r="Y36" s="172"/>
      <c r="Z36" s="133"/>
      <c r="AA36" s="47"/>
      <c r="AB36" s="47"/>
      <c r="AC36" s="47"/>
      <c r="AD36" s="47"/>
      <c r="AE36" s="172"/>
      <c r="AF36" s="133"/>
      <c r="AG36" s="47"/>
      <c r="AH36" s="47"/>
      <c r="AI36" s="47"/>
      <c r="AJ36" s="136"/>
      <c r="AK36" s="11">
        <f>'Encargos e Benefícios'!D35</f>
        <v>1954.7239466999999</v>
      </c>
      <c r="AL36" s="11">
        <f>IF('Encargos e Benefícios'!C35=0,0,'Encargos e Benefícios'!U35/'Encargos e Benefícios'!C35)</f>
        <v>1674.8020477438192</v>
      </c>
      <c r="AM36" s="11">
        <f>IF('Encargos e Benefícios'!C35=0,0,'Encargos e Benefícios'!AC35/'Encargos e Benefícios'!C35)</f>
        <v>691.51656319799997</v>
      </c>
      <c r="AN36" s="119">
        <f>IF('Encargos e Benefícios'!C35=0,0,'Encargos e Benefícios'!AD35/'Encargos e Benefícios'!C35)</f>
        <v>4321.0425576418193</v>
      </c>
      <c r="AO36" s="32">
        <f t="shared" si="0"/>
        <v>3332.11</v>
      </c>
      <c r="AP36" s="31">
        <v>2380.08</v>
      </c>
      <c r="AQ36" s="31">
        <v>4284.1400000000003</v>
      </c>
      <c r="AR36" s="304" t="s">
        <v>104</v>
      </c>
      <c r="AS36" s="32"/>
    </row>
    <row r="37" spans="1:45" ht="12.75" x14ac:dyDescent="0.2">
      <c r="A37" s="48">
        <v>31</v>
      </c>
      <c r="B37" s="12" t="str">
        <f>'Encargos e Benefícios'!B36</f>
        <v>Auxiliar Administrativo</v>
      </c>
      <c r="C37" s="10">
        <f>'Encargos e Benefícios'!C36</f>
        <v>2</v>
      </c>
      <c r="D37" s="38" t="s">
        <v>615</v>
      </c>
      <c r="E37" s="174">
        <v>46023</v>
      </c>
      <c r="F37" s="173">
        <v>47118</v>
      </c>
      <c r="G37" s="172">
        <v>46023</v>
      </c>
      <c r="H37" s="370">
        <v>3.5000000000000003E-2</v>
      </c>
      <c r="I37" s="47"/>
      <c r="J37" s="47"/>
      <c r="K37" s="47"/>
      <c r="L37" s="47"/>
      <c r="M37" s="172">
        <v>46388</v>
      </c>
      <c r="N37" s="370">
        <v>0.04</v>
      </c>
      <c r="O37" s="47"/>
      <c r="P37" s="47"/>
      <c r="Q37" s="47"/>
      <c r="R37" s="47"/>
      <c r="S37" s="172">
        <v>46753</v>
      </c>
      <c r="T37" s="370">
        <v>0.04</v>
      </c>
      <c r="U37" s="47"/>
      <c r="V37" s="47"/>
      <c r="W37" s="47"/>
      <c r="X37" s="47"/>
      <c r="Y37" s="172"/>
      <c r="Z37" s="133"/>
      <c r="AA37" s="47"/>
      <c r="AB37" s="47"/>
      <c r="AC37" s="47"/>
      <c r="AD37" s="47"/>
      <c r="AE37" s="172"/>
      <c r="AF37" s="133"/>
      <c r="AG37" s="47"/>
      <c r="AH37" s="47"/>
      <c r="AI37" s="47"/>
      <c r="AJ37" s="136"/>
      <c r="AK37" s="11">
        <f>'Encargos e Benefícios'!D36</f>
        <v>1954.7239466999999</v>
      </c>
      <c r="AL37" s="11">
        <f>IF('Encargos e Benefícios'!C36=0,0,'Encargos e Benefícios'!U36/'Encargos e Benefícios'!C36)</f>
        <v>837.21912594909156</v>
      </c>
      <c r="AM37" s="11">
        <f>IF('Encargos e Benefícios'!C36=0,0,'Encargos e Benefícios'!AC36/'Encargos e Benefícios'!C36)</f>
        <v>691.51656319799997</v>
      </c>
      <c r="AN37" s="119">
        <f>IF('Encargos e Benefícios'!C36=0,0,'Encargos e Benefícios'!AD36/'Encargos e Benefícios'!C36)</f>
        <v>3483.4596358470912</v>
      </c>
      <c r="AO37" s="32">
        <f t="shared" si="0"/>
        <v>3332.11</v>
      </c>
      <c r="AP37" s="31">
        <v>2380.08</v>
      </c>
      <c r="AQ37" s="31">
        <v>4284.1400000000003</v>
      </c>
      <c r="AR37" s="304" t="s">
        <v>104</v>
      </c>
      <c r="AS37" s="32"/>
    </row>
    <row r="38" spans="1:45" ht="12.75" x14ac:dyDescent="0.2">
      <c r="A38" s="48">
        <v>32</v>
      </c>
      <c r="B38" s="12" t="str">
        <f>'Encargos e Benefícios'!B37</f>
        <v>Auxiliar de Serviços Gerais</v>
      </c>
      <c r="C38" s="10">
        <f>'Encargos e Benefícios'!C37</f>
        <v>2</v>
      </c>
      <c r="D38" s="38" t="s">
        <v>615</v>
      </c>
      <c r="E38" s="174">
        <v>46023</v>
      </c>
      <c r="F38" s="173">
        <v>47118</v>
      </c>
      <c r="G38" s="172">
        <v>46023</v>
      </c>
      <c r="H38" s="370">
        <v>3.5000000000000003E-2</v>
      </c>
      <c r="I38" s="47"/>
      <c r="J38" s="47"/>
      <c r="K38" s="47"/>
      <c r="L38" s="47"/>
      <c r="M38" s="172">
        <v>46388</v>
      </c>
      <c r="N38" s="370">
        <v>0.04</v>
      </c>
      <c r="O38" s="47"/>
      <c r="P38" s="47"/>
      <c r="Q38" s="47"/>
      <c r="R38" s="47"/>
      <c r="S38" s="172">
        <v>46753</v>
      </c>
      <c r="T38" s="370">
        <v>0.04</v>
      </c>
      <c r="U38" s="47"/>
      <c r="V38" s="47"/>
      <c r="W38" s="47"/>
      <c r="X38" s="47"/>
      <c r="Y38" s="172"/>
      <c r="Z38" s="133"/>
      <c r="AA38" s="47"/>
      <c r="AB38" s="47"/>
      <c r="AC38" s="47"/>
      <c r="AD38" s="47"/>
      <c r="AE38" s="172"/>
      <c r="AF38" s="133"/>
      <c r="AG38" s="47"/>
      <c r="AH38" s="47"/>
      <c r="AI38" s="47"/>
      <c r="AJ38" s="136"/>
      <c r="AK38" s="11">
        <f>'Encargos e Benefícios'!D37</f>
        <v>1604</v>
      </c>
      <c r="AL38" s="11">
        <f>IF('Encargos e Benefícios'!C37=0,0,'Encargos e Benefícios'!U37/'Encargos e Benefícios'!C37)</f>
        <v>687.00211111111116</v>
      </c>
      <c r="AM38" s="11">
        <f>IF('Encargos e Benefícios'!C37=0,0,'Encargos e Benefícios'!AC37/'Encargos e Benefícios'!C37)</f>
        <v>712.56</v>
      </c>
      <c r="AN38" s="119">
        <f>IF('Encargos e Benefícios'!C37=0,0,'Encargos e Benefícios'!AD37/'Encargos e Benefícios'!C37)</f>
        <v>3003.5621111111109</v>
      </c>
      <c r="AO38" s="32">
        <f t="shared" si="0"/>
        <v>2286.52</v>
      </c>
      <c r="AP38" s="31">
        <v>1633.23</v>
      </c>
      <c r="AQ38" s="31">
        <v>2939.81</v>
      </c>
      <c r="AR38" s="304" t="s">
        <v>104</v>
      </c>
      <c r="AS38" s="32"/>
    </row>
    <row r="39" spans="1:45" ht="12.75" x14ac:dyDescent="0.2">
      <c r="A39" s="48">
        <v>33</v>
      </c>
      <c r="B39" s="12" t="str">
        <f>'Encargos e Benefícios'!B38</f>
        <v>Motorista</v>
      </c>
      <c r="C39" s="10">
        <f>'Encargos e Benefícios'!C38</f>
        <v>2</v>
      </c>
      <c r="D39" s="38" t="s">
        <v>615</v>
      </c>
      <c r="E39" s="174">
        <v>46023</v>
      </c>
      <c r="F39" s="173">
        <v>47118</v>
      </c>
      <c r="G39" s="172">
        <v>46023</v>
      </c>
      <c r="H39" s="370">
        <v>3.5000000000000003E-2</v>
      </c>
      <c r="I39" s="47"/>
      <c r="J39" s="47"/>
      <c r="K39" s="47"/>
      <c r="L39" s="47"/>
      <c r="M39" s="172">
        <v>46388</v>
      </c>
      <c r="N39" s="370">
        <v>0.04</v>
      </c>
      <c r="O39" s="47"/>
      <c r="P39" s="47"/>
      <c r="Q39" s="47"/>
      <c r="R39" s="47"/>
      <c r="S39" s="172">
        <v>46753</v>
      </c>
      <c r="T39" s="370">
        <v>0.04</v>
      </c>
      <c r="U39" s="47"/>
      <c r="V39" s="47"/>
      <c r="W39" s="47"/>
      <c r="X39" s="47"/>
      <c r="Y39" s="172"/>
      <c r="Z39" s="133"/>
      <c r="AA39" s="47"/>
      <c r="AB39" s="47"/>
      <c r="AC39" s="47"/>
      <c r="AD39" s="47"/>
      <c r="AE39" s="172"/>
      <c r="AF39" s="133"/>
      <c r="AG39" s="47"/>
      <c r="AH39" s="47"/>
      <c r="AI39" s="47"/>
      <c r="AJ39" s="136"/>
      <c r="AK39" s="11">
        <f>'Encargos e Benefícios'!D38</f>
        <v>2216.5886211419997</v>
      </c>
      <c r="AL39" s="11">
        <f>IF('Encargos e Benefícios'!C38=0,0,'Encargos e Benefícios'!U38/'Encargos e Benefícios'!C38)</f>
        <v>949.37722081634706</v>
      </c>
      <c r="AM39" s="11">
        <f>IF('Encargos e Benefícios'!C38=0,0,'Encargos e Benefícios'!AC38/'Encargos e Benefícios'!C38)</f>
        <v>675.80468273147994</v>
      </c>
      <c r="AN39" s="119">
        <f>IF('Encargos e Benefícios'!C38=0,0,'Encargos e Benefícios'!AD38/'Encargos e Benefícios'!C38)</f>
        <v>3841.7705246898267</v>
      </c>
      <c r="AO39" s="32">
        <f t="shared" si="0"/>
        <v>2638.67</v>
      </c>
      <c r="AP39" s="31">
        <v>1884.76</v>
      </c>
      <c r="AQ39" s="31">
        <v>3392.58</v>
      </c>
      <c r="AR39" s="304" t="s">
        <v>104</v>
      </c>
      <c r="AS39" s="32"/>
    </row>
    <row r="40" spans="1:45" ht="12.75" x14ac:dyDescent="0.2">
      <c r="A40" s="48">
        <v>34</v>
      </c>
      <c r="B40" s="12" t="str">
        <f>'Encargos e Benefícios'!B39</f>
        <v xml:space="preserve">Gestor de Monitoria e Socioeducação </v>
      </c>
      <c r="C40" s="10">
        <f>'Encargos e Benefícios'!C39</f>
        <v>1</v>
      </c>
      <c r="D40" s="38" t="s">
        <v>615</v>
      </c>
      <c r="E40" s="174">
        <v>46023</v>
      </c>
      <c r="F40" s="173">
        <v>47118</v>
      </c>
      <c r="G40" s="172">
        <v>46023</v>
      </c>
      <c r="H40" s="370">
        <v>3.5000000000000003E-2</v>
      </c>
      <c r="I40" s="47"/>
      <c r="J40" s="47"/>
      <c r="K40" s="47"/>
      <c r="L40" s="47"/>
      <c r="M40" s="172">
        <v>46388</v>
      </c>
      <c r="N40" s="370">
        <v>0.04</v>
      </c>
      <c r="O40" s="47"/>
      <c r="P40" s="47"/>
      <c r="Q40" s="47"/>
      <c r="R40" s="47"/>
      <c r="S40" s="172">
        <v>46753</v>
      </c>
      <c r="T40" s="370">
        <v>0.04</v>
      </c>
      <c r="U40" s="47"/>
      <c r="V40" s="47"/>
      <c r="W40" s="47"/>
      <c r="X40" s="47"/>
      <c r="Y40" s="172"/>
      <c r="Z40" s="133"/>
      <c r="AA40" s="47"/>
      <c r="AB40" s="47"/>
      <c r="AC40" s="47"/>
      <c r="AD40" s="47"/>
      <c r="AE40" s="172"/>
      <c r="AF40" s="133"/>
      <c r="AG40" s="47"/>
      <c r="AH40" s="47"/>
      <c r="AI40" s="47"/>
      <c r="AJ40" s="136"/>
      <c r="AK40" s="11">
        <f>'Encargos e Benefícios'!D39</f>
        <v>6971.8487432299989</v>
      </c>
      <c r="AL40" s="11">
        <f>IF('Encargos e Benefícios'!C39=0,0,'Encargos e Benefícios'!U39/'Encargos e Benefícios'!C39)</f>
        <v>2986.0815492184261</v>
      </c>
      <c r="AM40" s="11">
        <f>IF('Encargos e Benefícios'!C39=0,0,'Encargos e Benefícios'!AC39/'Encargos e Benefícios'!C39)</f>
        <v>438.8</v>
      </c>
      <c r="AN40" s="119">
        <f>IF('Encargos e Benefícios'!C39=0,0,'Encargos e Benefícios'!AD39/'Encargos e Benefícios'!C39)</f>
        <v>10396.730292448425</v>
      </c>
      <c r="AO40" s="32">
        <f t="shared" si="0"/>
        <v>6777.27</v>
      </c>
      <c r="AP40" s="31">
        <v>3515.09</v>
      </c>
      <c r="AQ40" s="31">
        <v>10039.450000000001</v>
      </c>
      <c r="AR40" s="304" t="s">
        <v>104</v>
      </c>
      <c r="AS40" s="32"/>
    </row>
    <row r="41" spans="1:45" ht="12.75" x14ac:dyDescent="0.2">
      <c r="A41" s="48">
        <v>35</v>
      </c>
      <c r="B41" s="12" t="str">
        <f>'Encargos e Benefícios'!B40</f>
        <v>Socioeducador</v>
      </c>
      <c r="C41" s="10">
        <f>'Encargos e Benefícios'!C40</f>
        <v>27</v>
      </c>
      <c r="D41" s="38" t="s">
        <v>615</v>
      </c>
      <c r="E41" s="174">
        <v>46023</v>
      </c>
      <c r="F41" s="173">
        <v>47118</v>
      </c>
      <c r="G41" s="172">
        <v>46023</v>
      </c>
      <c r="H41" s="370">
        <v>3.5000000000000003E-2</v>
      </c>
      <c r="I41" s="47"/>
      <c r="J41" s="47"/>
      <c r="K41" s="47"/>
      <c r="L41" s="47"/>
      <c r="M41" s="172">
        <v>46388</v>
      </c>
      <c r="N41" s="370">
        <v>0.04</v>
      </c>
      <c r="O41" s="47"/>
      <c r="P41" s="47"/>
      <c r="Q41" s="47"/>
      <c r="R41" s="47"/>
      <c r="S41" s="172">
        <v>46753</v>
      </c>
      <c r="T41" s="370">
        <v>0.04</v>
      </c>
      <c r="U41" s="47"/>
      <c r="V41" s="47"/>
      <c r="W41" s="47"/>
      <c r="X41" s="47"/>
      <c r="Y41" s="172"/>
      <c r="Z41" s="133"/>
      <c r="AA41" s="47"/>
      <c r="AB41" s="47"/>
      <c r="AC41" s="47"/>
      <c r="AD41" s="47"/>
      <c r="AE41" s="172"/>
      <c r="AF41" s="133"/>
      <c r="AG41" s="47"/>
      <c r="AH41" s="47"/>
      <c r="AI41" s="47"/>
      <c r="AJ41" s="136"/>
      <c r="AK41" s="11">
        <f>'Encargos e Benefícios'!D40</f>
        <v>2475.9907000000003</v>
      </c>
      <c r="AL41" s="11">
        <f>IF('Encargos e Benefícios'!C40=0,0,'Encargos e Benefícios'!U40/'Encargos e Benefícios'!C40)</f>
        <v>2696.1640259678093</v>
      </c>
      <c r="AM41" s="11">
        <f>IF('Encargos e Benefícios'!C40=0,0,'Encargos e Benefícios'!AC40/'Encargos e Benefícios'!C40)</f>
        <v>660.24055799999996</v>
      </c>
      <c r="AN41" s="119">
        <f>IF('Encargos e Benefícios'!C40=0,0,'Encargos e Benefícios'!AD40/'Encargos e Benefícios'!C40)</f>
        <v>5832.3952839678095</v>
      </c>
      <c r="AO41" s="32">
        <f t="shared" si="0"/>
        <v>2621.0150000000003</v>
      </c>
      <c r="AP41" s="31">
        <v>1906.88</v>
      </c>
      <c r="AQ41" s="31">
        <v>3335.15</v>
      </c>
      <c r="AR41" s="304" t="s">
        <v>104</v>
      </c>
      <c r="AS41" s="32"/>
    </row>
    <row r="42" spans="1:45" ht="22.5" x14ac:dyDescent="0.2">
      <c r="A42" s="48">
        <v>36</v>
      </c>
      <c r="B42" s="12" t="str">
        <f>'Encargos e Benefícios'!B41</f>
        <v>Socioeducador</v>
      </c>
      <c r="C42" s="10">
        <f>'Encargos e Benefícios'!C41</f>
        <v>18</v>
      </c>
      <c r="D42" s="38" t="s">
        <v>617</v>
      </c>
      <c r="E42" s="174">
        <v>46023</v>
      </c>
      <c r="F42" s="173">
        <v>47118</v>
      </c>
      <c r="G42" s="172">
        <v>46023</v>
      </c>
      <c r="H42" s="370">
        <v>3.5000000000000003E-2</v>
      </c>
      <c r="I42" s="47"/>
      <c r="J42" s="47"/>
      <c r="K42" s="47"/>
      <c r="L42" s="47"/>
      <c r="M42" s="172">
        <v>46388</v>
      </c>
      <c r="N42" s="370">
        <v>0.04</v>
      </c>
      <c r="O42" s="47"/>
      <c r="P42" s="47"/>
      <c r="Q42" s="47"/>
      <c r="R42" s="47"/>
      <c r="S42" s="172">
        <v>46753</v>
      </c>
      <c r="T42" s="370">
        <v>0.04</v>
      </c>
      <c r="U42" s="47"/>
      <c r="V42" s="47"/>
      <c r="W42" s="47"/>
      <c r="X42" s="47"/>
      <c r="Y42" s="172"/>
      <c r="Z42" s="133"/>
      <c r="AA42" s="47"/>
      <c r="AB42" s="47"/>
      <c r="AC42" s="47"/>
      <c r="AD42" s="47"/>
      <c r="AE42" s="172"/>
      <c r="AF42" s="133"/>
      <c r="AG42" s="47"/>
      <c r="AH42" s="47"/>
      <c r="AI42" s="47"/>
      <c r="AJ42" s="136"/>
      <c r="AK42" s="11">
        <f>'Encargos e Benefícios'!D41</f>
        <v>2475.9907000000003</v>
      </c>
      <c r="AL42" s="11">
        <f>IF('Encargos e Benefícios'!C41=0,0,'Encargos e Benefícios'!U41/'Encargos e Benefícios'!C41)</f>
        <v>3159.717059663878</v>
      </c>
      <c r="AM42" s="11">
        <f>IF('Encargos e Benefícios'!C41=0,0,'Encargos e Benefícios'!AC41/'Encargos e Benefícios'!C41)</f>
        <v>660.24055799999996</v>
      </c>
      <c r="AN42" s="119">
        <f>IF('Encargos e Benefícios'!C41=0,0,'Encargos e Benefícios'!AD41/'Encargos e Benefícios'!C41)</f>
        <v>6295.9483176638787</v>
      </c>
      <c r="AO42" s="32">
        <f t="shared" si="0"/>
        <v>2621.0150000000003</v>
      </c>
      <c r="AP42" s="31">
        <v>1906.88</v>
      </c>
      <c r="AQ42" s="31">
        <v>3335.15</v>
      </c>
      <c r="AR42" s="304" t="s">
        <v>104</v>
      </c>
      <c r="AS42" s="32"/>
    </row>
    <row r="43" spans="1:45" ht="22.5" x14ac:dyDescent="0.2">
      <c r="A43" s="48">
        <v>37</v>
      </c>
      <c r="B43" s="12" t="str">
        <f>'Encargos e Benefícios'!B42</f>
        <v>Supervisor</v>
      </c>
      <c r="C43" s="10">
        <f>'Encargos e Benefícios'!C42</f>
        <v>2</v>
      </c>
      <c r="D43" s="38" t="s">
        <v>617</v>
      </c>
      <c r="E43" s="174">
        <v>46023</v>
      </c>
      <c r="F43" s="173">
        <v>47118</v>
      </c>
      <c r="G43" s="172">
        <v>46023</v>
      </c>
      <c r="H43" s="370">
        <v>3.5000000000000003E-2</v>
      </c>
      <c r="I43" s="47"/>
      <c r="J43" s="47"/>
      <c r="K43" s="47"/>
      <c r="L43" s="47"/>
      <c r="M43" s="172">
        <v>46388</v>
      </c>
      <c r="N43" s="370">
        <v>0.04</v>
      </c>
      <c r="O43" s="47"/>
      <c r="P43" s="47"/>
      <c r="Q43" s="47"/>
      <c r="R43" s="47"/>
      <c r="S43" s="172">
        <v>46753</v>
      </c>
      <c r="T43" s="370">
        <v>0.04</v>
      </c>
      <c r="U43" s="47"/>
      <c r="V43" s="47"/>
      <c r="W43" s="47"/>
      <c r="X43" s="47"/>
      <c r="Y43" s="172"/>
      <c r="Z43" s="133"/>
      <c r="AA43" s="47"/>
      <c r="AB43" s="47"/>
      <c r="AC43" s="47"/>
      <c r="AD43" s="47"/>
      <c r="AE43" s="172"/>
      <c r="AF43" s="133"/>
      <c r="AG43" s="47"/>
      <c r="AH43" s="47"/>
      <c r="AI43" s="47"/>
      <c r="AJ43" s="136"/>
      <c r="AK43" s="11">
        <f>'Encargos e Benefícios'!D42</f>
        <v>4195.9728999999998</v>
      </c>
      <c r="AL43" s="11">
        <f>IF('Encargos e Benefícios'!C42=0,0,'Encargos e Benefícios'!U42/'Encargos e Benefícios'!C42)</f>
        <v>1797.1585040305554</v>
      </c>
      <c r="AM43" s="11">
        <f>IF('Encargos e Benefícios'!C42=0,0,'Encargos e Benefícios'!AC42/'Encargos e Benefícios'!C42)</f>
        <v>557.04162599999995</v>
      </c>
      <c r="AN43" s="119">
        <f>IF('Encargos e Benefícios'!C42=0,0,'Encargos e Benefícios'!AD42/'Encargos e Benefícios'!C42)</f>
        <v>6550.1730300305553</v>
      </c>
      <c r="AO43" s="32">
        <f t="shared" si="0"/>
        <v>4917.4850000000006</v>
      </c>
      <c r="AP43" s="31">
        <v>2550.5</v>
      </c>
      <c r="AQ43" s="31">
        <v>7284.47</v>
      </c>
      <c r="AR43" s="304" t="s">
        <v>104</v>
      </c>
      <c r="AS43" s="32"/>
    </row>
    <row r="44" spans="1:45" ht="22.5" x14ac:dyDescent="0.2">
      <c r="A44" s="48">
        <v>38</v>
      </c>
      <c r="B44" s="12" t="str">
        <f>'Encargos e Benefícios'!B43</f>
        <v>Enfermeiro</v>
      </c>
      <c r="C44" s="10">
        <f>'Encargos e Benefícios'!C43</f>
        <v>1</v>
      </c>
      <c r="D44" s="38" t="s">
        <v>617</v>
      </c>
      <c r="E44" s="174">
        <v>46023</v>
      </c>
      <c r="F44" s="173">
        <v>47118</v>
      </c>
      <c r="G44" s="172">
        <v>46023</v>
      </c>
      <c r="H44" s="370">
        <v>3.5000000000000003E-2</v>
      </c>
      <c r="I44" s="47"/>
      <c r="J44" s="47"/>
      <c r="K44" s="47"/>
      <c r="L44" s="47"/>
      <c r="M44" s="172">
        <v>46388</v>
      </c>
      <c r="N44" s="370">
        <v>0.04</v>
      </c>
      <c r="O44" s="47"/>
      <c r="P44" s="47"/>
      <c r="Q44" s="47"/>
      <c r="R44" s="47"/>
      <c r="S44" s="172">
        <v>46753</v>
      </c>
      <c r="T44" s="370">
        <v>0.04</v>
      </c>
      <c r="U44" s="47"/>
      <c r="V44" s="47"/>
      <c r="W44" s="47"/>
      <c r="X44" s="47"/>
      <c r="Y44" s="172"/>
      <c r="Z44" s="133"/>
      <c r="AA44" s="47"/>
      <c r="AB44" s="47"/>
      <c r="AC44" s="47"/>
      <c r="AD44" s="47"/>
      <c r="AE44" s="172"/>
      <c r="AF44" s="133"/>
      <c r="AG44" s="47"/>
      <c r="AH44" s="47"/>
      <c r="AI44" s="47"/>
      <c r="AJ44" s="136"/>
      <c r="AK44" s="11">
        <f>'Encargos e Benefícios'!D43</f>
        <v>5372.2025000000003</v>
      </c>
      <c r="AL44" s="11">
        <f>IF('Encargos e Benefícios'!C43=0,0,'Encargos e Benefícios'!U43/'Encargos e Benefícios'!C43)</f>
        <v>3405.8772977094445</v>
      </c>
      <c r="AM44" s="11">
        <f>IF('Encargos e Benefícios'!C43=0,0,'Encargos e Benefícios'!AC43/'Encargos e Benefícios'!C43)</f>
        <v>486.46785</v>
      </c>
      <c r="AN44" s="119">
        <f>IF('Encargos e Benefícios'!C43=0,0,'Encargos e Benefícios'!AD43/'Encargos e Benefícios'!C43)</f>
        <v>9264.5476477094453</v>
      </c>
      <c r="AO44" s="32">
        <f t="shared" si="0"/>
        <v>4535.9449999999997</v>
      </c>
      <c r="AP44" s="31">
        <v>3300.06</v>
      </c>
      <c r="AQ44" s="31">
        <v>5771.83</v>
      </c>
      <c r="AR44" s="304" t="s">
        <v>104</v>
      </c>
      <c r="AS44" s="32"/>
    </row>
    <row r="45" spans="1:45" ht="22.5" x14ac:dyDescent="0.2">
      <c r="A45" s="48">
        <v>39</v>
      </c>
      <c r="B45" s="12" t="str">
        <f>'Encargos e Benefícios'!B44</f>
        <v>Técnico de Enfermagem</v>
      </c>
      <c r="C45" s="10">
        <f>'Encargos e Benefícios'!C44</f>
        <v>1</v>
      </c>
      <c r="D45" s="38" t="s">
        <v>617</v>
      </c>
      <c r="E45" s="174">
        <v>46023</v>
      </c>
      <c r="F45" s="173">
        <v>47118</v>
      </c>
      <c r="G45" s="172">
        <v>46023</v>
      </c>
      <c r="H45" s="370">
        <v>3.5000000000000003E-2</v>
      </c>
      <c r="I45" s="47"/>
      <c r="J45" s="47"/>
      <c r="K45" s="47"/>
      <c r="L45" s="47"/>
      <c r="M45" s="172">
        <v>46388</v>
      </c>
      <c r="N45" s="370">
        <v>0.04</v>
      </c>
      <c r="O45" s="47"/>
      <c r="P45" s="47"/>
      <c r="Q45" s="47"/>
      <c r="R45" s="47"/>
      <c r="S45" s="172">
        <v>46753</v>
      </c>
      <c r="T45" s="370">
        <v>0.04</v>
      </c>
      <c r="U45" s="47"/>
      <c r="V45" s="47"/>
      <c r="W45" s="47"/>
      <c r="X45" s="47"/>
      <c r="Y45" s="172"/>
      <c r="Z45" s="133"/>
      <c r="AA45" s="47"/>
      <c r="AB45" s="47"/>
      <c r="AC45" s="47"/>
      <c r="AD45" s="47"/>
      <c r="AE45" s="172"/>
      <c r="AF45" s="133"/>
      <c r="AG45" s="47"/>
      <c r="AH45" s="47"/>
      <c r="AI45" s="47"/>
      <c r="AJ45" s="136"/>
      <c r="AK45" s="11">
        <f>'Encargos e Benefícios'!D44</f>
        <v>3760.5471000000002</v>
      </c>
      <c r="AL45" s="11">
        <f>IF('Encargos e Benefícios'!C44=0,0,'Encargos e Benefícios'!U44/'Encargos e Benefícios'!C44)</f>
        <v>2384.1175001979332</v>
      </c>
      <c r="AM45" s="11">
        <f>IF('Encargos e Benefícios'!C44=0,0,'Encargos e Benefícios'!AC44/'Encargos e Benefícios'!C44)</f>
        <v>583.16717399999993</v>
      </c>
      <c r="AN45" s="119">
        <f>IF('Encargos e Benefícios'!C44=0,0,'Encargos e Benefícios'!AD44/'Encargos e Benefícios'!C44)</f>
        <v>6727.8317741979336</v>
      </c>
      <c r="AO45" s="32">
        <f t="shared" si="0"/>
        <v>2955.75</v>
      </c>
      <c r="AP45" s="31">
        <v>2150.41</v>
      </c>
      <c r="AQ45" s="31">
        <v>3761.09</v>
      </c>
      <c r="AR45" s="304" t="s">
        <v>104</v>
      </c>
      <c r="AS45" s="32"/>
    </row>
    <row r="46" spans="1:45" ht="22.5" x14ac:dyDescent="0.2">
      <c r="A46" s="48">
        <v>40</v>
      </c>
      <c r="B46" s="12" t="str">
        <f>'Encargos e Benefícios'!B45</f>
        <v>Porteiro</v>
      </c>
      <c r="C46" s="10">
        <f>'Encargos e Benefícios'!C45</f>
        <v>4</v>
      </c>
      <c r="D46" s="38" t="s">
        <v>617</v>
      </c>
      <c r="E46" s="174">
        <v>46023</v>
      </c>
      <c r="F46" s="173">
        <v>47118</v>
      </c>
      <c r="G46" s="172">
        <v>46023</v>
      </c>
      <c r="H46" s="370">
        <v>3.5000000000000003E-2</v>
      </c>
      <c r="I46" s="47"/>
      <c r="J46" s="47"/>
      <c r="K46" s="47"/>
      <c r="L46" s="47"/>
      <c r="M46" s="172">
        <v>46388</v>
      </c>
      <c r="N46" s="370">
        <v>0.04</v>
      </c>
      <c r="O46" s="47"/>
      <c r="P46" s="47"/>
      <c r="Q46" s="47"/>
      <c r="R46" s="47"/>
      <c r="S46" s="172">
        <v>46753</v>
      </c>
      <c r="T46" s="370">
        <v>0.04</v>
      </c>
      <c r="U46" s="47"/>
      <c r="V46" s="47"/>
      <c r="W46" s="47"/>
      <c r="X46" s="47"/>
      <c r="Y46" s="172"/>
      <c r="Z46" s="133"/>
      <c r="AA46" s="47"/>
      <c r="AB46" s="47"/>
      <c r="AC46" s="47"/>
      <c r="AD46" s="47"/>
      <c r="AE46" s="172"/>
      <c r="AF46" s="133"/>
      <c r="AG46" s="47"/>
      <c r="AH46" s="47"/>
      <c r="AI46" s="47"/>
      <c r="AJ46" s="136"/>
      <c r="AK46" s="11">
        <f>'Encargos e Benefícios'!D45</f>
        <v>1759.2515520300001</v>
      </c>
      <c r="AL46" s="11">
        <f>IF('Encargos e Benefícios'!C45=0,0,'Encargos e Benefícios'!U45/'Encargos e Benefícios'!C45)</f>
        <v>1491.2311136027408</v>
      </c>
      <c r="AM46" s="11">
        <f>IF('Encargos e Benefícios'!C45=0,0,'Encargos e Benefícios'!AC45/'Encargos e Benefícios'!C45)</f>
        <v>703.24490687820003</v>
      </c>
      <c r="AN46" s="119">
        <f>IF('Encargos e Benefícios'!C45=0,0,'Encargos e Benefícios'!AD45/'Encargos e Benefícios'!C45)</f>
        <v>3953.7275725109412</v>
      </c>
      <c r="AO46" s="32">
        <f t="shared" si="0"/>
        <v>2638.67</v>
      </c>
      <c r="AP46" s="31">
        <v>1884.76</v>
      </c>
      <c r="AQ46" s="31">
        <v>3392.58</v>
      </c>
      <c r="AR46" s="304" t="s">
        <v>104</v>
      </c>
      <c r="AS46" s="32"/>
    </row>
    <row r="47" spans="1:45" ht="22.5" x14ac:dyDescent="0.2">
      <c r="A47" s="48">
        <v>41</v>
      </c>
      <c r="B47" s="12" t="str">
        <f>'Encargos e Benefícios'!B46</f>
        <v>Diretor Geral de Unidade Socioeducativa (SANTA HELENA)</v>
      </c>
      <c r="C47" s="10">
        <f>'Encargos e Benefícios'!C46</f>
        <v>1</v>
      </c>
      <c r="D47" s="38" t="s">
        <v>615</v>
      </c>
      <c r="E47" s="174">
        <v>46023</v>
      </c>
      <c r="F47" s="173">
        <v>47118</v>
      </c>
      <c r="G47" s="172">
        <v>46023</v>
      </c>
      <c r="H47" s="370">
        <v>3.5000000000000003E-2</v>
      </c>
      <c r="I47" s="47"/>
      <c r="J47" s="47"/>
      <c r="K47" s="47"/>
      <c r="L47" s="47"/>
      <c r="M47" s="172">
        <v>46388</v>
      </c>
      <c r="N47" s="370">
        <v>0.04</v>
      </c>
      <c r="O47" s="47"/>
      <c r="P47" s="47"/>
      <c r="Q47" s="47"/>
      <c r="R47" s="47"/>
      <c r="S47" s="172">
        <v>46753</v>
      </c>
      <c r="T47" s="370">
        <v>0.04</v>
      </c>
      <c r="U47" s="47"/>
      <c r="V47" s="47"/>
      <c r="W47" s="47"/>
      <c r="X47" s="47"/>
      <c r="Y47" s="172"/>
      <c r="Z47" s="133"/>
      <c r="AA47" s="47"/>
      <c r="AB47" s="47"/>
      <c r="AC47" s="47"/>
      <c r="AD47" s="47"/>
      <c r="AE47" s="172"/>
      <c r="AF47" s="133"/>
      <c r="AG47" s="47"/>
      <c r="AH47" s="47"/>
      <c r="AI47" s="47"/>
      <c r="AJ47" s="136"/>
      <c r="AK47" s="11">
        <f>'Encargos e Benefícios'!D46</f>
        <v>8626.8483514359996</v>
      </c>
      <c r="AL47" s="11">
        <f>IF('Encargos e Benefícios'!C46=0,0,'Encargos e Benefícios'!U46/'Encargos e Benefícios'!C46)</f>
        <v>3694.9270758553248</v>
      </c>
      <c r="AM47" s="11">
        <f>IF('Encargos e Benefícios'!C46=0,0,'Encargos e Benefícios'!AC46/'Encargos e Benefícios'!C46)</f>
        <v>438.8</v>
      </c>
      <c r="AN47" s="119">
        <f>IF('Encargos e Benefícios'!C46=0,0,'Encargos e Benefícios'!AD46/'Encargos e Benefícios'!C46)</f>
        <v>12760.575427291324</v>
      </c>
      <c r="AO47" s="32">
        <f t="shared" si="0"/>
        <v>9992.880000000001</v>
      </c>
      <c r="AP47" s="31">
        <v>7137.77</v>
      </c>
      <c r="AQ47" s="31">
        <v>12847.99</v>
      </c>
      <c r="AR47" s="304" t="s">
        <v>107</v>
      </c>
      <c r="AS47" s="32"/>
    </row>
    <row r="48" spans="1:45" ht="12.75" x14ac:dyDescent="0.2">
      <c r="A48" s="48">
        <v>42</v>
      </c>
      <c r="B48" s="12" t="str">
        <f>'Encargos e Benefícios'!B47</f>
        <v>Analista Administrativo (SANTA HELENA)</v>
      </c>
      <c r="C48" s="10">
        <f>'Encargos e Benefícios'!C47</f>
        <v>1</v>
      </c>
      <c r="D48" s="38" t="s">
        <v>615</v>
      </c>
      <c r="E48" s="174">
        <v>46023</v>
      </c>
      <c r="F48" s="173">
        <v>47118</v>
      </c>
      <c r="G48" s="172">
        <v>46023</v>
      </c>
      <c r="H48" s="370">
        <v>3.5000000000000003E-2</v>
      </c>
      <c r="I48" s="47"/>
      <c r="J48" s="47"/>
      <c r="K48" s="47"/>
      <c r="L48" s="47"/>
      <c r="M48" s="172">
        <v>46388</v>
      </c>
      <c r="N48" s="370">
        <v>0.04</v>
      </c>
      <c r="O48" s="47"/>
      <c r="P48" s="47"/>
      <c r="Q48" s="47"/>
      <c r="R48" s="47"/>
      <c r="S48" s="172">
        <v>46753</v>
      </c>
      <c r="T48" s="370">
        <v>0.04</v>
      </c>
      <c r="U48" s="47"/>
      <c r="V48" s="47"/>
      <c r="W48" s="47"/>
      <c r="X48" s="47"/>
      <c r="Y48" s="172"/>
      <c r="Z48" s="133"/>
      <c r="AA48" s="47"/>
      <c r="AB48" s="47"/>
      <c r="AC48" s="47"/>
      <c r="AD48" s="47"/>
      <c r="AE48" s="172"/>
      <c r="AF48" s="133"/>
      <c r="AG48" s="47"/>
      <c r="AH48" s="47"/>
      <c r="AI48" s="47"/>
      <c r="AJ48" s="136"/>
      <c r="AK48" s="11">
        <f>'Encargos e Benefícios'!D47</f>
        <v>4664.5671649779988</v>
      </c>
      <c r="AL48" s="11">
        <f>IF('Encargos e Benefícios'!C47=0,0,'Encargos e Benefícios'!U47/'Encargos e Benefícios'!C47)</f>
        <v>1997.8600310221045</v>
      </c>
      <c r="AM48" s="11">
        <f>IF('Encargos e Benefícios'!C47=0,0,'Encargos e Benefícios'!AC47/'Encargos e Benefícios'!C47)</f>
        <v>528.9259701013201</v>
      </c>
      <c r="AN48" s="119">
        <f>IF('Encargos e Benefícios'!C47=0,0,'Encargos e Benefícios'!AD47/'Encargos e Benefícios'!C47)</f>
        <v>7191.3531661014231</v>
      </c>
      <c r="AO48" s="32">
        <f t="shared" si="0"/>
        <v>7383.3099999999995</v>
      </c>
      <c r="AP48" s="31">
        <v>5273.79</v>
      </c>
      <c r="AQ48" s="31">
        <v>9492.83</v>
      </c>
      <c r="AR48" s="304" t="s">
        <v>107</v>
      </c>
      <c r="AS48" s="32"/>
    </row>
    <row r="49" spans="1:45" ht="12.75" x14ac:dyDescent="0.2">
      <c r="A49" s="48">
        <v>43</v>
      </c>
      <c r="B49" s="12" t="str">
        <f>'Encargos e Benefícios'!B48</f>
        <v>Diretor de Atendimento (SANTA HELENA)</v>
      </c>
      <c r="C49" s="10">
        <f>'Encargos e Benefícios'!C48</f>
        <v>1</v>
      </c>
      <c r="D49" s="38" t="s">
        <v>615</v>
      </c>
      <c r="E49" s="174">
        <v>46023</v>
      </c>
      <c r="F49" s="173">
        <v>47118</v>
      </c>
      <c r="G49" s="172">
        <v>46023</v>
      </c>
      <c r="H49" s="370">
        <v>3.5000000000000003E-2</v>
      </c>
      <c r="I49" s="47"/>
      <c r="J49" s="47"/>
      <c r="K49" s="47"/>
      <c r="L49" s="47"/>
      <c r="M49" s="172">
        <v>46388</v>
      </c>
      <c r="N49" s="370">
        <v>0.04</v>
      </c>
      <c r="O49" s="47"/>
      <c r="P49" s="47"/>
      <c r="Q49" s="47"/>
      <c r="R49" s="47"/>
      <c r="S49" s="172">
        <v>46753</v>
      </c>
      <c r="T49" s="370">
        <v>0.04</v>
      </c>
      <c r="U49" s="47"/>
      <c r="V49" s="47"/>
      <c r="W49" s="47"/>
      <c r="X49" s="47"/>
      <c r="Y49" s="172"/>
      <c r="Z49" s="133"/>
      <c r="AA49" s="47"/>
      <c r="AB49" s="47"/>
      <c r="AC49" s="47"/>
      <c r="AD49" s="47"/>
      <c r="AE49" s="172"/>
      <c r="AF49" s="133"/>
      <c r="AG49" s="47"/>
      <c r="AH49" s="47"/>
      <c r="AI49" s="47"/>
      <c r="AJ49" s="136"/>
      <c r="AK49" s="11">
        <f>'Encargos e Benefícios'!D48</f>
        <v>6971.8487432299989</v>
      </c>
      <c r="AL49" s="11">
        <f>IF('Encargos e Benefícios'!C48=0,0,'Encargos e Benefícios'!U48/'Encargos e Benefícios'!C48)</f>
        <v>2986.0815492184261</v>
      </c>
      <c r="AM49" s="11">
        <f>IF('Encargos e Benefícios'!C48=0,0,'Encargos e Benefícios'!AC48/'Encargos e Benefícios'!C48)</f>
        <v>438.8</v>
      </c>
      <c r="AN49" s="119">
        <f>IF('Encargos e Benefícios'!C48=0,0,'Encargos e Benefícios'!AD48/'Encargos e Benefícios'!C48)</f>
        <v>10396.730292448425</v>
      </c>
      <c r="AO49" s="32">
        <f t="shared" si="0"/>
        <v>6777.27</v>
      </c>
      <c r="AP49" s="31">
        <v>3515.09</v>
      </c>
      <c r="AQ49" s="31">
        <v>10039.450000000001</v>
      </c>
      <c r="AR49" s="304" t="s">
        <v>107</v>
      </c>
      <c r="AS49" s="32"/>
    </row>
    <row r="50" spans="1:45" ht="12.75" x14ac:dyDescent="0.2">
      <c r="A50" s="48">
        <v>44</v>
      </c>
      <c r="B50" s="12" t="str">
        <f>'Encargos e Benefícios'!B49</f>
        <v>Analista de Pedagogia</v>
      </c>
      <c r="C50" s="10">
        <f>'Encargos e Benefícios'!C49</f>
        <v>2</v>
      </c>
      <c r="D50" s="38" t="s">
        <v>616</v>
      </c>
      <c r="E50" s="174">
        <v>46023</v>
      </c>
      <c r="F50" s="173">
        <v>47118</v>
      </c>
      <c r="G50" s="172">
        <v>46023</v>
      </c>
      <c r="H50" s="370">
        <v>3.5000000000000003E-2</v>
      </c>
      <c r="I50" s="47"/>
      <c r="J50" s="47"/>
      <c r="K50" s="47"/>
      <c r="L50" s="47"/>
      <c r="M50" s="172">
        <v>46388</v>
      </c>
      <c r="N50" s="370">
        <v>0.04</v>
      </c>
      <c r="O50" s="47"/>
      <c r="P50" s="47"/>
      <c r="Q50" s="47"/>
      <c r="R50" s="47"/>
      <c r="S50" s="172">
        <v>46753</v>
      </c>
      <c r="T50" s="370">
        <v>0.04</v>
      </c>
      <c r="U50" s="47"/>
      <c r="V50" s="47"/>
      <c r="W50" s="47"/>
      <c r="X50" s="47"/>
      <c r="Y50" s="172"/>
      <c r="Z50" s="133"/>
      <c r="AA50" s="47"/>
      <c r="AB50" s="47"/>
      <c r="AC50" s="47"/>
      <c r="AD50" s="47"/>
      <c r="AE50" s="172"/>
      <c r="AF50" s="133"/>
      <c r="AG50" s="47"/>
      <c r="AH50" s="47"/>
      <c r="AI50" s="47"/>
      <c r="AJ50" s="136"/>
      <c r="AK50" s="11">
        <f>'Encargos e Benefícios'!D49</f>
        <v>3432.9771878639999</v>
      </c>
      <c r="AL50" s="11">
        <f>IF('Encargos e Benefícios'!C49=0,0,'Encargos e Benefícios'!U49/'Encargos e Benefícios'!C49)</f>
        <v>1470.3632016576396</v>
      </c>
      <c r="AM50" s="11">
        <f>IF('Encargos e Benefícios'!C49=0,0,'Encargos e Benefícios'!AC49/'Encargos e Benefícios'!C49)</f>
        <v>602.82136872816</v>
      </c>
      <c r="AN50" s="119">
        <f>IF('Encargos e Benefícios'!C49=0,0,'Encargos e Benefícios'!AD49/'Encargos e Benefícios'!C49)</f>
        <v>5506.1617582498002</v>
      </c>
      <c r="AO50" s="32">
        <f t="shared" si="0"/>
        <v>4280.8549999999996</v>
      </c>
      <c r="AP50" s="31">
        <v>3057.75</v>
      </c>
      <c r="AQ50" s="31">
        <v>5503.96</v>
      </c>
      <c r="AR50" s="304" t="s">
        <v>107</v>
      </c>
      <c r="AS50" s="32"/>
    </row>
    <row r="51" spans="1:45" ht="12.75" x14ac:dyDescent="0.2">
      <c r="A51" s="48">
        <v>45</v>
      </c>
      <c r="B51" s="12" t="str">
        <f>'Encargos e Benefícios'!B50</f>
        <v>Analista de Psicologia</v>
      </c>
      <c r="C51" s="10">
        <f>'Encargos e Benefícios'!C50</f>
        <v>3</v>
      </c>
      <c r="D51" s="38" t="s">
        <v>616</v>
      </c>
      <c r="E51" s="174">
        <v>46023</v>
      </c>
      <c r="F51" s="173">
        <v>47118</v>
      </c>
      <c r="G51" s="172">
        <v>46023</v>
      </c>
      <c r="H51" s="370">
        <v>3.5000000000000003E-2</v>
      </c>
      <c r="I51" s="47"/>
      <c r="J51" s="47"/>
      <c r="K51" s="47"/>
      <c r="L51" s="47"/>
      <c r="M51" s="172">
        <v>46388</v>
      </c>
      <c r="N51" s="370">
        <v>0.04</v>
      </c>
      <c r="O51" s="47"/>
      <c r="P51" s="47"/>
      <c r="Q51" s="47"/>
      <c r="R51" s="47"/>
      <c r="S51" s="172">
        <v>46753</v>
      </c>
      <c r="T51" s="370">
        <v>0.04</v>
      </c>
      <c r="U51" s="47"/>
      <c r="V51" s="47"/>
      <c r="W51" s="47"/>
      <c r="X51" s="47"/>
      <c r="Y51" s="172"/>
      <c r="Z51" s="133"/>
      <c r="AA51" s="47"/>
      <c r="AB51" s="47"/>
      <c r="AC51" s="47"/>
      <c r="AD51" s="47"/>
      <c r="AE51" s="172"/>
      <c r="AF51" s="133"/>
      <c r="AG51" s="47"/>
      <c r="AH51" s="47"/>
      <c r="AI51" s="47"/>
      <c r="AJ51" s="136"/>
      <c r="AK51" s="11">
        <f>'Encargos e Benefícios'!D50</f>
        <v>3432.9771878639999</v>
      </c>
      <c r="AL51" s="11">
        <f>IF('Encargos e Benefícios'!C50=0,0,'Encargos e Benefícios'!U50/'Encargos e Benefícios'!C50)</f>
        <v>1470.3632016576394</v>
      </c>
      <c r="AM51" s="11">
        <f>IF('Encargos e Benefícios'!C50=0,0,'Encargos e Benefícios'!AC50/'Encargos e Benefícios'!C50)</f>
        <v>602.82136872816</v>
      </c>
      <c r="AN51" s="119">
        <f>IF('Encargos e Benefícios'!C50=0,0,'Encargos e Benefícios'!AD50/'Encargos e Benefícios'!C50)</f>
        <v>5506.1617582497993</v>
      </c>
      <c r="AO51" s="32">
        <f t="shared" si="0"/>
        <v>4280.8549999999996</v>
      </c>
      <c r="AP51" s="31">
        <v>3057.75</v>
      </c>
      <c r="AQ51" s="31">
        <v>5503.96</v>
      </c>
      <c r="AR51" s="304" t="s">
        <v>107</v>
      </c>
      <c r="AS51" s="32"/>
    </row>
    <row r="52" spans="1:45" ht="12.75" x14ac:dyDescent="0.2">
      <c r="A52" s="48">
        <v>46</v>
      </c>
      <c r="B52" s="12" t="str">
        <f>'Encargos e Benefícios'!B51</f>
        <v>Analista de Terapia Ocupacional</v>
      </c>
      <c r="C52" s="10">
        <f>'Encargos e Benefícios'!C51</f>
        <v>1</v>
      </c>
      <c r="D52" s="38" t="s">
        <v>616</v>
      </c>
      <c r="E52" s="174">
        <v>46023</v>
      </c>
      <c r="F52" s="173">
        <v>47118</v>
      </c>
      <c r="G52" s="172">
        <v>46023</v>
      </c>
      <c r="H52" s="370">
        <v>3.5000000000000003E-2</v>
      </c>
      <c r="I52" s="47"/>
      <c r="J52" s="47"/>
      <c r="K52" s="47"/>
      <c r="L52" s="47"/>
      <c r="M52" s="172">
        <v>46388</v>
      </c>
      <c r="N52" s="370">
        <v>0.04</v>
      </c>
      <c r="O52" s="47"/>
      <c r="P52" s="47"/>
      <c r="Q52" s="47"/>
      <c r="R52" s="47"/>
      <c r="S52" s="172">
        <v>46753</v>
      </c>
      <c r="T52" s="370">
        <v>0.04</v>
      </c>
      <c r="U52" s="47"/>
      <c r="V52" s="47"/>
      <c r="W52" s="47"/>
      <c r="X52" s="47"/>
      <c r="Y52" s="172"/>
      <c r="Z52" s="133"/>
      <c r="AA52" s="47"/>
      <c r="AB52" s="47"/>
      <c r="AC52" s="47"/>
      <c r="AD52" s="47"/>
      <c r="AE52" s="172"/>
      <c r="AF52" s="133"/>
      <c r="AG52" s="47"/>
      <c r="AH52" s="47"/>
      <c r="AI52" s="47"/>
      <c r="AJ52" s="136"/>
      <c r="AK52" s="11">
        <f>'Encargos e Benefícios'!D51</f>
        <v>3432.9771878639999</v>
      </c>
      <c r="AL52" s="11">
        <f>IF('Encargos e Benefícios'!C51=0,0,'Encargos e Benefícios'!U51/'Encargos e Benefícios'!C51)</f>
        <v>1470.3632016576396</v>
      </c>
      <c r="AM52" s="11">
        <f>IF('Encargos e Benefícios'!C51=0,0,'Encargos e Benefícios'!AC51/'Encargos e Benefícios'!C51)</f>
        <v>602.82136872816</v>
      </c>
      <c r="AN52" s="119">
        <f>IF('Encargos e Benefícios'!C51=0,0,'Encargos e Benefícios'!AD51/'Encargos e Benefícios'!C51)</f>
        <v>5506.1617582498002</v>
      </c>
      <c r="AO52" s="32">
        <f t="shared" si="0"/>
        <v>4280.8549999999996</v>
      </c>
      <c r="AP52" s="31">
        <v>3057.75</v>
      </c>
      <c r="AQ52" s="31">
        <v>5503.96</v>
      </c>
      <c r="AR52" s="304" t="s">
        <v>107</v>
      </c>
      <c r="AS52" s="32"/>
    </row>
    <row r="53" spans="1:45" ht="12.75" x14ac:dyDescent="0.2">
      <c r="A53" s="48">
        <v>47</v>
      </c>
      <c r="B53" s="12" t="str">
        <f>'Encargos e Benefícios'!B52</f>
        <v>Analista de Assistencia Social</v>
      </c>
      <c r="C53" s="10">
        <f>'Encargos e Benefícios'!C52</f>
        <v>2</v>
      </c>
      <c r="D53" s="38" t="s">
        <v>616</v>
      </c>
      <c r="E53" s="174">
        <v>46023</v>
      </c>
      <c r="F53" s="173">
        <v>47118</v>
      </c>
      <c r="G53" s="172">
        <v>46023</v>
      </c>
      <c r="H53" s="370">
        <v>3.5000000000000003E-2</v>
      </c>
      <c r="I53" s="47"/>
      <c r="J53" s="47"/>
      <c r="K53" s="47"/>
      <c r="L53" s="47"/>
      <c r="M53" s="172">
        <v>46388</v>
      </c>
      <c r="N53" s="370">
        <v>0.04</v>
      </c>
      <c r="O53" s="47"/>
      <c r="P53" s="47"/>
      <c r="Q53" s="47"/>
      <c r="R53" s="47"/>
      <c r="S53" s="172">
        <v>46753</v>
      </c>
      <c r="T53" s="370">
        <v>0.04</v>
      </c>
      <c r="U53" s="47"/>
      <c r="V53" s="47"/>
      <c r="W53" s="47"/>
      <c r="X53" s="47"/>
      <c r="Y53" s="172"/>
      <c r="Z53" s="133"/>
      <c r="AA53" s="47"/>
      <c r="AB53" s="47"/>
      <c r="AC53" s="47"/>
      <c r="AD53" s="47"/>
      <c r="AE53" s="172"/>
      <c r="AF53" s="133"/>
      <c r="AG53" s="47"/>
      <c r="AH53" s="47"/>
      <c r="AI53" s="47"/>
      <c r="AJ53" s="136"/>
      <c r="AK53" s="11">
        <f>'Encargos e Benefícios'!D52</f>
        <v>3432.9771878639999</v>
      </c>
      <c r="AL53" s="11">
        <f>IF('Encargos e Benefícios'!C52=0,0,'Encargos e Benefícios'!U52/'Encargos e Benefícios'!C52)</f>
        <v>1470.3632016576396</v>
      </c>
      <c r="AM53" s="11">
        <f>IF('Encargos e Benefícios'!C52=0,0,'Encargos e Benefícios'!AC52/'Encargos e Benefícios'!C52)</f>
        <v>602.82136872816</v>
      </c>
      <c r="AN53" s="119">
        <f>IF('Encargos e Benefícios'!C52=0,0,'Encargos e Benefícios'!AD52/'Encargos e Benefícios'!C52)</f>
        <v>5506.1617582498002</v>
      </c>
      <c r="AO53" s="32">
        <f t="shared" si="0"/>
        <v>4280.8549999999996</v>
      </c>
      <c r="AP53" s="31">
        <v>3057.75</v>
      </c>
      <c r="AQ53" s="31">
        <v>5503.96</v>
      </c>
      <c r="AR53" s="304" t="s">
        <v>107</v>
      </c>
      <c r="AS53" s="32"/>
    </row>
    <row r="54" spans="1:45" ht="12.75" x14ac:dyDescent="0.2">
      <c r="A54" s="48">
        <v>48</v>
      </c>
      <c r="B54" s="12" t="str">
        <f>'Encargos e Benefícios'!B53</f>
        <v>Analista de Direito</v>
      </c>
      <c r="C54" s="10">
        <f>'Encargos e Benefícios'!C53</f>
        <v>2</v>
      </c>
      <c r="D54" s="38" t="s">
        <v>616</v>
      </c>
      <c r="E54" s="174">
        <v>46023</v>
      </c>
      <c r="F54" s="173">
        <v>47118</v>
      </c>
      <c r="G54" s="172">
        <v>46023</v>
      </c>
      <c r="H54" s="370">
        <v>3.5000000000000003E-2</v>
      </c>
      <c r="I54" s="47"/>
      <c r="J54" s="47"/>
      <c r="K54" s="47"/>
      <c r="L54" s="47"/>
      <c r="M54" s="172">
        <v>46388</v>
      </c>
      <c r="N54" s="370">
        <v>0.04</v>
      </c>
      <c r="O54" s="47"/>
      <c r="P54" s="47"/>
      <c r="Q54" s="47"/>
      <c r="R54" s="47"/>
      <c r="S54" s="172">
        <v>46753</v>
      </c>
      <c r="T54" s="370">
        <v>0.04</v>
      </c>
      <c r="U54" s="47"/>
      <c r="V54" s="47"/>
      <c r="W54" s="47"/>
      <c r="X54" s="47"/>
      <c r="Y54" s="172"/>
      <c r="Z54" s="133"/>
      <c r="AA54" s="47"/>
      <c r="AB54" s="47"/>
      <c r="AC54" s="47"/>
      <c r="AD54" s="47"/>
      <c r="AE54" s="172"/>
      <c r="AF54" s="133"/>
      <c r="AG54" s="47"/>
      <c r="AH54" s="47"/>
      <c r="AI54" s="47"/>
      <c r="AJ54" s="136"/>
      <c r="AK54" s="11">
        <f>'Encargos e Benefícios'!D53</f>
        <v>3432.9771878639999</v>
      </c>
      <c r="AL54" s="11">
        <f>IF('Encargos e Benefícios'!C53=0,0,'Encargos e Benefícios'!U53/'Encargos e Benefícios'!C53)</f>
        <v>1470.3632016576396</v>
      </c>
      <c r="AM54" s="11">
        <f>IF('Encargos e Benefícios'!C53=0,0,'Encargos e Benefícios'!AC53/'Encargos e Benefícios'!C53)</f>
        <v>602.82136872816</v>
      </c>
      <c r="AN54" s="119">
        <f>IF('Encargos e Benefícios'!C53=0,0,'Encargos e Benefícios'!AD53/'Encargos e Benefícios'!C53)</f>
        <v>5506.1617582498002</v>
      </c>
      <c r="AO54" s="32">
        <f t="shared" si="0"/>
        <v>4280.8549999999996</v>
      </c>
      <c r="AP54" s="31">
        <v>3057.75</v>
      </c>
      <c r="AQ54" s="31">
        <v>5503.96</v>
      </c>
      <c r="AR54" s="304" t="s">
        <v>107</v>
      </c>
      <c r="AS54" s="32"/>
    </row>
    <row r="55" spans="1:45" ht="12.75" x14ac:dyDescent="0.2">
      <c r="A55" s="48">
        <v>49</v>
      </c>
      <c r="B55" s="12" t="str">
        <f>'Encargos e Benefícios'!B54</f>
        <v>Analista de Educação Física</v>
      </c>
      <c r="C55" s="10">
        <f>'Encargos e Benefícios'!C54</f>
        <v>1</v>
      </c>
      <c r="D55" s="38" t="s">
        <v>616</v>
      </c>
      <c r="E55" s="174">
        <v>46023</v>
      </c>
      <c r="F55" s="173">
        <v>47118</v>
      </c>
      <c r="G55" s="172">
        <v>46023</v>
      </c>
      <c r="H55" s="370">
        <v>3.5000000000000003E-2</v>
      </c>
      <c r="I55" s="47"/>
      <c r="J55" s="47"/>
      <c r="K55" s="47"/>
      <c r="L55" s="47"/>
      <c r="M55" s="172">
        <v>46388</v>
      </c>
      <c r="N55" s="370">
        <v>0.04</v>
      </c>
      <c r="O55" s="47"/>
      <c r="P55" s="47"/>
      <c r="Q55" s="47"/>
      <c r="R55" s="47"/>
      <c r="S55" s="172">
        <v>46753</v>
      </c>
      <c r="T55" s="370">
        <v>0.04</v>
      </c>
      <c r="U55" s="47"/>
      <c r="V55" s="47"/>
      <c r="W55" s="47"/>
      <c r="X55" s="47"/>
      <c r="Y55" s="172"/>
      <c r="Z55" s="133"/>
      <c r="AA55" s="47"/>
      <c r="AB55" s="47"/>
      <c r="AC55" s="47"/>
      <c r="AD55" s="47"/>
      <c r="AE55" s="172"/>
      <c r="AF55" s="133"/>
      <c r="AG55" s="47"/>
      <c r="AH55" s="47"/>
      <c r="AI55" s="47"/>
      <c r="AJ55" s="136"/>
      <c r="AK55" s="11">
        <f>'Encargos e Benefícios'!D54</f>
        <v>3432.9771878639999</v>
      </c>
      <c r="AL55" s="11">
        <f>IF('Encargos e Benefícios'!C54=0,0,'Encargos e Benefícios'!U54/'Encargos e Benefícios'!C54)</f>
        <v>1470.3632016576396</v>
      </c>
      <c r="AM55" s="11">
        <f>IF('Encargos e Benefícios'!C54=0,0,'Encargos e Benefícios'!AC54/'Encargos e Benefícios'!C54)</f>
        <v>602.82136872816</v>
      </c>
      <c r="AN55" s="119">
        <f>IF('Encargos e Benefícios'!C54=0,0,'Encargos e Benefícios'!AD54/'Encargos e Benefícios'!C54)</f>
        <v>5506.1617582498002</v>
      </c>
      <c r="AO55" s="32">
        <f t="shared" si="0"/>
        <v>4280.8549999999996</v>
      </c>
      <c r="AP55" s="31">
        <v>3057.75</v>
      </c>
      <c r="AQ55" s="31">
        <v>5503.96</v>
      </c>
      <c r="AR55" s="304" t="s">
        <v>107</v>
      </c>
      <c r="AS55" s="32"/>
    </row>
    <row r="56" spans="1:45" ht="12.75" x14ac:dyDescent="0.2">
      <c r="A56" s="48">
        <v>50</v>
      </c>
      <c r="B56" s="12" t="str">
        <f>'Encargos e Benefícios'!B55</f>
        <v>Auxiliar Educacional</v>
      </c>
      <c r="C56" s="10">
        <f>'Encargos e Benefícios'!C55</f>
        <v>8</v>
      </c>
      <c r="D56" s="38" t="s">
        <v>615</v>
      </c>
      <c r="E56" s="174">
        <v>46023</v>
      </c>
      <c r="F56" s="173">
        <v>47118</v>
      </c>
      <c r="G56" s="172">
        <v>46023</v>
      </c>
      <c r="H56" s="370">
        <v>3.5000000000000003E-2</v>
      </c>
      <c r="I56" s="47"/>
      <c r="J56" s="47"/>
      <c r="K56" s="47"/>
      <c r="L56" s="47"/>
      <c r="M56" s="172">
        <v>46388</v>
      </c>
      <c r="N56" s="370">
        <v>0.04</v>
      </c>
      <c r="O56" s="47"/>
      <c r="P56" s="47"/>
      <c r="Q56" s="47"/>
      <c r="R56" s="47"/>
      <c r="S56" s="172">
        <v>46753</v>
      </c>
      <c r="T56" s="370">
        <v>0.04</v>
      </c>
      <c r="U56" s="47"/>
      <c r="V56" s="47"/>
      <c r="W56" s="47"/>
      <c r="X56" s="47"/>
      <c r="Y56" s="172"/>
      <c r="Z56" s="133"/>
      <c r="AA56" s="47"/>
      <c r="AB56" s="47"/>
      <c r="AC56" s="47"/>
      <c r="AD56" s="47"/>
      <c r="AE56" s="172"/>
      <c r="AF56" s="133"/>
      <c r="AG56" s="47"/>
      <c r="AH56" s="47"/>
      <c r="AI56" s="47"/>
      <c r="AJ56" s="136"/>
      <c r="AK56" s="11">
        <f>'Encargos e Benefícios'!D55</f>
        <v>1954.7239466999999</v>
      </c>
      <c r="AL56" s="11">
        <f>IF('Encargos e Benefícios'!C55=0,0,'Encargos e Benefícios'!U55/'Encargos e Benefícios'!C55)</f>
        <v>1674.802047743819</v>
      </c>
      <c r="AM56" s="11">
        <f>IF('Encargos e Benefícios'!C55=0,0,'Encargos e Benefícios'!AC55/'Encargos e Benefícios'!C55)</f>
        <v>691.51656319799997</v>
      </c>
      <c r="AN56" s="119">
        <f>IF('Encargos e Benefícios'!C55=0,0,'Encargos e Benefícios'!AD55/'Encargos e Benefícios'!C55)</f>
        <v>4321.0425576418193</v>
      </c>
      <c r="AO56" s="32">
        <f t="shared" si="0"/>
        <v>3332.11</v>
      </c>
      <c r="AP56" s="31">
        <v>2380.08</v>
      </c>
      <c r="AQ56" s="31">
        <v>4284.1400000000003</v>
      </c>
      <c r="AR56" s="304" t="s">
        <v>107</v>
      </c>
      <c r="AS56" s="32"/>
    </row>
    <row r="57" spans="1:45" ht="12.75" x14ac:dyDescent="0.2">
      <c r="A57" s="48">
        <v>51</v>
      </c>
      <c r="B57" s="12" t="str">
        <f>'Encargos e Benefícios'!B56</f>
        <v>Auxiliar Administrativo</v>
      </c>
      <c r="C57" s="10">
        <f>'Encargos e Benefícios'!C56</f>
        <v>3</v>
      </c>
      <c r="D57" s="38" t="s">
        <v>615</v>
      </c>
      <c r="E57" s="174">
        <v>46023</v>
      </c>
      <c r="F57" s="173">
        <v>47118</v>
      </c>
      <c r="G57" s="172">
        <v>46023</v>
      </c>
      <c r="H57" s="370">
        <v>3.5000000000000003E-2</v>
      </c>
      <c r="I57" s="47"/>
      <c r="J57" s="47"/>
      <c r="K57" s="47"/>
      <c r="L57" s="47"/>
      <c r="M57" s="172">
        <v>46388</v>
      </c>
      <c r="N57" s="370">
        <v>0.04</v>
      </c>
      <c r="O57" s="47"/>
      <c r="P57" s="47"/>
      <c r="Q57" s="47"/>
      <c r="R57" s="47"/>
      <c r="S57" s="172">
        <v>46753</v>
      </c>
      <c r="T57" s="370">
        <v>0.04</v>
      </c>
      <c r="U57" s="47"/>
      <c r="V57" s="47"/>
      <c r="W57" s="47"/>
      <c r="X57" s="47"/>
      <c r="Y57" s="172"/>
      <c r="Z57" s="133"/>
      <c r="AA57" s="47"/>
      <c r="AB57" s="47"/>
      <c r="AC57" s="47"/>
      <c r="AD57" s="47"/>
      <c r="AE57" s="172"/>
      <c r="AF57" s="133"/>
      <c r="AG57" s="47"/>
      <c r="AH57" s="47"/>
      <c r="AI57" s="47"/>
      <c r="AJ57" s="136"/>
      <c r="AK57" s="11">
        <f>'Encargos e Benefícios'!D56</f>
        <v>1954.7239466999999</v>
      </c>
      <c r="AL57" s="11">
        <f>IF('Encargos e Benefícios'!C56=0,0,'Encargos e Benefícios'!U56/'Encargos e Benefícios'!C56)</f>
        <v>837.21912594909156</v>
      </c>
      <c r="AM57" s="11">
        <f>IF('Encargos e Benefícios'!C56=0,0,'Encargos e Benefícios'!AC56/'Encargos e Benefícios'!C56)</f>
        <v>691.51656319799997</v>
      </c>
      <c r="AN57" s="119">
        <f>IF('Encargos e Benefícios'!C56=0,0,'Encargos e Benefícios'!AD56/'Encargos e Benefícios'!C56)</f>
        <v>3483.4596358470912</v>
      </c>
      <c r="AO57" s="32">
        <f t="shared" si="0"/>
        <v>3332.11</v>
      </c>
      <c r="AP57" s="31">
        <v>2380.08</v>
      </c>
      <c r="AQ57" s="31">
        <v>4284.1400000000003</v>
      </c>
      <c r="AR57" s="304" t="s">
        <v>107</v>
      </c>
      <c r="AS57" s="32"/>
    </row>
    <row r="58" spans="1:45" ht="12.75" x14ac:dyDescent="0.2">
      <c r="A58" s="48">
        <v>52</v>
      </c>
      <c r="B58" s="12" t="str">
        <f>'Encargos e Benefícios'!B57</f>
        <v>Auxiliar de Serviços Gerais</v>
      </c>
      <c r="C58" s="10">
        <f>'Encargos e Benefícios'!C57</f>
        <v>2</v>
      </c>
      <c r="D58" s="38" t="s">
        <v>615</v>
      </c>
      <c r="E58" s="174">
        <v>46023</v>
      </c>
      <c r="F58" s="173">
        <v>47118</v>
      </c>
      <c r="G58" s="172">
        <v>46023</v>
      </c>
      <c r="H58" s="370">
        <v>3.5000000000000003E-2</v>
      </c>
      <c r="I58" s="47"/>
      <c r="J58" s="47"/>
      <c r="K58" s="47"/>
      <c r="L58" s="47"/>
      <c r="M58" s="172">
        <v>46388</v>
      </c>
      <c r="N58" s="370">
        <v>0.04</v>
      </c>
      <c r="O58" s="47"/>
      <c r="P58" s="47"/>
      <c r="Q58" s="47"/>
      <c r="R58" s="47"/>
      <c r="S58" s="172">
        <v>46753</v>
      </c>
      <c r="T58" s="370">
        <v>0.04</v>
      </c>
      <c r="U58" s="47"/>
      <c r="V58" s="47"/>
      <c r="W58" s="47"/>
      <c r="X58" s="47"/>
      <c r="Y58" s="172"/>
      <c r="Z58" s="133"/>
      <c r="AA58" s="47"/>
      <c r="AB58" s="47"/>
      <c r="AC58" s="47"/>
      <c r="AD58" s="47"/>
      <c r="AE58" s="172"/>
      <c r="AF58" s="133"/>
      <c r="AG58" s="47"/>
      <c r="AH58" s="47"/>
      <c r="AI58" s="47"/>
      <c r="AJ58" s="136"/>
      <c r="AK58" s="11">
        <f>'Encargos e Benefícios'!D57</f>
        <v>1604</v>
      </c>
      <c r="AL58" s="11">
        <f>IF('Encargos e Benefícios'!C57=0,0,'Encargos e Benefícios'!U57/'Encargos e Benefícios'!C57)</f>
        <v>687.00211111111116</v>
      </c>
      <c r="AM58" s="11">
        <f>IF('Encargos e Benefícios'!C57=0,0,'Encargos e Benefícios'!AC57/'Encargos e Benefícios'!C57)</f>
        <v>712.56</v>
      </c>
      <c r="AN58" s="119">
        <f>IF('Encargos e Benefícios'!C57=0,0,'Encargos e Benefícios'!AD57/'Encargos e Benefícios'!C57)</f>
        <v>3003.5621111111109</v>
      </c>
      <c r="AO58" s="32">
        <f t="shared" si="0"/>
        <v>2286.52</v>
      </c>
      <c r="AP58" s="31">
        <v>1633.23</v>
      </c>
      <c r="AQ58" s="31">
        <v>2939.81</v>
      </c>
      <c r="AR58" s="304" t="s">
        <v>107</v>
      </c>
      <c r="AS58" s="32"/>
    </row>
    <row r="59" spans="1:45" ht="12.75" x14ac:dyDescent="0.2">
      <c r="A59" s="48">
        <v>53</v>
      </c>
      <c r="B59" s="12" t="str">
        <f>'Encargos e Benefícios'!B58</f>
        <v>Motorista</v>
      </c>
      <c r="C59" s="10">
        <f>'Encargos e Benefícios'!C58</f>
        <v>2</v>
      </c>
      <c r="D59" s="38" t="s">
        <v>615</v>
      </c>
      <c r="E59" s="174">
        <v>46023</v>
      </c>
      <c r="F59" s="173">
        <v>47118</v>
      </c>
      <c r="G59" s="172">
        <v>46023</v>
      </c>
      <c r="H59" s="370">
        <v>3.5000000000000003E-2</v>
      </c>
      <c r="I59" s="47"/>
      <c r="J59" s="47"/>
      <c r="K59" s="47"/>
      <c r="L59" s="47"/>
      <c r="M59" s="172">
        <v>46388</v>
      </c>
      <c r="N59" s="370">
        <v>0.04</v>
      </c>
      <c r="O59" s="47"/>
      <c r="P59" s="47"/>
      <c r="Q59" s="47"/>
      <c r="R59" s="47"/>
      <c r="S59" s="172">
        <v>46753</v>
      </c>
      <c r="T59" s="370">
        <v>0.04</v>
      </c>
      <c r="U59" s="47"/>
      <c r="V59" s="47"/>
      <c r="W59" s="47"/>
      <c r="X59" s="47"/>
      <c r="Y59" s="172"/>
      <c r="Z59" s="133"/>
      <c r="AA59" s="47"/>
      <c r="AB59" s="47"/>
      <c r="AC59" s="47"/>
      <c r="AD59" s="47"/>
      <c r="AE59" s="172"/>
      <c r="AF59" s="133"/>
      <c r="AG59" s="47"/>
      <c r="AH59" s="47"/>
      <c r="AI59" s="47"/>
      <c r="AJ59" s="136"/>
      <c r="AK59" s="11">
        <f>'Encargos e Benefícios'!D58</f>
        <v>2216.5886211419997</v>
      </c>
      <c r="AL59" s="11">
        <f>IF('Encargos e Benefícios'!C58=0,0,'Encargos e Benefícios'!U58/'Encargos e Benefícios'!C58)</f>
        <v>949.37722081634706</v>
      </c>
      <c r="AM59" s="11">
        <f>IF('Encargos e Benefícios'!C58=0,0,'Encargos e Benefícios'!AC58/'Encargos e Benefícios'!C58)</f>
        <v>675.80468273147994</v>
      </c>
      <c r="AN59" s="119">
        <f>IF('Encargos e Benefícios'!C58=0,0,'Encargos e Benefícios'!AD58/'Encargos e Benefícios'!C58)</f>
        <v>3841.7705246898267</v>
      </c>
      <c r="AO59" s="32">
        <f t="shared" si="0"/>
        <v>2638.67</v>
      </c>
      <c r="AP59" s="31">
        <v>1884.76</v>
      </c>
      <c r="AQ59" s="31">
        <v>3392.58</v>
      </c>
      <c r="AR59" s="304" t="s">
        <v>107</v>
      </c>
      <c r="AS59" s="32"/>
    </row>
    <row r="60" spans="1:45" ht="12.75" x14ac:dyDescent="0.2">
      <c r="A60" s="48">
        <v>54</v>
      </c>
      <c r="B60" s="12" t="str">
        <f>'Encargos e Benefícios'!B59</f>
        <v xml:space="preserve">Gestor de Monitoria e Socioeducação </v>
      </c>
      <c r="C60" s="10">
        <f>'Encargos e Benefícios'!C59</f>
        <v>1</v>
      </c>
      <c r="D60" s="38" t="s">
        <v>615</v>
      </c>
      <c r="E60" s="174">
        <v>46023</v>
      </c>
      <c r="F60" s="173">
        <v>47118</v>
      </c>
      <c r="G60" s="172">
        <v>46023</v>
      </c>
      <c r="H60" s="370">
        <v>3.5000000000000003E-2</v>
      </c>
      <c r="I60" s="47"/>
      <c r="J60" s="47"/>
      <c r="K60" s="47"/>
      <c r="L60" s="47"/>
      <c r="M60" s="172">
        <v>46388</v>
      </c>
      <c r="N60" s="370">
        <v>0.04</v>
      </c>
      <c r="O60" s="47"/>
      <c r="P60" s="47"/>
      <c r="Q60" s="47"/>
      <c r="R60" s="47"/>
      <c r="S60" s="172">
        <v>46753</v>
      </c>
      <c r="T60" s="370">
        <v>0.04</v>
      </c>
      <c r="U60" s="47"/>
      <c r="V60" s="47"/>
      <c r="W60" s="47"/>
      <c r="X60" s="47"/>
      <c r="Y60" s="172"/>
      <c r="Z60" s="133"/>
      <c r="AA60" s="47"/>
      <c r="AB60" s="47"/>
      <c r="AC60" s="47"/>
      <c r="AD60" s="47"/>
      <c r="AE60" s="172"/>
      <c r="AF60" s="133"/>
      <c r="AG60" s="47"/>
      <c r="AH60" s="47"/>
      <c r="AI60" s="47"/>
      <c r="AJ60" s="136"/>
      <c r="AK60" s="11">
        <f>'Encargos e Benefícios'!D59</f>
        <v>6971.8487432299989</v>
      </c>
      <c r="AL60" s="11">
        <f>IF('Encargos e Benefícios'!C59=0,0,'Encargos e Benefícios'!U59/'Encargos e Benefícios'!C59)</f>
        <v>2986.0815492184261</v>
      </c>
      <c r="AM60" s="11">
        <f>IF('Encargos e Benefícios'!C59=0,0,'Encargos e Benefícios'!AC59/'Encargos e Benefícios'!C59)</f>
        <v>438.8</v>
      </c>
      <c r="AN60" s="119">
        <f>IF('Encargos e Benefícios'!C59=0,0,'Encargos e Benefícios'!AD59/'Encargos e Benefícios'!C59)</f>
        <v>10396.730292448425</v>
      </c>
      <c r="AO60" s="32">
        <f t="shared" si="0"/>
        <v>6777.27</v>
      </c>
      <c r="AP60" s="31">
        <v>3515.09</v>
      </c>
      <c r="AQ60" s="31">
        <v>10039.450000000001</v>
      </c>
      <c r="AR60" s="304" t="s">
        <v>107</v>
      </c>
      <c r="AS60" s="32"/>
    </row>
    <row r="61" spans="1:45" ht="12.75" x14ac:dyDescent="0.2">
      <c r="A61" s="48">
        <v>55</v>
      </c>
      <c r="B61" s="12" t="str">
        <f>'Encargos e Benefícios'!B60</f>
        <v>Socioeducador</v>
      </c>
      <c r="C61" s="10">
        <f>'Encargos e Benefícios'!C60</f>
        <v>40</v>
      </c>
      <c r="D61" s="38" t="s">
        <v>615</v>
      </c>
      <c r="E61" s="174">
        <v>46023</v>
      </c>
      <c r="F61" s="173">
        <v>47118</v>
      </c>
      <c r="G61" s="172">
        <v>46023</v>
      </c>
      <c r="H61" s="370">
        <v>3.5000000000000003E-2</v>
      </c>
      <c r="I61" s="47"/>
      <c r="J61" s="47"/>
      <c r="K61" s="47"/>
      <c r="L61" s="47"/>
      <c r="M61" s="172">
        <v>46388</v>
      </c>
      <c r="N61" s="370">
        <v>0.04</v>
      </c>
      <c r="O61" s="47"/>
      <c r="P61" s="47"/>
      <c r="Q61" s="47"/>
      <c r="R61" s="47"/>
      <c r="S61" s="172">
        <v>46753</v>
      </c>
      <c r="T61" s="370">
        <v>0.04</v>
      </c>
      <c r="U61" s="47"/>
      <c r="V61" s="47"/>
      <c r="W61" s="47"/>
      <c r="X61" s="47"/>
      <c r="Y61" s="172"/>
      <c r="Z61" s="133"/>
      <c r="AA61" s="47"/>
      <c r="AB61" s="47"/>
      <c r="AC61" s="47"/>
      <c r="AD61" s="47"/>
      <c r="AE61" s="172"/>
      <c r="AF61" s="133"/>
      <c r="AG61" s="47"/>
      <c r="AH61" s="47"/>
      <c r="AI61" s="47"/>
      <c r="AJ61" s="136"/>
      <c r="AK61" s="11">
        <f>'Encargos e Benefícios'!D60</f>
        <v>2475.9907000000003</v>
      </c>
      <c r="AL61" s="11">
        <f>IF('Encargos e Benefícios'!C60=0,0,'Encargos e Benefícios'!U60/'Encargos e Benefícios'!C60)</f>
        <v>2674.8797081251791</v>
      </c>
      <c r="AM61" s="11">
        <f>IF('Encargos e Benefícios'!C60=0,0,'Encargos e Benefícios'!AC60/'Encargos e Benefícios'!C60)</f>
        <v>660.24055799999996</v>
      </c>
      <c r="AN61" s="119">
        <f>IF('Encargos e Benefícios'!C60=0,0,'Encargos e Benefícios'!AD60/'Encargos e Benefícios'!C60)</f>
        <v>5811.1109661251794</v>
      </c>
      <c r="AO61" s="32">
        <f t="shared" si="0"/>
        <v>2621.0150000000003</v>
      </c>
      <c r="AP61" s="31">
        <v>1906.88</v>
      </c>
      <c r="AQ61" s="31">
        <v>3335.15</v>
      </c>
      <c r="AR61" s="304" t="s">
        <v>107</v>
      </c>
      <c r="AS61" s="32"/>
    </row>
    <row r="62" spans="1:45" ht="22.5" x14ac:dyDescent="0.2">
      <c r="A62" s="48">
        <v>56</v>
      </c>
      <c r="B62" s="12" t="str">
        <f>'Encargos e Benefícios'!B61</f>
        <v>Socioeducador</v>
      </c>
      <c r="C62" s="10">
        <f>'Encargos e Benefícios'!C61</f>
        <v>24</v>
      </c>
      <c r="D62" s="38" t="s">
        <v>617</v>
      </c>
      <c r="E62" s="174">
        <v>46023</v>
      </c>
      <c r="F62" s="173">
        <v>47118</v>
      </c>
      <c r="G62" s="172">
        <v>46023</v>
      </c>
      <c r="H62" s="370">
        <v>3.5000000000000003E-2</v>
      </c>
      <c r="I62" s="47"/>
      <c r="J62" s="47"/>
      <c r="K62" s="47"/>
      <c r="L62" s="47"/>
      <c r="M62" s="172">
        <v>46388</v>
      </c>
      <c r="N62" s="370">
        <v>0.04</v>
      </c>
      <c r="O62" s="47"/>
      <c r="P62" s="47"/>
      <c r="Q62" s="47"/>
      <c r="R62" s="47"/>
      <c r="S62" s="172">
        <v>46753</v>
      </c>
      <c r="T62" s="370">
        <v>0.04</v>
      </c>
      <c r="U62" s="47"/>
      <c r="V62" s="47"/>
      <c r="W62" s="47"/>
      <c r="X62" s="47"/>
      <c r="Y62" s="172"/>
      <c r="Z62" s="133"/>
      <c r="AA62" s="47"/>
      <c r="AB62" s="47"/>
      <c r="AC62" s="47"/>
      <c r="AD62" s="47"/>
      <c r="AE62" s="172"/>
      <c r="AF62" s="133"/>
      <c r="AG62" s="47"/>
      <c r="AH62" s="47"/>
      <c r="AI62" s="47"/>
      <c r="AJ62" s="136"/>
      <c r="AK62" s="11">
        <f>'Encargos e Benefícios'!D61</f>
        <v>2475.9907000000003</v>
      </c>
      <c r="AL62" s="11">
        <f>IF('Encargos e Benefícios'!C61=0,0,'Encargos e Benefícios'!U61/'Encargos e Benefícios'!C61)</f>
        <v>3159.7170596638775</v>
      </c>
      <c r="AM62" s="11">
        <f>IF('Encargos e Benefícios'!C61=0,0,'Encargos e Benefícios'!AC61/'Encargos e Benefícios'!C61)</f>
        <v>660.24055800000008</v>
      </c>
      <c r="AN62" s="119">
        <f>IF('Encargos e Benefícios'!C61=0,0,'Encargos e Benefícios'!AD61/'Encargos e Benefícios'!C61)</f>
        <v>6295.9483176638778</v>
      </c>
      <c r="AO62" s="32">
        <f t="shared" si="0"/>
        <v>2621.0150000000003</v>
      </c>
      <c r="AP62" s="31">
        <v>1906.88</v>
      </c>
      <c r="AQ62" s="31">
        <v>3335.15</v>
      </c>
      <c r="AR62" s="304" t="s">
        <v>107</v>
      </c>
      <c r="AS62" s="32"/>
    </row>
    <row r="63" spans="1:45" ht="22.5" x14ac:dyDescent="0.2">
      <c r="A63" s="48">
        <v>57</v>
      </c>
      <c r="B63" s="12" t="str">
        <f>'Encargos e Benefícios'!B62</f>
        <v>Supervisor</v>
      </c>
      <c r="C63" s="10">
        <f>'Encargos e Benefícios'!C62</f>
        <v>2</v>
      </c>
      <c r="D63" s="38" t="s">
        <v>617</v>
      </c>
      <c r="E63" s="174">
        <v>46023</v>
      </c>
      <c r="F63" s="173">
        <v>47118</v>
      </c>
      <c r="G63" s="172">
        <v>46023</v>
      </c>
      <c r="H63" s="370">
        <v>3.5000000000000003E-2</v>
      </c>
      <c r="I63" s="47"/>
      <c r="J63" s="47"/>
      <c r="K63" s="47"/>
      <c r="L63" s="47"/>
      <c r="M63" s="172">
        <v>46388</v>
      </c>
      <c r="N63" s="370">
        <v>0.04</v>
      </c>
      <c r="O63" s="47"/>
      <c r="P63" s="47"/>
      <c r="Q63" s="47"/>
      <c r="R63" s="47"/>
      <c r="S63" s="172">
        <v>46753</v>
      </c>
      <c r="T63" s="370">
        <v>0.04</v>
      </c>
      <c r="U63" s="47"/>
      <c r="V63" s="47"/>
      <c r="W63" s="47"/>
      <c r="X63" s="47"/>
      <c r="Y63" s="172"/>
      <c r="Z63" s="133"/>
      <c r="AA63" s="47"/>
      <c r="AB63" s="47"/>
      <c r="AC63" s="47"/>
      <c r="AD63" s="47"/>
      <c r="AE63" s="172"/>
      <c r="AF63" s="133"/>
      <c r="AG63" s="47"/>
      <c r="AH63" s="47"/>
      <c r="AI63" s="47"/>
      <c r="AJ63" s="136"/>
      <c r="AK63" s="11">
        <f>'Encargos e Benefícios'!D62</f>
        <v>4195.9728999999998</v>
      </c>
      <c r="AL63" s="11">
        <f>IF('Encargos e Benefícios'!C62=0,0,'Encargos e Benefícios'!U62/'Encargos e Benefícios'!C62)</f>
        <v>1797.1585040305554</v>
      </c>
      <c r="AM63" s="11">
        <f>IF('Encargos e Benefícios'!C62=0,0,'Encargos e Benefícios'!AC62/'Encargos e Benefícios'!C62)</f>
        <v>557.04162599999995</v>
      </c>
      <c r="AN63" s="119">
        <f>IF('Encargos e Benefícios'!C62=0,0,'Encargos e Benefícios'!AD62/'Encargos e Benefícios'!C62)</f>
        <v>6550.1730300305553</v>
      </c>
      <c r="AO63" s="32">
        <f t="shared" si="0"/>
        <v>4917.4850000000006</v>
      </c>
      <c r="AP63" s="31">
        <v>2550.5</v>
      </c>
      <c r="AQ63" s="31">
        <v>7284.47</v>
      </c>
      <c r="AR63" s="304" t="s">
        <v>107</v>
      </c>
      <c r="AS63" s="32"/>
    </row>
    <row r="64" spans="1:45" ht="22.5" x14ac:dyDescent="0.2">
      <c r="A64" s="48">
        <v>58</v>
      </c>
      <c r="B64" s="12" t="str">
        <f>'Encargos e Benefícios'!B63</f>
        <v>Enfermeiro</v>
      </c>
      <c r="C64" s="10">
        <f>'Encargos e Benefícios'!C63</f>
        <v>2</v>
      </c>
      <c r="D64" s="38" t="s">
        <v>617</v>
      </c>
      <c r="E64" s="174">
        <v>46023</v>
      </c>
      <c r="F64" s="173">
        <v>47118</v>
      </c>
      <c r="G64" s="172">
        <v>46023</v>
      </c>
      <c r="H64" s="370">
        <v>3.5000000000000003E-2</v>
      </c>
      <c r="I64" s="47"/>
      <c r="J64" s="47"/>
      <c r="K64" s="47"/>
      <c r="L64" s="47"/>
      <c r="M64" s="172">
        <v>46388</v>
      </c>
      <c r="N64" s="370">
        <v>0.04</v>
      </c>
      <c r="O64" s="47"/>
      <c r="P64" s="47"/>
      <c r="Q64" s="47"/>
      <c r="R64" s="47"/>
      <c r="S64" s="172">
        <v>46753</v>
      </c>
      <c r="T64" s="370">
        <v>0.04</v>
      </c>
      <c r="U64" s="47"/>
      <c r="V64" s="47"/>
      <c r="W64" s="47"/>
      <c r="X64" s="47"/>
      <c r="Y64" s="172"/>
      <c r="Z64" s="133"/>
      <c r="AA64" s="47"/>
      <c r="AB64" s="47"/>
      <c r="AC64" s="47"/>
      <c r="AD64" s="47"/>
      <c r="AE64" s="172"/>
      <c r="AF64" s="133"/>
      <c r="AG64" s="47"/>
      <c r="AH64" s="47"/>
      <c r="AI64" s="47"/>
      <c r="AJ64" s="136"/>
      <c r="AK64" s="11">
        <f>'Encargos e Benefícios'!D63</f>
        <v>5372.2025000000003</v>
      </c>
      <c r="AL64" s="11">
        <f>IF('Encargos e Benefícios'!C63=0,0,'Encargos e Benefícios'!U63/'Encargos e Benefícios'!C63)</f>
        <v>3405.8772977094445</v>
      </c>
      <c r="AM64" s="11">
        <f>IF('Encargos e Benefícios'!C63=0,0,'Encargos e Benefícios'!AC63/'Encargos e Benefícios'!C63)</f>
        <v>486.46785</v>
      </c>
      <c r="AN64" s="119">
        <f>IF('Encargos e Benefícios'!C63=0,0,'Encargos e Benefícios'!AD63/'Encargos e Benefícios'!C63)</f>
        <v>9264.5476477094453</v>
      </c>
      <c r="AO64" s="32">
        <f t="shared" si="0"/>
        <v>4535.9449999999997</v>
      </c>
      <c r="AP64" s="31">
        <v>3300.06</v>
      </c>
      <c r="AQ64" s="31">
        <v>5771.83</v>
      </c>
      <c r="AR64" s="304" t="s">
        <v>107</v>
      </c>
      <c r="AS64" s="32"/>
    </row>
    <row r="65" spans="1:45" ht="22.5" x14ac:dyDescent="0.2">
      <c r="A65" s="48">
        <v>59</v>
      </c>
      <c r="B65" s="12" t="str">
        <f>'Encargos e Benefícios'!B64</f>
        <v>Técnico de Enfermagem</v>
      </c>
      <c r="C65" s="10">
        <f>'Encargos e Benefícios'!C64</f>
        <v>2</v>
      </c>
      <c r="D65" s="38" t="s">
        <v>617</v>
      </c>
      <c r="E65" s="174">
        <v>46023</v>
      </c>
      <c r="F65" s="173">
        <v>47118</v>
      </c>
      <c r="G65" s="172">
        <v>46023</v>
      </c>
      <c r="H65" s="370">
        <v>3.5000000000000003E-2</v>
      </c>
      <c r="I65" s="47"/>
      <c r="J65" s="47"/>
      <c r="K65" s="47"/>
      <c r="L65" s="47"/>
      <c r="M65" s="172">
        <v>46388</v>
      </c>
      <c r="N65" s="370">
        <v>0.04</v>
      </c>
      <c r="O65" s="47"/>
      <c r="P65" s="47"/>
      <c r="Q65" s="47"/>
      <c r="R65" s="47"/>
      <c r="S65" s="172">
        <v>46753</v>
      </c>
      <c r="T65" s="370">
        <v>0.04</v>
      </c>
      <c r="U65" s="47"/>
      <c r="V65" s="47"/>
      <c r="W65" s="47"/>
      <c r="X65" s="47"/>
      <c r="Y65" s="172"/>
      <c r="Z65" s="133"/>
      <c r="AA65" s="47"/>
      <c r="AB65" s="47"/>
      <c r="AC65" s="47"/>
      <c r="AD65" s="47"/>
      <c r="AE65" s="172"/>
      <c r="AF65" s="133"/>
      <c r="AG65" s="47"/>
      <c r="AH65" s="47"/>
      <c r="AI65" s="47"/>
      <c r="AJ65" s="136"/>
      <c r="AK65" s="11">
        <f>'Encargos e Benefícios'!D64</f>
        <v>3760.5471000000002</v>
      </c>
      <c r="AL65" s="11">
        <f>IF('Encargos e Benefícios'!C64=0,0,'Encargos e Benefícios'!U64/'Encargos e Benefícios'!C64)</f>
        <v>2384.1175001979332</v>
      </c>
      <c r="AM65" s="11">
        <f>IF('Encargos e Benefícios'!C64=0,0,'Encargos e Benefícios'!AC64/'Encargos e Benefícios'!C64)</f>
        <v>583.16717399999993</v>
      </c>
      <c r="AN65" s="119">
        <f>IF('Encargos e Benefícios'!C64=0,0,'Encargos e Benefícios'!AD64/'Encargos e Benefícios'!C64)</f>
        <v>6727.8317741979336</v>
      </c>
      <c r="AO65" s="32">
        <f t="shared" si="0"/>
        <v>2955.75</v>
      </c>
      <c r="AP65" s="31">
        <v>2150.41</v>
      </c>
      <c r="AQ65" s="31">
        <v>3761.09</v>
      </c>
      <c r="AR65" s="304" t="s">
        <v>107</v>
      </c>
      <c r="AS65" s="32"/>
    </row>
    <row r="66" spans="1:45" ht="22.5" x14ac:dyDescent="0.2">
      <c r="A66" s="48">
        <v>60</v>
      </c>
      <c r="B66" s="12" t="str">
        <f>'Encargos e Benefícios'!B65</f>
        <v>Porteiro</v>
      </c>
      <c r="C66" s="10">
        <f>'Encargos e Benefícios'!C65</f>
        <v>4</v>
      </c>
      <c r="D66" s="38" t="s">
        <v>617</v>
      </c>
      <c r="E66" s="174">
        <v>46023</v>
      </c>
      <c r="F66" s="173">
        <v>47118</v>
      </c>
      <c r="G66" s="172">
        <v>46023</v>
      </c>
      <c r="H66" s="370">
        <v>3.5000000000000003E-2</v>
      </c>
      <c r="I66" s="47"/>
      <c r="J66" s="47"/>
      <c r="K66" s="47"/>
      <c r="L66" s="47"/>
      <c r="M66" s="172">
        <v>46388</v>
      </c>
      <c r="N66" s="370">
        <v>0.04</v>
      </c>
      <c r="O66" s="47"/>
      <c r="P66" s="47"/>
      <c r="Q66" s="47"/>
      <c r="R66" s="47"/>
      <c r="S66" s="172">
        <v>46753</v>
      </c>
      <c r="T66" s="370">
        <v>0.04</v>
      </c>
      <c r="U66" s="47"/>
      <c r="V66" s="47"/>
      <c r="W66" s="47"/>
      <c r="X66" s="47"/>
      <c r="Y66" s="172"/>
      <c r="Z66" s="133"/>
      <c r="AA66" s="47"/>
      <c r="AB66" s="47"/>
      <c r="AC66" s="47"/>
      <c r="AD66" s="47"/>
      <c r="AE66" s="172"/>
      <c r="AF66" s="133"/>
      <c r="AG66" s="47"/>
      <c r="AH66" s="47"/>
      <c r="AI66" s="47"/>
      <c r="AJ66" s="136"/>
      <c r="AK66" s="11">
        <f>'Encargos e Benefícios'!D65</f>
        <v>1759.2515520300001</v>
      </c>
      <c r="AL66" s="11">
        <f>IF('Encargos e Benefícios'!C65=0,0,'Encargos e Benefícios'!U65/'Encargos e Benefícios'!C65)</f>
        <v>1491.2311136027408</v>
      </c>
      <c r="AM66" s="11">
        <f>IF('Encargos e Benefícios'!C65=0,0,'Encargos e Benefícios'!AC65/'Encargos e Benefícios'!C65)</f>
        <v>703.24490687820003</v>
      </c>
      <c r="AN66" s="119">
        <f>IF('Encargos e Benefícios'!C65=0,0,'Encargos e Benefícios'!AD65/'Encargos e Benefícios'!C65)</f>
        <v>3953.7275725109412</v>
      </c>
      <c r="AO66" s="32">
        <f t="shared" si="0"/>
        <v>2638.67</v>
      </c>
      <c r="AP66" s="31">
        <v>1884.76</v>
      </c>
      <c r="AQ66" s="31">
        <v>3392.58</v>
      </c>
      <c r="AR66" s="304" t="s">
        <v>107</v>
      </c>
      <c r="AS66" s="32"/>
    </row>
    <row r="67" spans="1:45" ht="22.5" x14ac:dyDescent="0.2">
      <c r="A67" s="48">
        <v>61</v>
      </c>
      <c r="B67" s="12" t="str">
        <f>'Encargos e Benefícios'!B66</f>
        <v>Diretor Geral de Unidade Socioeducativa (SETE LAGOAS)</v>
      </c>
      <c r="C67" s="10">
        <f>'Encargos e Benefícios'!C66</f>
        <v>1</v>
      </c>
      <c r="D67" s="38" t="s">
        <v>615</v>
      </c>
      <c r="E67" s="174">
        <v>46023</v>
      </c>
      <c r="F67" s="173">
        <v>47088</v>
      </c>
      <c r="G67" s="172">
        <v>46023</v>
      </c>
      <c r="H67" s="370">
        <v>3.5000000000000003E-2</v>
      </c>
      <c r="I67" s="47"/>
      <c r="J67" s="47"/>
      <c r="K67" s="47"/>
      <c r="L67" s="47"/>
      <c r="M67" s="172">
        <v>46388</v>
      </c>
      <c r="N67" s="370">
        <v>0.04</v>
      </c>
      <c r="O67" s="47"/>
      <c r="P67" s="47"/>
      <c r="Q67" s="47"/>
      <c r="R67" s="47"/>
      <c r="S67" s="172"/>
      <c r="T67" s="370">
        <v>0.04</v>
      </c>
      <c r="U67" s="47"/>
      <c r="V67" s="47"/>
      <c r="W67" s="47"/>
      <c r="X67" s="47"/>
      <c r="Y67" s="172"/>
      <c r="Z67" s="133"/>
      <c r="AA67" s="47"/>
      <c r="AB67" s="47"/>
      <c r="AC67" s="47"/>
      <c r="AD67" s="47"/>
      <c r="AE67" s="172"/>
      <c r="AF67" s="133"/>
      <c r="AG67" s="47"/>
      <c r="AH67" s="47"/>
      <c r="AI67" s="47"/>
      <c r="AJ67" s="136"/>
      <c r="AK67" s="11">
        <f>'Encargos e Benefícios'!D66</f>
        <v>8626.8483514359996</v>
      </c>
      <c r="AL67" s="11">
        <f>IF('Encargos e Benefícios'!C66=0,0,'Encargos e Benefícios'!U66/'Encargos e Benefícios'!C66)</f>
        <v>3694.9270758553248</v>
      </c>
      <c r="AM67" s="11">
        <f>IF('Encargos e Benefícios'!C66=0,0,'Encargos e Benefícios'!AC66/'Encargos e Benefícios'!C66)</f>
        <v>438.8</v>
      </c>
      <c r="AN67" s="119">
        <f>IF('Encargos e Benefícios'!C66=0,0,'Encargos e Benefícios'!AD66/'Encargos e Benefícios'!C66)</f>
        <v>12760.575427291324</v>
      </c>
      <c r="AO67" s="32">
        <f t="shared" si="0"/>
        <v>9992.880000000001</v>
      </c>
      <c r="AP67" s="31">
        <v>7137.77</v>
      </c>
      <c r="AQ67" s="31">
        <v>12847.99</v>
      </c>
      <c r="AR67" s="304" t="s">
        <v>109</v>
      </c>
      <c r="AS67" s="32"/>
    </row>
    <row r="68" spans="1:45" ht="12.75" x14ac:dyDescent="0.2">
      <c r="A68" s="48">
        <v>62</v>
      </c>
      <c r="B68" s="12" t="str">
        <f>'Encargos e Benefícios'!B67</f>
        <v>Analista Administrativo (SETE LAGOAS)</v>
      </c>
      <c r="C68" s="10">
        <f>'Encargos e Benefícios'!C67</f>
        <v>1</v>
      </c>
      <c r="D68" s="38" t="s">
        <v>615</v>
      </c>
      <c r="E68" s="174">
        <v>46023</v>
      </c>
      <c r="F68" s="173">
        <v>47088</v>
      </c>
      <c r="G68" s="172">
        <v>46023</v>
      </c>
      <c r="H68" s="370">
        <v>3.5000000000000003E-2</v>
      </c>
      <c r="I68" s="47"/>
      <c r="J68" s="47"/>
      <c r="K68" s="47"/>
      <c r="L68" s="47"/>
      <c r="M68" s="172">
        <v>46388</v>
      </c>
      <c r="N68" s="370">
        <v>0.04</v>
      </c>
      <c r="O68" s="47"/>
      <c r="P68" s="47"/>
      <c r="Q68" s="47"/>
      <c r="R68" s="47"/>
      <c r="S68" s="172"/>
      <c r="T68" s="370">
        <v>0.04</v>
      </c>
      <c r="U68" s="47"/>
      <c r="V68" s="47"/>
      <c r="W68" s="47"/>
      <c r="X68" s="47"/>
      <c r="Y68" s="172"/>
      <c r="Z68" s="133"/>
      <c r="AA68" s="47"/>
      <c r="AB68" s="47"/>
      <c r="AC68" s="47"/>
      <c r="AD68" s="47"/>
      <c r="AE68" s="172"/>
      <c r="AF68" s="133"/>
      <c r="AG68" s="47"/>
      <c r="AH68" s="47"/>
      <c r="AI68" s="47"/>
      <c r="AJ68" s="136"/>
      <c r="AK68" s="11">
        <f>'Encargos e Benefícios'!D67</f>
        <v>4664.5671649779988</v>
      </c>
      <c r="AL68" s="11">
        <f>IF('Encargos e Benefícios'!C67=0,0,'Encargos e Benefícios'!U67/'Encargos e Benefícios'!C67)</f>
        <v>1997.8600310221045</v>
      </c>
      <c r="AM68" s="11">
        <f>IF('Encargos e Benefícios'!C67=0,0,'Encargos e Benefícios'!AC67/'Encargos e Benefícios'!C67)</f>
        <v>528.9259701013201</v>
      </c>
      <c r="AN68" s="119">
        <f>IF('Encargos e Benefícios'!C67=0,0,'Encargos e Benefícios'!AD67/'Encargos e Benefícios'!C67)</f>
        <v>7191.3531661014231</v>
      </c>
      <c r="AO68" s="32">
        <f t="shared" si="0"/>
        <v>7383.3099999999995</v>
      </c>
      <c r="AP68" s="31">
        <v>5273.79</v>
      </c>
      <c r="AQ68" s="31">
        <v>9492.83</v>
      </c>
      <c r="AR68" s="304" t="s">
        <v>109</v>
      </c>
      <c r="AS68" s="32"/>
    </row>
    <row r="69" spans="1:45" ht="12.75" x14ac:dyDescent="0.2">
      <c r="A69" s="48">
        <v>63</v>
      </c>
      <c r="B69" s="12" t="str">
        <f>'Encargos e Benefícios'!B68</f>
        <v>Diretor de Atendimento (SETE LAGOAS)</v>
      </c>
      <c r="C69" s="10">
        <f>'Encargos e Benefícios'!C68</f>
        <v>1</v>
      </c>
      <c r="D69" s="38" t="s">
        <v>615</v>
      </c>
      <c r="E69" s="174">
        <v>46023</v>
      </c>
      <c r="F69" s="173">
        <v>47088</v>
      </c>
      <c r="G69" s="172">
        <v>46023</v>
      </c>
      <c r="H69" s="370">
        <v>3.5000000000000003E-2</v>
      </c>
      <c r="I69" s="47"/>
      <c r="J69" s="47"/>
      <c r="K69" s="47"/>
      <c r="L69" s="47"/>
      <c r="M69" s="172">
        <v>46388</v>
      </c>
      <c r="N69" s="370">
        <v>0.04</v>
      </c>
      <c r="O69" s="47"/>
      <c r="P69" s="47"/>
      <c r="Q69" s="47"/>
      <c r="R69" s="47"/>
      <c r="S69" s="172"/>
      <c r="T69" s="370">
        <v>0.04</v>
      </c>
      <c r="U69" s="47"/>
      <c r="V69" s="47"/>
      <c r="W69" s="47"/>
      <c r="X69" s="47"/>
      <c r="Y69" s="172"/>
      <c r="Z69" s="133"/>
      <c r="AA69" s="47"/>
      <c r="AB69" s="47"/>
      <c r="AC69" s="47"/>
      <c r="AD69" s="47"/>
      <c r="AE69" s="172"/>
      <c r="AF69" s="133"/>
      <c r="AG69" s="47"/>
      <c r="AH69" s="47"/>
      <c r="AI69" s="47"/>
      <c r="AJ69" s="136"/>
      <c r="AK69" s="11">
        <f>'Encargos e Benefícios'!D68</f>
        <v>6971.8487432299989</v>
      </c>
      <c r="AL69" s="11">
        <f>IF('Encargos e Benefícios'!C68=0,0,'Encargos e Benefícios'!U68/'Encargos e Benefícios'!C68)</f>
        <v>2986.0815492184261</v>
      </c>
      <c r="AM69" s="11">
        <f>IF('Encargos e Benefícios'!C68=0,0,'Encargos e Benefícios'!AC68/'Encargos e Benefícios'!C68)</f>
        <v>438.8</v>
      </c>
      <c r="AN69" s="119">
        <f>IF('Encargos e Benefícios'!C68=0,0,'Encargos e Benefícios'!AD68/'Encargos e Benefícios'!C68)</f>
        <v>10396.730292448425</v>
      </c>
      <c r="AO69" s="32">
        <f t="shared" si="0"/>
        <v>6777.27</v>
      </c>
      <c r="AP69" s="31">
        <v>3515.09</v>
      </c>
      <c r="AQ69" s="31">
        <v>10039.450000000001</v>
      </c>
      <c r="AR69" s="304" t="s">
        <v>109</v>
      </c>
      <c r="AS69" s="32"/>
    </row>
    <row r="70" spans="1:45" ht="12.75" x14ac:dyDescent="0.2">
      <c r="A70" s="48">
        <v>64</v>
      </c>
      <c r="B70" s="12" t="str">
        <f>'Encargos e Benefícios'!B69</f>
        <v>Analista de Pedagogia</v>
      </c>
      <c r="C70" s="10">
        <f>'Encargos e Benefícios'!C69</f>
        <v>1</v>
      </c>
      <c r="D70" s="38" t="s">
        <v>616</v>
      </c>
      <c r="E70" s="174">
        <v>46023</v>
      </c>
      <c r="F70" s="173">
        <v>47088</v>
      </c>
      <c r="G70" s="172">
        <v>46023</v>
      </c>
      <c r="H70" s="370">
        <v>3.5000000000000003E-2</v>
      </c>
      <c r="I70" s="47"/>
      <c r="J70" s="47"/>
      <c r="K70" s="47"/>
      <c r="L70" s="47"/>
      <c r="M70" s="172">
        <v>46388</v>
      </c>
      <c r="N70" s="370">
        <v>0.04</v>
      </c>
      <c r="O70" s="47"/>
      <c r="P70" s="47"/>
      <c r="Q70" s="47"/>
      <c r="R70" s="47"/>
      <c r="S70" s="172"/>
      <c r="T70" s="370">
        <v>0.04</v>
      </c>
      <c r="U70" s="47"/>
      <c r="V70" s="47"/>
      <c r="W70" s="47"/>
      <c r="X70" s="47"/>
      <c r="Y70" s="172"/>
      <c r="Z70" s="133"/>
      <c r="AA70" s="47"/>
      <c r="AB70" s="47"/>
      <c r="AC70" s="47"/>
      <c r="AD70" s="47"/>
      <c r="AE70" s="172"/>
      <c r="AF70" s="133"/>
      <c r="AG70" s="47"/>
      <c r="AH70" s="47"/>
      <c r="AI70" s="47"/>
      <c r="AJ70" s="136"/>
      <c r="AK70" s="11">
        <f>'Encargos e Benefícios'!D69</f>
        <v>3432.9771878639999</v>
      </c>
      <c r="AL70" s="11">
        <f>IF('Encargos e Benefícios'!C69=0,0,'Encargos e Benefícios'!U69/'Encargos e Benefícios'!C69)</f>
        <v>1470.3632016576396</v>
      </c>
      <c r="AM70" s="11">
        <f>IF('Encargos e Benefícios'!C69=0,0,'Encargos e Benefícios'!AC69/'Encargos e Benefícios'!C69)</f>
        <v>602.82136872816</v>
      </c>
      <c r="AN70" s="119">
        <f>IF('Encargos e Benefícios'!C69=0,0,'Encargos e Benefícios'!AD69/'Encargos e Benefícios'!C69)</f>
        <v>5506.1617582498002</v>
      </c>
      <c r="AO70" s="32">
        <f t="shared" si="0"/>
        <v>4280.8549999999996</v>
      </c>
      <c r="AP70" s="31">
        <v>3057.75</v>
      </c>
      <c r="AQ70" s="31">
        <v>5503.96</v>
      </c>
      <c r="AR70" s="304" t="s">
        <v>109</v>
      </c>
      <c r="AS70" s="32"/>
    </row>
    <row r="71" spans="1:45" ht="12.75" x14ac:dyDescent="0.2">
      <c r="A71" s="48">
        <v>65</v>
      </c>
      <c r="B71" s="12" t="str">
        <f>'Encargos e Benefícios'!B70</f>
        <v>Analista de Psicologia</v>
      </c>
      <c r="C71" s="10">
        <f>'Encargos e Benefícios'!C70</f>
        <v>1</v>
      </c>
      <c r="D71" s="38" t="s">
        <v>616</v>
      </c>
      <c r="E71" s="174">
        <v>46023</v>
      </c>
      <c r="F71" s="173">
        <v>47088</v>
      </c>
      <c r="G71" s="172">
        <v>46023</v>
      </c>
      <c r="H71" s="370">
        <v>3.5000000000000003E-2</v>
      </c>
      <c r="I71" s="47"/>
      <c r="J71" s="47"/>
      <c r="K71" s="47"/>
      <c r="L71" s="47"/>
      <c r="M71" s="172">
        <v>46388</v>
      </c>
      <c r="N71" s="370">
        <v>0.04</v>
      </c>
      <c r="O71" s="47"/>
      <c r="P71" s="47"/>
      <c r="Q71" s="47"/>
      <c r="R71" s="47"/>
      <c r="S71" s="172"/>
      <c r="T71" s="370">
        <v>0.04</v>
      </c>
      <c r="U71" s="47"/>
      <c r="V71" s="47"/>
      <c r="W71" s="47"/>
      <c r="X71" s="47"/>
      <c r="Y71" s="172"/>
      <c r="Z71" s="133"/>
      <c r="AA71" s="47"/>
      <c r="AB71" s="47"/>
      <c r="AC71" s="47"/>
      <c r="AD71" s="47"/>
      <c r="AE71" s="172"/>
      <c r="AF71" s="133"/>
      <c r="AG71" s="47"/>
      <c r="AH71" s="47"/>
      <c r="AI71" s="47"/>
      <c r="AJ71" s="136"/>
      <c r="AK71" s="11">
        <f>'Encargos e Benefícios'!D70</f>
        <v>3432.9771878639999</v>
      </c>
      <c r="AL71" s="11">
        <f>IF('Encargos e Benefícios'!C70=0,0,'Encargos e Benefícios'!U70/'Encargos e Benefícios'!C70)</f>
        <v>1470.3632016576396</v>
      </c>
      <c r="AM71" s="11">
        <f>IF('Encargos e Benefícios'!C70=0,0,'Encargos e Benefícios'!AC70/'Encargos e Benefícios'!C70)</f>
        <v>602.82136872816</v>
      </c>
      <c r="AN71" s="119">
        <f>IF('Encargos e Benefícios'!C70=0,0,'Encargos e Benefícios'!AD70/'Encargos e Benefícios'!C70)</f>
        <v>5506.1617582498002</v>
      </c>
      <c r="AO71" s="32">
        <f t="shared" si="0"/>
        <v>4280.8549999999996</v>
      </c>
      <c r="AP71" s="31">
        <v>3057.75</v>
      </c>
      <c r="AQ71" s="31">
        <v>5503.96</v>
      </c>
      <c r="AR71" s="304" t="s">
        <v>109</v>
      </c>
      <c r="AS71" s="32"/>
    </row>
    <row r="72" spans="1:45" ht="12.75" x14ac:dyDescent="0.2">
      <c r="A72" s="48">
        <v>66</v>
      </c>
      <c r="B72" s="12" t="str">
        <f>'Encargos e Benefícios'!B71</f>
        <v>Analista de Assistencia Social</v>
      </c>
      <c r="C72" s="10">
        <f>'Encargos e Benefícios'!C71</f>
        <v>1</v>
      </c>
      <c r="D72" s="38" t="s">
        <v>616</v>
      </c>
      <c r="E72" s="174">
        <v>46023</v>
      </c>
      <c r="F72" s="173">
        <v>47088</v>
      </c>
      <c r="G72" s="172">
        <v>46023</v>
      </c>
      <c r="H72" s="370">
        <v>3.5000000000000003E-2</v>
      </c>
      <c r="I72" s="47"/>
      <c r="J72" s="47"/>
      <c r="K72" s="47"/>
      <c r="L72" s="47"/>
      <c r="M72" s="172">
        <v>46388</v>
      </c>
      <c r="N72" s="370">
        <v>0.04</v>
      </c>
      <c r="O72" s="47"/>
      <c r="P72" s="47"/>
      <c r="Q72" s="47"/>
      <c r="R72" s="47"/>
      <c r="S72" s="172"/>
      <c r="T72" s="370">
        <v>0.04</v>
      </c>
      <c r="U72" s="47"/>
      <c r="V72" s="47"/>
      <c r="W72" s="47"/>
      <c r="X72" s="47"/>
      <c r="Y72" s="172"/>
      <c r="Z72" s="133"/>
      <c r="AA72" s="47"/>
      <c r="AB72" s="47"/>
      <c r="AC72" s="47"/>
      <c r="AD72" s="47"/>
      <c r="AE72" s="172"/>
      <c r="AF72" s="133"/>
      <c r="AG72" s="47"/>
      <c r="AH72" s="47"/>
      <c r="AI72" s="47"/>
      <c r="AJ72" s="136"/>
      <c r="AK72" s="11">
        <f>'Encargos e Benefícios'!D71</f>
        <v>3432.9771878639999</v>
      </c>
      <c r="AL72" s="11">
        <f>IF('Encargos e Benefícios'!C71=0,0,'Encargos e Benefícios'!U71/'Encargos e Benefícios'!C71)</f>
        <v>1470.3632016576396</v>
      </c>
      <c r="AM72" s="11">
        <f>IF('Encargos e Benefícios'!C71=0,0,'Encargos e Benefícios'!AC71/'Encargos e Benefícios'!C71)</f>
        <v>602.82136872816</v>
      </c>
      <c r="AN72" s="119">
        <f>IF('Encargos e Benefícios'!C71=0,0,'Encargos e Benefícios'!AD71/'Encargos e Benefícios'!C71)</f>
        <v>5506.1617582498002</v>
      </c>
      <c r="AO72" s="32">
        <f t="shared" ref="AO72:AO135" si="1">(AQ72+AP72)/2</f>
        <v>4280.8549999999996</v>
      </c>
      <c r="AP72" s="31">
        <v>3057.75</v>
      </c>
      <c r="AQ72" s="31">
        <v>5503.96</v>
      </c>
      <c r="AR72" s="304" t="s">
        <v>109</v>
      </c>
      <c r="AS72" s="32"/>
    </row>
    <row r="73" spans="1:45" ht="12.75" x14ac:dyDescent="0.2">
      <c r="A73" s="48">
        <v>67</v>
      </c>
      <c r="B73" s="12" t="str">
        <f>'Encargos e Benefícios'!B72</f>
        <v>Analista de Direito</v>
      </c>
      <c r="C73" s="10">
        <f>'Encargos e Benefícios'!C72</f>
        <v>1</v>
      </c>
      <c r="D73" s="38" t="s">
        <v>616</v>
      </c>
      <c r="E73" s="174">
        <v>46023</v>
      </c>
      <c r="F73" s="173">
        <v>47088</v>
      </c>
      <c r="G73" s="172">
        <v>46023</v>
      </c>
      <c r="H73" s="370">
        <v>3.5000000000000003E-2</v>
      </c>
      <c r="I73" s="47"/>
      <c r="J73" s="47"/>
      <c r="K73" s="47"/>
      <c r="L73" s="47"/>
      <c r="M73" s="172">
        <v>46388</v>
      </c>
      <c r="N73" s="370">
        <v>0.04</v>
      </c>
      <c r="O73" s="47"/>
      <c r="P73" s="47"/>
      <c r="Q73" s="47"/>
      <c r="R73" s="47"/>
      <c r="S73" s="172"/>
      <c r="T73" s="370">
        <v>0.04</v>
      </c>
      <c r="U73" s="47"/>
      <c r="V73" s="47"/>
      <c r="W73" s="47"/>
      <c r="X73" s="47"/>
      <c r="Y73" s="172"/>
      <c r="Z73" s="133"/>
      <c r="AA73" s="47"/>
      <c r="AB73" s="47"/>
      <c r="AC73" s="47"/>
      <c r="AD73" s="47"/>
      <c r="AE73" s="172"/>
      <c r="AF73" s="133"/>
      <c r="AG73" s="47"/>
      <c r="AH73" s="47"/>
      <c r="AI73" s="47"/>
      <c r="AJ73" s="136"/>
      <c r="AK73" s="11">
        <f>'Encargos e Benefícios'!D72</f>
        <v>3432.9771878639999</v>
      </c>
      <c r="AL73" s="11">
        <f>IF('Encargos e Benefícios'!C72=0,0,'Encargos e Benefícios'!U72/'Encargos e Benefícios'!C72)</f>
        <v>1470.3632016576396</v>
      </c>
      <c r="AM73" s="11">
        <f>IF('Encargos e Benefícios'!C72=0,0,'Encargos e Benefícios'!AC72/'Encargos e Benefícios'!C72)</f>
        <v>602.82136872816</v>
      </c>
      <c r="AN73" s="119">
        <f>IF('Encargos e Benefícios'!C72=0,0,'Encargos e Benefícios'!AD72/'Encargos e Benefícios'!C72)</f>
        <v>5506.1617582498002</v>
      </c>
      <c r="AO73" s="32">
        <f t="shared" si="1"/>
        <v>4280.8549999999996</v>
      </c>
      <c r="AP73" s="31">
        <v>3057.75</v>
      </c>
      <c r="AQ73" s="31">
        <v>5503.96</v>
      </c>
      <c r="AR73" s="304" t="s">
        <v>109</v>
      </c>
      <c r="AS73" s="32"/>
    </row>
    <row r="74" spans="1:45" ht="12.75" x14ac:dyDescent="0.2">
      <c r="A74" s="48">
        <v>68</v>
      </c>
      <c r="B74" s="12" t="str">
        <f>'Encargos e Benefícios'!B73</f>
        <v>Analista de Educação Física</v>
      </c>
      <c r="C74" s="10">
        <f>'Encargos e Benefícios'!C73</f>
        <v>1</v>
      </c>
      <c r="D74" s="38" t="s">
        <v>616</v>
      </c>
      <c r="E74" s="174">
        <v>46023</v>
      </c>
      <c r="F74" s="173">
        <v>47088</v>
      </c>
      <c r="G74" s="172">
        <v>46023</v>
      </c>
      <c r="H74" s="370">
        <v>3.5000000000000003E-2</v>
      </c>
      <c r="I74" s="47"/>
      <c r="J74" s="47"/>
      <c r="K74" s="47"/>
      <c r="L74" s="47"/>
      <c r="M74" s="172">
        <v>46388</v>
      </c>
      <c r="N74" s="370">
        <v>0.04</v>
      </c>
      <c r="O74" s="47"/>
      <c r="P74" s="47"/>
      <c r="Q74" s="47"/>
      <c r="R74" s="47"/>
      <c r="S74" s="172"/>
      <c r="T74" s="370">
        <v>0.04</v>
      </c>
      <c r="U74" s="47"/>
      <c r="V74" s="47"/>
      <c r="W74" s="47"/>
      <c r="X74" s="47"/>
      <c r="Y74" s="172"/>
      <c r="Z74" s="133"/>
      <c r="AA74" s="47"/>
      <c r="AB74" s="47"/>
      <c r="AC74" s="47"/>
      <c r="AD74" s="47"/>
      <c r="AE74" s="172"/>
      <c r="AF74" s="133"/>
      <c r="AG74" s="47"/>
      <c r="AH74" s="47"/>
      <c r="AI74" s="47"/>
      <c r="AJ74" s="136"/>
      <c r="AK74" s="11">
        <f>'Encargos e Benefícios'!D73</f>
        <v>3432.9771878639999</v>
      </c>
      <c r="AL74" s="11">
        <f>IF('Encargos e Benefícios'!C73=0,0,'Encargos e Benefícios'!U73/'Encargos e Benefícios'!C73)</f>
        <v>1470.3632016576396</v>
      </c>
      <c r="AM74" s="11">
        <f>IF('Encargos e Benefícios'!C73=0,0,'Encargos e Benefícios'!AC73/'Encargos e Benefícios'!C73)</f>
        <v>602.82136872816</v>
      </c>
      <c r="AN74" s="119">
        <f>IF('Encargos e Benefícios'!C73=0,0,'Encargos e Benefícios'!AD73/'Encargos e Benefícios'!C73)</f>
        <v>5506.1617582498002</v>
      </c>
      <c r="AO74" s="32">
        <f t="shared" si="1"/>
        <v>4280.8549999999996</v>
      </c>
      <c r="AP74" s="31">
        <v>3057.75</v>
      </c>
      <c r="AQ74" s="31">
        <v>5503.96</v>
      </c>
      <c r="AR74" s="304" t="s">
        <v>109</v>
      </c>
      <c r="AS74" s="32"/>
    </row>
    <row r="75" spans="1:45" ht="12.75" x14ac:dyDescent="0.2">
      <c r="A75" s="48">
        <v>69</v>
      </c>
      <c r="B75" s="12" t="str">
        <f>'Encargos e Benefícios'!B74</f>
        <v>Auxiliar Educacional</v>
      </c>
      <c r="C75" s="10">
        <f>'Encargos e Benefícios'!C74</f>
        <v>6</v>
      </c>
      <c r="D75" s="38" t="s">
        <v>616</v>
      </c>
      <c r="E75" s="174">
        <v>46023</v>
      </c>
      <c r="F75" s="173">
        <v>47088</v>
      </c>
      <c r="G75" s="172">
        <v>46023</v>
      </c>
      <c r="H75" s="370">
        <v>3.5000000000000003E-2</v>
      </c>
      <c r="I75" s="47"/>
      <c r="J75" s="47"/>
      <c r="K75" s="47"/>
      <c r="L75" s="47"/>
      <c r="M75" s="172">
        <v>46388</v>
      </c>
      <c r="N75" s="370">
        <v>0.04</v>
      </c>
      <c r="O75" s="47"/>
      <c r="P75" s="47"/>
      <c r="Q75" s="47"/>
      <c r="R75" s="47"/>
      <c r="S75" s="172"/>
      <c r="T75" s="370">
        <v>0.04</v>
      </c>
      <c r="U75" s="47"/>
      <c r="V75" s="47"/>
      <c r="W75" s="47"/>
      <c r="X75" s="47"/>
      <c r="Y75" s="172"/>
      <c r="Z75" s="133"/>
      <c r="AA75" s="47"/>
      <c r="AB75" s="47"/>
      <c r="AC75" s="47"/>
      <c r="AD75" s="47"/>
      <c r="AE75" s="172"/>
      <c r="AF75" s="133"/>
      <c r="AG75" s="47"/>
      <c r="AH75" s="47"/>
      <c r="AI75" s="47"/>
      <c r="AJ75" s="136"/>
      <c r="AK75" s="11">
        <f>'Encargos e Benefícios'!D74</f>
        <v>1954.7239466999999</v>
      </c>
      <c r="AL75" s="11">
        <f>IF('Encargos e Benefícios'!C74=0,0,'Encargos e Benefícios'!U74/'Encargos e Benefícios'!C74)</f>
        <v>1674.8020477438192</v>
      </c>
      <c r="AM75" s="11">
        <f>IF('Encargos e Benefícios'!C74=0,0,'Encargos e Benefícios'!AC74/'Encargos e Benefícios'!C74)</f>
        <v>691.51656319799997</v>
      </c>
      <c r="AN75" s="119">
        <f>IF('Encargos e Benefícios'!C74=0,0,'Encargos e Benefícios'!AD74/'Encargos e Benefícios'!C74)</f>
        <v>4321.0425576418193</v>
      </c>
      <c r="AO75" s="32">
        <f t="shared" si="1"/>
        <v>3332.11</v>
      </c>
      <c r="AP75" s="31">
        <v>2380.08</v>
      </c>
      <c r="AQ75" s="31">
        <v>4284.1400000000003</v>
      </c>
      <c r="AR75" s="304" t="s">
        <v>109</v>
      </c>
      <c r="AS75" s="32"/>
    </row>
    <row r="76" spans="1:45" ht="12.75" x14ac:dyDescent="0.2">
      <c r="A76" s="48">
        <v>70</v>
      </c>
      <c r="B76" s="12" t="str">
        <f>'Encargos e Benefícios'!B75</f>
        <v>Auxiliar Administrativo</v>
      </c>
      <c r="C76" s="10">
        <f>'Encargos e Benefícios'!C75</f>
        <v>2</v>
      </c>
      <c r="D76" s="38" t="s">
        <v>615</v>
      </c>
      <c r="E76" s="174">
        <v>46023</v>
      </c>
      <c r="F76" s="173">
        <v>47088</v>
      </c>
      <c r="G76" s="172">
        <v>46023</v>
      </c>
      <c r="H76" s="370">
        <v>3.5000000000000003E-2</v>
      </c>
      <c r="I76" s="47"/>
      <c r="J76" s="47"/>
      <c r="K76" s="47"/>
      <c r="L76" s="47"/>
      <c r="M76" s="172">
        <v>46388</v>
      </c>
      <c r="N76" s="370">
        <v>0.04</v>
      </c>
      <c r="O76" s="47"/>
      <c r="P76" s="47"/>
      <c r="Q76" s="47"/>
      <c r="R76" s="47"/>
      <c r="S76" s="172"/>
      <c r="T76" s="370">
        <v>0.04</v>
      </c>
      <c r="U76" s="47"/>
      <c r="V76" s="47"/>
      <c r="W76" s="47"/>
      <c r="X76" s="47"/>
      <c r="Y76" s="172"/>
      <c r="Z76" s="133"/>
      <c r="AA76" s="47"/>
      <c r="AB76" s="47"/>
      <c r="AC76" s="47"/>
      <c r="AD76" s="47"/>
      <c r="AE76" s="172"/>
      <c r="AF76" s="133"/>
      <c r="AG76" s="47"/>
      <c r="AH76" s="47"/>
      <c r="AI76" s="47"/>
      <c r="AJ76" s="136"/>
      <c r="AK76" s="11">
        <f>'Encargos e Benefícios'!D75</f>
        <v>1954.7239466999999</v>
      </c>
      <c r="AL76" s="11">
        <f>IF('Encargos e Benefícios'!C75=0,0,'Encargos e Benefícios'!U75/'Encargos e Benefícios'!C75)</f>
        <v>837.21912594909156</v>
      </c>
      <c r="AM76" s="11">
        <f>IF('Encargos e Benefícios'!C75=0,0,'Encargos e Benefícios'!AC75/'Encargos e Benefícios'!C75)</f>
        <v>691.51656319799997</v>
      </c>
      <c r="AN76" s="119">
        <f>IF('Encargos e Benefícios'!C75=0,0,'Encargos e Benefícios'!AD75/'Encargos e Benefícios'!C75)</f>
        <v>3483.4596358470912</v>
      </c>
      <c r="AO76" s="32">
        <f t="shared" si="1"/>
        <v>3332.11</v>
      </c>
      <c r="AP76" s="31">
        <v>2380.08</v>
      </c>
      <c r="AQ76" s="31">
        <v>4284.1400000000003</v>
      </c>
      <c r="AR76" s="304" t="s">
        <v>109</v>
      </c>
      <c r="AS76" s="32"/>
    </row>
    <row r="77" spans="1:45" ht="12.75" x14ac:dyDescent="0.2">
      <c r="A77" s="48">
        <v>71</v>
      </c>
      <c r="B77" s="12" t="str">
        <f>'Encargos e Benefícios'!B76</f>
        <v>Auxiliar de Serviços Gerais</v>
      </c>
      <c r="C77" s="10">
        <f>'Encargos e Benefícios'!C76</f>
        <v>2</v>
      </c>
      <c r="D77" s="38" t="s">
        <v>615</v>
      </c>
      <c r="E77" s="174">
        <v>46023</v>
      </c>
      <c r="F77" s="173">
        <v>47088</v>
      </c>
      <c r="G77" s="172">
        <v>46023</v>
      </c>
      <c r="H77" s="370">
        <v>3.5000000000000003E-2</v>
      </c>
      <c r="I77" s="47"/>
      <c r="J77" s="47"/>
      <c r="K77" s="47"/>
      <c r="L77" s="47"/>
      <c r="M77" s="172">
        <v>46388</v>
      </c>
      <c r="N77" s="370">
        <v>0.04</v>
      </c>
      <c r="O77" s="47"/>
      <c r="P77" s="47"/>
      <c r="Q77" s="47"/>
      <c r="R77" s="47"/>
      <c r="S77" s="172"/>
      <c r="T77" s="370">
        <v>0.04</v>
      </c>
      <c r="U77" s="47"/>
      <c r="V77" s="47"/>
      <c r="W77" s="47"/>
      <c r="X77" s="47"/>
      <c r="Y77" s="172"/>
      <c r="Z77" s="133"/>
      <c r="AA77" s="47"/>
      <c r="AB77" s="47"/>
      <c r="AC77" s="47"/>
      <c r="AD77" s="47"/>
      <c r="AE77" s="172"/>
      <c r="AF77" s="133"/>
      <c r="AG77" s="47"/>
      <c r="AH77" s="47"/>
      <c r="AI77" s="47"/>
      <c r="AJ77" s="136"/>
      <c r="AK77" s="11">
        <f>'Encargos e Benefícios'!D76</f>
        <v>1604</v>
      </c>
      <c r="AL77" s="11">
        <f>IF('Encargos e Benefícios'!C76=0,0,'Encargos e Benefícios'!U76/'Encargos e Benefícios'!C76)</f>
        <v>687.00211111111116</v>
      </c>
      <c r="AM77" s="11">
        <f>IF('Encargos e Benefícios'!C76=0,0,'Encargos e Benefícios'!AC76/'Encargos e Benefícios'!C76)</f>
        <v>712.56</v>
      </c>
      <c r="AN77" s="119">
        <f>IF('Encargos e Benefícios'!C76=0,0,'Encargos e Benefícios'!AD76/'Encargos e Benefícios'!C76)</f>
        <v>3003.5621111111109</v>
      </c>
      <c r="AO77" s="32">
        <f t="shared" si="1"/>
        <v>2286.52</v>
      </c>
      <c r="AP77" s="31">
        <v>1633.23</v>
      </c>
      <c r="AQ77" s="31">
        <v>2939.81</v>
      </c>
      <c r="AR77" s="304" t="s">
        <v>109</v>
      </c>
      <c r="AS77" s="32"/>
    </row>
    <row r="78" spans="1:45" ht="12.75" x14ac:dyDescent="0.2">
      <c r="A78" s="48">
        <v>72</v>
      </c>
      <c r="B78" s="12" t="str">
        <f>'Encargos e Benefícios'!B77</f>
        <v>Motorista</v>
      </c>
      <c r="C78" s="10">
        <f>'Encargos e Benefícios'!C77</f>
        <v>2</v>
      </c>
      <c r="D78" s="38" t="s">
        <v>615</v>
      </c>
      <c r="E78" s="174">
        <v>46023</v>
      </c>
      <c r="F78" s="173">
        <v>47088</v>
      </c>
      <c r="G78" s="172">
        <v>46023</v>
      </c>
      <c r="H78" s="370">
        <v>3.5000000000000003E-2</v>
      </c>
      <c r="I78" s="47"/>
      <c r="J78" s="47"/>
      <c r="K78" s="47"/>
      <c r="L78" s="47"/>
      <c r="M78" s="172">
        <v>46388</v>
      </c>
      <c r="N78" s="370">
        <v>0.04</v>
      </c>
      <c r="O78" s="47"/>
      <c r="P78" s="47"/>
      <c r="Q78" s="47"/>
      <c r="R78" s="47"/>
      <c r="S78" s="172"/>
      <c r="T78" s="370">
        <v>0.04</v>
      </c>
      <c r="U78" s="47"/>
      <c r="V78" s="47"/>
      <c r="W78" s="47"/>
      <c r="X78" s="47"/>
      <c r="Y78" s="172"/>
      <c r="Z78" s="133"/>
      <c r="AA78" s="47"/>
      <c r="AB78" s="47"/>
      <c r="AC78" s="47"/>
      <c r="AD78" s="47"/>
      <c r="AE78" s="172"/>
      <c r="AF78" s="133"/>
      <c r="AG78" s="47"/>
      <c r="AH78" s="47"/>
      <c r="AI78" s="47"/>
      <c r="AJ78" s="136"/>
      <c r="AK78" s="11">
        <f>'Encargos e Benefícios'!D77</f>
        <v>2216.5886211419997</v>
      </c>
      <c r="AL78" s="11">
        <f>IF('Encargos e Benefícios'!C77=0,0,'Encargos e Benefícios'!U77/'Encargos e Benefícios'!C77)</f>
        <v>949.37722081634706</v>
      </c>
      <c r="AM78" s="11">
        <f>IF('Encargos e Benefícios'!C77=0,0,'Encargos e Benefícios'!AC77/'Encargos e Benefícios'!C77)</f>
        <v>675.80468273147994</v>
      </c>
      <c r="AN78" s="119">
        <f>IF('Encargos e Benefícios'!C77=0,0,'Encargos e Benefícios'!AD77/'Encargos e Benefícios'!C77)</f>
        <v>3841.7705246898267</v>
      </c>
      <c r="AO78" s="32">
        <f t="shared" si="1"/>
        <v>2638.67</v>
      </c>
      <c r="AP78" s="31">
        <v>1884.76</v>
      </c>
      <c r="AQ78" s="31">
        <v>3392.58</v>
      </c>
      <c r="AR78" s="304" t="s">
        <v>109</v>
      </c>
      <c r="AS78" s="32"/>
    </row>
    <row r="79" spans="1:45" ht="12.75" x14ac:dyDescent="0.2">
      <c r="A79" s="48">
        <v>73</v>
      </c>
      <c r="B79" s="12" t="str">
        <f>'Encargos e Benefícios'!B78</f>
        <v>Socioeducador</v>
      </c>
      <c r="C79" s="10">
        <f>'Encargos e Benefícios'!C78</f>
        <v>26</v>
      </c>
      <c r="D79" s="38" t="s">
        <v>615</v>
      </c>
      <c r="E79" s="174">
        <v>46023</v>
      </c>
      <c r="F79" s="173">
        <v>47088</v>
      </c>
      <c r="G79" s="172">
        <v>46023</v>
      </c>
      <c r="H79" s="370">
        <v>3.5000000000000003E-2</v>
      </c>
      <c r="I79" s="47"/>
      <c r="J79" s="47"/>
      <c r="K79" s="47"/>
      <c r="L79" s="47"/>
      <c r="M79" s="172">
        <v>46388</v>
      </c>
      <c r="N79" s="370">
        <v>0.04</v>
      </c>
      <c r="O79" s="47"/>
      <c r="P79" s="47"/>
      <c r="Q79" s="47"/>
      <c r="R79" s="47"/>
      <c r="S79" s="172"/>
      <c r="T79" s="370">
        <v>0.04</v>
      </c>
      <c r="U79" s="47"/>
      <c r="V79" s="47"/>
      <c r="W79" s="47"/>
      <c r="X79" s="47"/>
      <c r="Y79" s="172"/>
      <c r="Z79" s="133"/>
      <c r="AA79" s="47"/>
      <c r="AB79" s="47"/>
      <c r="AC79" s="47"/>
      <c r="AD79" s="47"/>
      <c r="AE79" s="172"/>
      <c r="AF79" s="133"/>
      <c r="AG79" s="47"/>
      <c r="AH79" s="47"/>
      <c r="AI79" s="47"/>
      <c r="AJ79" s="136"/>
      <c r="AK79" s="11">
        <f>'Encargos e Benefícios'!D78</f>
        <v>2475.9907000000003</v>
      </c>
      <c r="AL79" s="11">
        <f>IF('Encargos e Benefícios'!C78=0,0,'Encargos e Benefícios'!U78/'Encargos e Benefícios'!C78)</f>
        <v>2698.6828801503698</v>
      </c>
      <c r="AM79" s="11">
        <f>IF('Encargos e Benefícios'!C78=0,0,'Encargos e Benefícios'!AC78/'Encargos e Benefícios'!C78)</f>
        <v>660.24055799999996</v>
      </c>
      <c r="AN79" s="119">
        <f>IF('Encargos e Benefícios'!C78=0,0,'Encargos e Benefícios'!AD78/'Encargos e Benefícios'!C78)</f>
        <v>5834.9141381503705</v>
      </c>
      <c r="AO79" s="32">
        <f t="shared" si="1"/>
        <v>2621.0150000000003</v>
      </c>
      <c r="AP79" s="31">
        <v>1906.88</v>
      </c>
      <c r="AQ79" s="31">
        <v>3335.15</v>
      </c>
      <c r="AR79" s="304" t="s">
        <v>109</v>
      </c>
      <c r="AS79" s="32"/>
    </row>
    <row r="80" spans="1:45" ht="12.75" x14ac:dyDescent="0.2">
      <c r="A80" s="48">
        <v>74</v>
      </c>
      <c r="B80" s="12" t="str">
        <f>'Encargos e Benefícios'!B79</f>
        <v>Socioeducador</v>
      </c>
      <c r="C80" s="10">
        <f>'Encargos e Benefícios'!C79</f>
        <v>16</v>
      </c>
      <c r="D80" s="38" t="s">
        <v>615</v>
      </c>
      <c r="E80" s="174">
        <v>46023</v>
      </c>
      <c r="F80" s="173">
        <v>47088</v>
      </c>
      <c r="G80" s="172">
        <v>46023</v>
      </c>
      <c r="H80" s="370">
        <v>3.5000000000000003E-2</v>
      </c>
      <c r="I80" s="47"/>
      <c r="J80" s="47"/>
      <c r="K80" s="47"/>
      <c r="L80" s="47"/>
      <c r="M80" s="172">
        <v>46388</v>
      </c>
      <c r="N80" s="370">
        <v>0.04</v>
      </c>
      <c r="O80" s="47"/>
      <c r="P80" s="47"/>
      <c r="Q80" s="47"/>
      <c r="R80" s="47"/>
      <c r="S80" s="172"/>
      <c r="T80" s="370">
        <v>0.04</v>
      </c>
      <c r="U80" s="47"/>
      <c r="V80" s="47"/>
      <c r="W80" s="47"/>
      <c r="X80" s="47"/>
      <c r="Y80" s="172"/>
      <c r="Z80" s="133"/>
      <c r="AA80" s="47"/>
      <c r="AB80" s="47"/>
      <c r="AC80" s="47"/>
      <c r="AD80" s="47"/>
      <c r="AE80" s="172"/>
      <c r="AF80" s="133"/>
      <c r="AG80" s="47"/>
      <c r="AH80" s="47"/>
      <c r="AI80" s="47"/>
      <c r="AJ80" s="136"/>
      <c r="AK80" s="11">
        <f>'Encargos e Benefícios'!D79</f>
        <v>2475.9907000000003</v>
      </c>
      <c r="AL80" s="11">
        <f>IF('Encargos e Benefícios'!C79=0,0,'Encargos e Benefícios'!U79/'Encargos e Benefícios'!C79)</f>
        <v>2779.2829471025034</v>
      </c>
      <c r="AM80" s="11">
        <f>IF('Encargos e Benefícios'!C79=0,0,'Encargos e Benefícios'!AC79/'Encargos e Benefícios'!C79)</f>
        <v>660.24055799999996</v>
      </c>
      <c r="AN80" s="119">
        <f>IF('Encargos e Benefícios'!C79=0,0,'Encargos e Benefícios'!AD79/'Encargos e Benefícios'!C79)</f>
        <v>5915.5142051025032</v>
      </c>
      <c r="AO80" s="32">
        <f t="shared" si="1"/>
        <v>2621.0150000000003</v>
      </c>
      <c r="AP80" s="31">
        <v>1906.88</v>
      </c>
      <c r="AQ80" s="31">
        <v>3335.15</v>
      </c>
      <c r="AR80" s="304" t="s">
        <v>109</v>
      </c>
      <c r="AS80" s="32"/>
    </row>
    <row r="81" spans="1:45" ht="12.75" x14ac:dyDescent="0.2">
      <c r="A81" s="48">
        <v>75</v>
      </c>
      <c r="B81" s="12" t="str">
        <f>'Encargos e Benefícios'!B80</f>
        <v>Supervisor</v>
      </c>
      <c r="C81" s="10">
        <f>'Encargos e Benefícios'!C80</f>
        <v>1</v>
      </c>
      <c r="D81" s="38" t="s">
        <v>615</v>
      </c>
      <c r="E81" s="174">
        <v>46023</v>
      </c>
      <c r="F81" s="173">
        <v>47088</v>
      </c>
      <c r="G81" s="172">
        <v>46023</v>
      </c>
      <c r="H81" s="370">
        <v>3.5000000000000003E-2</v>
      </c>
      <c r="I81" s="47"/>
      <c r="J81" s="47"/>
      <c r="K81" s="47"/>
      <c r="L81" s="47"/>
      <c r="M81" s="172">
        <v>46388</v>
      </c>
      <c r="N81" s="370">
        <v>0.04</v>
      </c>
      <c r="O81" s="47"/>
      <c r="P81" s="47"/>
      <c r="Q81" s="47"/>
      <c r="R81" s="47"/>
      <c r="S81" s="172"/>
      <c r="T81" s="370">
        <v>0.04</v>
      </c>
      <c r="U81" s="47"/>
      <c r="V81" s="47"/>
      <c r="W81" s="47"/>
      <c r="X81" s="47"/>
      <c r="Y81" s="172"/>
      <c r="Z81" s="133"/>
      <c r="AA81" s="47"/>
      <c r="AB81" s="47"/>
      <c r="AC81" s="47"/>
      <c r="AD81" s="47"/>
      <c r="AE81" s="172"/>
      <c r="AF81" s="133"/>
      <c r="AG81" s="47"/>
      <c r="AH81" s="47"/>
      <c r="AI81" s="47"/>
      <c r="AJ81" s="136"/>
      <c r="AK81" s="11">
        <f>'Encargos e Benefícios'!D80</f>
        <v>4195.9728999999998</v>
      </c>
      <c r="AL81" s="11">
        <f>IF('Encargos e Benefícios'!C80=0,0,'Encargos e Benefícios'!U80/'Encargos e Benefícios'!C80)</f>
        <v>1392.5967835888887</v>
      </c>
      <c r="AM81" s="11">
        <f>IF('Encargos e Benefícios'!C80=0,0,'Encargos e Benefícios'!AC80/'Encargos e Benefícios'!C80)</f>
        <v>557.04162599999995</v>
      </c>
      <c r="AN81" s="119">
        <f>IF('Encargos e Benefícios'!C80=0,0,'Encargos e Benefícios'!AD80/'Encargos e Benefícios'!C80)</f>
        <v>6145.6113095888886</v>
      </c>
      <c r="AO81" s="32">
        <f t="shared" si="1"/>
        <v>4917.4850000000006</v>
      </c>
      <c r="AP81" s="31">
        <v>2550.5</v>
      </c>
      <c r="AQ81" s="31">
        <v>7284.47</v>
      </c>
      <c r="AR81" s="304" t="s">
        <v>109</v>
      </c>
      <c r="AS81" s="32"/>
    </row>
    <row r="82" spans="1:45" ht="22.5" x14ac:dyDescent="0.2">
      <c r="A82" s="48">
        <v>76</v>
      </c>
      <c r="B82" s="12" t="str">
        <f>'Encargos e Benefícios'!B81</f>
        <v>Enfermeiro</v>
      </c>
      <c r="C82" s="10">
        <f>'Encargos e Benefícios'!C81</f>
        <v>1</v>
      </c>
      <c r="D82" s="38" t="s">
        <v>617</v>
      </c>
      <c r="E82" s="174">
        <v>46023</v>
      </c>
      <c r="F82" s="173">
        <v>47088</v>
      </c>
      <c r="G82" s="172">
        <v>46023</v>
      </c>
      <c r="H82" s="370">
        <v>3.5000000000000003E-2</v>
      </c>
      <c r="I82" s="47"/>
      <c r="J82" s="47"/>
      <c r="K82" s="47"/>
      <c r="L82" s="47"/>
      <c r="M82" s="172">
        <v>46388</v>
      </c>
      <c r="N82" s="370">
        <v>0.04</v>
      </c>
      <c r="O82" s="47"/>
      <c r="P82" s="47"/>
      <c r="Q82" s="47"/>
      <c r="R82" s="47"/>
      <c r="S82" s="172"/>
      <c r="T82" s="370">
        <v>0.04</v>
      </c>
      <c r="U82" s="47"/>
      <c r="V82" s="47"/>
      <c r="W82" s="47"/>
      <c r="X82" s="47"/>
      <c r="Y82" s="172"/>
      <c r="Z82" s="133"/>
      <c r="AA82" s="47"/>
      <c r="AB82" s="47"/>
      <c r="AC82" s="47"/>
      <c r="AD82" s="47"/>
      <c r="AE82" s="172"/>
      <c r="AF82" s="133"/>
      <c r="AG82" s="47"/>
      <c r="AH82" s="47"/>
      <c r="AI82" s="47"/>
      <c r="AJ82" s="136"/>
      <c r="AK82" s="11">
        <f>'Encargos e Benefícios'!D81</f>
        <v>5372.2025000000003</v>
      </c>
      <c r="AL82" s="11">
        <f>IF('Encargos e Benefícios'!C81=0,0,'Encargos e Benefícios'!U81/'Encargos e Benefícios'!C81)</f>
        <v>2813.3197804911115</v>
      </c>
      <c r="AM82" s="11">
        <f>IF('Encargos e Benefícios'!C81=0,0,'Encargos e Benefícios'!AC81/'Encargos e Benefícios'!C81)</f>
        <v>486.46785</v>
      </c>
      <c r="AN82" s="119">
        <f>IF('Encargos e Benefícios'!C81=0,0,'Encargos e Benefícios'!AD81/'Encargos e Benefícios'!C81)</f>
        <v>8671.9901304911109</v>
      </c>
      <c r="AO82" s="32">
        <f t="shared" si="1"/>
        <v>4535.9449999999997</v>
      </c>
      <c r="AP82" s="31">
        <v>3300.06</v>
      </c>
      <c r="AQ82" s="31">
        <v>5771.83</v>
      </c>
      <c r="AR82" s="304" t="s">
        <v>109</v>
      </c>
      <c r="AS82" s="32"/>
    </row>
    <row r="83" spans="1:45" ht="22.5" x14ac:dyDescent="0.2">
      <c r="A83" s="48">
        <v>77</v>
      </c>
      <c r="B83" s="12" t="str">
        <f>'Encargos e Benefícios'!B82</f>
        <v>Técnico de Enfermagem</v>
      </c>
      <c r="C83" s="10">
        <f>'Encargos e Benefícios'!C82</f>
        <v>1</v>
      </c>
      <c r="D83" s="38" t="s">
        <v>617</v>
      </c>
      <c r="E83" s="174">
        <v>46023</v>
      </c>
      <c r="F83" s="173">
        <v>47088</v>
      </c>
      <c r="G83" s="172">
        <v>46023</v>
      </c>
      <c r="H83" s="370">
        <v>3.5000000000000003E-2</v>
      </c>
      <c r="I83" s="47"/>
      <c r="J83" s="47"/>
      <c r="K83" s="47"/>
      <c r="L83" s="47"/>
      <c r="M83" s="172">
        <v>46388</v>
      </c>
      <c r="N83" s="370">
        <v>0.04</v>
      </c>
      <c r="O83" s="47"/>
      <c r="P83" s="47"/>
      <c r="Q83" s="47"/>
      <c r="R83" s="47"/>
      <c r="S83" s="172"/>
      <c r="T83" s="370">
        <v>0.04</v>
      </c>
      <c r="U83" s="47"/>
      <c r="V83" s="47"/>
      <c r="W83" s="47"/>
      <c r="X83" s="47"/>
      <c r="Y83" s="172"/>
      <c r="Z83" s="133"/>
      <c r="AA83" s="47"/>
      <c r="AB83" s="47"/>
      <c r="AC83" s="47"/>
      <c r="AD83" s="47"/>
      <c r="AE83" s="172"/>
      <c r="AF83" s="133"/>
      <c r="AG83" s="47"/>
      <c r="AH83" s="47"/>
      <c r="AI83" s="47"/>
      <c r="AJ83" s="136"/>
      <c r="AK83" s="11">
        <f>'Encargos e Benefícios'!D82</f>
        <v>3760.5471000000002</v>
      </c>
      <c r="AL83" s="11">
        <f>IF('Encargos e Benefícios'!C82=0,0,'Encargos e Benefícios'!U82/'Encargos e Benefícios'!C82)</f>
        <v>1969.3266480365335</v>
      </c>
      <c r="AM83" s="11">
        <f>IF('Encargos e Benefícios'!C82=0,0,'Encargos e Benefícios'!AC82/'Encargos e Benefícios'!C82)</f>
        <v>583.16717399999993</v>
      </c>
      <c r="AN83" s="119">
        <f>IF('Encargos e Benefícios'!C82=0,0,'Encargos e Benefícios'!AD82/'Encargos e Benefícios'!C82)</f>
        <v>6313.0409220365336</v>
      </c>
      <c r="AO83" s="32">
        <f t="shared" si="1"/>
        <v>2955.75</v>
      </c>
      <c r="AP83" s="31">
        <v>2150.41</v>
      </c>
      <c r="AQ83" s="31">
        <v>3761.09</v>
      </c>
      <c r="AR83" s="304" t="s">
        <v>109</v>
      </c>
      <c r="AS83" s="32"/>
    </row>
    <row r="84" spans="1:45" ht="22.5" x14ac:dyDescent="0.2">
      <c r="A84" s="48">
        <v>78</v>
      </c>
      <c r="B84" s="12" t="str">
        <f>'Encargos e Benefícios'!B83</f>
        <v>Porteiro</v>
      </c>
      <c r="C84" s="10">
        <f>'Encargos e Benefícios'!C83</f>
        <v>4</v>
      </c>
      <c r="D84" s="38" t="s">
        <v>617</v>
      </c>
      <c r="E84" s="174">
        <v>46023</v>
      </c>
      <c r="F84" s="173">
        <v>47088</v>
      </c>
      <c r="G84" s="172">
        <v>46023</v>
      </c>
      <c r="H84" s="370">
        <v>3.5000000000000003E-2</v>
      </c>
      <c r="I84" s="47"/>
      <c r="J84" s="47"/>
      <c r="K84" s="47"/>
      <c r="L84" s="47"/>
      <c r="M84" s="172">
        <v>46388</v>
      </c>
      <c r="N84" s="370">
        <v>0.04</v>
      </c>
      <c r="O84" s="47"/>
      <c r="P84" s="47"/>
      <c r="Q84" s="47"/>
      <c r="R84" s="47"/>
      <c r="S84" s="172"/>
      <c r="T84" s="370">
        <v>0.04</v>
      </c>
      <c r="U84" s="47"/>
      <c r="V84" s="47"/>
      <c r="W84" s="47"/>
      <c r="X84" s="47"/>
      <c r="Y84" s="172"/>
      <c r="Z84" s="133"/>
      <c r="AA84" s="47"/>
      <c r="AB84" s="47"/>
      <c r="AC84" s="47"/>
      <c r="AD84" s="47"/>
      <c r="AE84" s="172"/>
      <c r="AF84" s="133"/>
      <c r="AG84" s="47"/>
      <c r="AH84" s="47"/>
      <c r="AI84" s="47"/>
      <c r="AJ84" s="136"/>
      <c r="AK84" s="11">
        <f>'Encargos e Benefícios'!D83</f>
        <v>1759.2515520300001</v>
      </c>
      <c r="AL84" s="11">
        <f>IF('Encargos e Benefícios'!C83=0,0,'Encargos e Benefícios'!U83/'Encargos e Benefícios'!C83)</f>
        <v>1271.8097842806762</v>
      </c>
      <c r="AM84" s="11">
        <f>IF('Encargos e Benefícios'!C83=0,0,'Encargos e Benefícios'!AC83/'Encargos e Benefícios'!C83)</f>
        <v>703.24490687820003</v>
      </c>
      <c r="AN84" s="119">
        <f>IF('Encargos e Benefícios'!C83=0,0,'Encargos e Benefícios'!AD83/'Encargos e Benefícios'!C83)</f>
        <v>3734.3062431888766</v>
      </c>
      <c r="AO84" s="32">
        <f t="shared" si="1"/>
        <v>2638.67</v>
      </c>
      <c r="AP84" s="31">
        <v>1884.76</v>
      </c>
      <c r="AQ84" s="31">
        <v>3392.58</v>
      </c>
      <c r="AR84" s="304" t="s">
        <v>109</v>
      </c>
      <c r="AS84" s="32"/>
    </row>
    <row r="85" spans="1:45" ht="22.5" x14ac:dyDescent="0.2">
      <c r="A85" s="48">
        <v>79</v>
      </c>
      <c r="B85" s="12" t="str">
        <f>'Encargos e Benefícios'!B84</f>
        <v>Diretor Geral de Unidade Socioeducativa (SANTA CLARA)</v>
      </c>
      <c r="C85" s="10">
        <f>'Encargos e Benefícios'!C84</f>
        <v>1</v>
      </c>
      <c r="D85" s="38" t="s">
        <v>615</v>
      </c>
      <c r="E85" s="174">
        <v>46023</v>
      </c>
      <c r="F85" s="173">
        <v>47118</v>
      </c>
      <c r="G85" s="172">
        <v>46023</v>
      </c>
      <c r="H85" s="370">
        <v>3.5000000000000003E-2</v>
      </c>
      <c r="I85" s="47"/>
      <c r="J85" s="47"/>
      <c r="K85" s="47"/>
      <c r="L85" s="47"/>
      <c r="M85" s="172">
        <v>46388</v>
      </c>
      <c r="N85" s="370">
        <v>0.04</v>
      </c>
      <c r="O85" s="47"/>
      <c r="P85" s="47"/>
      <c r="Q85" s="47"/>
      <c r="R85" s="47"/>
      <c r="S85" s="172">
        <v>46753</v>
      </c>
      <c r="T85" s="370">
        <v>0.04</v>
      </c>
      <c r="U85" s="47"/>
      <c r="V85" s="47"/>
      <c r="W85" s="47"/>
      <c r="X85" s="47"/>
      <c r="Y85" s="172"/>
      <c r="Z85" s="133"/>
      <c r="AA85" s="47"/>
      <c r="AB85" s="47"/>
      <c r="AC85" s="47"/>
      <c r="AD85" s="47"/>
      <c r="AE85" s="172"/>
      <c r="AF85" s="133"/>
      <c r="AG85" s="47"/>
      <c r="AH85" s="47"/>
      <c r="AI85" s="47"/>
      <c r="AJ85" s="136"/>
      <c r="AK85" s="11">
        <f>'Encargos e Benefícios'!D84</f>
        <v>8626.8483514359996</v>
      </c>
      <c r="AL85" s="11">
        <f>IF('Encargos e Benefícios'!C84=0,0,'Encargos e Benefícios'!U84/'Encargos e Benefícios'!C84)</f>
        <v>3694.9270758553248</v>
      </c>
      <c r="AM85" s="11">
        <f>IF('Encargos e Benefícios'!C84=0,0,'Encargos e Benefícios'!AC84/'Encargos e Benefícios'!C84)</f>
        <v>438.8</v>
      </c>
      <c r="AN85" s="119">
        <f>IF('Encargos e Benefícios'!C84=0,0,'Encargos e Benefícios'!AD84/'Encargos e Benefícios'!C84)</f>
        <v>12760.575427291324</v>
      </c>
      <c r="AO85" s="32">
        <f t="shared" si="1"/>
        <v>9992.880000000001</v>
      </c>
      <c r="AP85" s="31">
        <v>7137.77</v>
      </c>
      <c r="AQ85" s="31">
        <v>12847.99</v>
      </c>
      <c r="AR85" s="210" t="s">
        <v>105</v>
      </c>
      <c r="AS85" s="32"/>
    </row>
    <row r="86" spans="1:45" ht="12.75" x14ac:dyDescent="0.2">
      <c r="A86" s="48">
        <v>80</v>
      </c>
      <c r="B86" s="12" t="str">
        <f>'Encargos e Benefícios'!B85</f>
        <v>Analista Administrativo (SANTA CLARA)</v>
      </c>
      <c r="C86" s="10">
        <f>'Encargos e Benefícios'!C85</f>
        <v>2</v>
      </c>
      <c r="D86" s="38" t="s">
        <v>615</v>
      </c>
      <c r="E86" s="174">
        <v>46023</v>
      </c>
      <c r="F86" s="173">
        <v>47118</v>
      </c>
      <c r="G86" s="172">
        <v>46023</v>
      </c>
      <c r="H86" s="370">
        <v>3.5000000000000003E-2</v>
      </c>
      <c r="I86" s="47"/>
      <c r="J86" s="47"/>
      <c r="K86" s="47"/>
      <c r="L86" s="47"/>
      <c r="M86" s="172">
        <v>46388</v>
      </c>
      <c r="N86" s="370">
        <v>0.04</v>
      </c>
      <c r="O86" s="47"/>
      <c r="P86" s="47"/>
      <c r="Q86" s="47"/>
      <c r="R86" s="47"/>
      <c r="S86" s="172">
        <v>46753</v>
      </c>
      <c r="T86" s="370">
        <v>0.04</v>
      </c>
      <c r="U86" s="47"/>
      <c r="V86" s="47"/>
      <c r="W86" s="47"/>
      <c r="X86" s="47"/>
      <c r="Y86" s="172"/>
      <c r="Z86" s="133"/>
      <c r="AA86" s="47"/>
      <c r="AB86" s="47"/>
      <c r="AC86" s="47"/>
      <c r="AD86" s="47"/>
      <c r="AE86" s="172"/>
      <c r="AF86" s="133"/>
      <c r="AG86" s="47"/>
      <c r="AH86" s="47"/>
      <c r="AI86" s="47"/>
      <c r="AJ86" s="136"/>
      <c r="AK86" s="11">
        <f>'Encargos e Benefícios'!D85</f>
        <v>4664.5671649779988</v>
      </c>
      <c r="AL86" s="11">
        <f>IF('Encargos e Benefícios'!C85=0,0,'Encargos e Benefícios'!U85/'Encargos e Benefícios'!C85)</f>
        <v>1548.1180135321424</v>
      </c>
      <c r="AM86" s="11">
        <f>IF('Encargos e Benefícios'!C85=0,0,'Encargos e Benefícios'!AC85/'Encargos e Benefícios'!C85)</f>
        <v>528.9259701013201</v>
      </c>
      <c r="AN86" s="119">
        <f>IF('Encargos e Benefícios'!C85=0,0,'Encargos e Benefícios'!AD85/'Encargos e Benefícios'!C85)</f>
        <v>6741.6111486114605</v>
      </c>
      <c r="AO86" s="32">
        <f t="shared" si="1"/>
        <v>7383.3099999999995</v>
      </c>
      <c r="AP86" s="31">
        <v>5273.79</v>
      </c>
      <c r="AQ86" s="31">
        <v>9492.83</v>
      </c>
      <c r="AR86" s="210" t="s">
        <v>105</v>
      </c>
      <c r="AS86" s="32"/>
    </row>
    <row r="87" spans="1:45" ht="12.75" x14ac:dyDescent="0.2">
      <c r="A87" s="48">
        <v>81</v>
      </c>
      <c r="B87" s="12" t="str">
        <f>'Encargos e Benefícios'!B86</f>
        <v>Diretor de Atendimento (SANTA CLARA)</v>
      </c>
      <c r="C87" s="10">
        <f>'Encargos e Benefícios'!C86</f>
        <v>1</v>
      </c>
      <c r="D87" s="38" t="s">
        <v>615</v>
      </c>
      <c r="E87" s="174">
        <v>46023</v>
      </c>
      <c r="F87" s="173">
        <v>47118</v>
      </c>
      <c r="G87" s="172">
        <v>46023</v>
      </c>
      <c r="H87" s="370">
        <v>3.5000000000000003E-2</v>
      </c>
      <c r="I87" s="47"/>
      <c r="J87" s="47"/>
      <c r="K87" s="47"/>
      <c r="L87" s="47"/>
      <c r="M87" s="172">
        <v>46388</v>
      </c>
      <c r="N87" s="370">
        <v>0.04</v>
      </c>
      <c r="O87" s="47"/>
      <c r="P87" s="47"/>
      <c r="Q87" s="47"/>
      <c r="R87" s="47"/>
      <c r="S87" s="172">
        <v>46753</v>
      </c>
      <c r="T87" s="370">
        <v>0.04</v>
      </c>
      <c r="U87" s="47"/>
      <c r="V87" s="47"/>
      <c r="W87" s="47"/>
      <c r="X87" s="47"/>
      <c r="Y87" s="172"/>
      <c r="Z87" s="133"/>
      <c r="AA87" s="47"/>
      <c r="AB87" s="47"/>
      <c r="AC87" s="47"/>
      <c r="AD87" s="47"/>
      <c r="AE87" s="172"/>
      <c r="AF87" s="133"/>
      <c r="AG87" s="47"/>
      <c r="AH87" s="47"/>
      <c r="AI87" s="47"/>
      <c r="AJ87" s="136"/>
      <c r="AK87" s="11">
        <f>'Encargos e Benefícios'!D86</f>
        <v>6971.8487432299989</v>
      </c>
      <c r="AL87" s="11">
        <f>IF('Encargos e Benefícios'!C86=0,0,'Encargos e Benefícios'!U86/'Encargos e Benefícios'!C86)</f>
        <v>2313.8791328920006</v>
      </c>
      <c r="AM87" s="11">
        <f>IF('Encargos e Benefícios'!C86=0,0,'Encargos e Benefícios'!AC86/'Encargos e Benefícios'!C86)</f>
        <v>438.8</v>
      </c>
      <c r="AN87" s="119">
        <f>IF('Encargos e Benefícios'!C86=0,0,'Encargos e Benefícios'!AD86/'Encargos e Benefícios'!C86)</f>
        <v>9724.5278761219997</v>
      </c>
      <c r="AO87" s="32">
        <f t="shared" si="1"/>
        <v>6777.27</v>
      </c>
      <c r="AP87" s="31">
        <v>3515.09</v>
      </c>
      <c r="AQ87" s="31">
        <v>10039.450000000001</v>
      </c>
      <c r="AR87" s="210" t="s">
        <v>105</v>
      </c>
      <c r="AS87" s="32"/>
    </row>
    <row r="88" spans="1:45" ht="12.75" x14ac:dyDescent="0.2">
      <c r="A88" s="48">
        <v>82</v>
      </c>
      <c r="B88" s="12" t="str">
        <f>'Encargos e Benefícios'!B87</f>
        <v>Analista de Pedagogia</v>
      </c>
      <c r="C88" s="10">
        <f>'Encargos e Benefícios'!C87</f>
        <v>4</v>
      </c>
      <c r="D88" s="38" t="s">
        <v>616</v>
      </c>
      <c r="E88" s="174">
        <v>46023</v>
      </c>
      <c r="F88" s="173">
        <v>47118</v>
      </c>
      <c r="G88" s="172">
        <v>46023</v>
      </c>
      <c r="H88" s="370">
        <v>3.5000000000000003E-2</v>
      </c>
      <c r="I88" s="47"/>
      <c r="J88" s="47"/>
      <c r="K88" s="47"/>
      <c r="L88" s="47"/>
      <c r="M88" s="172">
        <v>46388</v>
      </c>
      <c r="N88" s="370">
        <v>0.04</v>
      </c>
      <c r="O88" s="47"/>
      <c r="P88" s="47"/>
      <c r="Q88" s="47"/>
      <c r="R88" s="47"/>
      <c r="S88" s="172">
        <v>46753</v>
      </c>
      <c r="T88" s="370">
        <v>0.04</v>
      </c>
      <c r="U88" s="47"/>
      <c r="V88" s="47"/>
      <c r="W88" s="47"/>
      <c r="X88" s="47"/>
      <c r="Y88" s="172"/>
      <c r="Z88" s="133"/>
      <c r="AA88" s="47"/>
      <c r="AB88" s="47"/>
      <c r="AC88" s="47"/>
      <c r="AD88" s="47"/>
      <c r="AE88" s="172"/>
      <c r="AF88" s="133"/>
      <c r="AG88" s="47"/>
      <c r="AH88" s="47"/>
      <c r="AI88" s="47"/>
      <c r="AJ88" s="136"/>
      <c r="AK88" s="11">
        <f>'Encargos e Benefícios'!D87</f>
        <v>3432.9771878639999</v>
      </c>
      <c r="AL88" s="11">
        <f>IF('Encargos e Benefícios'!C87=0,0,'Encargos e Benefícios'!U87/'Encargos e Benefícios'!C87)</f>
        <v>1139.3669844610856</v>
      </c>
      <c r="AM88" s="11">
        <f>IF('Encargos e Benefícios'!C87=0,0,'Encargos e Benefícios'!AC87/'Encargos e Benefícios'!C87)</f>
        <v>602.82136872816</v>
      </c>
      <c r="AN88" s="119">
        <f>IF('Encargos e Benefícios'!C87=0,0,'Encargos e Benefícios'!AD87/'Encargos e Benefícios'!C87)</f>
        <v>5175.1655410532458</v>
      </c>
      <c r="AO88" s="32">
        <f t="shared" si="1"/>
        <v>4280.8549999999996</v>
      </c>
      <c r="AP88" s="31">
        <v>3057.75</v>
      </c>
      <c r="AQ88" s="31">
        <v>5503.96</v>
      </c>
      <c r="AR88" s="210" t="s">
        <v>105</v>
      </c>
      <c r="AS88" s="32"/>
    </row>
    <row r="89" spans="1:45" ht="12.75" x14ac:dyDescent="0.2">
      <c r="A89" s="48">
        <v>83</v>
      </c>
      <c r="B89" s="12" t="str">
        <f>'Encargos e Benefícios'!B88</f>
        <v>Analista de Psicologia</v>
      </c>
      <c r="C89" s="10">
        <f>'Encargos e Benefícios'!C88</f>
        <v>4</v>
      </c>
      <c r="D89" s="38" t="s">
        <v>616</v>
      </c>
      <c r="E89" s="174">
        <v>46023</v>
      </c>
      <c r="F89" s="173">
        <v>47118</v>
      </c>
      <c r="G89" s="172">
        <v>46023</v>
      </c>
      <c r="H89" s="370">
        <v>3.5000000000000003E-2</v>
      </c>
      <c r="I89" s="47"/>
      <c r="J89" s="47"/>
      <c r="K89" s="47"/>
      <c r="L89" s="47"/>
      <c r="M89" s="172">
        <v>46388</v>
      </c>
      <c r="N89" s="370">
        <v>0.04</v>
      </c>
      <c r="O89" s="47"/>
      <c r="P89" s="47"/>
      <c r="Q89" s="47"/>
      <c r="R89" s="47"/>
      <c r="S89" s="172">
        <v>46753</v>
      </c>
      <c r="T89" s="370">
        <v>0.04</v>
      </c>
      <c r="U89" s="47"/>
      <c r="V89" s="47"/>
      <c r="W89" s="47"/>
      <c r="X89" s="47"/>
      <c r="Y89" s="172"/>
      <c r="Z89" s="133"/>
      <c r="AA89" s="47"/>
      <c r="AB89" s="47"/>
      <c r="AC89" s="47"/>
      <c r="AD89" s="47"/>
      <c r="AE89" s="172"/>
      <c r="AF89" s="133"/>
      <c r="AG89" s="47"/>
      <c r="AH89" s="47"/>
      <c r="AI89" s="47"/>
      <c r="AJ89" s="136"/>
      <c r="AK89" s="11">
        <f>'Encargos e Benefícios'!D88</f>
        <v>3432.9771878639999</v>
      </c>
      <c r="AL89" s="11">
        <f>IF('Encargos e Benefícios'!C88=0,0,'Encargos e Benefícios'!U88/'Encargos e Benefícios'!C88)</f>
        <v>1139.3669844610856</v>
      </c>
      <c r="AM89" s="11">
        <f>IF('Encargos e Benefícios'!C88=0,0,'Encargos e Benefícios'!AC88/'Encargos e Benefícios'!C88)</f>
        <v>602.82136872816</v>
      </c>
      <c r="AN89" s="119">
        <f>IF('Encargos e Benefícios'!C88=0,0,'Encargos e Benefícios'!AD88/'Encargos e Benefícios'!C88)</f>
        <v>5175.1655410532458</v>
      </c>
      <c r="AO89" s="32">
        <f t="shared" si="1"/>
        <v>4280.8549999999996</v>
      </c>
      <c r="AP89" s="31">
        <v>3057.75</v>
      </c>
      <c r="AQ89" s="31">
        <v>5503.96</v>
      </c>
      <c r="AR89" s="210" t="s">
        <v>105</v>
      </c>
      <c r="AS89" s="32"/>
    </row>
    <row r="90" spans="1:45" ht="12.75" x14ac:dyDescent="0.2">
      <c r="A90" s="48">
        <v>84</v>
      </c>
      <c r="B90" s="12" t="str">
        <f>'Encargos e Benefícios'!B89</f>
        <v>Analista de Terapia Ocupacional</v>
      </c>
      <c r="C90" s="10">
        <f>'Encargos e Benefícios'!C89</f>
        <v>3</v>
      </c>
      <c r="D90" s="38" t="s">
        <v>616</v>
      </c>
      <c r="E90" s="174">
        <v>46023</v>
      </c>
      <c r="F90" s="173">
        <v>47118</v>
      </c>
      <c r="G90" s="172">
        <v>46023</v>
      </c>
      <c r="H90" s="370">
        <v>3.5000000000000003E-2</v>
      </c>
      <c r="I90" s="47"/>
      <c r="J90" s="47"/>
      <c r="K90" s="47"/>
      <c r="L90" s="47"/>
      <c r="M90" s="172">
        <v>46388</v>
      </c>
      <c r="N90" s="370">
        <v>0.04</v>
      </c>
      <c r="O90" s="47"/>
      <c r="P90" s="47"/>
      <c r="Q90" s="47"/>
      <c r="R90" s="47"/>
      <c r="S90" s="172">
        <v>46753</v>
      </c>
      <c r="T90" s="370">
        <v>0.04</v>
      </c>
      <c r="U90" s="47"/>
      <c r="V90" s="47"/>
      <c r="W90" s="47"/>
      <c r="X90" s="47"/>
      <c r="Y90" s="172"/>
      <c r="Z90" s="133"/>
      <c r="AA90" s="47"/>
      <c r="AB90" s="47"/>
      <c r="AC90" s="47"/>
      <c r="AD90" s="47"/>
      <c r="AE90" s="172"/>
      <c r="AF90" s="133"/>
      <c r="AG90" s="47"/>
      <c r="AH90" s="47"/>
      <c r="AI90" s="47"/>
      <c r="AJ90" s="136"/>
      <c r="AK90" s="11">
        <f>'Encargos e Benefícios'!D89</f>
        <v>3432.9771878639999</v>
      </c>
      <c r="AL90" s="11">
        <f>IF('Encargos e Benefícios'!C89=0,0,'Encargos e Benefícios'!U89/'Encargos e Benefícios'!C89)</f>
        <v>1139.3669844610854</v>
      </c>
      <c r="AM90" s="11">
        <f>IF('Encargos e Benefícios'!C89=0,0,'Encargos e Benefícios'!AC89/'Encargos e Benefícios'!C89)</f>
        <v>602.82136872816</v>
      </c>
      <c r="AN90" s="119">
        <f>IF('Encargos e Benefícios'!C89=0,0,'Encargos e Benefícios'!AD89/'Encargos e Benefícios'!C89)</f>
        <v>5175.1655410532449</v>
      </c>
      <c r="AO90" s="32">
        <f t="shared" si="1"/>
        <v>4280.8549999999996</v>
      </c>
      <c r="AP90" s="31">
        <v>3057.75</v>
      </c>
      <c r="AQ90" s="31">
        <v>5503.96</v>
      </c>
      <c r="AR90" s="210" t="s">
        <v>105</v>
      </c>
      <c r="AS90" s="32"/>
    </row>
    <row r="91" spans="1:45" ht="12.75" x14ac:dyDescent="0.2">
      <c r="A91" s="48">
        <v>85</v>
      </c>
      <c r="B91" s="12" t="str">
        <f>'Encargos e Benefícios'!B90</f>
        <v>Analista de Assistencia Social</v>
      </c>
      <c r="C91" s="10">
        <f>'Encargos e Benefícios'!C90</f>
        <v>4</v>
      </c>
      <c r="D91" s="38" t="s">
        <v>616</v>
      </c>
      <c r="E91" s="174">
        <v>46023</v>
      </c>
      <c r="F91" s="173">
        <v>47118</v>
      </c>
      <c r="G91" s="172">
        <v>46023</v>
      </c>
      <c r="H91" s="370">
        <v>3.5000000000000003E-2</v>
      </c>
      <c r="I91" s="47"/>
      <c r="J91" s="47"/>
      <c r="K91" s="47"/>
      <c r="L91" s="47"/>
      <c r="M91" s="172">
        <v>46388</v>
      </c>
      <c r="N91" s="370">
        <v>0.04</v>
      </c>
      <c r="O91" s="47"/>
      <c r="P91" s="47"/>
      <c r="Q91" s="47"/>
      <c r="R91" s="47"/>
      <c r="S91" s="172">
        <v>46753</v>
      </c>
      <c r="T91" s="370">
        <v>0.04</v>
      </c>
      <c r="U91" s="47"/>
      <c r="V91" s="47"/>
      <c r="W91" s="47"/>
      <c r="X91" s="47"/>
      <c r="Y91" s="172"/>
      <c r="Z91" s="133"/>
      <c r="AA91" s="47"/>
      <c r="AB91" s="47"/>
      <c r="AC91" s="47"/>
      <c r="AD91" s="47"/>
      <c r="AE91" s="172"/>
      <c r="AF91" s="133"/>
      <c r="AG91" s="47"/>
      <c r="AH91" s="47"/>
      <c r="AI91" s="47"/>
      <c r="AJ91" s="136"/>
      <c r="AK91" s="11">
        <f>'Encargos e Benefícios'!D90</f>
        <v>3432.9771878639999</v>
      </c>
      <c r="AL91" s="11">
        <f>IF('Encargos e Benefícios'!C90=0,0,'Encargos e Benefícios'!U90/'Encargos e Benefícios'!C90)</f>
        <v>1139.3669844610856</v>
      </c>
      <c r="AM91" s="11">
        <f>IF('Encargos e Benefícios'!C90=0,0,'Encargos e Benefícios'!AC90/'Encargos e Benefícios'!C90)</f>
        <v>602.82136872816</v>
      </c>
      <c r="AN91" s="119">
        <f>IF('Encargos e Benefícios'!C90=0,0,'Encargos e Benefícios'!AD90/'Encargos e Benefícios'!C90)</f>
        <v>5175.1655410532458</v>
      </c>
      <c r="AO91" s="32">
        <f t="shared" si="1"/>
        <v>4280.8549999999996</v>
      </c>
      <c r="AP91" s="31">
        <v>3057.75</v>
      </c>
      <c r="AQ91" s="31">
        <v>5503.96</v>
      </c>
      <c r="AR91" s="210" t="s">
        <v>105</v>
      </c>
      <c r="AS91" s="32"/>
    </row>
    <row r="92" spans="1:45" ht="12.75" x14ac:dyDescent="0.2">
      <c r="A92" s="48">
        <v>86</v>
      </c>
      <c r="B92" s="12" t="str">
        <f>'Encargos e Benefícios'!B91</f>
        <v>Analista de Direito</v>
      </c>
      <c r="C92" s="10">
        <f>'Encargos e Benefícios'!C91</f>
        <v>4</v>
      </c>
      <c r="D92" s="38" t="s">
        <v>616</v>
      </c>
      <c r="E92" s="174">
        <v>46023</v>
      </c>
      <c r="F92" s="173">
        <v>47118</v>
      </c>
      <c r="G92" s="172">
        <v>46023</v>
      </c>
      <c r="H92" s="370">
        <v>3.5000000000000003E-2</v>
      </c>
      <c r="I92" s="47"/>
      <c r="J92" s="47"/>
      <c r="K92" s="47"/>
      <c r="L92" s="47"/>
      <c r="M92" s="172">
        <v>46388</v>
      </c>
      <c r="N92" s="370">
        <v>0.04</v>
      </c>
      <c r="O92" s="47"/>
      <c r="P92" s="47"/>
      <c r="Q92" s="47"/>
      <c r="R92" s="47"/>
      <c r="S92" s="172">
        <v>46753</v>
      </c>
      <c r="T92" s="370">
        <v>0.04</v>
      </c>
      <c r="U92" s="47"/>
      <c r="V92" s="47"/>
      <c r="W92" s="47"/>
      <c r="X92" s="47"/>
      <c r="Y92" s="172"/>
      <c r="Z92" s="133"/>
      <c r="AA92" s="47"/>
      <c r="AB92" s="47"/>
      <c r="AC92" s="47"/>
      <c r="AD92" s="47"/>
      <c r="AE92" s="172"/>
      <c r="AF92" s="133"/>
      <c r="AG92" s="47"/>
      <c r="AH92" s="47"/>
      <c r="AI92" s="47"/>
      <c r="AJ92" s="136"/>
      <c r="AK92" s="11">
        <f>'Encargos e Benefícios'!D91</f>
        <v>3432.9771878639999</v>
      </c>
      <c r="AL92" s="11">
        <f>IF('Encargos e Benefícios'!C91=0,0,'Encargos e Benefícios'!U91/'Encargos e Benefícios'!C91)</f>
        <v>1139.3669844610856</v>
      </c>
      <c r="AM92" s="11">
        <f>IF('Encargos e Benefícios'!C91=0,0,'Encargos e Benefícios'!AC91/'Encargos e Benefícios'!C91)</f>
        <v>602.82136872816</v>
      </c>
      <c r="AN92" s="119">
        <f>IF('Encargos e Benefícios'!C91=0,0,'Encargos e Benefícios'!AD91/'Encargos e Benefícios'!C91)</f>
        <v>5175.1655410532458</v>
      </c>
      <c r="AO92" s="32">
        <f t="shared" si="1"/>
        <v>4280.8549999999996</v>
      </c>
      <c r="AP92" s="31">
        <v>3057.75</v>
      </c>
      <c r="AQ92" s="31">
        <v>5503.96</v>
      </c>
      <c r="AR92" s="210" t="s">
        <v>105</v>
      </c>
      <c r="AS92" s="32"/>
    </row>
    <row r="93" spans="1:45" ht="12.75" x14ac:dyDescent="0.2">
      <c r="A93" s="48">
        <v>87</v>
      </c>
      <c r="B93" s="12" t="str">
        <f>'Encargos e Benefícios'!B92</f>
        <v>Analista de Educação Física</v>
      </c>
      <c r="C93" s="10">
        <f>'Encargos e Benefícios'!C92</f>
        <v>2</v>
      </c>
      <c r="D93" s="38" t="s">
        <v>616</v>
      </c>
      <c r="E93" s="174">
        <v>46023</v>
      </c>
      <c r="F93" s="173">
        <v>47118</v>
      </c>
      <c r="G93" s="172">
        <v>46023</v>
      </c>
      <c r="H93" s="370">
        <v>3.5000000000000003E-2</v>
      </c>
      <c r="I93" s="47"/>
      <c r="J93" s="47"/>
      <c r="K93" s="47"/>
      <c r="L93" s="47"/>
      <c r="M93" s="172">
        <v>46388</v>
      </c>
      <c r="N93" s="370">
        <v>0.04</v>
      </c>
      <c r="O93" s="47"/>
      <c r="P93" s="47"/>
      <c r="Q93" s="47"/>
      <c r="R93" s="47"/>
      <c r="S93" s="172">
        <v>46753</v>
      </c>
      <c r="T93" s="370">
        <v>0.04</v>
      </c>
      <c r="U93" s="47"/>
      <c r="V93" s="47"/>
      <c r="W93" s="47"/>
      <c r="X93" s="47"/>
      <c r="Y93" s="172"/>
      <c r="Z93" s="133"/>
      <c r="AA93" s="47"/>
      <c r="AB93" s="47"/>
      <c r="AC93" s="47"/>
      <c r="AD93" s="47"/>
      <c r="AE93" s="172"/>
      <c r="AF93" s="133"/>
      <c r="AG93" s="47"/>
      <c r="AH93" s="47"/>
      <c r="AI93" s="47"/>
      <c r="AJ93" s="136"/>
      <c r="AK93" s="11">
        <f>'Encargos e Benefícios'!D92</f>
        <v>3432.9771878639999</v>
      </c>
      <c r="AL93" s="11">
        <f>IF('Encargos e Benefícios'!C92=0,0,'Encargos e Benefícios'!U92/'Encargos e Benefícios'!C92)</f>
        <v>1139.3669844610856</v>
      </c>
      <c r="AM93" s="11">
        <f>IF('Encargos e Benefícios'!C92=0,0,'Encargos e Benefícios'!AC92/'Encargos e Benefícios'!C92)</f>
        <v>602.82136872816</v>
      </c>
      <c r="AN93" s="119">
        <f>IF('Encargos e Benefícios'!C92=0,0,'Encargos e Benefícios'!AD92/'Encargos e Benefícios'!C92)</f>
        <v>5175.1655410532458</v>
      </c>
      <c r="AO93" s="32">
        <f t="shared" si="1"/>
        <v>4280.8549999999996</v>
      </c>
      <c r="AP93" s="31">
        <v>3057.75</v>
      </c>
      <c r="AQ93" s="31">
        <v>5503.96</v>
      </c>
      <c r="AR93" s="210" t="s">
        <v>105</v>
      </c>
      <c r="AS93" s="32"/>
    </row>
    <row r="94" spans="1:45" ht="12.75" x14ac:dyDescent="0.2">
      <c r="A94" s="48">
        <v>88</v>
      </c>
      <c r="B94" s="12" t="str">
        <f>'Encargos e Benefícios'!B93</f>
        <v>Auxiliar Educacional</v>
      </c>
      <c r="C94" s="10">
        <f>'Encargos e Benefícios'!C93</f>
        <v>12</v>
      </c>
      <c r="D94" s="38" t="s">
        <v>615</v>
      </c>
      <c r="E94" s="174">
        <v>46023</v>
      </c>
      <c r="F94" s="173">
        <v>47118</v>
      </c>
      <c r="G94" s="172">
        <v>46023</v>
      </c>
      <c r="H94" s="370">
        <v>3.5000000000000003E-2</v>
      </c>
      <c r="I94" s="47"/>
      <c r="J94" s="47"/>
      <c r="K94" s="47"/>
      <c r="L94" s="47"/>
      <c r="M94" s="172">
        <v>46388</v>
      </c>
      <c r="N94" s="370">
        <v>0.04</v>
      </c>
      <c r="O94" s="47"/>
      <c r="P94" s="47"/>
      <c r="Q94" s="47"/>
      <c r="R94" s="47"/>
      <c r="S94" s="172">
        <v>46753</v>
      </c>
      <c r="T94" s="370">
        <v>0.04</v>
      </c>
      <c r="U94" s="47"/>
      <c r="V94" s="47"/>
      <c r="W94" s="47"/>
      <c r="X94" s="47"/>
      <c r="Y94" s="172"/>
      <c r="Z94" s="133"/>
      <c r="AA94" s="47"/>
      <c r="AB94" s="47"/>
      <c r="AC94" s="47"/>
      <c r="AD94" s="47"/>
      <c r="AE94" s="172"/>
      <c r="AF94" s="133"/>
      <c r="AG94" s="47"/>
      <c r="AH94" s="47"/>
      <c r="AI94" s="47"/>
      <c r="AJ94" s="136"/>
      <c r="AK94" s="11">
        <f>'Encargos e Benefícios'!D93</f>
        <v>1954.7239466999999</v>
      </c>
      <c r="AL94" s="11">
        <f>IF('Encargos e Benefícios'!C93=0,0,'Encargos e Benefícios'!U93/'Encargos e Benefícios'!C93)</f>
        <v>1429.7936903911966</v>
      </c>
      <c r="AM94" s="11">
        <f>IF('Encargos e Benefícios'!C93=0,0,'Encargos e Benefícios'!AC93/'Encargos e Benefícios'!C93)</f>
        <v>691.51656319799997</v>
      </c>
      <c r="AN94" s="119">
        <f>IF('Encargos e Benefícios'!C93=0,0,'Encargos e Benefícios'!AD93/'Encargos e Benefícios'!C93)</f>
        <v>4076.0342002891962</v>
      </c>
      <c r="AO94" s="32">
        <f t="shared" si="1"/>
        <v>3332.11</v>
      </c>
      <c r="AP94" s="31">
        <v>2380.08</v>
      </c>
      <c r="AQ94" s="31">
        <v>4284.1400000000003</v>
      </c>
      <c r="AR94" s="210" t="s">
        <v>105</v>
      </c>
      <c r="AS94" s="32"/>
    </row>
    <row r="95" spans="1:45" ht="12.75" x14ac:dyDescent="0.2">
      <c r="A95" s="48">
        <v>89</v>
      </c>
      <c r="B95" s="12" t="str">
        <f>'Encargos e Benefícios'!B94</f>
        <v>Auxiliar Administrativo</v>
      </c>
      <c r="C95" s="10">
        <f>'Encargos e Benefícios'!C94</f>
        <v>4</v>
      </c>
      <c r="D95" s="38" t="s">
        <v>615</v>
      </c>
      <c r="E95" s="174">
        <v>46023</v>
      </c>
      <c r="F95" s="173">
        <v>47118</v>
      </c>
      <c r="G95" s="172">
        <v>46023</v>
      </c>
      <c r="H95" s="370">
        <v>3.5000000000000003E-2</v>
      </c>
      <c r="I95" s="47"/>
      <c r="J95" s="47"/>
      <c r="K95" s="47"/>
      <c r="L95" s="47"/>
      <c r="M95" s="172">
        <v>46388</v>
      </c>
      <c r="N95" s="370">
        <v>0.04</v>
      </c>
      <c r="O95" s="47"/>
      <c r="P95" s="47"/>
      <c r="Q95" s="47"/>
      <c r="R95" s="47"/>
      <c r="S95" s="172">
        <v>46753</v>
      </c>
      <c r="T95" s="370">
        <v>0.04</v>
      </c>
      <c r="U95" s="47"/>
      <c r="V95" s="47"/>
      <c r="W95" s="47"/>
      <c r="X95" s="47"/>
      <c r="Y95" s="172"/>
      <c r="Z95" s="133"/>
      <c r="AA95" s="47"/>
      <c r="AB95" s="47"/>
      <c r="AC95" s="47"/>
      <c r="AD95" s="47"/>
      <c r="AE95" s="172"/>
      <c r="AF95" s="133"/>
      <c r="AG95" s="47"/>
      <c r="AH95" s="47"/>
      <c r="AI95" s="47"/>
      <c r="AJ95" s="136"/>
      <c r="AK95" s="11">
        <f>'Encargos e Benefícios'!D94</f>
        <v>1954.7239466999999</v>
      </c>
      <c r="AL95" s="11">
        <f>IF('Encargos e Benefícios'!C94=0,0,'Encargos e Benefícios'!U94/'Encargos e Benefícios'!C94)</f>
        <v>648.75115875476661</v>
      </c>
      <c r="AM95" s="11">
        <f>IF('Encargos e Benefícios'!C94=0,0,'Encargos e Benefícios'!AC94/'Encargos e Benefícios'!C94)</f>
        <v>691.51656319799997</v>
      </c>
      <c r="AN95" s="119">
        <f>IF('Encargos e Benefícios'!C94=0,0,'Encargos e Benefícios'!AD94/'Encargos e Benefícios'!C94)</f>
        <v>3294.9916686527663</v>
      </c>
      <c r="AO95" s="32">
        <f t="shared" si="1"/>
        <v>3332.11</v>
      </c>
      <c r="AP95" s="31">
        <v>2380.08</v>
      </c>
      <c r="AQ95" s="31">
        <v>4284.1400000000003</v>
      </c>
      <c r="AR95" s="210" t="s">
        <v>105</v>
      </c>
      <c r="AS95" s="32"/>
    </row>
    <row r="96" spans="1:45" ht="12.75" x14ac:dyDescent="0.2">
      <c r="A96" s="48">
        <v>90</v>
      </c>
      <c r="B96" s="12" t="str">
        <f>'Encargos e Benefícios'!B95</f>
        <v>Auxiliar de Serviços Gerais</v>
      </c>
      <c r="C96" s="10">
        <f>'Encargos e Benefícios'!C95</f>
        <v>4</v>
      </c>
      <c r="D96" s="38" t="s">
        <v>615</v>
      </c>
      <c r="E96" s="174">
        <v>46023</v>
      </c>
      <c r="F96" s="173">
        <v>47118</v>
      </c>
      <c r="G96" s="172">
        <v>46023</v>
      </c>
      <c r="H96" s="370">
        <v>3.5000000000000003E-2</v>
      </c>
      <c r="I96" s="47"/>
      <c r="J96" s="47"/>
      <c r="K96" s="47"/>
      <c r="L96" s="47"/>
      <c r="M96" s="172">
        <v>46388</v>
      </c>
      <c r="N96" s="370">
        <v>0.04</v>
      </c>
      <c r="O96" s="47"/>
      <c r="P96" s="47"/>
      <c r="Q96" s="47"/>
      <c r="R96" s="47"/>
      <c r="S96" s="172">
        <v>46753</v>
      </c>
      <c r="T96" s="370">
        <v>0.04</v>
      </c>
      <c r="U96" s="47"/>
      <c r="V96" s="47"/>
      <c r="W96" s="47"/>
      <c r="X96" s="47"/>
      <c r="Y96" s="172"/>
      <c r="Z96" s="133"/>
      <c r="AA96" s="47"/>
      <c r="AB96" s="47"/>
      <c r="AC96" s="47"/>
      <c r="AD96" s="47"/>
      <c r="AE96" s="172"/>
      <c r="AF96" s="133"/>
      <c r="AG96" s="47"/>
      <c r="AH96" s="47"/>
      <c r="AI96" s="47"/>
      <c r="AJ96" s="136"/>
      <c r="AK96" s="11">
        <f>'Encargos e Benefícios'!D95</f>
        <v>1604</v>
      </c>
      <c r="AL96" s="11">
        <f>IF('Encargos e Benefícios'!C95=0,0,'Encargos e Benefícios'!U95/'Encargos e Benefícios'!C95)</f>
        <v>532.34977777777783</v>
      </c>
      <c r="AM96" s="11">
        <f>IF('Encargos e Benefícios'!C95=0,0,'Encargos e Benefícios'!AC95/'Encargos e Benefícios'!C95)</f>
        <v>712.56</v>
      </c>
      <c r="AN96" s="119">
        <f>IF('Encargos e Benefícios'!C95=0,0,'Encargos e Benefícios'!AD95/'Encargos e Benefícios'!C95)</f>
        <v>2848.9097777777779</v>
      </c>
      <c r="AO96" s="32">
        <f t="shared" si="1"/>
        <v>2286.52</v>
      </c>
      <c r="AP96" s="31">
        <v>1633.23</v>
      </c>
      <c r="AQ96" s="31">
        <v>2939.81</v>
      </c>
      <c r="AR96" s="210" t="s">
        <v>105</v>
      </c>
      <c r="AS96" s="32"/>
    </row>
    <row r="97" spans="1:45" ht="12.75" x14ac:dyDescent="0.2">
      <c r="A97" s="48">
        <v>91</v>
      </c>
      <c r="B97" s="12" t="str">
        <f>'Encargos e Benefícios'!B96</f>
        <v>Motorista</v>
      </c>
      <c r="C97" s="10">
        <f>'Encargos e Benefícios'!C96</f>
        <v>5</v>
      </c>
      <c r="D97" s="38" t="s">
        <v>615</v>
      </c>
      <c r="E97" s="174">
        <v>46023</v>
      </c>
      <c r="F97" s="173">
        <v>47118</v>
      </c>
      <c r="G97" s="172">
        <v>46023</v>
      </c>
      <c r="H97" s="370">
        <v>3.5000000000000003E-2</v>
      </c>
      <c r="I97" s="47"/>
      <c r="J97" s="47"/>
      <c r="K97" s="47"/>
      <c r="L97" s="47"/>
      <c r="M97" s="172">
        <v>46388</v>
      </c>
      <c r="N97" s="370">
        <v>0.04</v>
      </c>
      <c r="O97" s="47"/>
      <c r="P97" s="47"/>
      <c r="Q97" s="47"/>
      <c r="R97" s="47"/>
      <c r="S97" s="172">
        <v>46753</v>
      </c>
      <c r="T97" s="370">
        <v>0.04</v>
      </c>
      <c r="U97" s="47"/>
      <c r="V97" s="47"/>
      <c r="W97" s="47"/>
      <c r="X97" s="47"/>
      <c r="Y97" s="172"/>
      <c r="Z97" s="133"/>
      <c r="AA97" s="47"/>
      <c r="AB97" s="47"/>
      <c r="AC97" s="47"/>
      <c r="AD97" s="47"/>
      <c r="AE97" s="172"/>
      <c r="AF97" s="133"/>
      <c r="AG97" s="47"/>
      <c r="AH97" s="47"/>
      <c r="AI97" s="47"/>
      <c r="AJ97" s="136"/>
      <c r="AK97" s="11">
        <f>'Encargos e Benefícios'!D96</f>
        <v>2216.5886211419997</v>
      </c>
      <c r="AL97" s="11">
        <f>IF('Encargos e Benefícios'!C96=0,0,'Encargos e Benefícios'!U96/'Encargos e Benefícios'!C96)</f>
        <v>735.66113459457267</v>
      </c>
      <c r="AM97" s="11">
        <f>IF('Encargos e Benefícios'!C96=0,0,'Encargos e Benefícios'!AC96/'Encargos e Benefícios'!C96)</f>
        <v>675.80468273147994</v>
      </c>
      <c r="AN97" s="119">
        <f>IF('Encargos e Benefícios'!C96=0,0,'Encargos e Benefícios'!AD96/'Encargos e Benefícios'!C96)</f>
        <v>3628.0544384680529</v>
      </c>
      <c r="AO97" s="32">
        <f t="shared" si="1"/>
        <v>2638.67</v>
      </c>
      <c r="AP97" s="31">
        <v>1884.76</v>
      </c>
      <c r="AQ97" s="31">
        <v>3392.58</v>
      </c>
      <c r="AR97" s="210" t="s">
        <v>105</v>
      </c>
      <c r="AS97" s="32"/>
    </row>
    <row r="98" spans="1:45" ht="12.75" x14ac:dyDescent="0.2">
      <c r="A98" s="48">
        <v>92</v>
      </c>
      <c r="B98" s="12" t="str">
        <f>'Encargos e Benefícios'!B97</f>
        <v xml:space="preserve">Gestor de Monitoria e Socioeducação </v>
      </c>
      <c r="C98" s="10">
        <f>'Encargos e Benefícios'!C97</f>
        <v>1</v>
      </c>
      <c r="D98" s="38" t="s">
        <v>615</v>
      </c>
      <c r="E98" s="174">
        <v>46023</v>
      </c>
      <c r="F98" s="173">
        <v>47118</v>
      </c>
      <c r="G98" s="172">
        <v>46023</v>
      </c>
      <c r="H98" s="370">
        <v>3.5000000000000003E-2</v>
      </c>
      <c r="I98" s="47"/>
      <c r="J98" s="47"/>
      <c r="K98" s="47"/>
      <c r="L98" s="47"/>
      <c r="M98" s="172">
        <v>46388</v>
      </c>
      <c r="N98" s="370">
        <v>0.04</v>
      </c>
      <c r="O98" s="47"/>
      <c r="P98" s="47"/>
      <c r="Q98" s="47"/>
      <c r="R98" s="47"/>
      <c r="S98" s="172">
        <v>46753</v>
      </c>
      <c r="T98" s="370">
        <v>0.04</v>
      </c>
      <c r="U98" s="47"/>
      <c r="V98" s="47"/>
      <c r="W98" s="47"/>
      <c r="X98" s="47"/>
      <c r="Y98" s="172"/>
      <c r="Z98" s="133"/>
      <c r="AA98" s="47"/>
      <c r="AB98" s="47"/>
      <c r="AC98" s="47"/>
      <c r="AD98" s="47"/>
      <c r="AE98" s="172"/>
      <c r="AF98" s="133"/>
      <c r="AG98" s="47"/>
      <c r="AH98" s="47"/>
      <c r="AI98" s="47"/>
      <c r="AJ98" s="136"/>
      <c r="AK98" s="11">
        <f>'Encargos e Benefícios'!D97</f>
        <v>6971.8487432299989</v>
      </c>
      <c r="AL98" s="11">
        <f>IF('Encargos e Benefícios'!C97=0,0,'Encargos e Benefícios'!U97/'Encargos e Benefícios'!C97)</f>
        <v>2313.8791328920006</v>
      </c>
      <c r="AM98" s="11">
        <f>IF('Encargos e Benefícios'!C97=0,0,'Encargos e Benefícios'!AC97/'Encargos e Benefícios'!C97)</f>
        <v>438.8</v>
      </c>
      <c r="AN98" s="119">
        <f>IF('Encargos e Benefícios'!C97=0,0,'Encargos e Benefícios'!AD97/'Encargos e Benefícios'!C97)</f>
        <v>9724.5278761219997</v>
      </c>
      <c r="AO98" s="32">
        <f t="shared" si="1"/>
        <v>6777.27</v>
      </c>
      <c r="AP98" s="31">
        <v>3515.09</v>
      </c>
      <c r="AQ98" s="31">
        <v>10039.450000000001</v>
      </c>
      <c r="AR98" s="210" t="s">
        <v>105</v>
      </c>
      <c r="AS98" s="32"/>
    </row>
    <row r="99" spans="1:45" ht="12.75" x14ac:dyDescent="0.2">
      <c r="A99" s="48">
        <v>93</v>
      </c>
      <c r="B99" s="12" t="str">
        <f>'Encargos e Benefícios'!B98</f>
        <v>Socioeducador</v>
      </c>
      <c r="C99" s="10">
        <f>'Encargos e Benefícios'!C98</f>
        <v>85</v>
      </c>
      <c r="D99" s="38" t="s">
        <v>615</v>
      </c>
      <c r="E99" s="174">
        <v>46023</v>
      </c>
      <c r="F99" s="173">
        <v>47118</v>
      </c>
      <c r="G99" s="172">
        <v>46023</v>
      </c>
      <c r="H99" s="370">
        <v>3.5000000000000003E-2</v>
      </c>
      <c r="I99" s="47"/>
      <c r="J99" s="47"/>
      <c r="K99" s="47"/>
      <c r="L99" s="47"/>
      <c r="M99" s="172">
        <v>46388</v>
      </c>
      <c r="N99" s="370">
        <v>0.04</v>
      </c>
      <c r="O99" s="47"/>
      <c r="P99" s="47"/>
      <c r="Q99" s="47"/>
      <c r="R99" s="47"/>
      <c r="S99" s="172">
        <v>46753</v>
      </c>
      <c r="T99" s="370">
        <v>0.04</v>
      </c>
      <c r="U99" s="47"/>
      <c r="V99" s="47"/>
      <c r="W99" s="47"/>
      <c r="X99" s="47"/>
      <c r="Y99" s="172"/>
      <c r="Z99" s="133"/>
      <c r="AA99" s="47"/>
      <c r="AB99" s="47"/>
      <c r="AC99" s="47"/>
      <c r="AD99" s="47"/>
      <c r="AE99" s="172"/>
      <c r="AF99" s="133"/>
      <c r="AG99" s="47"/>
      <c r="AH99" s="47"/>
      <c r="AI99" s="47"/>
      <c r="AJ99" s="136"/>
      <c r="AK99" s="11">
        <f>'Encargos e Benefícios'!D98</f>
        <v>2475.9907000000003</v>
      </c>
      <c r="AL99" s="11">
        <f>IF('Encargos e Benefícios'!C98=0,0,'Encargos e Benefícios'!U98/'Encargos e Benefícios'!C98)</f>
        <v>2324.7493554982561</v>
      </c>
      <c r="AM99" s="11">
        <f>IF('Encargos e Benefícios'!C98=0,0,'Encargos e Benefícios'!AC98/'Encargos e Benefícios'!C98)</f>
        <v>660.24055799999996</v>
      </c>
      <c r="AN99" s="119">
        <f>IF('Encargos e Benefícios'!C98=0,0,'Encargos e Benefícios'!AD98/'Encargos e Benefícios'!C98)</f>
        <v>5460.9806134982564</v>
      </c>
      <c r="AO99" s="32">
        <f t="shared" si="1"/>
        <v>2621.0150000000003</v>
      </c>
      <c r="AP99" s="31">
        <v>1906.88</v>
      </c>
      <c r="AQ99" s="31">
        <v>3335.15</v>
      </c>
      <c r="AR99" s="210" t="s">
        <v>105</v>
      </c>
      <c r="AS99" s="32"/>
    </row>
    <row r="100" spans="1:45" ht="22.5" x14ac:dyDescent="0.2">
      <c r="A100" s="48">
        <v>94</v>
      </c>
      <c r="B100" s="12" t="str">
        <f>'Encargos e Benefícios'!B99</f>
        <v>Socioeducador</v>
      </c>
      <c r="C100" s="10">
        <f>'Encargos e Benefícios'!C99</f>
        <v>40</v>
      </c>
      <c r="D100" s="38" t="s">
        <v>617</v>
      </c>
      <c r="E100" s="174">
        <v>46023</v>
      </c>
      <c r="F100" s="173">
        <v>47118</v>
      </c>
      <c r="G100" s="172">
        <v>46023</v>
      </c>
      <c r="H100" s="370">
        <v>3.5000000000000003E-2</v>
      </c>
      <c r="I100" s="47"/>
      <c r="J100" s="47"/>
      <c r="K100" s="47"/>
      <c r="L100" s="47"/>
      <c r="M100" s="172">
        <v>46388</v>
      </c>
      <c r="N100" s="370">
        <v>0.04</v>
      </c>
      <c r="O100" s="47"/>
      <c r="P100" s="47"/>
      <c r="Q100" s="47"/>
      <c r="R100" s="47"/>
      <c r="S100" s="172">
        <v>46753</v>
      </c>
      <c r="T100" s="370">
        <v>0.04</v>
      </c>
      <c r="U100" s="47"/>
      <c r="V100" s="47"/>
      <c r="W100" s="47"/>
      <c r="X100" s="47"/>
      <c r="Y100" s="172"/>
      <c r="Z100" s="133"/>
      <c r="AA100" s="47"/>
      <c r="AB100" s="47"/>
      <c r="AC100" s="47"/>
      <c r="AD100" s="47"/>
      <c r="AE100" s="172"/>
      <c r="AF100" s="133"/>
      <c r="AG100" s="47"/>
      <c r="AH100" s="47"/>
      <c r="AI100" s="47"/>
      <c r="AJ100" s="136"/>
      <c r="AK100" s="11">
        <f>'Encargos e Benefícios'!D99</f>
        <v>2475.9907000000003</v>
      </c>
      <c r="AL100" s="11">
        <f>IF('Encargos e Benefícios'!C99=0,0,'Encargos e Benefícios'!U99/'Encargos e Benefícios'!C99)</f>
        <v>2779.2829471025034</v>
      </c>
      <c r="AM100" s="11">
        <f>IF('Encargos e Benefícios'!C99=0,0,'Encargos e Benefícios'!AC99/'Encargos e Benefícios'!C99)</f>
        <v>660.24055799999996</v>
      </c>
      <c r="AN100" s="119">
        <f>IF('Encargos e Benefícios'!C99=0,0,'Encargos e Benefícios'!AD99/'Encargos e Benefícios'!C99)</f>
        <v>5915.5142051025041</v>
      </c>
      <c r="AO100" s="32">
        <f t="shared" si="1"/>
        <v>2621.0150000000003</v>
      </c>
      <c r="AP100" s="31">
        <v>1906.88</v>
      </c>
      <c r="AQ100" s="31">
        <v>3335.15</v>
      </c>
      <c r="AR100" s="210" t="s">
        <v>105</v>
      </c>
      <c r="AS100" s="32"/>
    </row>
    <row r="101" spans="1:45" ht="22.5" x14ac:dyDescent="0.2">
      <c r="A101" s="48">
        <v>95</v>
      </c>
      <c r="B101" s="12" t="str">
        <f>'Encargos e Benefícios'!B100</f>
        <v>Supervisor</v>
      </c>
      <c r="C101" s="10">
        <f>'Encargos e Benefícios'!C100</f>
        <v>4</v>
      </c>
      <c r="D101" s="38" t="s">
        <v>617</v>
      </c>
      <c r="E101" s="174">
        <v>46023</v>
      </c>
      <c r="F101" s="173">
        <v>47118</v>
      </c>
      <c r="G101" s="172">
        <v>46023</v>
      </c>
      <c r="H101" s="370">
        <v>3.5000000000000003E-2</v>
      </c>
      <c r="I101" s="47"/>
      <c r="J101" s="47"/>
      <c r="K101" s="47"/>
      <c r="L101" s="47"/>
      <c r="M101" s="172">
        <v>46388</v>
      </c>
      <c r="N101" s="370">
        <v>0.04</v>
      </c>
      <c r="O101" s="47"/>
      <c r="P101" s="47"/>
      <c r="Q101" s="47"/>
      <c r="R101" s="47"/>
      <c r="S101" s="172">
        <v>46753</v>
      </c>
      <c r="T101" s="370">
        <v>0.04</v>
      </c>
      <c r="U101" s="47"/>
      <c r="V101" s="47"/>
      <c r="W101" s="47"/>
      <c r="X101" s="47"/>
      <c r="Y101" s="172"/>
      <c r="Z101" s="133"/>
      <c r="AA101" s="47"/>
      <c r="AB101" s="47"/>
      <c r="AC101" s="47"/>
      <c r="AD101" s="47"/>
      <c r="AE101" s="172"/>
      <c r="AF101" s="133"/>
      <c r="AG101" s="47"/>
      <c r="AH101" s="47"/>
      <c r="AI101" s="47"/>
      <c r="AJ101" s="136"/>
      <c r="AK101" s="11">
        <f>'Encargos e Benefícios'!D100</f>
        <v>4195.9728999999998</v>
      </c>
      <c r="AL101" s="11">
        <f>IF('Encargos e Benefícios'!C100=0,0,'Encargos e Benefícios'!U100/'Encargos e Benefícios'!C100)</f>
        <v>1392.5967835888887</v>
      </c>
      <c r="AM101" s="11">
        <f>IF('Encargos e Benefícios'!C100=0,0,'Encargos e Benefícios'!AC100/'Encargos e Benefícios'!C100)</f>
        <v>557.04162599999995</v>
      </c>
      <c r="AN101" s="119">
        <f>IF('Encargos e Benefícios'!C100=0,0,'Encargos e Benefícios'!AD100/'Encargos e Benefícios'!C100)</f>
        <v>6145.6113095888886</v>
      </c>
      <c r="AO101" s="32">
        <f t="shared" si="1"/>
        <v>4917.4850000000006</v>
      </c>
      <c r="AP101" s="31">
        <v>2550.5</v>
      </c>
      <c r="AQ101" s="31">
        <v>7284.47</v>
      </c>
      <c r="AR101" s="210" t="s">
        <v>105</v>
      </c>
      <c r="AS101" s="32"/>
    </row>
    <row r="102" spans="1:45" ht="22.5" x14ac:dyDescent="0.2">
      <c r="A102" s="48">
        <v>96</v>
      </c>
      <c r="B102" s="12" t="str">
        <f>'Encargos e Benefícios'!B101</f>
        <v>Enfermeiro</v>
      </c>
      <c r="C102" s="10">
        <f>'Encargos e Benefícios'!C101</f>
        <v>2</v>
      </c>
      <c r="D102" s="38" t="s">
        <v>617</v>
      </c>
      <c r="E102" s="174">
        <v>46023</v>
      </c>
      <c r="F102" s="173">
        <v>47118</v>
      </c>
      <c r="G102" s="172">
        <v>46023</v>
      </c>
      <c r="H102" s="370">
        <v>3.5000000000000003E-2</v>
      </c>
      <c r="I102" s="47"/>
      <c r="J102" s="47"/>
      <c r="K102" s="47"/>
      <c r="L102" s="47"/>
      <c r="M102" s="172">
        <v>46388</v>
      </c>
      <c r="N102" s="370">
        <v>0.04</v>
      </c>
      <c r="O102" s="47"/>
      <c r="P102" s="47"/>
      <c r="Q102" s="47"/>
      <c r="R102" s="47"/>
      <c r="S102" s="172">
        <v>46753</v>
      </c>
      <c r="T102" s="370">
        <v>0.04</v>
      </c>
      <c r="U102" s="47"/>
      <c r="V102" s="47"/>
      <c r="W102" s="47"/>
      <c r="X102" s="47"/>
      <c r="Y102" s="172"/>
      <c r="Z102" s="133"/>
      <c r="AA102" s="47"/>
      <c r="AB102" s="47"/>
      <c r="AC102" s="47"/>
      <c r="AD102" s="47"/>
      <c r="AE102" s="172"/>
      <c r="AF102" s="133"/>
      <c r="AG102" s="47"/>
      <c r="AH102" s="47"/>
      <c r="AI102" s="47"/>
      <c r="AJ102" s="136"/>
      <c r="AK102" s="11">
        <f>'Encargos e Benefícios'!D101</f>
        <v>5372.2025000000003</v>
      </c>
      <c r="AL102" s="11">
        <f>IF('Encargos e Benefícios'!C101=0,0,'Encargos e Benefícios'!U101/'Encargos e Benefícios'!C101)</f>
        <v>2813.3197804911115</v>
      </c>
      <c r="AM102" s="11">
        <f>IF('Encargos e Benefícios'!C101=0,0,'Encargos e Benefícios'!AC101/'Encargos e Benefícios'!C101)</f>
        <v>486.46785</v>
      </c>
      <c r="AN102" s="119">
        <f>IF('Encargos e Benefícios'!C101=0,0,'Encargos e Benefícios'!AD101/'Encargos e Benefícios'!C101)</f>
        <v>8671.9901304911109</v>
      </c>
      <c r="AO102" s="32">
        <f t="shared" si="1"/>
        <v>4535.9449999999997</v>
      </c>
      <c r="AP102" s="31">
        <v>3300.06</v>
      </c>
      <c r="AQ102" s="31">
        <v>5771.83</v>
      </c>
      <c r="AR102" s="210" t="s">
        <v>105</v>
      </c>
      <c r="AS102" s="32"/>
    </row>
    <row r="103" spans="1:45" ht="22.5" x14ac:dyDescent="0.2">
      <c r="A103" s="48">
        <v>97</v>
      </c>
      <c r="B103" s="12" t="str">
        <f>'Encargos e Benefícios'!B102</f>
        <v>Técnico de Enfermagem</v>
      </c>
      <c r="C103" s="10">
        <f>'Encargos e Benefícios'!C102</f>
        <v>2</v>
      </c>
      <c r="D103" s="38" t="s">
        <v>617</v>
      </c>
      <c r="E103" s="174">
        <v>46023</v>
      </c>
      <c r="F103" s="173">
        <v>47118</v>
      </c>
      <c r="G103" s="172">
        <v>46023</v>
      </c>
      <c r="H103" s="370">
        <v>3.5000000000000003E-2</v>
      </c>
      <c r="I103" s="47"/>
      <c r="J103" s="47"/>
      <c r="K103" s="47"/>
      <c r="L103" s="47"/>
      <c r="M103" s="172">
        <v>46388</v>
      </c>
      <c r="N103" s="370">
        <v>0.04</v>
      </c>
      <c r="O103" s="47"/>
      <c r="P103" s="47"/>
      <c r="Q103" s="47"/>
      <c r="R103" s="47"/>
      <c r="S103" s="172">
        <v>46753</v>
      </c>
      <c r="T103" s="370">
        <v>0.04</v>
      </c>
      <c r="U103" s="47"/>
      <c r="V103" s="47"/>
      <c r="W103" s="47"/>
      <c r="X103" s="47"/>
      <c r="Y103" s="172"/>
      <c r="Z103" s="133"/>
      <c r="AA103" s="47"/>
      <c r="AB103" s="47"/>
      <c r="AC103" s="47"/>
      <c r="AD103" s="47"/>
      <c r="AE103" s="172"/>
      <c r="AF103" s="133"/>
      <c r="AG103" s="47"/>
      <c r="AH103" s="47"/>
      <c r="AI103" s="47"/>
      <c r="AJ103" s="136"/>
      <c r="AK103" s="11">
        <f>'Encargos e Benefícios'!D102</f>
        <v>3760.5471000000002</v>
      </c>
      <c r="AL103" s="11">
        <f>IF('Encargos e Benefícios'!C102=0,0,'Encargos e Benefícios'!U102/'Encargos e Benefícios'!C102)</f>
        <v>1969.3266480365335</v>
      </c>
      <c r="AM103" s="11">
        <f>IF('Encargos e Benefícios'!C102=0,0,'Encargos e Benefícios'!AC102/'Encargos e Benefícios'!C102)</f>
        <v>583.16717399999993</v>
      </c>
      <c r="AN103" s="119">
        <f>IF('Encargos e Benefícios'!C102=0,0,'Encargos e Benefícios'!AD102/'Encargos e Benefícios'!C102)</f>
        <v>6313.0409220365336</v>
      </c>
      <c r="AO103" s="32">
        <f t="shared" si="1"/>
        <v>2955.75</v>
      </c>
      <c r="AP103" s="31">
        <v>2150.41</v>
      </c>
      <c r="AQ103" s="31">
        <v>3761.09</v>
      </c>
      <c r="AR103" s="210" t="s">
        <v>105</v>
      </c>
      <c r="AS103" s="32"/>
    </row>
    <row r="104" spans="1:45" ht="12.75" x14ac:dyDescent="0.2">
      <c r="A104" s="48">
        <v>98</v>
      </c>
      <c r="B104" s="12" t="str">
        <f>'Encargos e Benefícios'!B103</f>
        <v>Dentista</v>
      </c>
      <c r="C104" s="10">
        <f>'Encargos e Benefícios'!C103</f>
        <v>2</v>
      </c>
      <c r="D104" s="38" t="s">
        <v>616</v>
      </c>
      <c r="E104" s="174">
        <v>46023</v>
      </c>
      <c r="F104" s="173">
        <v>47118</v>
      </c>
      <c r="G104" s="172">
        <v>46023</v>
      </c>
      <c r="H104" s="370">
        <v>3.5000000000000003E-2</v>
      </c>
      <c r="I104" s="47"/>
      <c r="J104" s="47"/>
      <c r="K104" s="47"/>
      <c r="L104" s="47"/>
      <c r="M104" s="172">
        <v>46388</v>
      </c>
      <c r="N104" s="370">
        <v>0.04</v>
      </c>
      <c r="O104" s="47"/>
      <c r="P104" s="47"/>
      <c r="Q104" s="47"/>
      <c r="R104" s="47"/>
      <c r="S104" s="172">
        <v>46753</v>
      </c>
      <c r="T104" s="370">
        <v>0.04</v>
      </c>
      <c r="U104" s="47"/>
      <c r="V104" s="47"/>
      <c r="W104" s="47"/>
      <c r="X104" s="47"/>
      <c r="Y104" s="172"/>
      <c r="Z104" s="133"/>
      <c r="AA104" s="47"/>
      <c r="AB104" s="47"/>
      <c r="AC104" s="47"/>
      <c r="AD104" s="47"/>
      <c r="AE104" s="172"/>
      <c r="AF104" s="133"/>
      <c r="AG104" s="47"/>
      <c r="AH104" s="47"/>
      <c r="AI104" s="47"/>
      <c r="AJ104" s="136"/>
      <c r="AK104" s="11">
        <f>'Encargos e Benefícios'!D103</f>
        <v>3648.8180338399998</v>
      </c>
      <c r="AL104" s="11">
        <f>IF('Encargos e Benefícios'!C103=0,0,'Encargos e Benefícios'!U103/'Encargos e Benefícios'!C103)</f>
        <v>1211.0021630088977</v>
      </c>
      <c r="AM104" s="11">
        <f>IF('Encargos e Benefícios'!C103=0,0,'Encargos e Benefícios'!AC103/'Encargos e Benefícios'!C103)</f>
        <v>589.87091796959999</v>
      </c>
      <c r="AN104" s="119">
        <f>IF('Encargos e Benefícios'!C103=0,0,'Encargos e Benefícios'!AD103/'Encargos e Benefícios'!C103)</f>
        <v>5449.6911148184972</v>
      </c>
      <c r="AO104" s="32">
        <f t="shared" si="1"/>
        <v>5513.9349999999995</v>
      </c>
      <c r="AP104" s="31">
        <v>3204.46</v>
      </c>
      <c r="AQ104" s="31">
        <v>7823.41</v>
      </c>
      <c r="AR104" s="210" t="s">
        <v>105</v>
      </c>
      <c r="AS104" s="32"/>
    </row>
    <row r="105" spans="1:45" ht="12.75" x14ac:dyDescent="0.2">
      <c r="A105" s="48">
        <v>99</v>
      </c>
      <c r="B105" s="12" t="str">
        <f>'Encargos e Benefícios'!B104</f>
        <v>Técnico em Saúde Bucal</v>
      </c>
      <c r="C105" s="10">
        <f>'Encargos e Benefícios'!C104</f>
        <v>2</v>
      </c>
      <c r="D105" s="38" t="s">
        <v>615</v>
      </c>
      <c r="E105" s="174">
        <v>46023</v>
      </c>
      <c r="F105" s="173">
        <v>47118</v>
      </c>
      <c r="G105" s="172">
        <v>46023</v>
      </c>
      <c r="H105" s="370">
        <v>3.5000000000000003E-2</v>
      </c>
      <c r="I105" s="47"/>
      <c r="J105" s="47"/>
      <c r="K105" s="47"/>
      <c r="L105" s="47"/>
      <c r="M105" s="172">
        <v>46388</v>
      </c>
      <c r="N105" s="370">
        <v>0.04</v>
      </c>
      <c r="O105" s="47"/>
      <c r="P105" s="47"/>
      <c r="Q105" s="47"/>
      <c r="R105" s="47"/>
      <c r="S105" s="172">
        <v>46753</v>
      </c>
      <c r="T105" s="370">
        <v>0.04</v>
      </c>
      <c r="U105" s="47"/>
      <c r="V105" s="47"/>
      <c r="W105" s="47"/>
      <c r="X105" s="47"/>
      <c r="Y105" s="172"/>
      <c r="Z105" s="133"/>
      <c r="AA105" s="47"/>
      <c r="AB105" s="47"/>
      <c r="AC105" s="47"/>
      <c r="AD105" s="47"/>
      <c r="AE105" s="172"/>
      <c r="AF105" s="133"/>
      <c r="AG105" s="47"/>
      <c r="AH105" s="47"/>
      <c r="AI105" s="47"/>
      <c r="AJ105" s="136"/>
      <c r="AK105" s="11">
        <f>'Encargos e Benefícios'!D104</f>
        <v>1954.7239466999999</v>
      </c>
      <c r="AL105" s="11">
        <f>IF('Encargos e Benefícios'!C104=0,0,'Encargos e Benefícios'!U104/'Encargos e Benefícios'!C104)</f>
        <v>648.75115875476661</v>
      </c>
      <c r="AM105" s="11">
        <f>IF('Encargos e Benefícios'!C104=0,0,'Encargos e Benefícios'!AC104/'Encargos e Benefícios'!C104)</f>
        <v>691.51656319799997</v>
      </c>
      <c r="AN105" s="119">
        <f>IF('Encargos e Benefícios'!C104=0,0,'Encargos e Benefícios'!AD104/'Encargos e Benefícios'!C104)</f>
        <v>3294.9916686527663</v>
      </c>
      <c r="AO105" s="32">
        <f t="shared" si="1"/>
        <v>3165.2350000000001</v>
      </c>
      <c r="AP105" s="31">
        <v>2302.8200000000002</v>
      </c>
      <c r="AQ105" s="31">
        <v>4027.65</v>
      </c>
      <c r="AR105" s="210" t="s">
        <v>105</v>
      </c>
      <c r="AS105" s="32"/>
    </row>
    <row r="106" spans="1:45" ht="22.5" x14ac:dyDescent="0.2">
      <c r="A106" s="48">
        <v>100</v>
      </c>
      <c r="B106" s="12" t="str">
        <f>'Encargos e Benefícios'!B105</f>
        <v>Porteiro</v>
      </c>
      <c r="C106" s="10">
        <f>'Encargos e Benefícios'!C105</f>
        <v>5</v>
      </c>
      <c r="D106" s="38" t="s">
        <v>617</v>
      </c>
      <c r="E106" s="174">
        <v>46023</v>
      </c>
      <c r="F106" s="173">
        <v>47118</v>
      </c>
      <c r="G106" s="172">
        <v>46023</v>
      </c>
      <c r="H106" s="370">
        <v>3.5000000000000003E-2</v>
      </c>
      <c r="I106" s="47"/>
      <c r="J106" s="47"/>
      <c r="K106" s="47"/>
      <c r="L106" s="47"/>
      <c r="M106" s="172">
        <v>46388</v>
      </c>
      <c r="N106" s="370">
        <v>0.04</v>
      </c>
      <c r="O106" s="47"/>
      <c r="P106" s="47"/>
      <c r="Q106" s="47"/>
      <c r="R106" s="47"/>
      <c r="S106" s="172">
        <v>46753</v>
      </c>
      <c r="T106" s="370">
        <v>0.04</v>
      </c>
      <c r="U106" s="47"/>
      <c r="V106" s="47"/>
      <c r="W106" s="47"/>
      <c r="X106" s="47"/>
      <c r="Y106" s="172"/>
      <c r="Z106" s="133"/>
      <c r="AA106" s="47"/>
      <c r="AB106" s="47"/>
      <c r="AC106" s="47"/>
      <c r="AD106" s="47"/>
      <c r="AE106" s="172"/>
      <c r="AF106" s="133"/>
      <c r="AG106" s="47"/>
      <c r="AH106" s="47"/>
      <c r="AI106" s="47"/>
      <c r="AJ106" s="136"/>
      <c r="AK106" s="11">
        <f>'Encargos e Benefícios'!D105</f>
        <v>1759.2515520300001</v>
      </c>
      <c r="AL106" s="11">
        <f>IF('Encargos e Benefícios'!C105=0,0,'Encargos e Benefícios'!U105/'Encargos e Benefícios'!C105)</f>
        <v>1271.809784280676</v>
      </c>
      <c r="AM106" s="11">
        <f>IF('Encargos e Benefícios'!C105=0,0,'Encargos e Benefícios'!AC105/'Encargos e Benefícios'!C105)</f>
        <v>703.24490687820003</v>
      </c>
      <c r="AN106" s="119">
        <f>IF('Encargos e Benefícios'!C105=0,0,'Encargos e Benefícios'!AD105/'Encargos e Benefícios'!C105)</f>
        <v>3734.3062431888757</v>
      </c>
      <c r="AO106" s="32">
        <f t="shared" si="1"/>
        <v>2638.67</v>
      </c>
      <c r="AP106" s="31">
        <v>1884.76</v>
      </c>
      <c r="AQ106" s="31">
        <v>3392.58</v>
      </c>
      <c r="AR106" s="210" t="s">
        <v>105</v>
      </c>
      <c r="AS106" s="32"/>
    </row>
    <row r="107" spans="1:45" ht="22.5" x14ac:dyDescent="0.2">
      <c r="A107" s="48">
        <v>101</v>
      </c>
      <c r="B107" s="12" t="str">
        <f>'Encargos e Benefícios'!B106</f>
        <v>Diretor Geral de Unidade Socioeducativa (IPATINGA)</v>
      </c>
      <c r="C107" s="10">
        <f>'Encargos e Benefícios'!C106</f>
        <v>1</v>
      </c>
      <c r="D107" s="38" t="s">
        <v>615</v>
      </c>
      <c r="E107" s="174">
        <v>46023</v>
      </c>
      <c r="F107" s="173">
        <v>47118</v>
      </c>
      <c r="G107" s="172">
        <v>46023</v>
      </c>
      <c r="H107" s="370">
        <v>3.5000000000000003E-2</v>
      </c>
      <c r="I107" s="47"/>
      <c r="J107" s="47"/>
      <c r="K107" s="47"/>
      <c r="L107" s="47"/>
      <c r="M107" s="172">
        <v>46388</v>
      </c>
      <c r="N107" s="370">
        <v>0.04</v>
      </c>
      <c r="O107" s="47"/>
      <c r="P107" s="47"/>
      <c r="Q107" s="47"/>
      <c r="R107" s="47"/>
      <c r="S107" s="172">
        <v>46753</v>
      </c>
      <c r="T107" s="370">
        <v>0.04</v>
      </c>
      <c r="U107" s="47"/>
      <c r="V107" s="47"/>
      <c r="W107" s="47"/>
      <c r="X107" s="47"/>
      <c r="Y107" s="172"/>
      <c r="Z107" s="133"/>
      <c r="AA107" s="47"/>
      <c r="AB107" s="47"/>
      <c r="AC107" s="47"/>
      <c r="AD107" s="47"/>
      <c r="AE107" s="172"/>
      <c r="AF107" s="133"/>
      <c r="AG107" s="47"/>
      <c r="AH107" s="47"/>
      <c r="AI107" s="47"/>
      <c r="AJ107" s="136"/>
      <c r="AK107" s="11">
        <f>'Encargos e Benefícios'!D106</f>
        <v>8626.8483514359996</v>
      </c>
      <c r="AL107" s="11">
        <f>IF('Encargos e Benefícios'!C106=0,0,'Encargos e Benefícios'!U106/'Encargos e Benefícios'!C106)</f>
        <v>3694.9270758553248</v>
      </c>
      <c r="AM107" s="11">
        <f>IF('Encargos e Benefícios'!C106=0,0,'Encargos e Benefícios'!AC106/'Encargos e Benefícios'!C106)</f>
        <v>438.8</v>
      </c>
      <c r="AN107" s="119">
        <f>IF('Encargos e Benefícios'!C106=0,0,'Encargos e Benefícios'!AD106/'Encargos e Benefícios'!C106)</f>
        <v>12760.575427291324</v>
      </c>
      <c r="AO107" s="32">
        <f t="shared" si="1"/>
        <v>9992.880000000001</v>
      </c>
      <c r="AP107" s="31">
        <v>7137.77</v>
      </c>
      <c r="AQ107" s="31">
        <v>12847.99</v>
      </c>
      <c r="AR107" s="210" t="s">
        <v>103</v>
      </c>
      <c r="AS107" s="32"/>
    </row>
    <row r="108" spans="1:45" ht="12.75" x14ac:dyDescent="0.2">
      <c r="A108" s="48">
        <v>102</v>
      </c>
      <c r="B108" s="12" t="str">
        <f>'Encargos e Benefícios'!B107</f>
        <v xml:space="preserve">Analista Administrativo </v>
      </c>
      <c r="C108" s="10">
        <f>'Encargos e Benefícios'!C107</f>
        <v>1</v>
      </c>
      <c r="D108" s="38" t="s">
        <v>615</v>
      </c>
      <c r="E108" s="174">
        <v>46023</v>
      </c>
      <c r="F108" s="173">
        <v>47118</v>
      </c>
      <c r="G108" s="172">
        <v>46023</v>
      </c>
      <c r="H108" s="370">
        <v>3.5000000000000003E-2</v>
      </c>
      <c r="I108" s="47"/>
      <c r="J108" s="47"/>
      <c r="K108" s="47"/>
      <c r="L108" s="47"/>
      <c r="M108" s="172">
        <v>46388</v>
      </c>
      <c r="N108" s="370">
        <v>0.04</v>
      </c>
      <c r="O108" s="47"/>
      <c r="P108" s="47"/>
      <c r="Q108" s="47"/>
      <c r="R108" s="47"/>
      <c r="S108" s="172">
        <v>46753</v>
      </c>
      <c r="T108" s="370">
        <v>0.04</v>
      </c>
      <c r="U108" s="47"/>
      <c r="V108" s="47"/>
      <c r="W108" s="47"/>
      <c r="X108" s="47"/>
      <c r="Y108" s="172"/>
      <c r="Z108" s="133"/>
      <c r="AA108" s="47"/>
      <c r="AB108" s="47"/>
      <c r="AC108" s="47"/>
      <c r="AD108" s="47"/>
      <c r="AE108" s="172"/>
      <c r="AF108" s="133"/>
      <c r="AG108" s="47"/>
      <c r="AH108" s="47"/>
      <c r="AI108" s="47"/>
      <c r="AJ108" s="136"/>
      <c r="AK108" s="11">
        <f>'Encargos e Benefícios'!D107</f>
        <v>4664.5671649779988</v>
      </c>
      <c r="AL108" s="11">
        <f>IF('Encargos e Benefícios'!C107=0,0,'Encargos e Benefícios'!U107/'Encargos e Benefícios'!C107)</f>
        <v>1548.1180135321424</v>
      </c>
      <c r="AM108" s="11">
        <f>IF('Encargos e Benefícios'!C107=0,0,'Encargos e Benefícios'!AC107/'Encargos e Benefícios'!C107)</f>
        <v>528.9259701013201</v>
      </c>
      <c r="AN108" s="119">
        <f>IF('Encargos e Benefícios'!C107=0,0,'Encargos e Benefícios'!AD107/'Encargos e Benefícios'!C107)</f>
        <v>6741.6111486114605</v>
      </c>
      <c r="AO108" s="32">
        <f t="shared" si="1"/>
        <v>7383.3099999999995</v>
      </c>
      <c r="AP108" s="31">
        <v>5273.79</v>
      </c>
      <c r="AQ108" s="31">
        <v>9492.83</v>
      </c>
      <c r="AR108" s="210" t="s">
        <v>103</v>
      </c>
      <c r="AS108" s="32"/>
    </row>
    <row r="109" spans="1:45" ht="12.75" x14ac:dyDescent="0.2">
      <c r="A109" s="48">
        <v>103</v>
      </c>
      <c r="B109" s="12" t="str">
        <f>'Encargos e Benefícios'!B108</f>
        <v>Diretor de Atendimento (IPATINGA)</v>
      </c>
      <c r="C109" s="10">
        <f>'Encargos e Benefícios'!C108</f>
        <v>1</v>
      </c>
      <c r="D109" s="38" t="s">
        <v>615</v>
      </c>
      <c r="E109" s="174">
        <v>46023</v>
      </c>
      <c r="F109" s="173">
        <v>47118</v>
      </c>
      <c r="G109" s="172">
        <v>46023</v>
      </c>
      <c r="H109" s="370">
        <v>3.5000000000000003E-2</v>
      </c>
      <c r="I109" s="47"/>
      <c r="J109" s="47"/>
      <c r="K109" s="47"/>
      <c r="L109" s="47"/>
      <c r="M109" s="172">
        <v>46388</v>
      </c>
      <c r="N109" s="370">
        <v>0.04</v>
      </c>
      <c r="O109" s="47"/>
      <c r="P109" s="47"/>
      <c r="Q109" s="47"/>
      <c r="R109" s="47"/>
      <c r="S109" s="172">
        <v>46753</v>
      </c>
      <c r="T109" s="370">
        <v>0.04</v>
      </c>
      <c r="U109" s="47"/>
      <c r="V109" s="47"/>
      <c r="W109" s="47"/>
      <c r="X109" s="47"/>
      <c r="Y109" s="172"/>
      <c r="Z109" s="133"/>
      <c r="AA109" s="47"/>
      <c r="AB109" s="47"/>
      <c r="AC109" s="47"/>
      <c r="AD109" s="47"/>
      <c r="AE109" s="172"/>
      <c r="AF109" s="133"/>
      <c r="AG109" s="47"/>
      <c r="AH109" s="47"/>
      <c r="AI109" s="47"/>
      <c r="AJ109" s="136"/>
      <c r="AK109" s="11">
        <f>'Encargos e Benefícios'!D108</f>
        <v>6971.8487432299989</v>
      </c>
      <c r="AL109" s="11">
        <f>IF('Encargos e Benefícios'!C108=0,0,'Encargos e Benefícios'!U108/'Encargos e Benefícios'!C108)</f>
        <v>2313.8791328920006</v>
      </c>
      <c r="AM109" s="11">
        <f>IF('Encargos e Benefícios'!C108=0,0,'Encargos e Benefícios'!AC108/'Encargos e Benefícios'!C108)</f>
        <v>438.8</v>
      </c>
      <c r="AN109" s="119">
        <f>IF('Encargos e Benefícios'!C108=0,0,'Encargos e Benefícios'!AD108/'Encargos e Benefícios'!C108)</f>
        <v>9724.5278761219997</v>
      </c>
      <c r="AO109" s="32">
        <f t="shared" si="1"/>
        <v>6777.27</v>
      </c>
      <c r="AP109" s="31">
        <v>3515.09</v>
      </c>
      <c r="AQ109" s="31">
        <v>10039.450000000001</v>
      </c>
      <c r="AR109" s="210" t="s">
        <v>103</v>
      </c>
      <c r="AS109" s="32"/>
    </row>
    <row r="110" spans="1:45" ht="12.75" x14ac:dyDescent="0.2">
      <c r="A110" s="48">
        <v>104</v>
      </c>
      <c r="B110" s="12" t="str">
        <f>'Encargos e Benefícios'!B109</f>
        <v>Analista de Pedagogia</v>
      </c>
      <c r="C110" s="10">
        <f>'Encargos e Benefícios'!C109</f>
        <v>2</v>
      </c>
      <c r="D110" s="38" t="s">
        <v>616</v>
      </c>
      <c r="E110" s="174">
        <v>46023</v>
      </c>
      <c r="F110" s="173">
        <v>47118</v>
      </c>
      <c r="G110" s="172">
        <v>46023</v>
      </c>
      <c r="H110" s="370">
        <v>3.5000000000000003E-2</v>
      </c>
      <c r="I110" s="47"/>
      <c r="J110" s="47"/>
      <c r="K110" s="47"/>
      <c r="L110" s="47"/>
      <c r="M110" s="172">
        <v>46388</v>
      </c>
      <c r="N110" s="370">
        <v>0.04</v>
      </c>
      <c r="O110" s="47"/>
      <c r="P110" s="47"/>
      <c r="Q110" s="47"/>
      <c r="R110" s="47"/>
      <c r="S110" s="172">
        <v>46753</v>
      </c>
      <c r="T110" s="370">
        <v>0.04</v>
      </c>
      <c r="U110" s="47"/>
      <c r="V110" s="47"/>
      <c r="W110" s="47"/>
      <c r="X110" s="47"/>
      <c r="Y110" s="172"/>
      <c r="Z110" s="133"/>
      <c r="AA110" s="47"/>
      <c r="AB110" s="47"/>
      <c r="AC110" s="47"/>
      <c r="AD110" s="47"/>
      <c r="AE110" s="172"/>
      <c r="AF110" s="133"/>
      <c r="AG110" s="47"/>
      <c r="AH110" s="47"/>
      <c r="AI110" s="47"/>
      <c r="AJ110" s="136"/>
      <c r="AK110" s="11">
        <f>'Encargos e Benefícios'!D109</f>
        <v>3432.9771878639999</v>
      </c>
      <c r="AL110" s="11">
        <f>IF('Encargos e Benefícios'!C109=0,0,'Encargos e Benefícios'!U109/'Encargos e Benefícios'!C109)</f>
        <v>1139.3669844610856</v>
      </c>
      <c r="AM110" s="11">
        <f>IF('Encargos e Benefícios'!C109=0,0,'Encargos e Benefícios'!AC109/'Encargos e Benefícios'!C109)</f>
        <v>602.82136872816</v>
      </c>
      <c r="AN110" s="119">
        <f>IF('Encargos e Benefícios'!C109=0,0,'Encargos e Benefícios'!AD109/'Encargos e Benefícios'!C109)</f>
        <v>5175.1655410532458</v>
      </c>
      <c r="AO110" s="32">
        <f t="shared" si="1"/>
        <v>4280.8549999999996</v>
      </c>
      <c r="AP110" s="31">
        <v>3057.75</v>
      </c>
      <c r="AQ110" s="31">
        <v>5503.96</v>
      </c>
      <c r="AR110" s="210" t="s">
        <v>103</v>
      </c>
      <c r="AS110" s="32"/>
    </row>
    <row r="111" spans="1:45" ht="12.75" x14ac:dyDescent="0.2">
      <c r="A111" s="48">
        <v>105</v>
      </c>
      <c r="B111" s="12" t="str">
        <f>'Encargos e Benefícios'!B110</f>
        <v>Analista de Psicologia</v>
      </c>
      <c r="C111" s="10">
        <f>'Encargos e Benefícios'!C110</f>
        <v>2</v>
      </c>
      <c r="D111" s="38" t="s">
        <v>616</v>
      </c>
      <c r="E111" s="174">
        <v>46023</v>
      </c>
      <c r="F111" s="173">
        <v>47118</v>
      </c>
      <c r="G111" s="172">
        <v>46023</v>
      </c>
      <c r="H111" s="370">
        <v>3.5000000000000003E-2</v>
      </c>
      <c r="I111" s="47"/>
      <c r="J111" s="47"/>
      <c r="K111" s="47"/>
      <c r="L111" s="47"/>
      <c r="M111" s="172">
        <v>46388</v>
      </c>
      <c r="N111" s="370">
        <v>0.04</v>
      </c>
      <c r="O111" s="47"/>
      <c r="P111" s="47"/>
      <c r="Q111" s="47"/>
      <c r="R111" s="47"/>
      <c r="S111" s="172">
        <v>46753</v>
      </c>
      <c r="T111" s="370">
        <v>0.04</v>
      </c>
      <c r="U111" s="47"/>
      <c r="V111" s="47"/>
      <c r="W111" s="47"/>
      <c r="X111" s="47"/>
      <c r="Y111" s="172"/>
      <c r="Z111" s="133"/>
      <c r="AA111" s="47"/>
      <c r="AB111" s="47"/>
      <c r="AC111" s="47"/>
      <c r="AD111" s="47"/>
      <c r="AE111" s="172"/>
      <c r="AF111" s="133"/>
      <c r="AG111" s="47"/>
      <c r="AH111" s="47"/>
      <c r="AI111" s="47"/>
      <c r="AJ111" s="136"/>
      <c r="AK111" s="11">
        <f>'Encargos e Benefícios'!D110</f>
        <v>3432.9771878639999</v>
      </c>
      <c r="AL111" s="11">
        <f>IF('Encargos e Benefícios'!C110=0,0,'Encargos e Benefícios'!U110/'Encargos e Benefícios'!C110)</f>
        <v>1139.3669844610856</v>
      </c>
      <c r="AM111" s="11">
        <f>IF('Encargos e Benefícios'!C110=0,0,'Encargos e Benefícios'!AC110/'Encargos e Benefícios'!C110)</f>
        <v>602.82136872816</v>
      </c>
      <c r="AN111" s="119">
        <f>IF('Encargos e Benefícios'!C110=0,0,'Encargos e Benefícios'!AD110/'Encargos e Benefícios'!C110)</f>
        <v>5175.1655410532458</v>
      </c>
      <c r="AO111" s="32">
        <f t="shared" si="1"/>
        <v>4280.8549999999996</v>
      </c>
      <c r="AP111" s="31">
        <v>3057.75</v>
      </c>
      <c r="AQ111" s="31">
        <v>5503.96</v>
      </c>
      <c r="AR111" s="210" t="s">
        <v>103</v>
      </c>
      <c r="AS111" s="32"/>
    </row>
    <row r="112" spans="1:45" ht="12.75" x14ac:dyDescent="0.2">
      <c r="A112" s="48">
        <v>106</v>
      </c>
      <c r="B112" s="12" t="str">
        <f>'Encargos e Benefícios'!B111</f>
        <v>Analista de Terapia Ocupacional</v>
      </c>
      <c r="C112" s="10">
        <f>'Encargos e Benefícios'!C111</f>
        <v>1</v>
      </c>
      <c r="D112" s="38" t="s">
        <v>616</v>
      </c>
      <c r="E112" s="174">
        <v>46023</v>
      </c>
      <c r="F112" s="173">
        <v>47118</v>
      </c>
      <c r="G112" s="172">
        <v>46023</v>
      </c>
      <c r="H112" s="370">
        <v>3.5000000000000003E-2</v>
      </c>
      <c r="I112" s="47"/>
      <c r="J112" s="47"/>
      <c r="K112" s="47"/>
      <c r="L112" s="47"/>
      <c r="M112" s="172">
        <v>46388</v>
      </c>
      <c r="N112" s="370">
        <v>0.04</v>
      </c>
      <c r="O112" s="47"/>
      <c r="P112" s="47"/>
      <c r="Q112" s="47"/>
      <c r="R112" s="47"/>
      <c r="S112" s="172">
        <v>46753</v>
      </c>
      <c r="T112" s="370">
        <v>0.04</v>
      </c>
      <c r="U112" s="47"/>
      <c r="V112" s="47"/>
      <c r="W112" s="47"/>
      <c r="X112" s="47"/>
      <c r="Y112" s="172"/>
      <c r="Z112" s="133"/>
      <c r="AA112" s="47"/>
      <c r="AB112" s="47"/>
      <c r="AC112" s="47"/>
      <c r="AD112" s="47"/>
      <c r="AE112" s="172"/>
      <c r="AF112" s="133"/>
      <c r="AG112" s="47"/>
      <c r="AH112" s="47"/>
      <c r="AI112" s="47"/>
      <c r="AJ112" s="136"/>
      <c r="AK112" s="11">
        <f>'Encargos e Benefícios'!D111</f>
        <v>3432.9771878639999</v>
      </c>
      <c r="AL112" s="11">
        <f>IF('Encargos e Benefícios'!C111=0,0,'Encargos e Benefícios'!U111/'Encargos e Benefícios'!C111)</f>
        <v>1139.3669844610856</v>
      </c>
      <c r="AM112" s="11">
        <f>IF('Encargos e Benefícios'!C111=0,0,'Encargos e Benefícios'!AC111/'Encargos e Benefícios'!C111)</f>
        <v>602.82136872816</v>
      </c>
      <c r="AN112" s="119">
        <f>IF('Encargos e Benefícios'!C111=0,0,'Encargos e Benefícios'!AD111/'Encargos e Benefícios'!C111)</f>
        <v>5175.1655410532458</v>
      </c>
      <c r="AO112" s="32">
        <f t="shared" si="1"/>
        <v>4280.8549999999996</v>
      </c>
      <c r="AP112" s="31">
        <v>3057.75</v>
      </c>
      <c r="AQ112" s="31">
        <v>5503.96</v>
      </c>
      <c r="AR112" s="210" t="s">
        <v>103</v>
      </c>
      <c r="AS112" s="32"/>
    </row>
    <row r="113" spans="1:45" ht="12.75" x14ac:dyDescent="0.2">
      <c r="A113" s="48">
        <v>107</v>
      </c>
      <c r="B113" s="12" t="str">
        <f>'Encargos e Benefícios'!B112</f>
        <v>Analista de Assistencia Social</v>
      </c>
      <c r="C113" s="10">
        <f>'Encargos e Benefícios'!C112</f>
        <v>2</v>
      </c>
      <c r="D113" s="38" t="s">
        <v>616</v>
      </c>
      <c r="E113" s="174">
        <v>46023</v>
      </c>
      <c r="F113" s="173">
        <v>47118</v>
      </c>
      <c r="G113" s="172">
        <v>46023</v>
      </c>
      <c r="H113" s="370">
        <v>3.5000000000000003E-2</v>
      </c>
      <c r="I113" s="47"/>
      <c r="J113" s="47"/>
      <c r="K113" s="47"/>
      <c r="L113" s="47"/>
      <c r="M113" s="172">
        <v>46388</v>
      </c>
      <c r="N113" s="370">
        <v>0.04</v>
      </c>
      <c r="O113" s="47"/>
      <c r="P113" s="47"/>
      <c r="Q113" s="47"/>
      <c r="R113" s="47"/>
      <c r="S113" s="172">
        <v>46753</v>
      </c>
      <c r="T113" s="370">
        <v>0.04</v>
      </c>
      <c r="U113" s="47"/>
      <c r="V113" s="47"/>
      <c r="W113" s="47"/>
      <c r="X113" s="47"/>
      <c r="Y113" s="172"/>
      <c r="Z113" s="133"/>
      <c r="AA113" s="47"/>
      <c r="AB113" s="47"/>
      <c r="AC113" s="47"/>
      <c r="AD113" s="47"/>
      <c r="AE113" s="172"/>
      <c r="AF113" s="133"/>
      <c r="AG113" s="47"/>
      <c r="AH113" s="47"/>
      <c r="AI113" s="47"/>
      <c r="AJ113" s="136"/>
      <c r="AK113" s="11">
        <f>'Encargos e Benefícios'!D112</f>
        <v>3432.9771878639999</v>
      </c>
      <c r="AL113" s="11">
        <f>IF('Encargos e Benefícios'!C112=0,0,'Encargos e Benefícios'!U112/'Encargos e Benefícios'!C112)</f>
        <v>1139.3669844610856</v>
      </c>
      <c r="AM113" s="11">
        <f>IF('Encargos e Benefícios'!C112=0,0,'Encargos e Benefícios'!AC112/'Encargos e Benefícios'!C112)</f>
        <v>602.82136872816</v>
      </c>
      <c r="AN113" s="119">
        <f>IF('Encargos e Benefícios'!C112=0,0,'Encargos e Benefícios'!AD112/'Encargos e Benefícios'!C112)</f>
        <v>5175.1655410532458</v>
      </c>
      <c r="AO113" s="32">
        <f t="shared" si="1"/>
        <v>4280.8549999999996</v>
      </c>
      <c r="AP113" s="31">
        <v>3057.75</v>
      </c>
      <c r="AQ113" s="31">
        <v>5503.96</v>
      </c>
      <c r="AR113" s="210" t="s">
        <v>103</v>
      </c>
      <c r="AS113" s="32"/>
    </row>
    <row r="114" spans="1:45" ht="12.75" x14ac:dyDescent="0.2">
      <c r="A114" s="48">
        <v>108</v>
      </c>
      <c r="B114" s="12" t="str">
        <f>'Encargos e Benefícios'!B113</f>
        <v>Analista de Direito</v>
      </c>
      <c r="C114" s="10">
        <f>'Encargos e Benefícios'!C113</f>
        <v>2</v>
      </c>
      <c r="D114" s="38" t="s">
        <v>616</v>
      </c>
      <c r="E114" s="174">
        <v>46023</v>
      </c>
      <c r="F114" s="173">
        <v>47118</v>
      </c>
      <c r="G114" s="172">
        <v>46023</v>
      </c>
      <c r="H114" s="370">
        <v>3.5000000000000003E-2</v>
      </c>
      <c r="I114" s="47"/>
      <c r="J114" s="47"/>
      <c r="K114" s="47"/>
      <c r="L114" s="47"/>
      <c r="M114" s="172">
        <v>46388</v>
      </c>
      <c r="N114" s="370">
        <v>0.04</v>
      </c>
      <c r="O114" s="47"/>
      <c r="P114" s="47"/>
      <c r="Q114" s="47"/>
      <c r="R114" s="47"/>
      <c r="S114" s="172">
        <v>46753</v>
      </c>
      <c r="T114" s="370">
        <v>0.04</v>
      </c>
      <c r="U114" s="47"/>
      <c r="V114" s="47"/>
      <c r="W114" s="47"/>
      <c r="X114" s="47"/>
      <c r="Y114" s="172"/>
      <c r="Z114" s="133"/>
      <c r="AA114" s="47"/>
      <c r="AB114" s="47"/>
      <c r="AC114" s="47"/>
      <c r="AD114" s="47"/>
      <c r="AE114" s="172"/>
      <c r="AF114" s="133"/>
      <c r="AG114" s="47"/>
      <c r="AH114" s="47"/>
      <c r="AI114" s="47"/>
      <c r="AJ114" s="136"/>
      <c r="AK114" s="11">
        <f>'Encargos e Benefícios'!D113</f>
        <v>3432.9771878639999</v>
      </c>
      <c r="AL114" s="11">
        <f>IF('Encargos e Benefícios'!C113=0,0,'Encargos e Benefícios'!U113/'Encargos e Benefícios'!C113)</f>
        <v>1139.3669844610856</v>
      </c>
      <c r="AM114" s="11">
        <f>IF('Encargos e Benefícios'!C113=0,0,'Encargos e Benefícios'!AC113/'Encargos e Benefícios'!C113)</f>
        <v>602.82136872816</v>
      </c>
      <c r="AN114" s="119">
        <f>IF('Encargos e Benefícios'!C113=0,0,'Encargos e Benefícios'!AD113/'Encargos e Benefícios'!C113)</f>
        <v>5175.1655410532458</v>
      </c>
      <c r="AO114" s="32">
        <f t="shared" si="1"/>
        <v>4280.8549999999996</v>
      </c>
      <c r="AP114" s="31">
        <v>3057.75</v>
      </c>
      <c r="AQ114" s="31">
        <v>5503.96</v>
      </c>
      <c r="AR114" s="210" t="s">
        <v>103</v>
      </c>
      <c r="AS114" s="32"/>
    </row>
    <row r="115" spans="1:45" ht="12.75" x14ac:dyDescent="0.2">
      <c r="A115" s="48">
        <v>109</v>
      </c>
      <c r="B115" s="12" t="str">
        <f>'Encargos e Benefícios'!B114</f>
        <v>Analista de Educação Física</v>
      </c>
      <c r="C115" s="10">
        <f>'Encargos e Benefícios'!C114</f>
        <v>1</v>
      </c>
      <c r="D115" s="38" t="s">
        <v>616</v>
      </c>
      <c r="E115" s="174">
        <v>46023</v>
      </c>
      <c r="F115" s="173">
        <v>47118</v>
      </c>
      <c r="G115" s="172">
        <v>46023</v>
      </c>
      <c r="H115" s="370">
        <v>3.5000000000000003E-2</v>
      </c>
      <c r="I115" s="47"/>
      <c r="J115" s="47"/>
      <c r="K115" s="47"/>
      <c r="L115" s="47"/>
      <c r="M115" s="172">
        <v>46388</v>
      </c>
      <c r="N115" s="370">
        <v>0.04</v>
      </c>
      <c r="O115" s="47"/>
      <c r="P115" s="47"/>
      <c r="Q115" s="47"/>
      <c r="R115" s="47"/>
      <c r="S115" s="172">
        <v>46753</v>
      </c>
      <c r="T115" s="370">
        <v>0.04</v>
      </c>
      <c r="U115" s="47"/>
      <c r="V115" s="47"/>
      <c r="W115" s="47"/>
      <c r="X115" s="47"/>
      <c r="Y115" s="172"/>
      <c r="Z115" s="133"/>
      <c r="AA115" s="47"/>
      <c r="AB115" s="47"/>
      <c r="AC115" s="47"/>
      <c r="AD115" s="47"/>
      <c r="AE115" s="172"/>
      <c r="AF115" s="133"/>
      <c r="AG115" s="47"/>
      <c r="AH115" s="47"/>
      <c r="AI115" s="47"/>
      <c r="AJ115" s="136"/>
      <c r="AK115" s="11">
        <f>'Encargos e Benefícios'!D114</f>
        <v>3432.9771878639999</v>
      </c>
      <c r="AL115" s="11">
        <f>IF('Encargos e Benefícios'!C114=0,0,'Encargos e Benefícios'!U114/'Encargos e Benefícios'!C114)</f>
        <v>1139.3669844610856</v>
      </c>
      <c r="AM115" s="11">
        <f>IF('Encargos e Benefícios'!C114=0,0,'Encargos e Benefícios'!AC114/'Encargos e Benefícios'!C114)</f>
        <v>602.82136872816</v>
      </c>
      <c r="AN115" s="119">
        <f>IF('Encargos e Benefícios'!C114=0,0,'Encargos e Benefícios'!AD114/'Encargos e Benefícios'!C114)</f>
        <v>5175.1655410532458</v>
      </c>
      <c r="AO115" s="32">
        <f t="shared" si="1"/>
        <v>4280.8549999999996</v>
      </c>
      <c r="AP115" s="31">
        <v>3057.75</v>
      </c>
      <c r="AQ115" s="31">
        <v>5503.96</v>
      </c>
      <c r="AR115" s="210" t="s">
        <v>103</v>
      </c>
      <c r="AS115" s="32"/>
    </row>
    <row r="116" spans="1:45" ht="12.75" x14ac:dyDescent="0.2">
      <c r="A116" s="48">
        <v>110</v>
      </c>
      <c r="B116" s="12" t="str">
        <f>'Encargos e Benefícios'!B115</f>
        <v>Auxiliar Educacional</v>
      </c>
      <c r="C116" s="10">
        <f>'Encargos e Benefícios'!C115</f>
        <v>8</v>
      </c>
      <c r="D116" s="38" t="s">
        <v>615</v>
      </c>
      <c r="E116" s="174">
        <v>46023</v>
      </c>
      <c r="F116" s="173">
        <v>47118</v>
      </c>
      <c r="G116" s="172">
        <v>46023</v>
      </c>
      <c r="H116" s="370">
        <v>3.5000000000000003E-2</v>
      </c>
      <c r="I116" s="47"/>
      <c r="J116" s="47"/>
      <c r="K116" s="47"/>
      <c r="L116" s="47"/>
      <c r="M116" s="172">
        <v>46388</v>
      </c>
      <c r="N116" s="370">
        <v>0.04</v>
      </c>
      <c r="O116" s="47"/>
      <c r="P116" s="47"/>
      <c r="Q116" s="47"/>
      <c r="R116" s="47"/>
      <c r="S116" s="172">
        <v>46753</v>
      </c>
      <c r="T116" s="370">
        <v>0.04</v>
      </c>
      <c r="U116" s="47"/>
      <c r="V116" s="47"/>
      <c r="W116" s="47"/>
      <c r="X116" s="47"/>
      <c r="Y116" s="172"/>
      <c r="Z116" s="133"/>
      <c r="AA116" s="47"/>
      <c r="AB116" s="47"/>
      <c r="AC116" s="47"/>
      <c r="AD116" s="47"/>
      <c r="AE116" s="172"/>
      <c r="AF116" s="133"/>
      <c r="AG116" s="47"/>
      <c r="AH116" s="47"/>
      <c r="AI116" s="47"/>
      <c r="AJ116" s="136"/>
      <c r="AK116" s="11">
        <f>'Encargos e Benefícios'!D115</f>
        <v>1954.7239466999999</v>
      </c>
      <c r="AL116" s="11">
        <f>IF('Encargos e Benefícios'!C115=0,0,'Encargos e Benefícios'!U115/'Encargos e Benefícios'!C115)</f>
        <v>1429.7936903911964</v>
      </c>
      <c r="AM116" s="11">
        <f>IF('Encargos e Benefícios'!C115=0,0,'Encargos e Benefícios'!AC115/'Encargos e Benefícios'!C115)</f>
        <v>691.51656319799997</v>
      </c>
      <c r="AN116" s="119">
        <f>IF('Encargos e Benefícios'!C115=0,0,'Encargos e Benefícios'!AD115/'Encargos e Benefícios'!C115)</f>
        <v>4076.0342002891962</v>
      </c>
      <c r="AO116" s="32">
        <f t="shared" si="1"/>
        <v>3332.11</v>
      </c>
      <c r="AP116" s="31">
        <v>2380.08</v>
      </c>
      <c r="AQ116" s="31">
        <v>4284.1400000000003</v>
      </c>
      <c r="AR116" s="210" t="s">
        <v>103</v>
      </c>
      <c r="AS116" s="32"/>
    </row>
    <row r="117" spans="1:45" ht="12.75" x14ac:dyDescent="0.2">
      <c r="A117" s="48">
        <v>111</v>
      </c>
      <c r="B117" s="12" t="str">
        <f>'Encargos e Benefícios'!B116</f>
        <v>Auxiliar Administrativo</v>
      </c>
      <c r="C117" s="10">
        <f>'Encargos e Benefícios'!C116</f>
        <v>2</v>
      </c>
      <c r="D117" s="38" t="s">
        <v>615</v>
      </c>
      <c r="E117" s="174">
        <v>46023</v>
      </c>
      <c r="F117" s="173">
        <v>47118</v>
      </c>
      <c r="G117" s="172">
        <v>46023</v>
      </c>
      <c r="H117" s="370">
        <v>3.5000000000000003E-2</v>
      </c>
      <c r="I117" s="47"/>
      <c r="J117" s="47"/>
      <c r="K117" s="47"/>
      <c r="L117" s="47"/>
      <c r="M117" s="172">
        <v>46388</v>
      </c>
      <c r="N117" s="370">
        <v>0.04</v>
      </c>
      <c r="O117" s="47"/>
      <c r="P117" s="47"/>
      <c r="Q117" s="47"/>
      <c r="R117" s="47"/>
      <c r="S117" s="172">
        <v>46753</v>
      </c>
      <c r="T117" s="370">
        <v>0.04</v>
      </c>
      <c r="U117" s="47"/>
      <c r="V117" s="47"/>
      <c r="W117" s="47"/>
      <c r="X117" s="47"/>
      <c r="Y117" s="172"/>
      <c r="Z117" s="133"/>
      <c r="AA117" s="47"/>
      <c r="AB117" s="47"/>
      <c r="AC117" s="47"/>
      <c r="AD117" s="47"/>
      <c r="AE117" s="172"/>
      <c r="AF117" s="133"/>
      <c r="AG117" s="47"/>
      <c r="AH117" s="47"/>
      <c r="AI117" s="47"/>
      <c r="AJ117" s="136"/>
      <c r="AK117" s="11">
        <f>'Encargos e Benefícios'!D116</f>
        <v>1954.7239466999999</v>
      </c>
      <c r="AL117" s="11">
        <f>IF('Encargos e Benefícios'!C116=0,0,'Encargos e Benefícios'!U116/'Encargos e Benefícios'!C116)</f>
        <v>648.75115875476661</v>
      </c>
      <c r="AM117" s="11">
        <f>IF('Encargos e Benefícios'!C116=0,0,'Encargos e Benefícios'!AC116/'Encargos e Benefícios'!C116)</f>
        <v>691.51656319799997</v>
      </c>
      <c r="AN117" s="119">
        <f>IF('Encargos e Benefícios'!C116=0,0,'Encargos e Benefícios'!AD116/'Encargos e Benefícios'!C116)</f>
        <v>3294.9916686527663</v>
      </c>
      <c r="AO117" s="32">
        <f t="shared" si="1"/>
        <v>3332.11</v>
      </c>
      <c r="AP117" s="31">
        <v>2380.08</v>
      </c>
      <c r="AQ117" s="31">
        <v>4284.1400000000003</v>
      </c>
      <c r="AR117" s="210" t="s">
        <v>103</v>
      </c>
      <c r="AS117" s="32"/>
    </row>
    <row r="118" spans="1:45" ht="12.75" x14ac:dyDescent="0.2">
      <c r="A118" s="48">
        <v>112</v>
      </c>
      <c r="B118" s="12" t="str">
        <f>'Encargos e Benefícios'!B117</f>
        <v>Auxiliar de Serviços Gerais</v>
      </c>
      <c r="C118" s="10">
        <f>'Encargos e Benefícios'!C117</f>
        <v>2</v>
      </c>
      <c r="D118" s="38" t="s">
        <v>615</v>
      </c>
      <c r="E118" s="174">
        <v>46023</v>
      </c>
      <c r="F118" s="173">
        <v>47118</v>
      </c>
      <c r="G118" s="172">
        <v>46023</v>
      </c>
      <c r="H118" s="370">
        <v>3.5000000000000003E-2</v>
      </c>
      <c r="I118" s="47"/>
      <c r="J118" s="47"/>
      <c r="K118" s="47"/>
      <c r="L118" s="47"/>
      <c r="M118" s="172">
        <v>46388</v>
      </c>
      <c r="N118" s="370">
        <v>0.04</v>
      </c>
      <c r="O118" s="47"/>
      <c r="P118" s="47"/>
      <c r="Q118" s="47"/>
      <c r="R118" s="47"/>
      <c r="S118" s="172">
        <v>46753</v>
      </c>
      <c r="T118" s="370">
        <v>0.04</v>
      </c>
      <c r="U118" s="47"/>
      <c r="V118" s="47"/>
      <c r="W118" s="47"/>
      <c r="X118" s="47"/>
      <c r="Y118" s="172"/>
      <c r="Z118" s="133"/>
      <c r="AA118" s="47"/>
      <c r="AB118" s="47"/>
      <c r="AC118" s="47"/>
      <c r="AD118" s="47"/>
      <c r="AE118" s="172"/>
      <c r="AF118" s="133"/>
      <c r="AG118" s="47"/>
      <c r="AH118" s="47"/>
      <c r="AI118" s="47"/>
      <c r="AJ118" s="136"/>
      <c r="AK118" s="11">
        <f>'Encargos e Benefícios'!D117</f>
        <v>1604</v>
      </c>
      <c r="AL118" s="11">
        <f>IF('Encargos e Benefícios'!C117=0,0,'Encargos e Benefícios'!U117/'Encargos e Benefícios'!C117)</f>
        <v>532.34977777777783</v>
      </c>
      <c r="AM118" s="11">
        <f>IF('Encargos e Benefícios'!C117=0,0,'Encargos e Benefícios'!AC117/'Encargos e Benefícios'!C117)</f>
        <v>712.56</v>
      </c>
      <c r="AN118" s="119">
        <f>IF('Encargos e Benefícios'!C117=0,0,'Encargos e Benefícios'!AD117/'Encargos e Benefícios'!C117)</f>
        <v>2848.9097777777779</v>
      </c>
      <c r="AO118" s="32">
        <f t="shared" si="1"/>
        <v>2286.52</v>
      </c>
      <c r="AP118" s="31">
        <v>1633.23</v>
      </c>
      <c r="AQ118" s="31">
        <v>2939.81</v>
      </c>
      <c r="AR118" s="210" t="s">
        <v>103</v>
      </c>
      <c r="AS118" s="32"/>
    </row>
    <row r="119" spans="1:45" ht="12.75" x14ac:dyDescent="0.2">
      <c r="A119" s="48">
        <v>113</v>
      </c>
      <c r="B119" s="12" t="str">
        <f>'Encargos e Benefícios'!B118</f>
        <v xml:space="preserve">Gestor de Monitoria e Socioeducaçõa </v>
      </c>
      <c r="C119" s="10">
        <f>'Encargos e Benefícios'!C118</f>
        <v>1</v>
      </c>
      <c r="D119" s="38" t="s">
        <v>615</v>
      </c>
      <c r="E119" s="174">
        <v>46023</v>
      </c>
      <c r="F119" s="173">
        <v>47118</v>
      </c>
      <c r="G119" s="172">
        <v>46023</v>
      </c>
      <c r="H119" s="370">
        <v>3.5000000000000003E-2</v>
      </c>
      <c r="I119" s="47"/>
      <c r="J119" s="47"/>
      <c r="K119" s="47"/>
      <c r="L119" s="47"/>
      <c r="M119" s="172">
        <v>46388</v>
      </c>
      <c r="N119" s="370">
        <v>0.04</v>
      </c>
      <c r="O119" s="47"/>
      <c r="P119" s="47"/>
      <c r="Q119" s="47"/>
      <c r="R119" s="47"/>
      <c r="S119" s="172">
        <v>46753</v>
      </c>
      <c r="T119" s="370">
        <v>0.04</v>
      </c>
      <c r="U119" s="47"/>
      <c r="V119" s="47"/>
      <c r="W119" s="47"/>
      <c r="X119" s="47"/>
      <c r="Y119" s="172"/>
      <c r="Z119" s="133"/>
      <c r="AA119" s="47"/>
      <c r="AB119" s="47"/>
      <c r="AC119" s="47"/>
      <c r="AD119" s="47"/>
      <c r="AE119" s="172"/>
      <c r="AF119" s="133"/>
      <c r="AG119" s="47"/>
      <c r="AH119" s="47"/>
      <c r="AI119" s="47"/>
      <c r="AJ119" s="136"/>
      <c r="AK119" s="11">
        <f>'Encargos e Benefícios'!D118</f>
        <v>6971.8487432299989</v>
      </c>
      <c r="AL119" s="11">
        <f>IF('Encargos e Benefícios'!C118=0,0,'Encargos e Benefícios'!U118/'Encargos e Benefícios'!C118)</f>
        <v>2313.8791328920006</v>
      </c>
      <c r="AM119" s="11">
        <f>IF('Encargos e Benefícios'!C118=0,0,'Encargos e Benefícios'!AC118/'Encargos e Benefícios'!C118)</f>
        <v>438.8</v>
      </c>
      <c r="AN119" s="119">
        <f>IF('Encargos e Benefícios'!C118=0,0,'Encargos e Benefícios'!AD118/'Encargos e Benefícios'!C118)</f>
        <v>9724.5278761219997</v>
      </c>
      <c r="AO119" s="32">
        <f t="shared" si="1"/>
        <v>6777.27</v>
      </c>
      <c r="AP119" s="31">
        <v>3515.09</v>
      </c>
      <c r="AQ119" s="31">
        <v>10039.450000000001</v>
      </c>
      <c r="AR119" s="210" t="s">
        <v>103</v>
      </c>
      <c r="AS119" s="32"/>
    </row>
    <row r="120" spans="1:45" ht="12.75" x14ac:dyDescent="0.2">
      <c r="A120" s="48">
        <v>114</v>
      </c>
      <c r="B120" s="12" t="str">
        <f>'Encargos e Benefícios'!B119</f>
        <v>Motorista</v>
      </c>
      <c r="C120" s="10">
        <f>'Encargos e Benefícios'!C119</f>
        <v>2</v>
      </c>
      <c r="D120" s="38" t="s">
        <v>615</v>
      </c>
      <c r="E120" s="174">
        <v>46023</v>
      </c>
      <c r="F120" s="173">
        <v>47118</v>
      </c>
      <c r="G120" s="172">
        <v>46023</v>
      </c>
      <c r="H120" s="370">
        <v>3.5000000000000003E-2</v>
      </c>
      <c r="I120" s="47"/>
      <c r="J120" s="47"/>
      <c r="K120" s="47"/>
      <c r="L120" s="47"/>
      <c r="M120" s="172">
        <v>46388</v>
      </c>
      <c r="N120" s="370">
        <v>0.04</v>
      </c>
      <c r="O120" s="47"/>
      <c r="P120" s="47"/>
      <c r="Q120" s="47"/>
      <c r="R120" s="47"/>
      <c r="S120" s="172">
        <v>46753</v>
      </c>
      <c r="T120" s="370">
        <v>0.04</v>
      </c>
      <c r="U120" s="47"/>
      <c r="V120" s="47"/>
      <c r="W120" s="47"/>
      <c r="X120" s="47"/>
      <c r="Y120" s="172"/>
      <c r="Z120" s="133"/>
      <c r="AA120" s="47"/>
      <c r="AB120" s="47"/>
      <c r="AC120" s="47"/>
      <c r="AD120" s="47"/>
      <c r="AE120" s="172"/>
      <c r="AF120" s="133"/>
      <c r="AG120" s="47"/>
      <c r="AH120" s="47"/>
      <c r="AI120" s="47"/>
      <c r="AJ120" s="136"/>
      <c r="AK120" s="11">
        <f>'Encargos e Benefícios'!D119</f>
        <v>2216.5886211419997</v>
      </c>
      <c r="AL120" s="11">
        <f>IF('Encargos e Benefícios'!C119=0,0,'Encargos e Benefícios'!U119/'Encargos e Benefícios'!C119)</f>
        <v>735.66113459457256</v>
      </c>
      <c r="AM120" s="11">
        <f>IF('Encargos e Benefícios'!C119=0,0,'Encargos e Benefícios'!AC119/'Encargos e Benefícios'!C119)</f>
        <v>675.80468273147994</v>
      </c>
      <c r="AN120" s="119">
        <f>IF('Encargos e Benefícios'!C119=0,0,'Encargos e Benefícios'!AD119/'Encargos e Benefícios'!C119)</f>
        <v>3628.0544384680525</v>
      </c>
      <c r="AO120" s="32">
        <f t="shared" si="1"/>
        <v>2638.67</v>
      </c>
      <c r="AP120" s="31">
        <v>1884.76</v>
      </c>
      <c r="AQ120" s="31">
        <v>3392.58</v>
      </c>
      <c r="AR120" s="210" t="s">
        <v>103</v>
      </c>
      <c r="AS120" s="32"/>
    </row>
    <row r="121" spans="1:45" ht="12.75" x14ac:dyDescent="0.2">
      <c r="A121" s="48">
        <v>115</v>
      </c>
      <c r="B121" s="12" t="str">
        <f>'Encargos e Benefícios'!B120</f>
        <v>Socioeducador</v>
      </c>
      <c r="C121" s="10">
        <f>'Encargos e Benefícios'!C120</f>
        <v>43</v>
      </c>
      <c r="D121" s="38" t="s">
        <v>615</v>
      </c>
      <c r="E121" s="174">
        <v>46023</v>
      </c>
      <c r="F121" s="173">
        <v>47118</v>
      </c>
      <c r="G121" s="172">
        <v>46023</v>
      </c>
      <c r="H121" s="370">
        <v>3.5000000000000003E-2</v>
      </c>
      <c r="I121" s="47"/>
      <c r="J121" s="47"/>
      <c r="K121" s="47"/>
      <c r="L121" s="47"/>
      <c r="M121" s="172">
        <v>46388</v>
      </c>
      <c r="N121" s="370">
        <v>0.04</v>
      </c>
      <c r="O121" s="47"/>
      <c r="P121" s="47"/>
      <c r="Q121" s="47"/>
      <c r="R121" s="47"/>
      <c r="S121" s="172">
        <v>46753</v>
      </c>
      <c r="T121" s="370">
        <v>0.04</v>
      </c>
      <c r="U121" s="47"/>
      <c r="V121" s="47"/>
      <c r="W121" s="47"/>
      <c r="X121" s="47"/>
      <c r="Y121" s="172"/>
      <c r="Z121" s="133"/>
      <c r="AA121" s="47"/>
      <c r="AB121" s="47"/>
      <c r="AC121" s="47"/>
      <c r="AD121" s="47"/>
      <c r="AE121" s="172"/>
      <c r="AF121" s="133"/>
      <c r="AG121" s="47"/>
      <c r="AH121" s="47"/>
      <c r="AI121" s="47"/>
      <c r="AJ121" s="136"/>
      <c r="AK121" s="11">
        <f>'Encargos e Benefícios'!D120</f>
        <v>2475.9907000000003</v>
      </c>
      <c r="AL121" s="11">
        <f>IF('Encargos e Benefícios'!C120=0,0,'Encargos e Benefícios'!U120/'Encargos e Benefícios'!C120)</f>
        <v>2522.1628977986948</v>
      </c>
      <c r="AM121" s="11">
        <f>IF('Encargos e Benefícios'!C120=0,0,'Encargos e Benefícios'!AC120/'Encargos e Benefícios'!C120)</f>
        <v>660.24055800000008</v>
      </c>
      <c r="AN121" s="119">
        <f>IF('Encargos e Benefícios'!C120=0,0,'Encargos e Benefícios'!AD120/'Encargos e Benefícios'!C120)</f>
        <v>5658.3941557986955</v>
      </c>
      <c r="AO121" s="32">
        <f t="shared" si="1"/>
        <v>2621.0150000000003</v>
      </c>
      <c r="AP121" s="31">
        <v>1906.88</v>
      </c>
      <c r="AQ121" s="31">
        <v>3335.15</v>
      </c>
      <c r="AR121" s="210" t="s">
        <v>103</v>
      </c>
      <c r="AS121" s="32"/>
    </row>
    <row r="122" spans="1:45" ht="22.5" x14ac:dyDescent="0.2">
      <c r="A122" s="48">
        <v>116</v>
      </c>
      <c r="B122" s="12" t="str">
        <f>'Encargos e Benefícios'!B121</f>
        <v>Socioeducador</v>
      </c>
      <c r="C122" s="10">
        <f>'Encargos e Benefícios'!C121</f>
        <v>18</v>
      </c>
      <c r="D122" s="38" t="s">
        <v>617</v>
      </c>
      <c r="E122" s="174">
        <v>46023</v>
      </c>
      <c r="F122" s="173">
        <v>47118</v>
      </c>
      <c r="G122" s="172">
        <v>46023</v>
      </c>
      <c r="H122" s="370">
        <v>3.5000000000000003E-2</v>
      </c>
      <c r="I122" s="47"/>
      <c r="J122" s="47"/>
      <c r="K122" s="47"/>
      <c r="L122" s="47"/>
      <c r="M122" s="172">
        <v>46388</v>
      </c>
      <c r="N122" s="370">
        <v>0.04</v>
      </c>
      <c r="O122" s="47"/>
      <c r="P122" s="47"/>
      <c r="Q122" s="47"/>
      <c r="R122" s="47"/>
      <c r="S122" s="172">
        <v>46753</v>
      </c>
      <c r="T122" s="370">
        <v>0.04</v>
      </c>
      <c r="U122" s="47"/>
      <c r="V122" s="47"/>
      <c r="W122" s="47"/>
      <c r="X122" s="47"/>
      <c r="Y122" s="172"/>
      <c r="Z122" s="133"/>
      <c r="AA122" s="47"/>
      <c r="AB122" s="47"/>
      <c r="AC122" s="47"/>
      <c r="AD122" s="47"/>
      <c r="AE122" s="172"/>
      <c r="AF122" s="133"/>
      <c r="AG122" s="47"/>
      <c r="AH122" s="47"/>
      <c r="AI122" s="47"/>
      <c r="AJ122" s="136"/>
      <c r="AK122" s="11">
        <f>'Encargos e Benefícios'!D121</f>
        <v>2475.9907000000003</v>
      </c>
      <c r="AL122" s="11">
        <f>IF('Encargos e Benefícios'!C121=0,0,'Encargos e Benefícios'!U121/'Encargos e Benefícios'!C121)</f>
        <v>2977.147617241837</v>
      </c>
      <c r="AM122" s="11">
        <f>IF('Encargos e Benefícios'!C121=0,0,'Encargos e Benefícios'!AC121/'Encargos e Benefícios'!C121)</f>
        <v>660.24055799999996</v>
      </c>
      <c r="AN122" s="119">
        <f>IF('Encargos e Benefícios'!C121=0,0,'Encargos e Benefícios'!AD121/'Encargos e Benefícios'!C121)</f>
        <v>6113.3788752418377</v>
      </c>
      <c r="AO122" s="32">
        <f t="shared" si="1"/>
        <v>2621.0150000000003</v>
      </c>
      <c r="AP122" s="31">
        <v>1906.88</v>
      </c>
      <c r="AQ122" s="31">
        <v>3335.15</v>
      </c>
      <c r="AR122" s="210" t="s">
        <v>103</v>
      </c>
      <c r="AS122" s="32"/>
    </row>
    <row r="123" spans="1:45" ht="22.5" x14ac:dyDescent="0.2">
      <c r="A123" s="48">
        <v>117</v>
      </c>
      <c r="B123" s="12" t="str">
        <f>'Encargos e Benefícios'!B122</f>
        <v>Supervisor</v>
      </c>
      <c r="C123" s="10">
        <f>'Encargos e Benefícios'!C122</f>
        <v>2</v>
      </c>
      <c r="D123" s="38" t="s">
        <v>617</v>
      </c>
      <c r="E123" s="174">
        <v>46023</v>
      </c>
      <c r="F123" s="173">
        <v>47118</v>
      </c>
      <c r="G123" s="172">
        <v>46023</v>
      </c>
      <c r="H123" s="370">
        <v>3.5000000000000003E-2</v>
      </c>
      <c r="I123" s="47"/>
      <c r="J123" s="47"/>
      <c r="K123" s="47"/>
      <c r="L123" s="47"/>
      <c r="M123" s="172">
        <v>46388</v>
      </c>
      <c r="N123" s="370">
        <v>0.04</v>
      </c>
      <c r="O123" s="47"/>
      <c r="P123" s="47"/>
      <c r="Q123" s="47"/>
      <c r="R123" s="47"/>
      <c r="S123" s="172">
        <v>46753</v>
      </c>
      <c r="T123" s="370">
        <v>0.04</v>
      </c>
      <c r="U123" s="47"/>
      <c r="V123" s="47"/>
      <c r="W123" s="47"/>
      <c r="X123" s="47"/>
      <c r="Y123" s="172"/>
      <c r="Z123" s="133"/>
      <c r="AA123" s="47"/>
      <c r="AB123" s="47"/>
      <c r="AC123" s="47"/>
      <c r="AD123" s="47"/>
      <c r="AE123" s="172"/>
      <c r="AF123" s="133"/>
      <c r="AG123" s="47"/>
      <c r="AH123" s="47"/>
      <c r="AI123" s="47"/>
      <c r="AJ123" s="136"/>
      <c r="AK123" s="11">
        <f>'Encargos e Benefícios'!D122</f>
        <v>4195.9728999999998</v>
      </c>
      <c r="AL123" s="11">
        <f>IF('Encargos e Benefícios'!C122=0,0,'Encargos e Benefícios'!U122/'Encargos e Benefícios'!C122)</f>
        <v>1392.5967835888887</v>
      </c>
      <c r="AM123" s="11">
        <f>IF('Encargos e Benefícios'!C122=0,0,'Encargos e Benefícios'!AC122/'Encargos e Benefícios'!C122)</f>
        <v>557.04162599999995</v>
      </c>
      <c r="AN123" s="119">
        <f>IF('Encargos e Benefícios'!C122=0,0,'Encargos e Benefícios'!AD122/'Encargos e Benefícios'!C122)</f>
        <v>6145.6113095888886</v>
      </c>
      <c r="AO123" s="32">
        <f t="shared" si="1"/>
        <v>4917.4850000000006</v>
      </c>
      <c r="AP123" s="31">
        <v>2550.5</v>
      </c>
      <c r="AQ123" s="31">
        <v>7284.47</v>
      </c>
      <c r="AR123" s="210" t="s">
        <v>103</v>
      </c>
      <c r="AS123" s="32"/>
    </row>
    <row r="124" spans="1:45" ht="22.5" x14ac:dyDescent="0.2">
      <c r="A124" s="48">
        <v>118</v>
      </c>
      <c r="B124" s="12" t="str">
        <f>'Encargos e Benefícios'!B123</f>
        <v>Enfermeiro</v>
      </c>
      <c r="C124" s="10">
        <f>'Encargos e Benefícios'!C123</f>
        <v>2</v>
      </c>
      <c r="D124" s="38" t="s">
        <v>617</v>
      </c>
      <c r="E124" s="174">
        <v>46023</v>
      </c>
      <c r="F124" s="173">
        <v>47118</v>
      </c>
      <c r="G124" s="172">
        <v>46023</v>
      </c>
      <c r="H124" s="370">
        <v>3.5000000000000003E-2</v>
      </c>
      <c r="I124" s="47"/>
      <c r="J124" s="47"/>
      <c r="K124" s="47"/>
      <c r="L124" s="47"/>
      <c r="M124" s="172">
        <v>46388</v>
      </c>
      <c r="N124" s="370">
        <v>0.04</v>
      </c>
      <c r="O124" s="47"/>
      <c r="P124" s="47"/>
      <c r="Q124" s="47"/>
      <c r="R124" s="47"/>
      <c r="S124" s="172">
        <v>46753</v>
      </c>
      <c r="T124" s="370">
        <v>0.04</v>
      </c>
      <c r="U124" s="47"/>
      <c r="V124" s="47"/>
      <c r="W124" s="47"/>
      <c r="X124" s="47"/>
      <c r="Y124" s="172"/>
      <c r="Z124" s="133"/>
      <c r="AA124" s="47"/>
      <c r="AB124" s="47"/>
      <c r="AC124" s="47"/>
      <c r="AD124" s="47"/>
      <c r="AE124" s="172"/>
      <c r="AF124" s="133"/>
      <c r="AG124" s="47"/>
      <c r="AH124" s="47"/>
      <c r="AI124" s="47"/>
      <c r="AJ124" s="136"/>
      <c r="AK124" s="11">
        <f>'Encargos e Benefícios'!D123</f>
        <v>5372.2025000000003</v>
      </c>
      <c r="AL124" s="11">
        <f>IF('Encargos e Benefícios'!C123=0,0,'Encargos e Benefícios'!U123/'Encargos e Benefícios'!C123)</f>
        <v>3242.6303896077779</v>
      </c>
      <c r="AM124" s="11">
        <f>IF('Encargos e Benefícios'!C123=0,0,'Encargos e Benefícios'!AC123/'Encargos e Benefícios'!C123)</f>
        <v>486.46785</v>
      </c>
      <c r="AN124" s="119">
        <f>IF('Encargos e Benefícios'!C123=0,0,'Encargos e Benefícios'!AD123/'Encargos e Benefícios'!C123)</f>
        <v>9101.3007396077774</v>
      </c>
      <c r="AO124" s="32">
        <f t="shared" si="1"/>
        <v>4535.9449999999997</v>
      </c>
      <c r="AP124" s="31">
        <v>3300.06</v>
      </c>
      <c r="AQ124" s="31">
        <v>5771.83</v>
      </c>
      <c r="AR124" s="210" t="s">
        <v>103</v>
      </c>
      <c r="AS124" s="32"/>
    </row>
    <row r="125" spans="1:45" ht="22.5" x14ac:dyDescent="0.2">
      <c r="A125" s="48">
        <v>119</v>
      </c>
      <c r="B125" s="12" t="str">
        <f>'Encargos e Benefícios'!B124</f>
        <v>Técnico de Enfermagem</v>
      </c>
      <c r="C125" s="10">
        <f>'Encargos e Benefícios'!C124</f>
        <v>2</v>
      </c>
      <c r="D125" s="38" t="s">
        <v>617</v>
      </c>
      <c r="E125" s="174">
        <v>46023</v>
      </c>
      <c r="F125" s="173">
        <v>47118</v>
      </c>
      <c r="G125" s="172">
        <v>46023</v>
      </c>
      <c r="H125" s="370">
        <v>3.5000000000000003E-2</v>
      </c>
      <c r="I125" s="47"/>
      <c r="J125" s="47"/>
      <c r="K125" s="47"/>
      <c r="L125" s="47"/>
      <c r="M125" s="172">
        <v>46388</v>
      </c>
      <c r="N125" s="370">
        <v>0.04</v>
      </c>
      <c r="O125" s="47"/>
      <c r="P125" s="47"/>
      <c r="Q125" s="47"/>
      <c r="R125" s="47"/>
      <c r="S125" s="172">
        <v>46753</v>
      </c>
      <c r="T125" s="370">
        <v>0.04</v>
      </c>
      <c r="U125" s="47"/>
      <c r="V125" s="47"/>
      <c r="W125" s="47"/>
      <c r="X125" s="47"/>
      <c r="Y125" s="172"/>
      <c r="Z125" s="133"/>
      <c r="AA125" s="47"/>
      <c r="AB125" s="47"/>
      <c r="AC125" s="47"/>
      <c r="AD125" s="47"/>
      <c r="AE125" s="172"/>
      <c r="AF125" s="133"/>
      <c r="AG125" s="47"/>
      <c r="AH125" s="47"/>
      <c r="AI125" s="47"/>
      <c r="AJ125" s="136"/>
      <c r="AK125" s="11">
        <f>'Encargos e Benefícios'!D124</f>
        <v>3760.5471000000002</v>
      </c>
      <c r="AL125" s="11">
        <f>IF('Encargos e Benefícios'!C124=0,0,'Encargos e Benefícios'!U124/'Encargos e Benefícios'!C124)</f>
        <v>2269.8445019545338</v>
      </c>
      <c r="AM125" s="11">
        <f>IF('Encargos e Benefícios'!C124=0,0,'Encargos e Benefícios'!AC124/'Encargos e Benefícios'!C124)</f>
        <v>583.16717399999993</v>
      </c>
      <c r="AN125" s="119">
        <f>IF('Encargos e Benefícios'!C124=0,0,'Encargos e Benefícios'!AD124/'Encargos e Benefícios'!C124)</f>
        <v>6613.5587759545342</v>
      </c>
      <c r="AO125" s="32">
        <f t="shared" si="1"/>
        <v>2955.75</v>
      </c>
      <c r="AP125" s="31">
        <v>2150.41</v>
      </c>
      <c r="AQ125" s="31">
        <v>3761.09</v>
      </c>
      <c r="AR125" s="210" t="s">
        <v>103</v>
      </c>
      <c r="AS125" s="32"/>
    </row>
    <row r="126" spans="1:45" ht="22.5" x14ac:dyDescent="0.2">
      <c r="A126" s="48">
        <v>120</v>
      </c>
      <c r="B126" s="12" t="str">
        <f>'Encargos e Benefícios'!B125</f>
        <v>Porteiro</v>
      </c>
      <c r="C126" s="10">
        <f>'Encargos e Benefícios'!C125</f>
        <v>4</v>
      </c>
      <c r="D126" s="38" t="s">
        <v>617</v>
      </c>
      <c r="E126" s="174">
        <v>46023</v>
      </c>
      <c r="F126" s="173">
        <v>47118</v>
      </c>
      <c r="G126" s="172">
        <v>46023</v>
      </c>
      <c r="H126" s="370">
        <v>3.5000000000000003E-2</v>
      </c>
      <c r="I126" s="47"/>
      <c r="J126" s="47"/>
      <c r="K126" s="47"/>
      <c r="L126" s="47"/>
      <c r="M126" s="172">
        <v>46388</v>
      </c>
      <c r="N126" s="370">
        <v>0.04</v>
      </c>
      <c r="O126" s="47"/>
      <c r="P126" s="47"/>
      <c r="Q126" s="47"/>
      <c r="R126" s="47"/>
      <c r="S126" s="172">
        <v>46753</v>
      </c>
      <c r="T126" s="370">
        <v>0.04</v>
      </c>
      <c r="U126" s="47"/>
      <c r="V126" s="47"/>
      <c r="W126" s="47"/>
      <c r="X126" s="47"/>
      <c r="Y126" s="172"/>
      <c r="Z126" s="133"/>
      <c r="AA126" s="47"/>
      <c r="AB126" s="47"/>
      <c r="AC126" s="47"/>
      <c r="AD126" s="47"/>
      <c r="AE126" s="172"/>
      <c r="AF126" s="133"/>
      <c r="AG126" s="47"/>
      <c r="AH126" s="47"/>
      <c r="AI126" s="47"/>
      <c r="AJ126" s="136"/>
      <c r="AK126" s="11">
        <f>'Encargos e Benefícios'!D125</f>
        <v>1759.2515520300001</v>
      </c>
      <c r="AL126" s="11">
        <f>IF('Encargos e Benefícios'!C125=0,0,'Encargos e Benefícios'!U125/'Encargos e Benefícios'!C125)</f>
        <v>1412.3974399752335</v>
      </c>
      <c r="AM126" s="11">
        <f>IF('Encargos e Benefícios'!C125=0,0,'Encargos e Benefícios'!AC125/'Encargos e Benefícios'!C125)</f>
        <v>703.24490687820003</v>
      </c>
      <c r="AN126" s="119">
        <f>IF('Encargos e Benefícios'!C125=0,0,'Encargos e Benefícios'!AD125/'Encargos e Benefícios'!C125)</f>
        <v>3874.8938988834334</v>
      </c>
      <c r="AO126" s="32">
        <f t="shared" si="1"/>
        <v>2638.67</v>
      </c>
      <c r="AP126" s="31">
        <v>1884.76</v>
      </c>
      <c r="AQ126" s="31">
        <v>3392.58</v>
      </c>
      <c r="AR126" s="210" t="s">
        <v>103</v>
      </c>
      <c r="AS126" s="32"/>
    </row>
    <row r="127" spans="1:45" ht="22.5" x14ac:dyDescent="0.2">
      <c r="A127" s="48">
        <v>121</v>
      </c>
      <c r="B127" s="12" t="str">
        <f>'Encargos e Benefícios'!B126</f>
        <v>Diretor Geral de Unidade Socioeducativa (ARAXÁ)</v>
      </c>
      <c r="C127" s="10">
        <f>'Encargos e Benefícios'!C126</f>
        <v>1</v>
      </c>
      <c r="D127" s="38" t="s">
        <v>615</v>
      </c>
      <c r="E127" s="174">
        <v>46023</v>
      </c>
      <c r="F127" s="173">
        <v>47118</v>
      </c>
      <c r="G127" s="172">
        <v>46023</v>
      </c>
      <c r="H127" s="370">
        <v>3.5000000000000003E-2</v>
      </c>
      <c r="I127" s="47"/>
      <c r="J127" s="47"/>
      <c r="K127" s="47"/>
      <c r="L127" s="47"/>
      <c r="M127" s="172">
        <v>46388</v>
      </c>
      <c r="N127" s="370">
        <v>0.04</v>
      </c>
      <c r="O127" s="47"/>
      <c r="P127" s="47"/>
      <c r="Q127" s="47"/>
      <c r="R127" s="47"/>
      <c r="S127" s="172">
        <v>46753</v>
      </c>
      <c r="T127" s="370">
        <v>0.04</v>
      </c>
      <c r="U127" s="47"/>
      <c r="V127" s="47"/>
      <c r="W127" s="47"/>
      <c r="X127" s="47"/>
      <c r="Y127" s="172"/>
      <c r="Z127" s="133"/>
      <c r="AA127" s="47"/>
      <c r="AB127" s="47"/>
      <c r="AC127" s="47"/>
      <c r="AD127" s="47"/>
      <c r="AE127" s="172"/>
      <c r="AF127" s="133"/>
      <c r="AG127" s="47"/>
      <c r="AH127" s="47"/>
      <c r="AI127" s="47"/>
      <c r="AJ127" s="136"/>
      <c r="AK127" s="11">
        <f>'Encargos e Benefícios'!D126</f>
        <v>8626.8483514359996</v>
      </c>
      <c r="AL127" s="11">
        <f>IF('Encargos e Benefícios'!C126=0,0,'Encargos e Benefícios'!U126/'Encargos e Benefícios'!C126)</f>
        <v>3694.9270758553248</v>
      </c>
      <c r="AM127" s="11">
        <f>IF('Encargos e Benefícios'!C126=0,0,'Encargos e Benefícios'!AC126/'Encargos e Benefícios'!C126)</f>
        <v>438.8</v>
      </c>
      <c r="AN127" s="119">
        <f>IF('Encargos e Benefícios'!C126=0,0,'Encargos e Benefícios'!AD126/'Encargos e Benefícios'!C126)</f>
        <v>12760.575427291324</v>
      </c>
      <c r="AO127" s="32">
        <f t="shared" si="1"/>
        <v>9992.880000000001</v>
      </c>
      <c r="AP127" s="31">
        <v>7137.77</v>
      </c>
      <c r="AQ127" s="31">
        <v>12847.99</v>
      </c>
      <c r="AR127" s="210" t="s">
        <v>102</v>
      </c>
      <c r="AS127" s="32"/>
    </row>
    <row r="128" spans="1:45" ht="22.5" x14ac:dyDescent="0.2">
      <c r="A128" s="48">
        <v>122</v>
      </c>
      <c r="B128" s="12" t="str">
        <f>'Encargos e Benefícios'!B127</f>
        <v>Gestor de Monitoria e Socioeducação  (ARAXÁ)</v>
      </c>
      <c r="C128" s="10">
        <f>'Encargos e Benefícios'!C127</f>
        <v>1</v>
      </c>
      <c r="D128" s="38" t="s">
        <v>615</v>
      </c>
      <c r="E128" s="174">
        <v>46023</v>
      </c>
      <c r="F128" s="173">
        <v>47118</v>
      </c>
      <c r="G128" s="172">
        <v>46023</v>
      </c>
      <c r="H128" s="370">
        <v>3.5000000000000003E-2</v>
      </c>
      <c r="I128" s="47"/>
      <c r="J128" s="47"/>
      <c r="K128" s="47"/>
      <c r="L128" s="47"/>
      <c r="M128" s="172">
        <v>46388</v>
      </c>
      <c r="N128" s="370">
        <v>0.04</v>
      </c>
      <c r="O128" s="47"/>
      <c r="P128" s="47"/>
      <c r="Q128" s="47"/>
      <c r="R128" s="47"/>
      <c r="S128" s="172">
        <v>46753</v>
      </c>
      <c r="T128" s="370">
        <v>0.04</v>
      </c>
      <c r="U128" s="47"/>
      <c r="V128" s="47"/>
      <c r="W128" s="47"/>
      <c r="X128" s="47"/>
      <c r="Y128" s="172"/>
      <c r="Z128" s="133"/>
      <c r="AA128" s="47"/>
      <c r="AB128" s="47"/>
      <c r="AC128" s="47"/>
      <c r="AD128" s="47"/>
      <c r="AE128" s="172"/>
      <c r="AF128" s="133"/>
      <c r="AG128" s="47"/>
      <c r="AH128" s="47"/>
      <c r="AI128" s="47"/>
      <c r="AJ128" s="136"/>
      <c r="AK128" s="11">
        <f>'Encargos e Benefícios'!D127</f>
        <v>6971.8487432299989</v>
      </c>
      <c r="AL128" s="11">
        <f>IF('Encargos e Benefícios'!C127=0,0,'Encargos e Benefícios'!U127/'Encargos e Benefícios'!C127)</f>
        <v>2313.8791328920006</v>
      </c>
      <c r="AM128" s="11">
        <f>IF('Encargos e Benefícios'!C127=0,0,'Encargos e Benefícios'!AC127/'Encargos e Benefícios'!C127)</f>
        <v>438.8</v>
      </c>
      <c r="AN128" s="119">
        <f>IF('Encargos e Benefícios'!C127=0,0,'Encargos e Benefícios'!AD127/'Encargos e Benefícios'!C127)</f>
        <v>9724.5278761219997</v>
      </c>
      <c r="AO128" s="32">
        <f t="shared" si="1"/>
        <v>6777.27</v>
      </c>
      <c r="AP128" s="31">
        <v>3515.09</v>
      </c>
      <c r="AQ128" s="31">
        <v>10039.450000000001</v>
      </c>
      <c r="AR128" s="210" t="s">
        <v>102</v>
      </c>
      <c r="AS128" s="32"/>
    </row>
    <row r="129" spans="1:45" ht="12.75" x14ac:dyDescent="0.2">
      <c r="A129" s="48">
        <v>123</v>
      </c>
      <c r="B129" s="12" t="str">
        <f>'Encargos e Benefícios'!B128</f>
        <v>Diretor de Atendimento (ARAXÁ)</v>
      </c>
      <c r="C129" s="10">
        <f>'Encargos e Benefícios'!C128</f>
        <v>1</v>
      </c>
      <c r="D129" s="38" t="s">
        <v>615</v>
      </c>
      <c r="E129" s="174">
        <v>46023</v>
      </c>
      <c r="F129" s="173">
        <v>47118</v>
      </c>
      <c r="G129" s="172">
        <v>46023</v>
      </c>
      <c r="H129" s="370">
        <v>3.5000000000000003E-2</v>
      </c>
      <c r="I129" s="47"/>
      <c r="J129" s="47"/>
      <c r="K129" s="47"/>
      <c r="L129" s="47"/>
      <c r="M129" s="172">
        <v>46388</v>
      </c>
      <c r="N129" s="370">
        <v>0.04</v>
      </c>
      <c r="O129" s="47"/>
      <c r="P129" s="47"/>
      <c r="Q129" s="47"/>
      <c r="R129" s="47"/>
      <c r="S129" s="172">
        <v>46753</v>
      </c>
      <c r="T129" s="370">
        <v>0.04</v>
      </c>
      <c r="U129" s="47"/>
      <c r="V129" s="47"/>
      <c r="W129" s="47"/>
      <c r="X129" s="47"/>
      <c r="Y129" s="172"/>
      <c r="Z129" s="133"/>
      <c r="AA129" s="47"/>
      <c r="AB129" s="47"/>
      <c r="AC129" s="47"/>
      <c r="AD129" s="47"/>
      <c r="AE129" s="172"/>
      <c r="AF129" s="133"/>
      <c r="AG129" s="47"/>
      <c r="AH129" s="47"/>
      <c r="AI129" s="47"/>
      <c r="AJ129" s="136"/>
      <c r="AK129" s="11">
        <f>'Encargos e Benefícios'!D128</f>
        <v>6971.8487432299989</v>
      </c>
      <c r="AL129" s="11">
        <f>IF('Encargos e Benefícios'!C128=0,0,'Encargos e Benefícios'!U128/'Encargos e Benefícios'!C128)</f>
        <v>2313.8791328920006</v>
      </c>
      <c r="AM129" s="11">
        <f>IF('Encargos e Benefícios'!C128=0,0,'Encargos e Benefícios'!AC128/'Encargos e Benefícios'!C128)</f>
        <v>438.8</v>
      </c>
      <c r="AN129" s="119">
        <f>IF('Encargos e Benefícios'!C128=0,0,'Encargos e Benefícios'!AD128/'Encargos e Benefícios'!C128)</f>
        <v>9724.5278761219997</v>
      </c>
      <c r="AO129" s="32">
        <f t="shared" si="1"/>
        <v>6777.27</v>
      </c>
      <c r="AP129" s="31">
        <v>3515.09</v>
      </c>
      <c r="AQ129" s="31">
        <v>10039.450000000001</v>
      </c>
      <c r="AR129" s="210" t="s">
        <v>102</v>
      </c>
      <c r="AS129" s="32"/>
    </row>
    <row r="130" spans="1:45" ht="12.75" x14ac:dyDescent="0.2">
      <c r="A130" s="48">
        <v>124</v>
      </c>
      <c r="B130" s="12" t="str">
        <f>'Encargos e Benefícios'!B129</f>
        <v>Analista de Pedagogia</v>
      </c>
      <c r="C130" s="10">
        <f>'Encargos e Benefícios'!C129</f>
        <v>1</v>
      </c>
      <c r="D130" s="38" t="s">
        <v>616</v>
      </c>
      <c r="E130" s="174">
        <v>46023</v>
      </c>
      <c r="F130" s="173">
        <v>47118</v>
      </c>
      <c r="G130" s="172">
        <v>46023</v>
      </c>
      <c r="H130" s="370">
        <v>3.5000000000000003E-2</v>
      </c>
      <c r="I130" s="47"/>
      <c r="J130" s="47"/>
      <c r="K130" s="47"/>
      <c r="L130" s="47"/>
      <c r="M130" s="172">
        <v>46388</v>
      </c>
      <c r="N130" s="370">
        <v>0.04</v>
      </c>
      <c r="O130" s="47"/>
      <c r="P130" s="47"/>
      <c r="Q130" s="47"/>
      <c r="R130" s="47"/>
      <c r="S130" s="172">
        <v>46753</v>
      </c>
      <c r="T130" s="370">
        <v>0.04</v>
      </c>
      <c r="U130" s="47"/>
      <c r="V130" s="47"/>
      <c r="W130" s="47"/>
      <c r="X130" s="47"/>
      <c r="Y130" s="172"/>
      <c r="Z130" s="133"/>
      <c r="AA130" s="47"/>
      <c r="AB130" s="47"/>
      <c r="AC130" s="47"/>
      <c r="AD130" s="47"/>
      <c r="AE130" s="172"/>
      <c r="AF130" s="133"/>
      <c r="AG130" s="47"/>
      <c r="AH130" s="47"/>
      <c r="AI130" s="47"/>
      <c r="AJ130" s="136"/>
      <c r="AK130" s="11">
        <f>'Encargos e Benefícios'!D129</f>
        <v>3432.9771878639999</v>
      </c>
      <c r="AL130" s="11">
        <f>IF('Encargos e Benefícios'!C129=0,0,'Encargos e Benefícios'!U129/'Encargos e Benefícios'!C129)</f>
        <v>1139.3669844610856</v>
      </c>
      <c r="AM130" s="11">
        <f>IF('Encargos e Benefícios'!C129=0,0,'Encargos e Benefícios'!AC129/'Encargos e Benefícios'!C129)</f>
        <v>602.82136872816</v>
      </c>
      <c r="AN130" s="119">
        <f>IF('Encargos e Benefícios'!C129=0,0,'Encargos e Benefícios'!AD129/'Encargos e Benefícios'!C129)</f>
        <v>5175.1655410532458</v>
      </c>
      <c r="AO130" s="32">
        <f t="shared" si="1"/>
        <v>4280.8549999999996</v>
      </c>
      <c r="AP130" s="31">
        <v>3057.75</v>
      </c>
      <c r="AQ130" s="31">
        <v>5503.96</v>
      </c>
      <c r="AR130" s="210" t="s">
        <v>102</v>
      </c>
      <c r="AS130" s="32"/>
    </row>
    <row r="131" spans="1:45" ht="12.75" x14ac:dyDescent="0.2">
      <c r="A131" s="48">
        <v>125</v>
      </c>
      <c r="B131" s="12" t="str">
        <f>'Encargos e Benefícios'!B130</f>
        <v>Analista de Psicologia</v>
      </c>
      <c r="C131" s="10">
        <f>'Encargos e Benefícios'!C130</f>
        <v>1</v>
      </c>
      <c r="D131" s="38" t="s">
        <v>616</v>
      </c>
      <c r="E131" s="174">
        <v>46023</v>
      </c>
      <c r="F131" s="173">
        <v>47118</v>
      </c>
      <c r="G131" s="172">
        <v>46023</v>
      </c>
      <c r="H131" s="370">
        <v>3.5000000000000003E-2</v>
      </c>
      <c r="I131" s="47"/>
      <c r="J131" s="47"/>
      <c r="K131" s="47"/>
      <c r="L131" s="47"/>
      <c r="M131" s="172">
        <v>46388</v>
      </c>
      <c r="N131" s="370">
        <v>0.04</v>
      </c>
      <c r="O131" s="47"/>
      <c r="P131" s="47"/>
      <c r="Q131" s="47"/>
      <c r="R131" s="47"/>
      <c r="S131" s="172">
        <v>46753</v>
      </c>
      <c r="T131" s="370">
        <v>0.04</v>
      </c>
      <c r="U131" s="47"/>
      <c r="V131" s="47"/>
      <c r="W131" s="47"/>
      <c r="X131" s="47"/>
      <c r="Y131" s="172"/>
      <c r="Z131" s="133"/>
      <c r="AA131" s="47"/>
      <c r="AB131" s="47"/>
      <c r="AC131" s="47"/>
      <c r="AD131" s="47"/>
      <c r="AE131" s="172"/>
      <c r="AF131" s="133"/>
      <c r="AG131" s="47"/>
      <c r="AH131" s="47"/>
      <c r="AI131" s="47"/>
      <c r="AJ131" s="136"/>
      <c r="AK131" s="11">
        <f>'Encargos e Benefícios'!D130</f>
        <v>3432.9771878639999</v>
      </c>
      <c r="AL131" s="11">
        <f>IF('Encargos e Benefícios'!C130=0,0,'Encargos e Benefícios'!U130/'Encargos e Benefícios'!C130)</f>
        <v>1139.3669844610856</v>
      </c>
      <c r="AM131" s="11">
        <f>IF('Encargos e Benefícios'!C130=0,0,'Encargos e Benefícios'!AC130/'Encargos e Benefícios'!C130)</f>
        <v>602.82136872816</v>
      </c>
      <c r="AN131" s="119">
        <f>IF('Encargos e Benefícios'!C130=0,0,'Encargos e Benefícios'!AD130/'Encargos e Benefícios'!C130)</f>
        <v>5175.1655410532458</v>
      </c>
      <c r="AO131" s="32">
        <f t="shared" si="1"/>
        <v>4280.8549999999996</v>
      </c>
      <c r="AP131" s="31">
        <v>3057.75</v>
      </c>
      <c r="AQ131" s="31">
        <v>5503.96</v>
      </c>
      <c r="AR131" s="210" t="s">
        <v>102</v>
      </c>
      <c r="AS131" s="32"/>
    </row>
    <row r="132" spans="1:45" ht="12.75" x14ac:dyDescent="0.2">
      <c r="A132" s="48">
        <v>126</v>
      </c>
      <c r="B132" s="12" t="str">
        <f>'Encargos e Benefícios'!B131</f>
        <v>Analista de Assistencia Social</v>
      </c>
      <c r="C132" s="10">
        <f>'Encargos e Benefícios'!C131</f>
        <v>1</v>
      </c>
      <c r="D132" s="38" t="s">
        <v>616</v>
      </c>
      <c r="E132" s="174">
        <v>46023</v>
      </c>
      <c r="F132" s="173">
        <v>47118</v>
      </c>
      <c r="G132" s="172">
        <v>46023</v>
      </c>
      <c r="H132" s="370">
        <v>3.5000000000000003E-2</v>
      </c>
      <c r="I132" s="47"/>
      <c r="J132" s="47"/>
      <c r="K132" s="47"/>
      <c r="L132" s="47"/>
      <c r="M132" s="172">
        <v>46388</v>
      </c>
      <c r="N132" s="370">
        <v>0.04</v>
      </c>
      <c r="O132" s="47"/>
      <c r="P132" s="47"/>
      <c r="Q132" s="47"/>
      <c r="R132" s="47"/>
      <c r="S132" s="172">
        <v>46753</v>
      </c>
      <c r="T132" s="370">
        <v>0.04</v>
      </c>
      <c r="U132" s="47"/>
      <c r="V132" s="47"/>
      <c r="W132" s="47"/>
      <c r="X132" s="47"/>
      <c r="Y132" s="172"/>
      <c r="Z132" s="133"/>
      <c r="AA132" s="47"/>
      <c r="AB132" s="47"/>
      <c r="AC132" s="47"/>
      <c r="AD132" s="47"/>
      <c r="AE132" s="172"/>
      <c r="AF132" s="133"/>
      <c r="AG132" s="47"/>
      <c r="AH132" s="47"/>
      <c r="AI132" s="47"/>
      <c r="AJ132" s="136"/>
      <c r="AK132" s="11">
        <f>'Encargos e Benefícios'!D131</f>
        <v>3432.9771878639999</v>
      </c>
      <c r="AL132" s="11">
        <f>IF('Encargos e Benefícios'!C131=0,0,'Encargos e Benefícios'!U131/'Encargos e Benefícios'!C131)</f>
        <v>1139.3669844610856</v>
      </c>
      <c r="AM132" s="11">
        <f>IF('Encargos e Benefícios'!C131=0,0,'Encargos e Benefícios'!AC131/'Encargos e Benefícios'!C131)</f>
        <v>602.82136872816</v>
      </c>
      <c r="AN132" s="119">
        <f>IF('Encargos e Benefícios'!C131=0,0,'Encargos e Benefícios'!AD131/'Encargos e Benefícios'!C131)</f>
        <v>5175.1655410532458</v>
      </c>
      <c r="AO132" s="32">
        <f t="shared" si="1"/>
        <v>4280.8549999999996</v>
      </c>
      <c r="AP132" s="31">
        <v>3057.75</v>
      </c>
      <c r="AQ132" s="31">
        <v>5503.96</v>
      </c>
      <c r="AR132" s="210" t="s">
        <v>102</v>
      </c>
      <c r="AS132" s="32"/>
    </row>
    <row r="133" spans="1:45" ht="12.75" x14ac:dyDescent="0.2">
      <c r="A133" s="48">
        <v>127</v>
      </c>
      <c r="B133" s="12" t="str">
        <f>'Encargos e Benefícios'!B132</f>
        <v>Analista de Direito</v>
      </c>
      <c r="C133" s="10">
        <f>'Encargos e Benefícios'!C132</f>
        <v>1</v>
      </c>
      <c r="D133" s="38" t="s">
        <v>616</v>
      </c>
      <c r="E133" s="174">
        <v>46023</v>
      </c>
      <c r="F133" s="173">
        <v>47118</v>
      </c>
      <c r="G133" s="172">
        <v>46023</v>
      </c>
      <c r="H133" s="370">
        <v>3.5000000000000003E-2</v>
      </c>
      <c r="I133" s="47"/>
      <c r="J133" s="47"/>
      <c r="K133" s="47"/>
      <c r="L133" s="47"/>
      <c r="M133" s="172">
        <v>46388</v>
      </c>
      <c r="N133" s="370">
        <v>0.04</v>
      </c>
      <c r="O133" s="47"/>
      <c r="P133" s="47"/>
      <c r="Q133" s="47"/>
      <c r="R133" s="47"/>
      <c r="S133" s="172">
        <v>46753</v>
      </c>
      <c r="T133" s="370">
        <v>0.04</v>
      </c>
      <c r="U133" s="47"/>
      <c r="V133" s="47"/>
      <c r="W133" s="47"/>
      <c r="X133" s="47"/>
      <c r="Y133" s="172"/>
      <c r="Z133" s="133"/>
      <c r="AA133" s="47"/>
      <c r="AB133" s="47"/>
      <c r="AC133" s="47"/>
      <c r="AD133" s="47"/>
      <c r="AE133" s="172"/>
      <c r="AF133" s="133"/>
      <c r="AG133" s="47"/>
      <c r="AH133" s="47"/>
      <c r="AI133" s="47"/>
      <c r="AJ133" s="136"/>
      <c r="AK133" s="11">
        <f>'Encargos e Benefícios'!D132</f>
        <v>3432.9771878639999</v>
      </c>
      <c r="AL133" s="11">
        <f>IF('Encargos e Benefícios'!C132=0,0,'Encargos e Benefícios'!U132/'Encargos e Benefícios'!C132)</f>
        <v>1139.3669844610856</v>
      </c>
      <c r="AM133" s="11">
        <f>IF('Encargos e Benefícios'!C132=0,0,'Encargos e Benefícios'!AC132/'Encargos e Benefícios'!C132)</f>
        <v>602.82136872816</v>
      </c>
      <c r="AN133" s="119">
        <f>IF('Encargos e Benefícios'!C132=0,0,'Encargos e Benefícios'!AD132/'Encargos e Benefícios'!C132)</f>
        <v>5175.1655410532458</v>
      </c>
      <c r="AO133" s="32">
        <f t="shared" si="1"/>
        <v>4280.8549999999996</v>
      </c>
      <c r="AP133" s="31">
        <v>3057.75</v>
      </c>
      <c r="AQ133" s="31">
        <v>5503.96</v>
      </c>
      <c r="AR133" s="210" t="s">
        <v>102</v>
      </c>
      <c r="AS133" s="32"/>
    </row>
    <row r="134" spans="1:45" ht="12.75" x14ac:dyDescent="0.2">
      <c r="A134" s="48">
        <v>128</v>
      </c>
      <c r="B134" s="12" t="str">
        <f>'Encargos e Benefícios'!B133</f>
        <v>Analista de Educação Física</v>
      </c>
      <c r="C134" s="10">
        <f>'Encargos e Benefícios'!C133</f>
        <v>1</v>
      </c>
      <c r="D134" s="38" t="s">
        <v>616</v>
      </c>
      <c r="E134" s="174">
        <v>46023</v>
      </c>
      <c r="F134" s="173">
        <v>47118</v>
      </c>
      <c r="G134" s="172">
        <v>46023</v>
      </c>
      <c r="H134" s="370">
        <v>3.5000000000000003E-2</v>
      </c>
      <c r="I134" s="47"/>
      <c r="J134" s="47"/>
      <c r="K134" s="47"/>
      <c r="L134" s="47"/>
      <c r="M134" s="172">
        <v>46388</v>
      </c>
      <c r="N134" s="370">
        <v>0.04</v>
      </c>
      <c r="O134" s="47"/>
      <c r="P134" s="47"/>
      <c r="Q134" s="47"/>
      <c r="R134" s="47"/>
      <c r="S134" s="172">
        <v>46753</v>
      </c>
      <c r="T134" s="370">
        <v>0.04</v>
      </c>
      <c r="U134" s="47"/>
      <c r="V134" s="47"/>
      <c r="W134" s="47"/>
      <c r="X134" s="47"/>
      <c r="Y134" s="172"/>
      <c r="Z134" s="133"/>
      <c r="AA134" s="47"/>
      <c r="AB134" s="47"/>
      <c r="AC134" s="47"/>
      <c r="AD134" s="47"/>
      <c r="AE134" s="172"/>
      <c r="AF134" s="133"/>
      <c r="AG134" s="47"/>
      <c r="AH134" s="47"/>
      <c r="AI134" s="47"/>
      <c r="AJ134" s="136"/>
      <c r="AK134" s="11">
        <f>'Encargos e Benefícios'!D133</f>
        <v>3432.9771878639999</v>
      </c>
      <c r="AL134" s="11">
        <f>IF('Encargos e Benefícios'!C133=0,0,'Encargos e Benefícios'!U133/'Encargos e Benefícios'!C133)</f>
        <v>1139.3669844610856</v>
      </c>
      <c r="AM134" s="11">
        <f>IF('Encargos e Benefícios'!C133=0,0,'Encargos e Benefícios'!AC133/'Encargos e Benefícios'!C133)</f>
        <v>602.82136872816</v>
      </c>
      <c r="AN134" s="119">
        <f>IF('Encargos e Benefícios'!C133=0,0,'Encargos e Benefícios'!AD133/'Encargos e Benefícios'!C133)</f>
        <v>5175.1655410532458</v>
      </c>
      <c r="AO134" s="32">
        <f t="shared" si="1"/>
        <v>4280.8549999999996</v>
      </c>
      <c r="AP134" s="31">
        <v>3057.75</v>
      </c>
      <c r="AQ134" s="31">
        <v>5503.96</v>
      </c>
      <c r="AR134" s="210" t="s">
        <v>102</v>
      </c>
      <c r="AS134" s="32"/>
    </row>
    <row r="135" spans="1:45" ht="12.75" x14ac:dyDescent="0.2">
      <c r="A135" s="48">
        <v>129</v>
      </c>
      <c r="B135" s="12" t="str">
        <f>'Encargos e Benefícios'!B134</f>
        <v>Auxiliar Educacional</v>
      </c>
      <c r="C135" s="10">
        <f>'Encargos e Benefícios'!C134</f>
        <v>6</v>
      </c>
      <c r="D135" s="38" t="s">
        <v>616</v>
      </c>
      <c r="E135" s="174">
        <v>46023</v>
      </c>
      <c r="F135" s="173">
        <v>47118</v>
      </c>
      <c r="G135" s="172">
        <v>46023</v>
      </c>
      <c r="H135" s="370">
        <v>3.5000000000000003E-2</v>
      </c>
      <c r="I135" s="47"/>
      <c r="J135" s="47"/>
      <c r="K135" s="47"/>
      <c r="L135" s="47"/>
      <c r="M135" s="172">
        <v>46388</v>
      </c>
      <c r="N135" s="370">
        <v>0.04</v>
      </c>
      <c r="O135" s="47"/>
      <c r="P135" s="47"/>
      <c r="Q135" s="47"/>
      <c r="R135" s="47"/>
      <c r="S135" s="172">
        <v>46753</v>
      </c>
      <c r="T135" s="370">
        <v>0.04</v>
      </c>
      <c r="U135" s="47"/>
      <c r="V135" s="47"/>
      <c r="W135" s="47"/>
      <c r="X135" s="47"/>
      <c r="Y135" s="172"/>
      <c r="Z135" s="133"/>
      <c r="AA135" s="47"/>
      <c r="AB135" s="47"/>
      <c r="AC135" s="47"/>
      <c r="AD135" s="47"/>
      <c r="AE135" s="172"/>
      <c r="AF135" s="133"/>
      <c r="AG135" s="47"/>
      <c r="AH135" s="47"/>
      <c r="AI135" s="47"/>
      <c r="AJ135" s="136"/>
      <c r="AK135" s="11">
        <f>'Encargos e Benefícios'!D134</f>
        <v>1954.7239466999999</v>
      </c>
      <c r="AL135" s="11">
        <f>IF('Encargos e Benefícios'!C134=0,0,'Encargos e Benefícios'!U134/'Encargos e Benefícios'!C134)</f>
        <v>1429.7936903911966</v>
      </c>
      <c r="AM135" s="11">
        <f>IF('Encargos e Benefícios'!C134=0,0,'Encargos e Benefícios'!AC134/'Encargos e Benefícios'!C134)</f>
        <v>691.51656319799997</v>
      </c>
      <c r="AN135" s="119">
        <f>IF('Encargos e Benefícios'!C134=0,0,'Encargos e Benefícios'!AD134/'Encargos e Benefícios'!C134)</f>
        <v>4076.0342002891962</v>
      </c>
      <c r="AO135" s="32">
        <f t="shared" si="1"/>
        <v>3332.11</v>
      </c>
      <c r="AP135" s="31">
        <v>2380.08</v>
      </c>
      <c r="AQ135" s="31">
        <v>4284.1400000000003</v>
      </c>
      <c r="AR135" s="210" t="s">
        <v>102</v>
      </c>
      <c r="AS135" s="32"/>
    </row>
    <row r="136" spans="1:45" ht="12.75" x14ac:dyDescent="0.2">
      <c r="A136" s="48">
        <v>130</v>
      </c>
      <c r="B136" s="12" t="str">
        <f>'Encargos e Benefícios'!B135</f>
        <v>Auxiliar Administrativo</v>
      </c>
      <c r="C136" s="10">
        <f>'Encargos e Benefícios'!C135</f>
        <v>2</v>
      </c>
      <c r="D136" s="38" t="s">
        <v>615</v>
      </c>
      <c r="E136" s="174">
        <v>46023</v>
      </c>
      <c r="F136" s="173">
        <v>47118</v>
      </c>
      <c r="G136" s="172">
        <v>46023</v>
      </c>
      <c r="H136" s="370">
        <v>3.5000000000000003E-2</v>
      </c>
      <c r="I136" s="47"/>
      <c r="J136" s="47"/>
      <c r="K136" s="47"/>
      <c r="L136" s="47"/>
      <c r="M136" s="172">
        <v>46388</v>
      </c>
      <c r="N136" s="370">
        <v>0.04</v>
      </c>
      <c r="O136" s="47"/>
      <c r="P136" s="47"/>
      <c r="Q136" s="47"/>
      <c r="R136" s="47"/>
      <c r="S136" s="172">
        <v>46753</v>
      </c>
      <c r="T136" s="370">
        <v>0.04</v>
      </c>
      <c r="U136" s="47"/>
      <c r="V136" s="47"/>
      <c r="W136" s="47"/>
      <c r="X136" s="47"/>
      <c r="Y136" s="172"/>
      <c r="Z136" s="133"/>
      <c r="AA136" s="47"/>
      <c r="AB136" s="47"/>
      <c r="AC136" s="47"/>
      <c r="AD136" s="47"/>
      <c r="AE136" s="172"/>
      <c r="AF136" s="133"/>
      <c r="AG136" s="47"/>
      <c r="AH136" s="47"/>
      <c r="AI136" s="47"/>
      <c r="AJ136" s="136"/>
      <c r="AK136" s="11">
        <f>'Encargos e Benefícios'!D135</f>
        <v>1954.7239466999999</v>
      </c>
      <c r="AL136" s="11">
        <f>IF('Encargos e Benefícios'!C135=0,0,'Encargos e Benefícios'!U135/'Encargos e Benefícios'!C135)</f>
        <v>648.75115875476661</v>
      </c>
      <c r="AM136" s="11">
        <f>IF('Encargos e Benefícios'!C135=0,0,'Encargos e Benefícios'!AC135/'Encargos e Benefícios'!C135)</f>
        <v>691.51656319799997</v>
      </c>
      <c r="AN136" s="119">
        <f>IF('Encargos e Benefícios'!C135=0,0,'Encargos e Benefícios'!AD135/'Encargos e Benefícios'!C135)</f>
        <v>3294.9916686527663</v>
      </c>
      <c r="AO136" s="32">
        <f t="shared" ref="AO136:AO199" si="2">(AQ136+AP136)/2</f>
        <v>3332.11</v>
      </c>
      <c r="AP136" s="31">
        <v>2380.08</v>
      </c>
      <c r="AQ136" s="31">
        <v>4284.1400000000003</v>
      </c>
      <c r="AR136" s="210" t="s">
        <v>102</v>
      </c>
      <c r="AS136" s="32"/>
    </row>
    <row r="137" spans="1:45" ht="12.75" x14ac:dyDescent="0.2">
      <c r="A137" s="48">
        <v>131</v>
      </c>
      <c r="B137" s="12" t="str">
        <f>'Encargos e Benefícios'!B136</f>
        <v>Auxiliar de Serviços Gerais</v>
      </c>
      <c r="C137" s="10">
        <f>'Encargos e Benefícios'!C136</f>
        <v>2</v>
      </c>
      <c r="D137" s="38" t="s">
        <v>615</v>
      </c>
      <c r="E137" s="174">
        <v>46023</v>
      </c>
      <c r="F137" s="173">
        <v>47118</v>
      </c>
      <c r="G137" s="172">
        <v>46023</v>
      </c>
      <c r="H137" s="370">
        <v>3.5000000000000003E-2</v>
      </c>
      <c r="I137" s="47"/>
      <c r="J137" s="47"/>
      <c r="K137" s="47"/>
      <c r="L137" s="47"/>
      <c r="M137" s="172">
        <v>46388</v>
      </c>
      <c r="N137" s="370">
        <v>0.04</v>
      </c>
      <c r="O137" s="47"/>
      <c r="P137" s="47"/>
      <c r="Q137" s="47"/>
      <c r="R137" s="47"/>
      <c r="S137" s="172">
        <v>46753</v>
      </c>
      <c r="T137" s="370">
        <v>0.04</v>
      </c>
      <c r="U137" s="47"/>
      <c r="V137" s="47"/>
      <c r="W137" s="47"/>
      <c r="X137" s="47"/>
      <c r="Y137" s="172"/>
      <c r="Z137" s="133"/>
      <c r="AA137" s="47"/>
      <c r="AB137" s="47"/>
      <c r="AC137" s="47"/>
      <c r="AD137" s="47"/>
      <c r="AE137" s="172"/>
      <c r="AF137" s="133"/>
      <c r="AG137" s="47"/>
      <c r="AH137" s="47"/>
      <c r="AI137" s="47"/>
      <c r="AJ137" s="136"/>
      <c r="AK137" s="11">
        <f>'Encargos e Benefícios'!D136</f>
        <v>1604</v>
      </c>
      <c r="AL137" s="11">
        <f>IF('Encargos e Benefícios'!C136=0,0,'Encargos e Benefícios'!U136/'Encargos e Benefícios'!C136)</f>
        <v>532.34977777777783</v>
      </c>
      <c r="AM137" s="11">
        <f>IF('Encargos e Benefícios'!C136=0,0,'Encargos e Benefícios'!AC136/'Encargos e Benefícios'!C136)</f>
        <v>712.56</v>
      </c>
      <c r="AN137" s="119">
        <f>IF('Encargos e Benefícios'!C136=0,0,'Encargos e Benefícios'!AD136/'Encargos e Benefícios'!C136)</f>
        <v>2848.9097777777779</v>
      </c>
      <c r="AO137" s="32">
        <f t="shared" si="2"/>
        <v>2286.52</v>
      </c>
      <c r="AP137" s="31">
        <v>1633.23</v>
      </c>
      <c r="AQ137" s="31">
        <v>2939.81</v>
      </c>
      <c r="AR137" s="210" t="s">
        <v>102</v>
      </c>
      <c r="AS137" s="32"/>
    </row>
    <row r="138" spans="1:45" ht="12.75" x14ac:dyDescent="0.2">
      <c r="A138" s="48">
        <v>132</v>
      </c>
      <c r="B138" s="12" t="str">
        <f>'Encargos e Benefícios'!B137</f>
        <v>Motorista</v>
      </c>
      <c r="C138" s="10">
        <f>'Encargos e Benefícios'!C137</f>
        <v>2</v>
      </c>
      <c r="D138" s="38" t="s">
        <v>615</v>
      </c>
      <c r="E138" s="174">
        <v>46023</v>
      </c>
      <c r="F138" s="173">
        <v>47118</v>
      </c>
      <c r="G138" s="172">
        <v>46023</v>
      </c>
      <c r="H138" s="370">
        <v>3.5000000000000003E-2</v>
      </c>
      <c r="I138" s="47"/>
      <c r="J138" s="47"/>
      <c r="K138" s="47"/>
      <c r="L138" s="47"/>
      <c r="M138" s="172">
        <v>46388</v>
      </c>
      <c r="N138" s="370">
        <v>0.04</v>
      </c>
      <c r="O138" s="47"/>
      <c r="P138" s="47"/>
      <c r="Q138" s="47"/>
      <c r="R138" s="47"/>
      <c r="S138" s="172">
        <v>46753</v>
      </c>
      <c r="T138" s="370">
        <v>0.04</v>
      </c>
      <c r="U138" s="47"/>
      <c r="V138" s="47"/>
      <c r="W138" s="47"/>
      <c r="X138" s="47"/>
      <c r="Y138" s="172"/>
      <c r="Z138" s="133"/>
      <c r="AA138" s="47"/>
      <c r="AB138" s="47"/>
      <c r="AC138" s="47"/>
      <c r="AD138" s="47"/>
      <c r="AE138" s="172"/>
      <c r="AF138" s="133"/>
      <c r="AG138" s="47"/>
      <c r="AH138" s="47"/>
      <c r="AI138" s="47"/>
      <c r="AJ138" s="136"/>
      <c r="AK138" s="11">
        <f>'Encargos e Benefícios'!D137</f>
        <v>2216.5886211419997</v>
      </c>
      <c r="AL138" s="11">
        <f>IF('Encargos e Benefícios'!C137=0,0,'Encargos e Benefícios'!U137/'Encargos e Benefícios'!C137)</f>
        <v>735.66113459457256</v>
      </c>
      <c r="AM138" s="11">
        <f>IF('Encargos e Benefícios'!C137=0,0,'Encargos e Benefícios'!AC137/'Encargos e Benefícios'!C137)</f>
        <v>675.80468273147994</v>
      </c>
      <c r="AN138" s="119">
        <f>IF('Encargos e Benefícios'!C137=0,0,'Encargos e Benefícios'!AD137/'Encargos e Benefícios'!C137)</f>
        <v>3628.0544384680525</v>
      </c>
      <c r="AO138" s="32">
        <f t="shared" si="2"/>
        <v>2638.67</v>
      </c>
      <c r="AP138" s="31">
        <v>1884.76</v>
      </c>
      <c r="AQ138" s="31">
        <v>3392.58</v>
      </c>
      <c r="AR138" s="210" t="s">
        <v>102</v>
      </c>
      <c r="AS138" s="32"/>
    </row>
    <row r="139" spans="1:45" ht="12.75" x14ac:dyDescent="0.2">
      <c r="A139" s="48">
        <v>133</v>
      </c>
      <c r="B139" s="12" t="str">
        <f>'Encargos e Benefícios'!B138</f>
        <v>Socioeducador</v>
      </c>
      <c r="C139" s="10">
        <f>'Encargos e Benefícios'!C138</f>
        <v>26</v>
      </c>
      <c r="D139" s="38" t="s">
        <v>615</v>
      </c>
      <c r="E139" s="174">
        <v>46023</v>
      </c>
      <c r="F139" s="173">
        <v>47118</v>
      </c>
      <c r="G139" s="172">
        <v>46023</v>
      </c>
      <c r="H139" s="370">
        <v>3.5000000000000003E-2</v>
      </c>
      <c r="I139" s="47"/>
      <c r="J139" s="47"/>
      <c r="K139" s="47"/>
      <c r="L139" s="47"/>
      <c r="M139" s="172">
        <v>46388</v>
      </c>
      <c r="N139" s="370">
        <v>0.04</v>
      </c>
      <c r="O139" s="47"/>
      <c r="P139" s="47"/>
      <c r="Q139" s="47"/>
      <c r="R139" s="47"/>
      <c r="S139" s="172">
        <v>46753</v>
      </c>
      <c r="T139" s="370">
        <v>0.04</v>
      </c>
      <c r="U139" s="47"/>
      <c r="V139" s="47"/>
      <c r="W139" s="47"/>
      <c r="X139" s="47"/>
      <c r="Y139" s="172"/>
      <c r="Z139" s="133"/>
      <c r="AA139" s="47"/>
      <c r="AB139" s="47"/>
      <c r="AC139" s="47"/>
      <c r="AD139" s="47"/>
      <c r="AE139" s="172"/>
      <c r="AF139" s="133"/>
      <c r="AG139" s="47"/>
      <c r="AH139" s="47"/>
      <c r="AI139" s="47"/>
      <c r="AJ139" s="136"/>
      <c r="AK139" s="11">
        <f>'Encargos e Benefícios'!D138</f>
        <v>2475.9907000000003</v>
      </c>
      <c r="AL139" s="11">
        <f>IF('Encargos e Benefícios'!C138=0,0,'Encargos e Benefícios'!U138/'Encargos e Benefícios'!C138)</f>
        <v>2547.2351949988192</v>
      </c>
      <c r="AM139" s="11">
        <f>IF('Encargos e Benefícios'!C138=0,0,'Encargos e Benefícios'!AC138/'Encargos e Benefícios'!C138)</f>
        <v>660.24055799999996</v>
      </c>
      <c r="AN139" s="119">
        <f>IF('Encargos e Benefícios'!C138=0,0,'Encargos e Benefícios'!AD138/'Encargos e Benefícios'!C138)</f>
        <v>5683.4664529988186</v>
      </c>
      <c r="AO139" s="32">
        <f t="shared" si="2"/>
        <v>2621.0150000000003</v>
      </c>
      <c r="AP139" s="31">
        <v>1906.88</v>
      </c>
      <c r="AQ139" s="31">
        <v>3335.15</v>
      </c>
      <c r="AR139" s="210" t="s">
        <v>102</v>
      </c>
      <c r="AS139" s="32"/>
    </row>
    <row r="140" spans="1:45" ht="12.75" x14ac:dyDescent="0.2">
      <c r="A140" s="48">
        <v>134</v>
      </c>
      <c r="B140" s="12" t="str">
        <f>'Encargos e Benefícios'!B139</f>
        <v>Socioeducador</v>
      </c>
      <c r="C140" s="10">
        <f>'Encargos e Benefícios'!C139</f>
        <v>18</v>
      </c>
      <c r="D140" s="38" t="s">
        <v>615</v>
      </c>
      <c r="E140" s="174">
        <v>46023</v>
      </c>
      <c r="F140" s="173">
        <v>47118</v>
      </c>
      <c r="G140" s="172">
        <v>46023</v>
      </c>
      <c r="H140" s="370">
        <v>3.5000000000000003E-2</v>
      </c>
      <c r="I140" s="47"/>
      <c r="J140" s="47"/>
      <c r="K140" s="47"/>
      <c r="L140" s="47"/>
      <c r="M140" s="172">
        <v>46388</v>
      </c>
      <c r="N140" s="370">
        <v>0.04</v>
      </c>
      <c r="O140" s="47"/>
      <c r="P140" s="47"/>
      <c r="Q140" s="47"/>
      <c r="R140" s="47"/>
      <c r="S140" s="172">
        <v>46753</v>
      </c>
      <c r="T140" s="370">
        <v>0.04</v>
      </c>
      <c r="U140" s="47"/>
      <c r="V140" s="47"/>
      <c r="W140" s="47"/>
      <c r="X140" s="47"/>
      <c r="Y140" s="172"/>
      <c r="Z140" s="133"/>
      <c r="AA140" s="47"/>
      <c r="AB140" s="47"/>
      <c r="AC140" s="47"/>
      <c r="AD140" s="47"/>
      <c r="AE140" s="172"/>
      <c r="AF140" s="133"/>
      <c r="AG140" s="47"/>
      <c r="AH140" s="47"/>
      <c r="AI140" s="47"/>
      <c r="AJ140" s="136"/>
      <c r="AK140" s="11">
        <f>'Encargos e Benefícios'!D139</f>
        <v>2475.9907000000003</v>
      </c>
      <c r="AL140" s="11">
        <f>IF('Encargos e Benefícios'!C139=0,0,'Encargos e Benefícios'!U139/'Encargos e Benefícios'!C139)</f>
        <v>2977.147617241837</v>
      </c>
      <c r="AM140" s="11">
        <f>IF('Encargos e Benefícios'!C139=0,0,'Encargos e Benefícios'!AC139/'Encargos e Benefícios'!C139)</f>
        <v>660.24055799999996</v>
      </c>
      <c r="AN140" s="119">
        <f>IF('Encargos e Benefícios'!C139=0,0,'Encargos e Benefícios'!AD139/'Encargos e Benefícios'!C139)</f>
        <v>6113.3788752418377</v>
      </c>
      <c r="AO140" s="32">
        <f t="shared" si="2"/>
        <v>2621.0150000000003</v>
      </c>
      <c r="AP140" s="31">
        <v>1906.88</v>
      </c>
      <c r="AQ140" s="31">
        <v>3335.15</v>
      </c>
      <c r="AR140" s="210" t="s">
        <v>102</v>
      </c>
      <c r="AS140" s="32"/>
    </row>
    <row r="141" spans="1:45" ht="12.75" x14ac:dyDescent="0.2">
      <c r="A141" s="48">
        <v>135</v>
      </c>
      <c r="B141" s="12" t="str">
        <f>'Encargos e Benefícios'!B140</f>
        <v xml:space="preserve">Supervisor </v>
      </c>
      <c r="C141" s="10">
        <f>'Encargos e Benefícios'!C140</f>
        <v>1</v>
      </c>
      <c r="D141" s="38" t="s">
        <v>615</v>
      </c>
      <c r="E141" s="174">
        <v>46023</v>
      </c>
      <c r="F141" s="173">
        <v>47118</v>
      </c>
      <c r="G141" s="172">
        <v>46023</v>
      </c>
      <c r="H141" s="370">
        <v>3.5000000000000003E-2</v>
      </c>
      <c r="I141" s="47"/>
      <c r="J141" s="47"/>
      <c r="K141" s="47"/>
      <c r="L141" s="47"/>
      <c r="M141" s="172">
        <v>46388</v>
      </c>
      <c r="N141" s="370">
        <v>0.04</v>
      </c>
      <c r="O141" s="47"/>
      <c r="P141" s="47"/>
      <c r="Q141" s="47"/>
      <c r="R141" s="47"/>
      <c r="S141" s="172">
        <v>46753</v>
      </c>
      <c r="T141" s="370">
        <v>0.04</v>
      </c>
      <c r="U141" s="47"/>
      <c r="V141" s="47"/>
      <c r="W141" s="47"/>
      <c r="X141" s="47"/>
      <c r="Y141" s="172"/>
      <c r="Z141" s="133"/>
      <c r="AA141" s="47"/>
      <c r="AB141" s="47"/>
      <c r="AC141" s="47"/>
      <c r="AD141" s="47"/>
      <c r="AE141" s="172"/>
      <c r="AF141" s="133"/>
      <c r="AG141" s="47"/>
      <c r="AH141" s="47"/>
      <c r="AI141" s="47"/>
      <c r="AJ141" s="136"/>
      <c r="AK141" s="11">
        <f>'Encargos e Benefícios'!D140</f>
        <v>4195.9728999999998</v>
      </c>
      <c r="AL141" s="11">
        <f>IF('Encargos e Benefícios'!C140=0,0,'Encargos e Benefícios'!U140/'Encargos e Benefícios'!C140)</f>
        <v>4209.2359041176887</v>
      </c>
      <c r="AM141" s="11">
        <f>IF('Encargos e Benefícios'!C140=0,0,'Encargos e Benefícios'!AC140/'Encargos e Benefícios'!C140)</f>
        <v>557.04162599999995</v>
      </c>
      <c r="AN141" s="119">
        <f>IF('Encargos e Benefícios'!C140=0,0,'Encargos e Benefícios'!AD140/'Encargos e Benefícios'!C140)</f>
        <v>8962.2504301176887</v>
      </c>
      <c r="AO141" s="32">
        <f t="shared" si="2"/>
        <v>4917.4850000000006</v>
      </c>
      <c r="AP141" s="31">
        <v>2550.5</v>
      </c>
      <c r="AQ141" s="31">
        <v>7284.47</v>
      </c>
      <c r="AR141" s="210" t="s">
        <v>102</v>
      </c>
      <c r="AS141" s="32"/>
    </row>
    <row r="142" spans="1:45" ht="22.5" x14ac:dyDescent="0.2">
      <c r="A142" s="48">
        <v>136</v>
      </c>
      <c r="B142" s="12" t="str">
        <f>'Encargos e Benefícios'!B141</f>
        <v>Enfermeiro</v>
      </c>
      <c r="C142" s="10">
        <f>'Encargos e Benefícios'!C141</f>
        <v>1</v>
      </c>
      <c r="D142" s="38" t="s">
        <v>617</v>
      </c>
      <c r="E142" s="174">
        <v>46023</v>
      </c>
      <c r="F142" s="173">
        <v>47118</v>
      </c>
      <c r="G142" s="172">
        <v>46023</v>
      </c>
      <c r="H142" s="370">
        <v>3.5000000000000003E-2</v>
      </c>
      <c r="I142" s="47"/>
      <c r="J142" s="47"/>
      <c r="K142" s="47"/>
      <c r="L142" s="47"/>
      <c r="M142" s="172">
        <v>46388</v>
      </c>
      <c r="N142" s="370">
        <v>0.04</v>
      </c>
      <c r="O142" s="47"/>
      <c r="P142" s="47"/>
      <c r="Q142" s="47"/>
      <c r="R142" s="47"/>
      <c r="S142" s="172">
        <v>46753</v>
      </c>
      <c r="T142" s="370">
        <v>0.04</v>
      </c>
      <c r="U142" s="47"/>
      <c r="V142" s="47"/>
      <c r="W142" s="47"/>
      <c r="X142" s="47"/>
      <c r="Y142" s="172"/>
      <c r="Z142" s="133"/>
      <c r="AA142" s="47"/>
      <c r="AB142" s="47"/>
      <c r="AC142" s="47"/>
      <c r="AD142" s="47"/>
      <c r="AE142" s="172"/>
      <c r="AF142" s="133"/>
      <c r="AG142" s="47"/>
      <c r="AH142" s="47"/>
      <c r="AI142" s="47"/>
      <c r="AJ142" s="136"/>
      <c r="AK142" s="11">
        <f>'Encargos e Benefícios'!D141</f>
        <v>5372.2025000000003</v>
      </c>
      <c r="AL142" s="11">
        <f>IF('Encargos e Benefícios'!C141=0,0,'Encargos e Benefícios'!U141/'Encargos e Benefícios'!C141)</f>
        <v>1782.9743186111114</v>
      </c>
      <c r="AM142" s="11">
        <f>IF('Encargos e Benefícios'!C141=0,0,'Encargos e Benefícios'!AC141/'Encargos e Benefícios'!C141)</f>
        <v>486.46785</v>
      </c>
      <c r="AN142" s="119">
        <f>IF('Encargos e Benefícios'!C141=0,0,'Encargos e Benefícios'!AD141/'Encargos e Benefícios'!C141)</f>
        <v>7641.6446686111112</v>
      </c>
      <c r="AO142" s="32">
        <f t="shared" si="2"/>
        <v>4535.9449999999997</v>
      </c>
      <c r="AP142" s="31">
        <v>3300.06</v>
      </c>
      <c r="AQ142" s="31">
        <v>5771.83</v>
      </c>
      <c r="AR142" s="210" t="s">
        <v>102</v>
      </c>
      <c r="AS142" s="32"/>
    </row>
    <row r="143" spans="1:45" ht="22.5" x14ac:dyDescent="0.2">
      <c r="A143" s="48">
        <v>137</v>
      </c>
      <c r="B143" s="12" t="str">
        <f>'Encargos e Benefícios'!B142</f>
        <v>Técnico de Enfermagem</v>
      </c>
      <c r="C143" s="10">
        <f>'Encargos e Benefícios'!C142</f>
        <v>1</v>
      </c>
      <c r="D143" s="38" t="s">
        <v>617</v>
      </c>
      <c r="E143" s="174">
        <v>46023</v>
      </c>
      <c r="F143" s="173">
        <v>47118</v>
      </c>
      <c r="G143" s="172">
        <v>46023</v>
      </c>
      <c r="H143" s="370">
        <v>3.5000000000000003E-2</v>
      </c>
      <c r="I143" s="47"/>
      <c r="J143" s="47"/>
      <c r="K143" s="47"/>
      <c r="L143" s="47"/>
      <c r="M143" s="172">
        <v>46388</v>
      </c>
      <c r="N143" s="370">
        <v>0.04</v>
      </c>
      <c r="O143" s="47"/>
      <c r="P143" s="47"/>
      <c r="Q143" s="47"/>
      <c r="R143" s="47"/>
      <c r="S143" s="172">
        <v>46753</v>
      </c>
      <c r="T143" s="370">
        <v>0.04</v>
      </c>
      <c r="U143" s="47"/>
      <c r="V143" s="47"/>
      <c r="W143" s="47"/>
      <c r="X143" s="47"/>
      <c r="Y143" s="172"/>
      <c r="Z143" s="133"/>
      <c r="AA143" s="47"/>
      <c r="AB143" s="47"/>
      <c r="AC143" s="47"/>
      <c r="AD143" s="47"/>
      <c r="AE143" s="172"/>
      <c r="AF143" s="133"/>
      <c r="AG143" s="47"/>
      <c r="AH143" s="47"/>
      <c r="AI143" s="47"/>
      <c r="AJ143" s="136"/>
      <c r="AK143" s="11">
        <f>'Encargos e Benefícios'!D142</f>
        <v>3760.5471000000002</v>
      </c>
      <c r="AL143" s="11">
        <f>IF('Encargos e Benefícios'!C142=0,0,'Encargos e Benefícios'!U142/'Encargos e Benefícios'!C142)</f>
        <v>2269.8445019545338</v>
      </c>
      <c r="AM143" s="11">
        <f>IF('Encargos e Benefícios'!C142=0,0,'Encargos e Benefícios'!AC142/'Encargos e Benefícios'!C142)</f>
        <v>583.16717399999993</v>
      </c>
      <c r="AN143" s="119">
        <f>IF('Encargos e Benefícios'!C142=0,0,'Encargos e Benefícios'!AD142/'Encargos e Benefícios'!C142)</f>
        <v>6613.5587759545342</v>
      </c>
      <c r="AO143" s="32">
        <f t="shared" si="2"/>
        <v>2955.75</v>
      </c>
      <c r="AP143" s="31">
        <v>2150.41</v>
      </c>
      <c r="AQ143" s="31">
        <v>3761.09</v>
      </c>
      <c r="AR143" s="210" t="s">
        <v>102</v>
      </c>
      <c r="AS143" s="32"/>
    </row>
    <row r="144" spans="1:45" ht="22.5" x14ac:dyDescent="0.2">
      <c r="A144" s="48">
        <v>138</v>
      </c>
      <c r="B144" s="12" t="str">
        <f>'Encargos e Benefícios'!B143</f>
        <v>Porteiro</v>
      </c>
      <c r="C144" s="10">
        <f>'Encargos e Benefícios'!C143</f>
        <v>4</v>
      </c>
      <c r="D144" s="38" t="s">
        <v>617</v>
      </c>
      <c r="E144" s="174">
        <v>46023</v>
      </c>
      <c r="F144" s="173">
        <v>47118</v>
      </c>
      <c r="G144" s="172">
        <v>46023</v>
      </c>
      <c r="H144" s="370">
        <v>3.5000000000000003E-2</v>
      </c>
      <c r="I144" s="47"/>
      <c r="J144" s="47"/>
      <c r="K144" s="47"/>
      <c r="L144" s="47"/>
      <c r="M144" s="172">
        <v>46388</v>
      </c>
      <c r="N144" s="370">
        <v>0.04</v>
      </c>
      <c r="O144" s="47"/>
      <c r="P144" s="47"/>
      <c r="Q144" s="47"/>
      <c r="R144" s="47"/>
      <c r="S144" s="172">
        <v>46753</v>
      </c>
      <c r="T144" s="370">
        <v>0.04</v>
      </c>
      <c r="U144" s="47"/>
      <c r="V144" s="47"/>
      <c r="W144" s="47"/>
      <c r="X144" s="47"/>
      <c r="Y144" s="172"/>
      <c r="Z144" s="133"/>
      <c r="AA144" s="47"/>
      <c r="AB144" s="47"/>
      <c r="AC144" s="47"/>
      <c r="AD144" s="47"/>
      <c r="AE144" s="172"/>
      <c r="AF144" s="133"/>
      <c r="AG144" s="47"/>
      <c r="AH144" s="47"/>
      <c r="AI144" s="47"/>
      <c r="AJ144" s="136"/>
      <c r="AK144" s="11">
        <f>'Encargos e Benefícios'!D143</f>
        <v>1759.2515520300001</v>
      </c>
      <c r="AL144" s="11">
        <f>IF('Encargos e Benefícios'!C143=0,0,'Encargos e Benefícios'!U143/'Encargos e Benefícios'!C143)</f>
        <v>1412.3974399752335</v>
      </c>
      <c r="AM144" s="11">
        <f>IF('Encargos e Benefícios'!C143=0,0,'Encargos e Benefícios'!AC143/'Encargos e Benefícios'!C143)</f>
        <v>703.24490687820003</v>
      </c>
      <c r="AN144" s="119">
        <f>IF('Encargos e Benefícios'!C143=0,0,'Encargos e Benefícios'!AD143/'Encargos e Benefícios'!C143)</f>
        <v>3874.8938988834334</v>
      </c>
      <c r="AO144" s="32">
        <f t="shared" si="2"/>
        <v>2638.67</v>
      </c>
      <c r="AP144" s="31">
        <v>1884.76</v>
      </c>
      <c r="AQ144" s="31">
        <v>3392.58</v>
      </c>
      <c r="AR144" s="210" t="s">
        <v>102</v>
      </c>
      <c r="AS144" s="32"/>
    </row>
    <row r="145" spans="1:45" ht="22.5" x14ac:dyDescent="0.2">
      <c r="A145" s="48">
        <v>139</v>
      </c>
      <c r="B145" s="12" t="str">
        <f>'Encargos e Benefícios'!B144</f>
        <v>Diretor Geral de Unidade Socioeducativa (UBERABA)</v>
      </c>
      <c r="C145" s="10">
        <f>'Encargos e Benefícios'!C144</f>
        <v>1</v>
      </c>
      <c r="D145" s="38" t="s">
        <v>615</v>
      </c>
      <c r="E145" s="174">
        <v>46023</v>
      </c>
      <c r="F145" s="173">
        <v>47118</v>
      </c>
      <c r="G145" s="172">
        <v>46023</v>
      </c>
      <c r="H145" s="370">
        <v>3.5000000000000003E-2</v>
      </c>
      <c r="I145" s="47"/>
      <c r="J145" s="47"/>
      <c r="K145" s="47"/>
      <c r="L145" s="47"/>
      <c r="M145" s="172">
        <v>46388</v>
      </c>
      <c r="N145" s="370">
        <v>0.04</v>
      </c>
      <c r="O145" s="47"/>
      <c r="P145" s="47"/>
      <c r="Q145" s="47"/>
      <c r="R145" s="47"/>
      <c r="S145" s="172">
        <v>46753</v>
      </c>
      <c r="T145" s="370">
        <v>0.04</v>
      </c>
      <c r="U145" s="47"/>
      <c r="V145" s="47"/>
      <c r="W145" s="47"/>
      <c r="X145" s="47"/>
      <c r="Y145" s="172"/>
      <c r="Z145" s="133"/>
      <c r="AA145" s="47"/>
      <c r="AB145" s="47"/>
      <c r="AC145" s="47"/>
      <c r="AD145" s="47"/>
      <c r="AE145" s="172"/>
      <c r="AF145" s="133"/>
      <c r="AG145" s="47"/>
      <c r="AH145" s="47"/>
      <c r="AI145" s="47"/>
      <c r="AJ145" s="136"/>
      <c r="AK145" s="11">
        <f>'Encargos e Benefícios'!D144</f>
        <v>8626.8483514359996</v>
      </c>
      <c r="AL145" s="11">
        <f>IF('Encargos e Benefícios'!C144=0,0,'Encargos e Benefícios'!U144/'Encargos e Benefícios'!C144)</f>
        <v>3694.9270758553248</v>
      </c>
      <c r="AM145" s="11">
        <f>IF('Encargos e Benefícios'!C144=0,0,'Encargos e Benefícios'!AC144/'Encargos e Benefícios'!C144)</f>
        <v>438.8</v>
      </c>
      <c r="AN145" s="119">
        <f>IF('Encargos e Benefícios'!C144=0,0,'Encargos e Benefícios'!AD144/'Encargos e Benefícios'!C144)</f>
        <v>12760.575427291324</v>
      </c>
      <c r="AO145" s="32">
        <f t="shared" si="2"/>
        <v>9992.880000000001</v>
      </c>
      <c r="AP145" s="31">
        <v>7137.77</v>
      </c>
      <c r="AQ145" s="31">
        <v>12847.99</v>
      </c>
      <c r="AR145" s="210" t="s">
        <v>108</v>
      </c>
      <c r="AS145" s="32"/>
    </row>
    <row r="146" spans="1:45" ht="12.75" x14ac:dyDescent="0.2">
      <c r="A146" s="48">
        <v>140</v>
      </c>
      <c r="B146" s="12" t="str">
        <f>'Encargos e Benefícios'!B145</f>
        <v>Analista Administrativo (UBERABA)</v>
      </c>
      <c r="C146" s="10">
        <f>'Encargos e Benefícios'!C145</f>
        <v>1</v>
      </c>
      <c r="D146" s="38" t="s">
        <v>615</v>
      </c>
      <c r="E146" s="174">
        <v>46023</v>
      </c>
      <c r="F146" s="173">
        <v>47118</v>
      </c>
      <c r="G146" s="172">
        <v>46023</v>
      </c>
      <c r="H146" s="370">
        <v>3.5000000000000003E-2</v>
      </c>
      <c r="I146" s="47"/>
      <c r="J146" s="47"/>
      <c r="K146" s="47"/>
      <c r="L146" s="47"/>
      <c r="M146" s="172">
        <v>46388</v>
      </c>
      <c r="N146" s="370">
        <v>0.04</v>
      </c>
      <c r="O146" s="47"/>
      <c r="P146" s="47"/>
      <c r="Q146" s="47"/>
      <c r="R146" s="47"/>
      <c r="S146" s="172">
        <v>46753</v>
      </c>
      <c r="T146" s="370">
        <v>0.04</v>
      </c>
      <c r="U146" s="47"/>
      <c r="V146" s="47"/>
      <c r="W146" s="47"/>
      <c r="X146" s="47"/>
      <c r="Y146" s="172"/>
      <c r="Z146" s="133"/>
      <c r="AA146" s="47"/>
      <c r="AB146" s="47"/>
      <c r="AC146" s="47"/>
      <c r="AD146" s="47"/>
      <c r="AE146" s="172"/>
      <c r="AF146" s="133"/>
      <c r="AG146" s="47"/>
      <c r="AH146" s="47"/>
      <c r="AI146" s="47"/>
      <c r="AJ146" s="136"/>
      <c r="AK146" s="11">
        <f>'Encargos e Benefícios'!D145</f>
        <v>4664.5671649779988</v>
      </c>
      <c r="AL146" s="11">
        <f>IF('Encargos e Benefícios'!C145=0,0,'Encargos e Benefícios'!U145/'Encargos e Benefícios'!C145)</f>
        <v>1548.1180135321424</v>
      </c>
      <c r="AM146" s="11">
        <f>IF('Encargos e Benefícios'!C145=0,0,'Encargos e Benefícios'!AC145/'Encargos e Benefícios'!C145)</f>
        <v>528.9259701013201</v>
      </c>
      <c r="AN146" s="119">
        <f>IF('Encargos e Benefícios'!C145=0,0,'Encargos e Benefícios'!AD145/'Encargos e Benefícios'!C145)</f>
        <v>6741.6111486114605</v>
      </c>
      <c r="AO146" s="32">
        <f t="shared" si="2"/>
        <v>7383.3099999999995</v>
      </c>
      <c r="AP146" s="31">
        <v>5273.79</v>
      </c>
      <c r="AQ146" s="31">
        <v>9492.83</v>
      </c>
      <c r="AR146" s="210" t="s">
        <v>108</v>
      </c>
      <c r="AS146" s="32"/>
    </row>
    <row r="147" spans="1:45" ht="12.75" x14ac:dyDescent="0.2">
      <c r="A147" s="48">
        <v>141</v>
      </c>
      <c r="B147" s="12" t="str">
        <f>'Encargos e Benefícios'!B146</f>
        <v>Diretor de Atendimento (UBERABA)</v>
      </c>
      <c r="C147" s="10">
        <f>'Encargos e Benefícios'!C146</f>
        <v>1</v>
      </c>
      <c r="D147" s="38" t="s">
        <v>615</v>
      </c>
      <c r="E147" s="174">
        <v>46023</v>
      </c>
      <c r="F147" s="173">
        <v>47118</v>
      </c>
      <c r="G147" s="172">
        <v>46023</v>
      </c>
      <c r="H147" s="370">
        <v>3.5000000000000003E-2</v>
      </c>
      <c r="I147" s="47"/>
      <c r="J147" s="47"/>
      <c r="K147" s="47"/>
      <c r="L147" s="47"/>
      <c r="M147" s="172">
        <v>46388</v>
      </c>
      <c r="N147" s="370">
        <v>0.04</v>
      </c>
      <c r="O147" s="47"/>
      <c r="P147" s="47"/>
      <c r="Q147" s="47"/>
      <c r="R147" s="47"/>
      <c r="S147" s="172">
        <v>46753</v>
      </c>
      <c r="T147" s="370">
        <v>0.04</v>
      </c>
      <c r="U147" s="47"/>
      <c r="V147" s="47"/>
      <c r="W147" s="47"/>
      <c r="X147" s="47"/>
      <c r="Y147" s="172"/>
      <c r="Z147" s="133"/>
      <c r="AA147" s="47"/>
      <c r="AB147" s="47"/>
      <c r="AC147" s="47"/>
      <c r="AD147" s="47"/>
      <c r="AE147" s="172"/>
      <c r="AF147" s="133"/>
      <c r="AG147" s="47"/>
      <c r="AH147" s="47"/>
      <c r="AI147" s="47"/>
      <c r="AJ147" s="136"/>
      <c r="AK147" s="11">
        <f>'Encargos e Benefícios'!D146</f>
        <v>6971.8487432299989</v>
      </c>
      <c r="AL147" s="11">
        <f>IF('Encargos e Benefícios'!C146=0,0,'Encargos e Benefícios'!U146/'Encargos e Benefícios'!C146)</f>
        <v>2313.8791328920006</v>
      </c>
      <c r="AM147" s="11">
        <f>IF('Encargos e Benefícios'!C146=0,0,'Encargos e Benefícios'!AC146/'Encargos e Benefícios'!C146)</f>
        <v>438.8</v>
      </c>
      <c r="AN147" s="119">
        <f>IF('Encargos e Benefícios'!C146=0,0,'Encargos e Benefícios'!AD146/'Encargos e Benefícios'!C146)</f>
        <v>9724.5278761219997</v>
      </c>
      <c r="AO147" s="32">
        <f t="shared" si="2"/>
        <v>6777.27</v>
      </c>
      <c r="AP147" s="31">
        <v>3515.09</v>
      </c>
      <c r="AQ147" s="31">
        <v>10039.450000000001</v>
      </c>
      <c r="AR147" s="210" t="s">
        <v>108</v>
      </c>
      <c r="AS147" s="32"/>
    </row>
    <row r="148" spans="1:45" ht="12.75" x14ac:dyDescent="0.2">
      <c r="A148" s="48">
        <v>142</v>
      </c>
      <c r="B148" s="12" t="str">
        <f>'Encargos e Benefícios'!B147</f>
        <v>Analista de Pedagogia</v>
      </c>
      <c r="C148" s="10">
        <f>'Encargos e Benefícios'!C147</f>
        <v>2</v>
      </c>
      <c r="D148" s="38" t="s">
        <v>616</v>
      </c>
      <c r="E148" s="174">
        <v>46023</v>
      </c>
      <c r="F148" s="173">
        <v>47118</v>
      </c>
      <c r="G148" s="172">
        <v>46023</v>
      </c>
      <c r="H148" s="370">
        <v>3.5000000000000003E-2</v>
      </c>
      <c r="I148" s="47"/>
      <c r="J148" s="47"/>
      <c r="K148" s="47"/>
      <c r="L148" s="47"/>
      <c r="M148" s="172">
        <v>46388</v>
      </c>
      <c r="N148" s="370">
        <v>0.04</v>
      </c>
      <c r="O148" s="47"/>
      <c r="P148" s="47"/>
      <c r="Q148" s="47"/>
      <c r="R148" s="47"/>
      <c r="S148" s="172">
        <v>46753</v>
      </c>
      <c r="T148" s="370">
        <v>0.04</v>
      </c>
      <c r="U148" s="47"/>
      <c r="V148" s="47"/>
      <c r="W148" s="47"/>
      <c r="X148" s="47"/>
      <c r="Y148" s="172"/>
      <c r="Z148" s="133"/>
      <c r="AA148" s="47"/>
      <c r="AB148" s="47"/>
      <c r="AC148" s="47"/>
      <c r="AD148" s="47"/>
      <c r="AE148" s="172"/>
      <c r="AF148" s="133"/>
      <c r="AG148" s="47"/>
      <c r="AH148" s="47"/>
      <c r="AI148" s="47"/>
      <c r="AJ148" s="136"/>
      <c r="AK148" s="11">
        <f>'Encargos e Benefícios'!D147</f>
        <v>3432.9771878639999</v>
      </c>
      <c r="AL148" s="11">
        <f>IF('Encargos e Benefícios'!C147=0,0,'Encargos e Benefícios'!U147/'Encargos e Benefícios'!C147)</f>
        <v>1139.3669844610856</v>
      </c>
      <c r="AM148" s="11">
        <f>IF('Encargos e Benefícios'!C147=0,0,'Encargos e Benefícios'!AC147/'Encargos e Benefícios'!C147)</f>
        <v>602.82136872816</v>
      </c>
      <c r="AN148" s="119">
        <f>IF('Encargos e Benefícios'!C147=0,0,'Encargos e Benefícios'!AD147/'Encargos e Benefícios'!C147)</f>
        <v>5175.1655410532458</v>
      </c>
      <c r="AO148" s="32">
        <f t="shared" si="2"/>
        <v>4280.8549999999996</v>
      </c>
      <c r="AP148" s="31">
        <v>3057.75</v>
      </c>
      <c r="AQ148" s="31">
        <v>5503.96</v>
      </c>
      <c r="AR148" s="210" t="s">
        <v>108</v>
      </c>
      <c r="AS148" s="32"/>
    </row>
    <row r="149" spans="1:45" ht="12.75" x14ac:dyDescent="0.2">
      <c r="A149" s="48">
        <v>143</v>
      </c>
      <c r="B149" s="12" t="str">
        <f>'Encargos e Benefícios'!B148</f>
        <v>Analista de Psicologia</v>
      </c>
      <c r="C149" s="10">
        <f>'Encargos e Benefícios'!C148</f>
        <v>3</v>
      </c>
      <c r="D149" s="38" t="s">
        <v>616</v>
      </c>
      <c r="E149" s="174">
        <v>46023</v>
      </c>
      <c r="F149" s="173">
        <v>47118</v>
      </c>
      <c r="G149" s="172">
        <v>46023</v>
      </c>
      <c r="H149" s="370">
        <v>3.5000000000000003E-2</v>
      </c>
      <c r="I149" s="47"/>
      <c r="J149" s="47"/>
      <c r="K149" s="47"/>
      <c r="L149" s="47"/>
      <c r="M149" s="172">
        <v>46388</v>
      </c>
      <c r="N149" s="370">
        <v>0.04</v>
      </c>
      <c r="O149" s="47"/>
      <c r="P149" s="47"/>
      <c r="Q149" s="47"/>
      <c r="R149" s="47"/>
      <c r="S149" s="172">
        <v>46753</v>
      </c>
      <c r="T149" s="370">
        <v>0.04</v>
      </c>
      <c r="U149" s="47"/>
      <c r="V149" s="47"/>
      <c r="W149" s="47"/>
      <c r="X149" s="47"/>
      <c r="Y149" s="172"/>
      <c r="Z149" s="133"/>
      <c r="AA149" s="47"/>
      <c r="AB149" s="47"/>
      <c r="AC149" s="47"/>
      <c r="AD149" s="47"/>
      <c r="AE149" s="172"/>
      <c r="AF149" s="133"/>
      <c r="AG149" s="47"/>
      <c r="AH149" s="47"/>
      <c r="AI149" s="47"/>
      <c r="AJ149" s="136"/>
      <c r="AK149" s="11">
        <f>'Encargos e Benefícios'!D148</f>
        <v>3432.9771878639999</v>
      </c>
      <c r="AL149" s="11">
        <f>IF('Encargos e Benefícios'!C148=0,0,'Encargos e Benefícios'!U148/'Encargos e Benefícios'!C148)</f>
        <v>1139.3669844610854</v>
      </c>
      <c r="AM149" s="11">
        <f>IF('Encargos e Benefícios'!C148=0,0,'Encargos e Benefícios'!AC148/'Encargos e Benefícios'!C148)</f>
        <v>602.82136872816</v>
      </c>
      <c r="AN149" s="119">
        <f>IF('Encargos e Benefícios'!C148=0,0,'Encargos e Benefícios'!AD148/'Encargos e Benefícios'!C148)</f>
        <v>5175.1655410532449</v>
      </c>
      <c r="AO149" s="32">
        <f t="shared" si="2"/>
        <v>4280.8549999999996</v>
      </c>
      <c r="AP149" s="31">
        <v>3057.75</v>
      </c>
      <c r="AQ149" s="31">
        <v>5503.96</v>
      </c>
      <c r="AR149" s="210" t="s">
        <v>108</v>
      </c>
      <c r="AS149" s="32"/>
    </row>
    <row r="150" spans="1:45" ht="12.75" x14ac:dyDescent="0.2">
      <c r="A150" s="48">
        <v>144</v>
      </c>
      <c r="B150" s="12" t="str">
        <f>'Encargos e Benefícios'!B149</f>
        <v>Analista de Terapia Ocupacional</v>
      </c>
      <c r="C150" s="10">
        <f>'Encargos e Benefícios'!C149</f>
        <v>1</v>
      </c>
      <c r="D150" s="38" t="s">
        <v>616</v>
      </c>
      <c r="E150" s="174">
        <v>46023</v>
      </c>
      <c r="F150" s="173">
        <v>47118</v>
      </c>
      <c r="G150" s="172">
        <v>46023</v>
      </c>
      <c r="H150" s="370">
        <v>3.5000000000000003E-2</v>
      </c>
      <c r="I150" s="47"/>
      <c r="J150" s="47"/>
      <c r="K150" s="47"/>
      <c r="L150" s="47"/>
      <c r="M150" s="172">
        <v>46388</v>
      </c>
      <c r="N150" s="370">
        <v>0.04</v>
      </c>
      <c r="O150" s="47"/>
      <c r="P150" s="47"/>
      <c r="Q150" s="47"/>
      <c r="R150" s="47"/>
      <c r="S150" s="172">
        <v>46753</v>
      </c>
      <c r="T150" s="370">
        <v>0.04</v>
      </c>
      <c r="U150" s="47"/>
      <c r="V150" s="47"/>
      <c r="W150" s="47"/>
      <c r="X150" s="47"/>
      <c r="Y150" s="172"/>
      <c r="Z150" s="133"/>
      <c r="AA150" s="47"/>
      <c r="AB150" s="47"/>
      <c r="AC150" s="47"/>
      <c r="AD150" s="47"/>
      <c r="AE150" s="172"/>
      <c r="AF150" s="133"/>
      <c r="AG150" s="47"/>
      <c r="AH150" s="47"/>
      <c r="AI150" s="47"/>
      <c r="AJ150" s="136"/>
      <c r="AK150" s="11">
        <f>'Encargos e Benefícios'!D149</f>
        <v>3432.9771878639999</v>
      </c>
      <c r="AL150" s="11">
        <f>IF('Encargos e Benefícios'!C149=0,0,'Encargos e Benefícios'!U149/'Encargos e Benefícios'!C149)</f>
        <v>1139.3669844610856</v>
      </c>
      <c r="AM150" s="11">
        <f>IF('Encargos e Benefícios'!C149=0,0,'Encargos e Benefícios'!AC149/'Encargos e Benefícios'!C149)</f>
        <v>602.82136872816</v>
      </c>
      <c r="AN150" s="119">
        <f>IF('Encargos e Benefícios'!C149=0,0,'Encargos e Benefícios'!AD149/'Encargos e Benefícios'!C149)</f>
        <v>5175.1655410532458</v>
      </c>
      <c r="AO150" s="32">
        <f t="shared" si="2"/>
        <v>4280.8549999999996</v>
      </c>
      <c r="AP150" s="31">
        <v>3057.75</v>
      </c>
      <c r="AQ150" s="31">
        <v>5503.96</v>
      </c>
      <c r="AR150" s="210" t="s">
        <v>108</v>
      </c>
      <c r="AS150" s="32"/>
    </row>
    <row r="151" spans="1:45" ht="12.75" x14ac:dyDescent="0.2">
      <c r="A151" s="48">
        <v>145</v>
      </c>
      <c r="B151" s="12" t="str">
        <f>'Encargos e Benefícios'!B150</f>
        <v>Analista de Assistencia Social</v>
      </c>
      <c r="C151" s="10">
        <f>'Encargos e Benefícios'!C150</f>
        <v>3</v>
      </c>
      <c r="D151" s="38" t="s">
        <v>616</v>
      </c>
      <c r="E151" s="174">
        <v>46023</v>
      </c>
      <c r="F151" s="173">
        <v>47118</v>
      </c>
      <c r="G151" s="172">
        <v>46023</v>
      </c>
      <c r="H151" s="370">
        <v>3.5000000000000003E-2</v>
      </c>
      <c r="I151" s="47"/>
      <c r="J151" s="47"/>
      <c r="K151" s="47"/>
      <c r="L151" s="47"/>
      <c r="M151" s="172">
        <v>46388</v>
      </c>
      <c r="N151" s="370">
        <v>0.04</v>
      </c>
      <c r="O151" s="47"/>
      <c r="P151" s="47"/>
      <c r="Q151" s="47"/>
      <c r="R151" s="47"/>
      <c r="S151" s="172">
        <v>46753</v>
      </c>
      <c r="T151" s="370">
        <v>0.04</v>
      </c>
      <c r="U151" s="47"/>
      <c r="V151" s="47"/>
      <c r="W151" s="47"/>
      <c r="X151" s="47"/>
      <c r="Y151" s="172"/>
      <c r="Z151" s="133"/>
      <c r="AA151" s="47"/>
      <c r="AB151" s="47"/>
      <c r="AC151" s="47"/>
      <c r="AD151" s="47"/>
      <c r="AE151" s="172"/>
      <c r="AF151" s="133"/>
      <c r="AG151" s="47"/>
      <c r="AH151" s="47"/>
      <c r="AI151" s="47"/>
      <c r="AJ151" s="136"/>
      <c r="AK151" s="11">
        <f>'Encargos e Benefícios'!D150</f>
        <v>3432.9771878639999</v>
      </c>
      <c r="AL151" s="11">
        <f>IF('Encargos e Benefícios'!C150=0,0,'Encargos e Benefícios'!U150/'Encargos e Benefícios'!C150)</f>
        <v>1139.3669844610854</v>
      </c>
      <c r="AM151" s="11">
        <f>IF('Encargos e Benefícios'!C150=0,0,'Encargos e Benefícios'!AC150/'Encargos e Benefícios'!C150)</f>
        <v>602.82136872816</v>
      </c>
      <c r="AN151" s="119">
        <f>IF('Encargos e Benefícios'!C150=0,0,'Encargos e Benefícios'!AD150/'Encargos e Benefícios'!C150)</f>
        <v>5175.1655410532449</v>
      </c>
      <c r="AO151" s="32">
        <f t="shared" si="2"/>
        <v>4280.8549999999996</v>
      </c>
      <c r="AP151" s="31">
        <v>3057.75</v>
      </c>
      <c r="AQ151" s="31">
        <v>5503.96</v>
      </c>
      <c r="AR151" s="210" t="s">
        <v>108</v>
      </c>
      <c r="AS151" s="32"/>
    </row>
    <row r="152" spans="1:45" ht="12.75" x14ac:dyDescent="0.2">
      <c r="A152" s="48">
        <v>146</v>
      </c>
      <c r="B152" s="12" t="str">
        <f>'Encargos e Benefícios'!B151</f>
        <v>Analista de Direito</v>
      </c>
      <c r="C152" s="10">
        <f>'Encargos e Benefícios'!C151</f>
        <v>2</v>
      </c>
      <c r="D152" s="38" t="s">
        <v>616</v>
      </c>
      <c r="E152" s="174">
        <v>46023</v>
      </c>
      <c r="F152" s="173">
        <v>47118</v>
      </c>
      <c r="G152" s="172">
        <v>46023</v>
      </c>
      <c r="H152" s="370">
        <v>3.5000000000000003E-2</v>
      </c>
      <c r="I152" s="47"/>
      <c r="J152" s="47"/>
      <c r="K152" s="47"/>
      <c r="L152" s="47"/>
      <c r="M152" s="172">
        <v>46388</v>
      </c>
      <c r="N152" s="370">
        <v>0.04</v>
      </c>
      <c r="O152" s="47"/>
      <c r="P152" s="47"/>
      <c r="Q152" s="47"/>
      <c r="R152" s="47"/>
      <c r="S152" s="172">
        <v>46753</v>
      </c>
      <c r="T152" s="370">
        <v>0.04</v>
      </c>
      <c r="U152" s="47"/>
      <c r="V152" s="47"/>
      <c r="W152" s="47"/>
      <c r="X152" s="47"/>
      <c r="Y152" s="172"/>
      <c r="Z152" s="133"/>
      <c r="AA152" s="47"/>
      <c r="AB152" s="47"/>
      <c r="AC152" s="47"/>
      <c r="AD152" s="47"/>
      <c r="AE152" s="172"/>
      <c r="AF152" s="133"/>
      <c r="AG152" s="47"/>
      <c r="AH152" s="47"/>
      <c r="AI152" s="47"/>
      <c r="AJ152" s="136"/>
      <c r="AK152" s="11">
        <f>'Encargos e Benefícios'!D151</f>
        <v>3432.9771878639999</v>
      </c>
      <c r="AL152" s="11">
        <f>IF('Encargos e Benefícios'!C151=0,0,'Encargos e Benefícios'!U151/'Encargos e Benefícios'!C151)</f>
        <v>1139.3669844610856</v>
      </c>
      <c r="AM152" s="11">
        <f>IF('Encargos e Benefícios'!C151=0,0,'Encargos e Benefícios'!AC151/'Encargos e Benefícios'!C151)</f>
        <v>602.82136872816</v>
      </c>
      <c r="AN152" s="119">
        <f>IF('Encargos e Benefícios'!C151=0,0,'Encargos e Benefícios'!AD151/'Encargos e Benefícios'!C151)</f>
        <v>5175.1655410532458</v>
      </c>
      <c r="AO152" s="32">
        <f t="shared" si="2"/>
        <v>4280.8549999999996</v>
      </c>
      <c r="AP152" s="31">
        <v>3057.75</v>
      </c>
      <c r="AQ152" s="31">
        <v>5503.96</v>
      </c>
      <c r="AR152" s="210" t="s">
        <v>108</v>
      </c>
      <c r="AS152" s="32"/>
    </row>
    <row r="153" spans="1:45" ht="12.75" x14ac:dyDescent="0.2">
      <c r="A153" s="48">
        <v>147</v>
      </c>
      <c r="B153" s="12" t="str">
        <f>'Encargos e Benefícios'!B152</f>
        <v>Analista de educação Física</v>
      </c>
      <c r="C153" s="10">
        <f>'Encargos e Benefícios'!C152</f>
        <v>1</v>
      </c>
      <c r="D153" s="38" t="s">
        <v>616</v>
      </c>
      <c r="E153" s="174">
        <v>46023</v>
      </c>
      <c r="F153" s="173">
        <v>47118</v>
      </c>
      <c r="G153" s="172">
        <v>46023</v>
      </c>
      <c r="H153" s="370">
        <v>3.5000000000000003E-2</v>
      </c>
      <c r="I153" s="47"/>
      <c r="J153" s="47"/>
      <c r="K153" s="47"/>
      <c r="L153" s="47"/>
      <c r="M153" s="172">
        <v>46388</v>
      </c>
      <c r="N153" s="370">
        <v>0.04</v>
      </c>
      <c r="O153" s="47"/>
      <c r="P153" s="47"/>
      <c r="Q153" s="47"/>
      <c r="R153" s="47"/>
      <c r="S153" s="172">
        <v>46753</v>
      </c>
      <c r="T153" s="370">
        <v>0.04</v>
      </c>
      <c r="U153" s="47"/>
      <c r="V153" s="47"/>
      <c r="W153" s="47"/>
      <c r="X153" s="47"/>
      <c r="Y153" s="172"/>
      <c r="Z153" s="133"/>
      <c r="AA153" s="47"/>
      <c r="AB153" s="47"/>
      <c r="AC153" s="47"/>
      <c r="AD153" s="47"/>
      <c r="AE153" s="172"/>
      <c r="AF153" s="133"/>
      <c r="AG153" s="47"/>
      <c r="AH153" s="47"/>
      <c r="AI153" s="47"/>
      <c r="AJ153" s="136"/>
      <c r="AK153" s="11">
        <f>'Encargos e Benefícios'!D152</f>
        <v>3432.9771878639999</v>
      </c>
      <c r="AL153" s="11">
        <f>IF('Encargos e Benefícios'!C152=0,0,'Encargos e Benefícios'!U152/'Encargos e Benefícios'!C152)</f>
        <v>1139.3669844610856</v>
      </c>
      <c r="AM153" s="11">
        <f>IF('Encargos e Benefícios'!C152=0,0,'Encargos e Benefícios'!AC152/'Encargos e Benefícios'!C152)</f>
        <v>602.82136872816</v>
      </c>
      <c r="AN153" s="119">
        <f>IF('Encargos e Benefícios'!C152=0,0,'Encargos e Benefícios'!AD152/'Encargos e Benefícios'!C152)</f>
        <v>5175.1655410532458</v>
      </c>
      <c r="AO153" s="32">
        <f t="shared" si="2"/>
        <v>4280.8549999999996</v>
      </c>
      <c r="AP153" s="31">
        <v>3057.75</v>
      </c>
      <c r="AQ153" s="31">
        <v>5503.96</v>
      </c>
      <c r="AR153" s="210" t="s">
        <v>108</v>
      </c>
      <c r="AS153" s="32"/>
    </row>
    <row r="154" spans="1:45" ht="12.75" x14ac:dyDescent="0.2">
      <c r="A154" s="48">
        <v>148</v>
      </c>
      <c r="B154" s="12" t="str">
        <f>'Encargos e Benefícios'!B153</f>
        <v>Auxiliar Educacional</v>
      </c>
      <c r="C154" s="10">
        <f>'Encargos e Benefícios'!C153</f>
        <v>8</v>
      </c>
      <c r="D154" s="38" t="s">
        <v>615</v>
      </c>
      <c r="E154" s="174">
        <v>46023</v>
      </c>
      <c r="F154" s="173">
        <v>47118</v>
      </c>
      <c r="G154" s="172">
        <v>46023</v>
      </c>
      <c r="H154" s="370">
        <v>3.5000000000000003E-2</v>
      </c>
      <c r="I154" s="47"/>
      <c r="J154" s="47"/>
      <c r="K154" s="47"/>
      <c r="L154" s="47"/>
      <c r="M154" s="172">
        <v>46388</v>
      </c>
      <c r="N154" s="370">
        <v>0.04</v>
      </c>
      <c r="O154" s="47"/>
      <c r="P154" s="47"/>
      <c r="Q154" s="47"/>
      <c r="R154" s="47"/>
      <c r="S154" s="172">
        <v>46753</v>
      </c>
      <c r="T154" s="370">
        <v>0.04</v>
      </c>
      <c r="U154" s="47"/>
      <c r="V154" s="47"/>
      <c r="W154" s="47"/>
      <c r="X154" s="47"/>
      <c r="Y154" s="172"/>
      <c r="Z154" s="133"/>
      <c r="AA154" s="47"/>
      <c r="AB154" s="47"/>
      <c r="AC154" s="47"/>
      <c r="AD154" s="47"/>
      <c r="AE154" s="172"/>
      <c r="AF154" s="133"/>
      <c r="AG154" s="47"/>
      <c r="AH154" s="47"/>
      <c r="AI154" s="47"/>
      <c r="AJ154" s="136"/>
      <c r="AK154" s="11">
        <f>'Encargos e Benefícios'!D153</f>
        <v>1954.7239466999999</v>
      </c>
      <c r="AL154" s="11">
        <f>IF('Encargos e Benefícios'!C153=0,0,'Encargos e Benefícios'!U153/'Encargos e Benefícios'!C153)</f>
        <v>1429.7936903911964</v>
      </c>
      <c r="AM154" s="11">
        <f>IF('Encargos e Benefícios'!C153=0,0,'Encargos e Benefícios'!AC153/'Encargos e Benefícios'!C153)</f>
        <v>691.51656319799997</v>
      </c>
      <c r="AN154" s="119">
        <f>IF('Encargos e Benefícios'!C153=0,0,'Encargos e Benefícios'!AD153/'Encargos e Benefícios'!C153)</f>
        <v>4076.0342002891962</v>
      </c>
      <c r="AO154" s="32">
        <f t="shared" si="2"/>
        <v>3332.11</v>
      </c>
      <c r="AP154" s="31">
        <v>2380.08</v>
      </c>
      <c r="AQ154" s="31">
        <v>4284.1400000000003</v>
      </c>
      <c r="AR154" s="210" t="s">
        <v>108</v>
      </c>
      <c r="AS154" s="32"/>
    </row>
    <row r="155" spans="1:45" ht="12.75" x14ac:dyDescent="0.2">
      <c r="A155" s="48">
        <v>149</v>
      </c>
      <c r="B155" s="12" t="str">
        <f>'Encargos e Benefícios'!B154</f>
        <v>Auxiliar Administrativo</v>
      </c>
      <c r="C155" s="10">
        <f>'Encargos e Benefícios'!C154</f>
        <v>3</v>
      </c>
      <c r="D155" s="38" t="s">
        <v>615</v>
      </c>
      <c r="E155" s="174">
        <v>46023</v>
      </c>
      <c r="F155" s="173">
        <v>47118</v>
      </c>
      <c r="G155" s="172">
        <v>46023</v>
      </c>
      <c r="H155" s="370">
        <v>3.5000000000000003E-2</v>
      </c>
      <c r="I155" s="47"/>
      <c r="J155" s="47"/>
      <c r="K155" s="47"/>
      <c r="L155" s="47"/>
      <c r="M155" s="172">
        <v>46388</v>
      </c>
      <c r="N155" s="370">
        <v>0.04</v>
      </c>
      <c r="O155" s="47"/>
      <c r="P155" s="47"/>
      <c r="Q155" s="47"/>
      <c r="R155" s="47"/>
      <c r="S155" s="172">
        <v>46753</v>
      </c>
      <c r="T155" s="370">
        <v>0.04</v>
      </c>
      <c r="U155" s="47"/>
      <c r="V155" s="47"/>
      <c r="W155" s="47"/>
      <c r="X155" s="47"/>
      <c r="Y155" s="172"/>
      <c r="Z155" s="133"/>
      <c r="AA155" s="47"/>
      <c r="AB155" s="47"/>
      <c r="AC155" s="47"/>
      <c r="AD155" s="47"/>
      <c r="AE155" s="172"/>
      <c r="AF155" s="133"/>
      <c r="AG155" s="47"/>
      <c r="AH155" s="47"/>
      <c r="AI155" s="47"/>
      <c r="AJ155" s="136"/>
      <c r="AK155" s="11">
        <f>'Encargos e Benefícios'!D154</f>
        <v>1954.7239466999999</v>
      </c>
      <c r="AL155" s="11">
        <f>IF('Encargos e Benefícios'!C154=0,0,'Encargos e Benefícios'!U154/'Encargos e Benefícios'!C154)</f>
        <v>648.75115875476661</v>
      </c>
      <c r="AM155" s="11">
        <f>IF('Encargos e Benefícios'!C154=0,0,'Encargos e Benefícios'!AC154/'Encargos e Benefícios'!C154)</f>
        <v>691.51656319799997</v>
      </c>
      <c r="AN155" s="119">
        <f>IF('Encargos e Benefícios'!C154=0,0,'Encargos e Benefícios'!AD154/'Encargos e Benefícios'!C154)</f>
        <v>3294.9916686527667</v>
      </c>
      <c r="AO155" s="32">
        <f t="shared" si="2"/>
        <v>3332.11</v>
      </c>
      <c r="AP155" s="31">
        <v>2380.08</v>
      </c>
      <c r="AQ155" s="31">
        <v>4284.1400000000003</v>
      </c>
      <c r="AR155" s="210" t="s">
        <v>108</v>
      </c>
      <c r="AS155" s="32"/>
    </row>
    <row r="156" spans="1:45" ht="12.75" x14ac:dyDescent="0.2">
      <c r="A156" s="48">
        <v>150</v>
      </c>
      <c r="B156" s="12" t="str">
        <f>'Encargos e Benefícios'!B155</f>
        <v>Auxiliar de Serviços Gerais</v>
      </c>
      <c r="C156" s="10">
        <f>'Encargos e Benefícios'!C155</f>
        <v>3</v>
      </c>
      <c r="D156" s="38" t="s">
        <v>615</v>
      </c>
      <c r="E156" s="174">
        <v>46023</v>
      </c>
      <c r="F156" s="173">
        <v>47118</v>
      </c>
      <c r="G156" s="172">
        <v>46023</v>
      </c>
      <c r="H156" s="370">
        <v>3.5000000000000003E-2</v>
      </c>
      <c r="I156" s="47"/>
      <c r="J156" s="47"/>
      <c r="K156" s="47"/>
      <c r="L156" s="47"/>
      <c r="M156" s="172">
        <v>46388</v>
      </c>
      <c r="N156" s="370">
        <v>0.04</v>
      </c>
      <c r="O156" s="47"/>
      <c r="P156" s="47"/>
      <c r="Q156" s="47"/>
      <c r="R156" s="47"/>
      <c r="S156" s="172">
        <v>46753</v>
      </c>
      <c r="T156" s="370">
        <v>0.04</v>
      </c>
      <c r="U156" s="47"/>
      <c r="V156" s="47"/>
      <c r="W156" s="47"/>
      <c r="X156" s="47"/>
      <c r="Y156" s="172"/>
      <c r="Z156" s="133"/>
      <c r="AA156" s="47"/>
      <c r="AB156" s="47"/>
      <c r="AC156" s="47"/>
      <c r="AD156" s="47"/>
      <c r="AE156" s="172"/>
      <c r="AF156" s="133"/>
      <c r="AG156" s="47"/>
      <c r="AH156" s="47"/>
      <c r="AI156" s="47"/>
      <c r="AJ156" s="136"/>
      <c r="AK156" s="11">
        <f>'Encargos e Benefícios'!D155</f>
        <v>1604</v>
      </c>
      <c r="AL156" s="11">
        <f>IF('Encargos e Benefícios'!C155=0,0,'Encargos e Benefícios'!U155/'Encargos e Benefícios'!C155)</f>
        <v>532.34977777777783</v>
      </c>
      <c r="AM156" s="11">
        <f>IF('Encargos e Benefícios'!C155=0,0,'Encargos e Benefícios'!AC155/'Encargos e Benefícios'!C155)</f>
        <v>712.56000000000006</v>
      </c>
      <c r="AN156" s="119">
        <f>IF('Encargos e Benefícios'!C155=0,0,'Encargos e Benefícios'!AD155/'Encargos e Benefícios'!C155)</f>
        <v>2848.9097777777774</v>
      </c>
      <c r="AO156" s="32">
        <f t="shared" si="2"/>
        <v>2286.52</v>
      </c>
      <c r="AP156" s="31">
        <v>1633.23</v>
      </c>
      <c r="AQ156" s="31">
        <v>2939.81</v>
      </c>
      <c r="AR156" s="210" t="s">
        <v>108</v>
      </c>
      <c r="AS156" s="32"/>
    </row>
    <row r="157" spans="1:45" ht="12.75" x14ac:dyDescent="0.2">
      <c r="A157" s="48">
        <v>151</v>
      </c>
      <c r="B157" s="12" t="str">
        <f>'Encargos e Benefícios'!B156</f>
        <v>Motorista</v>
      </c>
      <c r="C157" s="10">
        <f>'Encargos e Benefícios'!C156</f>
        <v>3</v>
      </c>
      <c r="D157" s="38" t="s">
        <v>615</v>
      </c>
      <c r="E157" s="174">
        <v>46023</v>
      </c>
      <c r="F157" s="173">
        <v>47118</v>
      </c>
      <c r="G157" s="172">
        <v>46023</v>
      </c>
      <c r="H157" s="370">
        <v>3.5000000000000003E-2</v>
      </c>
      <c r="I157" s="47"/>
      <c r="J157" s="47"/>
      <c r="K157" s="47"/>
      <c r="L157" s="47"/>
      <c r="M157" s="172">
        <v>46388</v>
      </c>
      <c r="N157" s="370">
        <v>0.04</v>
      </c>
      <c r="O157" s="47"/>
      <c r="P157" s="47"/>
      <c r="Q157" s="47"/>
      <c r="R157" s="47"/>
      <c r="S157" s="172">
        <v>46753</v>
      </c>
      <c r="T157" s="370">
        <v>0.04</v>
      </c>
      <c r="U157" s="47"/>
      <c r="V157" s="47"/>
      <c r="W157" s="47"/>
      <c r="X157" s="47"/>
      <c r="Y157" s="172"/>
      <c r="Z157" s="133"/>
      <c r="AA157" s="47"/>
      <c r="AB157" s="47"/>
      <c r="AC157" s="47"/>
      <c r="AD157" s="47"/>
      <c r="AE157" s="172"/>
      <c r="AF157" s="133"/>
      <c r="AG157" s="47"/>
      <c r="AH157" s="47"/>
      <c r="AI157" s="47"/>
      <c r="AJ157" s="136"/>
      <c r="AK157" s="11">
        <f>'Encargos e Benefícios'!D156</f>
        <v>2216.5886211419997</v>
      </c>
      <c r="AL157" s="11">
        <f>IF('Encargos e Benefícios'!C156=0,0,'Encargos e Benefícios'!U156/'Encargos e Benefícios'!C156)</f>
        <v>735.66113459457256</v>
      </c>
      <c r="AM157" s="11">
        <f>IF('Encargos e Benefícios'!C156=0,0,'Encargos e Benefícios'!AC156/'Encargos e Benefícios'!C156)</f>
        <v>675.80468273148006</v>
      </c>
      <c r="AN157" s="119">
        <f>IF('Encargos e Benefícios'!C156=0,0,'Encargos e Benefícios'!AD156/'Encargos e Benefícios'!C156)</f>
        <v>3628.054438468052</v>
      </c>
      <c r="AO157" s="32">
        <f t="shared" si="2"/>
        <v>2638.67</v>
      </c>
      <c r="AP157" s="31">
        <v>1884.76</v>
      </c>
      <c r="AQ157" s="31">
        <v>3392.58</v>
      </c>
      <c r="AR157" s="210" t="s">
        <v>108</v>
      </c>
      <c r="AS157" s="32"/>
    </row>
    <row r="158" spans="1:45" ht="12.75" x14ac:dyDescent="0.2">
      <c r="A158" s="48">
        <v>152</v>
      </c>
      <c r="B158" s="12" t="str">
        <f>'Encargos e Benefícios'!B157</f>
        <v xml:space="preserve">Gestor de Monitoria e Socioeducação </v>
      </c>
      <c r="C158" s="10">
        <f>'Encargos e Benefícios'!C157</f>
        <v>1</v>
      </c>
      <c r="D158" s="38" t="s">
        <v>615</v>
      </c>
      <c r="E158" s="174">
        <v>46023</v>
      </c>
      <c r="F158" s="173">
        <v>47118</v>
      </c>
      <c r="G158" s="172">
        <v>46023</v>
      </c>
      <c r="H158" s="370">
        <v>3.5000000000000003E-2</v>
      </c>
      <c r="I158" s="47"/>
      <c r="J158" s="47"/>
      <c r="K158" s="47"/>
      <c r="L158" s="47"/>
      <c r="M158" s="172">
        <v>46388</v>
      </c>
      <c r="N158" s="370">
        <v>0.04</v>
      </c>
      <c r="O158" s="47"/>
      <c r="P158" s="47"/>
      <c r="Q158" s="47"/>
      <c r="R158" s="47"/>
      <c r="S158" s="172">
        <v>46753</v>
      </c>
      <c r="T158" s="370">
        <v>0.04</v>
      </c>
      <c r="U158" s="47"/>
      <c r="V158" s="47"/>
      <c r="W158" s="47"/>
      <c r="X158" s="47"/>
      <c r="Y158" s="172"/>
      <c r="Z158" s="133"/>
      <c r="AA158" s="47"/>
      <c r="AB158" s="47"/>
      <c r="AC158" s="47"/>
      <c r="AD158" s="47"/>
      <c r="AE158" s="172"/>
      <c r="AF158" s="133"/>
      <c r="AG158" s="47"/>
      <c r="AH158" s="47"/>
      <c r="AI158" s="47"/>
      <c r="AJ158" s="136"/>
      <c r="AK158" s="11">
        <f>'Encargos e Benefícios'!D157</f>
        <v>6971.8487432299989</v>
      </c>
      <c r="AL158" s="11">
        <f>IF('Encargos e Benefícios'!C157=0,0,'Encargos e Benefícios'!U157/'Encargos e Benefícios'!C157)</f>
        <v>2313.8791328920006</v>
      </c>
      <c r="AM158" s="11">
        <f>IF('Encargos e Benefícios'!C157=0,0,'Encargos e Benefícios'!AC157/'Encargos e Benefícios'!C157)</f>
        <v>438.8</v>
      </c>
      <c r="AN158" s="119">
        <f>IF('Encargos e Benefícios'!C157=0,0,'Encargos e Benefícios'!AD157/'Encargos e Benefícios'!C157)</f>
        <v>9724.5278761219997</v>
      </c>
      <c r="AO158" s="32">
        <f t="shared" si="2"/>
        <v>6777.27</v>
      </c>
      <c r="AP158" s="31">
        <v>3515.09</v>
      </c>
      <c r="AQ158" s="31">
        <v>10039.450000000001</v>
      </c>
      <c r="AR158" s="210" t="s">
        <v>108</v>
      </c>
      <c r="AS158" s="32"/>
    </row>
    <row r="159" spans="1:45" ht="12.75" x14ac:dyDescent="0.2">
      <c r="A159" s="48">
        <v>153</v>
      </c>
      <c r="B159" s="12" t="str">
        <f>'Encargos e Benefícios'!B158</f>
        <v>Socioeducador</v>
      </c>
      <c r="C159" s="10">
        <f>'Encargos e Benefícios'!C158</f>
        <v>52</v>
      </c>
      <c r="D159" s="38" t="s">
        <v>615</v>
      </c>
      <c r="E159" s="174">
        <v>46023</v>
      </c>
      <c r="F159" s="173">
        <v>47118</v>
      </c>
      <c r="G159" s="172">
        <v>46023</v>
      </c>
      <c r="H159" s="370">
        <v>3.5000000000000003E-2</v>
      </c>
      <c r="I159" s="47"/>
      <c r="J159" s="47"/>
      <c r="K159" s="47"/>
      <c r="L159" s="47"/>
      <c r="M159" s="172">
        <v>46388</v>
      </c>
      <c r="N159" s="370">
        <v>0.04</v>
      </c>
      <c r="O159" s="47"/>
      <c r="P159" s="47"/>
      <c r="Q159" s="47"/>
      <c r="R159" s="47"/>
      <c r="S159" s="172">
        <v>46753</v>
      </c>
      <c r="T159" s="370">
        <v>0.04</v>
      </c>
      <c r="U159" s="47"/>
      <c r="V159" s="47"/>
      <c r="W159" s="47"/>
      <c r="X159" s="47"/>
      <c r="Y159" s="172"/>
      <c r="Z159" s="133"/>
      <c r="AA159" s="47"/>
      <c r="AB159" s="47"/>
      <c r="AC159" s="47"/>
      <c r="AD159" s="47"/>
      <c r="AE159" s="172"/>
      <c r="AF159" s="133"/>
      <c r="AG159" s="47"/>
      <c r="AH159" s="47"/>
      <c r="AI159" s="47"/>
      <c r="AJ159" s="136"/>
      <c r="AK159" s="11">
        <f>'Encargos e Benefícios'!D158</f>
        <v>2475.9907000000003</v>
      </c>
      <c r="AL159" s="11">
        <f>IF('Encargos e Benefícios'!C158=0,0,'Encargos e Benefícios'!U158/'Encargos e Benefícios'!C158)</f>
        <v>2515.5261132457208</v>
      </c>
      <c r="AM159" s="11">
        <f>IF('Encargos e Benefícios'!C158=0,0,'Encargos e Benefícios'!AC158/'Encargos e Benefícios'!C158)</f>
        <v>660.24055799999996</v>
      </c>
      <c r="AN159" s="119">
        <f>IF('Encargos e Benefícios'!C158=0,0,'Encargos e Benefícios'!AD158/'Encargos e Benefícios'!C158)</f>
        <v>5651.7573712457224</v>
      </c>
      <c r="AO159" s="32">
        <f t="shared" si="2"/>
        <v>2621.0150000000003</v>
      </c>
      <c r="AP159" s="31">
        <v>1906.88</v>
      </c>
      <c r="AQ159" s="31">
        <v>3335.15</v>
      </c>
      <c r="AR159" s="210" t="s">
        <v>108</v>
      </c>
      <c r="AS159" s="32"/>
    </row>
    <row r="160" spans="1:45" ht="22.5" x14ac:dyDescent="0.2">
      <c r="A160" s="48">
        <v>154</v>
      </c>
      <c r="B160" s="12" t="str">
        <f>'Encargos e Benefícios'!B159</f>
        <v>Socioeducador</v>
      </c>
      <c r="C160" s="10">
        <f>'Encargos e Benefícios'!C159</f>
        <v>22</v>
      </c>
      <c r="D160" s="38" t="s">
        <v>617</v>
      </c>
      <c r="E160" s="174">
        <v>46023</v>
      </c>
      <c r="F160" s="173">
        <v>47118</v>
      </c>
      <c r="G160" s="172">
        <v>46023</v>
      </c>
      <c r="H160" s="370">
        <v>3.5000000000000003E-2</v>
      </c>
      <c r="I160" s="47"/>
      <c r="J160" s="47"/>
      <c r="K160" s="47"/>
      <c r="L160" s="47"/>
      <c r="M160" s="172">
        <v>46388</v>
      </c>
      <c r="N160" s="370">
        <v>0.04</v>
      </c>
      <c r="O160" s="47"/>
      <c r="P160" s="47"/>
      <c r="Q160" s="47"/>
      <c r="R160" s="47"/>
      <c r="S160" s="172">
        <v>46753</v>
      </c>
      <c r="T160" s="370">
        <v>0.04</v>
      </c>
      <c r="U160" s="47"/>
      <c r="V160" s="47"/>
      <c r="W160" s="47"/>
      <c r="X160" s="47"/>
      <c r="Y160" s="172"/>
      <c r="Z160" s="133"/>
      <c r="AA160" s="47"/>
      <c r="AB160" s="47"/>
      <c r="AC160" s="47"/>
      <c r="AD160" s="47"/>
      <c r="AE160" s="172"/>
      <c r="AF160" s="133"/>
      <c r="AG160" s="47"/>
      <c r="AH160" s="47"/>
      <c r="AI160" s="47"/>
      <c r="AJ160" s="136"/>
      <c r="AK160" s="11">
        <f>'Encargos e Benefícios'!D159</f>
        <v>2475.9907000000003</v>
      </c>
      <c r="AL160" s="11">
        <f>IF('Encargos e Benefícios'!C159=0,0,'Encargos e Benefícios'!U159/'Encargos e Benefícios'!C159)</f>
        <v>2977.1476172418365</v>
      </c>
      <c r="AM160" s="11">
        <f>IF('Encargos e Benefícios'!C159=0,0,'Encargos e Benefícios'!AC159/'Encargos e Benefícios'!C159)</f>
        <v>660.24055799999996</v>
      </c>
      <c r="AN160" s="119">
        <f>IF('Encargos e Benefícios'!C159=0,0,'Encargos e Benefícios'!AD159/'Encargos e Benefícios'!C159)</f>
        <v>6113.3788752418368</v>
      </c>
      <c r="AO160" s="32">
        <f t="shared" si="2"/>
        <v>2621.0150000000003</v>
      </c>
      <c r="AP160" s="31">
        <v>1906.88</v>
      </c>
      <c r="AQ160" s="31">
        <v>3335.15</v>
      </c>
      <c r="AR160" s="210" t="s">
        <v>108</v>
      </c>
      <c r="AS160" s="32"/>
    </row>
    <row r="161" spans="1:45" ht="22.5" x14ac:dyDescent="0.2">
      <c r="A161" s="48">
        <v>155</v>
      </c>
      <c r="B161" s="12" t="str">
        <f>'Encargos e Benefícios'!B160</f>
        <v>Supervisor</v>
      </c>
      <c r="C161" s="10">
        <f>'Encargos e Benefícios'!C160</f>
        <v>2</v>
      </c>
      <c r="D161" s="38" t="s">
        <v>617</v>
      </c>
      <c r="E161" s="174">
        <v>46023</v>
      </c>
      <c r="F161" s="173">
        <v>47118</v>
      </c>
      <c r="G161" s="172">
        <v>46023</v>
      </c>
      <c r="H161" s="370">
        <v>3.5000000000000003E-2</v>
      </c>
      <c r="I161" s="47"/>
      <c r="J161" s="47"/>
      <c r="K161" s="47"/>
      <c r="L161" s="47"/>
      <c r="M161" s="172">
        <v>46388</v>
      </c>
      <c r="N161" s="370">
        <v>0.04</v>
      </c>
      <c r="O161" s="47"/>
      <c r="P161" s="47"/>
      <c r="Q161" s="47"/>
      <c r="R161" s="47"/>
      <c r="S161" s="172">
        <v>46753</v>
      </c>
      <c r="T161" s="370">
        <v>0.04</v>
      </c>
      <c r="U161" s="47"/>
      <c r="V161" s="47"/>
      <c r="W161" s="47"/>
      <c r="X161" s="47"/>
      <c r="Y161" s="172"/>
      <c r="Z161" s="133"/>
      <c r="AA161" s="47"/>
      <c r="AB161" s="47"/>
      <c r="AC161" s="47"/>
      <c r="AD161" s="47"/>
      <c r="AE161" s="172"/>
      <c r="AF161" s="133"/>
      <c r="AG161" s="47"/>
      <c r="AH161" s="47"/>
      <c r="AI161" s="47"/>
      <c r="AJ161" s="136"/>
      <c r="AK161" s="11">
        <f>'Encargos e Benefícios'!D160</f>
        <v>4195.9728999999998</v>
      </c>
      <c r="AL161" s="11">
        <f>IF('Encargos e Benefícios'!C160=0,0,'Encargos e Benefícios'!U160/'Encargos e Benefícios'!C160)</f>
        <v>1392.5967835888887</v>
      </c>
      <c r="AM161" s="11">
        <f>IF('Encargos e Benefícios'!C160=0,0,'Encargos e Benefícios'!AC160/'Encargos e Benefícios'!C160)</f>
        <v>557.04162599999995</v>
      </c>
      <c r="AN161" s="119">
        <f>IF('Encargos e Benefícios'!C160=0,0,'Encargos e Benefícios'!AD160/'Encargos e Benefícios'!C160)</f>
        <v>6145.6113095888886</v>
      </c>
      <c r="AO161" s="32">
        <f t="shared" si="2"/>
        <v>4917.4850000000006</v>
      </c>
      <c r="AP161" s="31">
        <v>2550.5</v>
      </c>
      <c r="AQ161" s="31">
        <v>7284.47</v>
      </c>
      <c r="AR161" s="210" t="s">
        <v>108</v>
      </c>
      <c r="AS161" s="32"/>
    </row>
    <row r="162" spans="1:45" ht="22.5" x14ac:dyDescent="0.2">
      <c r="A162" s="48">
        <v>156</v>
      </c>
      <c r="B162" s="12" t="str">
        <f>'Encargos e Benefícios'!B161</f>
        <v>Enfermeiro</v>
      </c>
      <c r="C162" s="10">
        <f>'Encargos e Benefícios'!C161</f>
        <v>2</v>
      </c>
      <c r="D162" s="38" t="s">
        <v>617</v>
      </c>
      <c r="E162" s="174">
        <v>46023</v>
      </c>
      <c r="F162" s="173">
        <v>47118</v>
      </c>
      <c r="G162" s="172">
        <v>46023</v>
      </c>
      <c r="H162" s="370">
        <v>3.5000000000000003E-2</v>
      </c>
      <c r="I162" s="47"/>
      <c r="J162" s="47"/>
      <c r="K162" s="47"/>
      <c r="L162" s="47"/>
      <c r="M162" s="172">
        <v>46388</v>
      </c>
      <c r="N162" s="370">
        <v>0.04</v>
      </c>
      <c r="O162" s="47"/>
      <c r="P162" s="47"/>
      <c r="Q162" s="47"/>
      <c r="R162" s="47"/>
      <c r="S162" s="172">
        <v>46753</v>
      </c>
      <c r="T162" s="370">
        <v>0.04</v>
      </c>
      <c r="U162" s="47"/>
      <c r="V162" s="47"/>
      <c r="W162" s="47"/>
      <c r="X162" s="47"/>
      <c r="Y162" s="172"/>
      <c r="Z162" s="133"/>
      <c r="AA162" s="47"/>
      <c r="AB162" s="47"/>
      <c r="AC162" s="47"/>
      <c r="AD162" s="47"/>
      <c r="AE162" s="172"/>
      <c r="AF162" s="133"/>
      <c r="AG162" s="47"/>
      <c r="AH162" s="47"/>
      <c r="AI162" s="47"/>
      <c r="AJ162" s="136"/>
      <c r="AK162" s="11">
        <f>'Encargos e Benefícios'!D161</f>
        <v>5372.2025000000003</v>
      </c>
      <c r="AL162" s="11">
        <f>IF('Encargos e Benefícios'!C161=0,0,'Encargos e Benefícios'!U161/'Encargos e Benefícios'!C161)</f>
        <v>3242.6303896077779</v>
      </c>
      <c r="AM162" s="11">
        <f>IF('Encargos e Benefícios'!C161=0,0,'Encargos e Benefícios'!AC161/'Encargos e Benefícios'!C161)</f>
        <v>486.46785</v>
      </c>
      <c r="AN162" s="119">
        <f>IF('Encargos e Benefícios'!C161=0,0,'Encargos e Benefícios'!AD161/'Encargos e Benefícios'!C161)</f>
        <v>9101.3007396077774</v>
      </c>
      <c r="AO162" s="32">
        <f t="shared" si="2"/>
        <v>4535.9449999999997</v>
      </c>
      <c r="AP162" s="31">
        <v>3300.06</v>
      </c>
      <c r="AQ162" s="31">
        <v>5771.83</v>
      </c>
      <c r="AR162" s="210" t="s">
        <v>108</v>
      </c>
      <c r="AS162" s="32"/>
    </row>
    <row r="163" spans="1:45" ht="22.5" x14ac:dyDescent="0.2">
      <c r="A163" s="48">
        <v>157</v>
      </c>
      <c r="B163" s="12" t="str">
        <f>'Encargos e Benefícios'!B162</f>
        <v>Técnico de Enfermagem</v>
      </c>
      <c r="C163" s="10">
        <f>'Encargos e Benefícios'!C162</f>
        <v>2</v>
      </c>
      <c r="D163" s="38" t="s">
        <v>617</v>
      </c>
      <c r="E163" s="174">
        <v>46023</v>
      </c>
      <c r="F163" s="173">
        <v>47118</v>
      </c>
      <c r="G163" s="172">
        <v>46023</v>
      </c>
      <c r="H163" s="370">
        <v>3.5000000000000003E-2</v>
      </c>
      <c r="I163" s="47"/>
      <c r="J163" s="47"/>
      <c r="K163" s="47"/>
      <c r="L163" s="47"/>
      <c r="M163" s="172">
        <v>46388</v>
      </c>
      <c r="N163" s="370">
        <v>0.04</v>
      </c>
      <c r="O163" s="47"/>
      <c r="P163" s="47"/>
      <c r="Q163" s="47"/>
      <c r="R163" s="47"/>
      <c r="S163" s="172">
        <v>46753</v>
      </c>
      <c r="T163" s="370">
        <v>0.04</v>
      </c>
      <c r="U163" s="47"/>
      <c r="V163" s="47"/>
      <c r="W163" s="47"/>
      <c r="X163" s="47"/>
      <c r="Y163" s="172"/>
      <c r="Z163" s="133"/>
      <c r="AA163" s="47"/>
      <c r="AB163" s="47"/>
      <c r="AC163" s="47"/>
      <c r="AD163" s="47"/>
      <c r="AE163" s="172"/>
      <c r="AF163" s="133"/>
      <c r="AG163" s="47"/>
      <c r="AH163" s="47"/>
      <c r="AI163" s="47"/>
      <c r="AJ163" s="136"/>
      <c r="AK163" s="11">
        <f>'Encargos e Benefícios'!D162</f>
        <v>3760.5471000000002</v>
      </c>
      <c r="AL163" s="11">
        <f>IF('Encargos e Benefícios'!C162=0,0,'Encargos e Benefícios'!U162/'Encargos e Benefícios'!C162)</f>
        <v>2269.8445019545338</v>
      </c>
      <c r="AM163" s="11">
        <f>IF('Encargos e Benefícios'!C162=0,0,'Encargos e Benefícios'!AC162/'Encargos e Benefícios'!C162)</f>
        <v>583.16717399999993</v>
      </c>
      <c r="AN163" s="119">
        <f>IF('Encargos e Benefícios'!C162=0,0,'Encargos e Benefícios'!AD162/'Encargos e Benefícios'!C162)</f>
        <v>6613.5587759545342</v>
      </c>
      <c r="AO163" s="32">
        <f t="shared" si="2"/>
        <v>2955.75</v>
      </c>
      <c r="AP163" s="31">
        <v>2150.41</v>
      </c>
      <c r="AQ163" s="31">
        <v>3761.09</v>
      </c>
      <c r="AR163" s="210" t="s">
        <v>108</v>
      </c>
      <c r="AS163" s="32"/>
    </row>
    <row r="164" spans="1:45" ht="12.75" x14ac:dyDescent="0.2">
      <c r="A164" s="48">
        <v>158</v>
      </c>
      <c r="B164" s="12" t="str">
        <f>'Encargos e Benefícios'!B163</f>
        <v>Dentista</v>
      </c>
      <c r="C164" s="10">
        <f>'Encargos e Benefícios'!C163</f>
        <v>1</v>
      </c>
      <c r="D164" s="38" t="s">
        <v>616</v>
      </c>
      <c r="E164" s="174">
        <v>46023</v>
      </c>
      <c r="F164" s="173">
        <v>47118</v>
      </c>
      <c r="G164" s="172">
        <v>46023</v>
      </c>
      <c r="H164" s="370">
        <v>3.5000000000000003E-2</v>
      </c>
      <c r="I164" s="47"/>
      <c r="J164" s="47"/>
      <c r="K164" s="47"/>
      <c r="L164" s="47"/>
      <c r="M164" s="172">
        <v>46388</v>
      </c>
      <c r="N164" s="370">
        <v>0.04</v>
      </c>
      <c r="O164" s="47"/>
      <c r="P164" s="47"/>
      <c r="Q164" s="47"/>
      <c r="R164" s="47"/>
      <c r="S164" s="172">
        <v>46753</v>
      </c>
      <c r="T164" s="370">
        <v>0.04</v>
      </c>
      <c r="U164" s="47"/>
      <c r="V164" s="47"/>
      <c r="W164" s="47"/>
      <c r="X164" s="47"/>
      <c r="Y164" s="172"/>
      <c r="Z164" s="133"/>
      <c r="AA164" s="47"/>
      <c r="AB164" s="47"/>
      <c r="AC164" s="47"/>
      <c r="AD164" s="47"/>
      <c r="AE164" s="172"/>
      <c r="AF164" s="133"/>
      <c r="AG164" s="47"/>
      <c r="AH164" s="47"/>
      <c r="AI164" s="47"/>
      <c r="AJ164" s="136"/>
      <c r="AK164" s="11">
        <f>'Encargos e Benefícios'!D163</f>
        <v>3648.8180338399998</v>
      </c>
      <c r="AL164" s="11">
        <f>IF('Encargos e Benefícios'!C163=0,0,'Encargos e Benefícios'!U163/'Encargos e Benefícios'!C163)</f>
        <v>1211.0021630088977</v>
      </c>
      <c r="AM164" s="11">
        <f>IF('Encargos e Benefícios'!C163=0,0,'Encargos e Benefícios'!AC163/'Encargos e Benefícios'!C163)</f>
        <v>589.87091796959999</v>
      </c>
      <c r="AN164" s="119">
        <f>IF('Encargos e Benefícios'!C163=0,0,'Encargos e Benefícios'!AD163/'Encargos e Benefícios'!C163)</f>
        <v>5449.6911148184972</v>
      </c>
      <c r="AO164" s="32">
        <f t="shared" si="2"/>
        <v>5513.9349999999995</v>
      </c>
      <c r="AP164" s="31">
        <v>3204.46</v>
      </c>
      <c r="AQ164" s="31">
        <v>7823.41</v>
      </c>
      <c r="AR164" s="210" t="s">
        <v>108</v>
      </c>
      <c r="AS164" s="32"/>
    </row>
    <row r="165" spans="1:45" ht="12.75" x14ac:dyDescent="0.2">
      <c r="A165" s="48">
        <v>159</v>
      </c>
      <c r="B165" s="12" t="str">
        <f>'Encargos e Benefícios'!B164</f>
        <v>Técnico Saúde Bucal</v>
      </c>
      <c r="C165" s="10">
        <f>'Encargos e Benefícios'!C164</f>
        <v>1</v>
      </c>
      <c r="D165" s="38" t="s">
        <v>615</v>
      </c>
      <c r="E165" s="174">
        <v>46023</v>
      </c>
      <c r="F165" s="173">
        <v>47118</v>
      </c>
      <c r="G165" s="172">
        <v>46023</v>
      </c>
      <c r="H165" s="370">
        <v>3.5000000000000003E-2</v>
      </c>
      <c r="I165" s="47"/>
      <c r="J165" s="47"/>
      <c r="K165" s="47"/>
      <c r="L165" s="47"/>
      <c r="M165" s="172">
        <v>46388</v>
      </c>
      <c r="N165" s="370">
        <v>0.04</v>
      </c>
      <c r="O165" s="47"/>
      <c r="P165" s="47"/>
      <c r="Q165" s="47"/>
      <c r="R165" s="47"/>
      <c r="S165" s="172">
        <v>46753</v>
      </c>
      <c r="T165" s="370">
        <v>0.04</v>
      </c>
      <c r="U165" s="47"/>
      <c r="V165" s="47"/>
      <c r="W165" s="47"/>
      <c r="X165" s="47"/>
      <c r="Y165" s="172"/>
      <c r="Z165" s="133"/>
      <c r="AA165" s="47"/>
      <c r="AB165" s="47"/>
      <c r="AC165" s="47"/>
      <c r="AD165" s="47"/>
      <c r="AE165" s="172"/>
      <c r="AF165" s="133"/>
      <c r="AG165" s="47"/>
      <c r="AH165" s="47"/>
      <c r="AI165" s="47"/>
      <c r="AJ165" s="136"/>
      <c r="AK165" s="11">
        <f>'Encargos e Benefícios'!D164</f>
        <v>1954.7239466999999</v>
      </c>
      <c r="AL165" s="11">
        <f>IF('Encargos e Benefícios'!C164=0,0,'Encargos e Benefícios'!U164/'Encargos e Benefícios'!C164)</f>
        <v>648.75115875476661</v>
      </c>
      <c r="AM165" s="11">
        <f>IF('Encargos e Benefícios'!C164=0,0,'Encargos e Benefícios'!AC164/'Encargos e Benefícios'!C164)</f>
        <v>691.51656319799997</v>
      </c>
      <c r="AN165" s="119">
        <f>IF('Encargos e Benefícios'!C164=0,0,'Encargos e Benefícios'!AD164/'Encargos e Benefícios'!C164)</f>
        <v>3294.9916686527663</v>
      </c>
      <c r="AO165" s="32">
        <f t="shared" si="2"/>
        <v>3165.2350000000001</v>
      </c>
      <c r="AP165" s="31">
        <v>2302.8200000000002</v>
      </c>
      <c r="AQ165" s="31">
        <v>4027.65</v>
      </c>
      <c r="AR165" s="210" t="s">
        <v>108</v>
      </c>
      <c r="AS165" s="32"/>
    </row>
    <row r="166" spans="1:45" ht="22.5" x14ac:dyDescent="0.2">
      <c r="A166" s="48">
        <v>160</v>
      </c>
      <c r="B166" s="12" t="str">
        <f>'Encargos e Benefícios'!B165</f>
        <v>Porteiro</v>
      </c>
      <c r="C166" s="10">
        <f>'Encargos e Benefícios'!C165</f>
        <v>4</v>
      </c>
      <c r="D166" s="38" t="s">
        <v>617</v>
      </c>
      <c r="E166" s="174">
        <v>46023</v>
      </c>
      <c r="F166" s="173">
        <v>47118</v>
      </c>
      <c r="G166" s="172">
        <v>46023</v>
      </c>
      <c r="H166" s="370">
        <v>3.5000000000000003E-2</v>
      </c>
      <c r="I166" s="47"/>
      <c r="J166" s="47"/>
      <c r="K166" s="47"/>
      <c r="L166" s="47"/>
      <c r="M166" s="172">
        <v>46388</v>
      </c>
      <c r="N166" s="370">
        <v>0.04</v>
      </c>
      <c r="O166" s="47"/>
      <c r="P166" s="47"/>
      <c r="Q166" s="47"/>
      <c r="R166" s="47"/>
      <c r="S166" s="172">
        <v>46753</v>
      </c>
      <c r="T166" s="370">
        <v>0.04</v>
      </c>
      <c r="U166" s="47"/>
      <c r="V166" s="47"/>
      <c r="W166" s="47"/>
      <c r="X166" s="47"/>
      <c r="Y166" s="172"/>
      <c r="Z166" s="133"/>
      <c r="AA166" s="47"/>
      <c r="AB166" s="47"/>
      <c r="AC166" s="47"/>
      <c r="AD166" s="47"/>
      <c r="AE166" s="172"/>
      <c r="AF166" s="133"/>
      <c r="AG166" s="47"/>
      <c r="AH166" s="47"/>
      <c r="AI166" s="47"/>
      <c r="AJ166" s="136"/>
      <c r="AK166" s="11">
        <f>'Encargos e Benefícios'!D165</f>
        <v>1759.2515520300001</v>
      </c>
      <c r="AL166" s="11">
        <f>IF('Encargos e Benefícios'!C165=0,0,'Encargos e Benefícios'!U165/'Encargos e Benefícios'!C165)</f>
        <v>1412.3974399752335</v>
      </c>
      <c r="AM166" s="11">
        <f>IF('Encargos e Benefícios'!C165=0,0,'Encargos e Benefícios'!AC165/'Encargos e Benefícios'!C165)</f>
        <v>703.24490687820003</v>
      </c>
      <c r="AN166" s="119">
        <f>IF('Encargos e Benefícios'!C165=0,0,'Encargos e Benefícios'!AD165/'Encargos e Benefícios'!C165)</f>
        <v>3874.8938988834334</v>
      </c>
      <c r="AO166" s="32">
        <f t="shared" si="2"/>
        <v>2638.67</v>
      </c>
      <c r="AP166" s="31">
        <v>1884.76</v>
      </c>
      <c r="AQ166" s="31">
        <v>3392.58</v>
      </c>
      <c r="AR166" s="210" t="s">
        <v>108</v>
      </c>
      <c r="AS166" s="32"/>
    </row>
    <row r="167" spans="1:45" ht="22.5" x14ac:dyDescent="0.2">
      <c r="A167" s="48">
        <v>161</v>
      </c>
      <c r="B167" s="12" t="str">
        <f>'Encargos e Benefícios'!B166</f>
        <v>Diretor Geral de  Unidade Socioeducativa (UNAÍ)</v>
      </c>
      <c r="C167" s="10">
        <f>'Encargos e Benefícios'!C166</f>
        <v>1</v>
      </c>
      <c r="D167" s="38" t="s">
        <v>615</v>
      </c>
      <c r="E167" s="174">
        <v>46023</v>
      </c>
      <c r="F167" s="173">
        <v>47118</v>
      </c>
      <c r="G167" s="172">
        <v>46023</v>
      </c>
      <c r="H167" s="370">
        <v>3.5000000000000003E-2</v>
      </c>
      <c r="I167" s="47"/>
      <c r="J167" s="47"/>
      <c r="K167" s="47"/>
      <c r="L167" s="47"/>
      <c r="M167" s="172">
        <v>46388</v>
      </c>
      <c r="N167" s="370">
        <v>0.04</v>
      </c>
      <c r="O167" s="47"/>
      <c r="P167" s="47"/>
      <c r="Q167" s="47"/>
      <c r="R167" s="47"/>
      <c r="S167" s="172">
        <v>46753</v>
      </c>
      <c r="T167" s="370">
        <v>0.04</v>
      </c>
      <c r="U167" s="47"/>
      <c r="V167" s="47"/>
      <c r="W167" s="47"/>
      <c r="X167" s="47"/>
      <c r="Y167" s="172"/>
      <c r="Z167" s="133"/>
      <c r="AA167" s="47"/>
      <c r="AB167" s="47"/>
      <c r="AC167" s="47"/>
      <c r="AD167" s="47"/>
      <c r="AE167" s="172"/>
      <c r="AF167" s="133"/>
      <c r="AG167" s="47"/>
      <c r="AH167" s="47"/>
      <c r="AI167" s="47"/>
      <c r="AJ167" s="136"/>
      <c r="AK167" s="11">
        <f>'Encargos e Benefícios'!D166</f>
        <v>8626.8483514359996</v>
      </c>
      <c r="AL167" s="11">
        <f>IF('Encargos e Benefícios'!C166=0,0,'Encargos e Benefícios'!U166/'Encargos e Benefícios'!C166)</f>
        <v>3694.9270758553248</v>
      </c>
      <c r="AM167" s="11">
        <f>IF('Encargos e Benefícios'!C166=0,0,'Encargos e Benefícios'!AC166/'Encargos e Benefícios'!C166)</f>
        <v>438.8</v>
      </c>
      <c r="AN167" s="119">
        <f>IF('Encargos e Benefícios'!C166=0,0,'Encargos e Benefícios'!AD166/'Encargos e Benefícios'!C166)</f>
        <v>12760.575427291324</v>
      </c>
      <c r="AO167" s="32">
        <f t="shared" si="2"/>
        <v>9992.880000000001</v>
      </c>
      <c r="AP167" s="31">
        <v>7137.77</v>
      </c>
      <c r="AQ167" s="31">
        <v>12847.99</v>
      </c>
      <c r="AR167" s="210" t="s">
        <v>110</v>
      </c>
      <c r="AS167" s="32"/>
    </row>
    <row r="168" spans="1:45" ht="12.75" x14ac:dyDescent="0.2">
      <c r="A168" s="48">
        <v>162</v>
      </c>
      <c r="B168" s="12" t="str">
        <f>'Encargos e Benefícios'!B167</f>
        <v>Analista Administrativo (UNAI)</v>
      </c>
      <c r="C168" s="10">
        <f>'Encargos e Benefícios'!C167</f>
        <v>2</v>
      </c>
      <c r="D168" s="38" t="s">
        <v>615</v>
      </c>
      <c r="E168" s="174">
        <v>46023</v>
      </c>
      <c r="F168" s="173">
        <v>47118</v>
      </c>
      <c r="G168" s="172">
        <v>46023</v>
      </c>
      <c r="H168" s="370">
        <v>3.5000000000000003E-2</v>
      </c>
      <c r="I168" s="47"/>
      <c r="J168" s="47"/>
      <c r="K168" s="47"/>
      <c r="L168" s="47"/>
      <c r="M168" s="172">
        <v>46388</v>
      </c>
      <c r="N168" s="370">
        <v>0.04</v>
      </c>
      <c r="O168" s="47"/>
      <c r="P168" s="47"/>
      <c r="Q168" s="47"/>
      <c r="R168" s="47"/>
      <c r="S168" s="172">
        <v>46753</v>
      </c>
      <c r="T168" s="370">
        <v>0.04</v>
      </c>
      <c r="U168" s="47"/>
      <c r="V168" s="47"/>
      <c r="W168" s="47"/>
      <c r="X168" s="47"/>
      <c r="Y168" s="172"/>
      <c r="Z168" s="133"/>
      <c r="AA168" s="47"/>
      <c r="AB168" s="47"/>
      <c r="AC168" s="47"/>
      <c r="AD168" s="47"/>
      <c r="AE168" s="172"/>
      <c r="AF168" s="133"/>
      <c r="AG168" s="47"/>
      <c r="AH168" s="47"/>
      <c r="AI168" s="47"/>
      <c r="AJ168" s="136"/>
      <c r="AK168" s="11">
        <f>'Encargos e Benefícios'!D167</f>
        <v>4664.5671649779988</v>
      </c>
      <c r="AL168" s="11">
        <f>IF('Encargos e Benefícios'!C167=0,0,'Encargos e Benefícios'!U167/'Encargos e Benefícios'!C167)</f>
        <v>1548.1180135321424</v>
      </c>
      <c r="AM168" s="11">
        <f>IF('Encargos e Benefícios'!C167=0,0,'Encargos e Benefícios'!AC167/'Encargos e Benefícios'!C167)</f>
        <v>528.9259701013201</v>
      </c>
      <c r="AN168" s="119">
        <f>IF('Encargos e Benefícios'!C167=0,0,'Encargos e Benefícios'!AD167/'Encargos e Benefícios'!C167)</f>
        <v>6741.6111486114605</v>
      </c>
      <c r="AO168" s="32">
        <f t="shared" si="2"/>
        <v>7383.3099999999995</v>
      </c>
      <c r="AP168" s="31">
        <v>5273.79</v>
      </c>
      <c r="AQ168" s="31">
        <v>9492.83</v>
      </c>
      <c r="AR168" s="210" t="s">
        <v>110</v>
      </c>
      <c r="AS168" s="32"/>
    </row>
    <row r="169" spans="1:45" ht="12.75" x14ac:dyDescent="0.2">
      <c r="A169" s="48">
        <v>163</v>
      </c>
      <c r="B169" s="12" t="str">
        <f>'Encargos e Benefícios'!B168</f>
        <v>Diretor de Atendimentos (UNAÍ)</v>
      </c>
      <c r="C169" s="10">
        <f>'Encargos e Benefícios'!C168</f>
        <v>1</v>
      </c>
      <c r="D169" s="38" t="s">
        <v>615</v>
      </c>
      <c r="E169" s="174">
        <v>46023</v>
      </c>
      <c r="F169" s="173">
        <v>47118</v>
      </c>
      <c r="G169" s="172">
        <v>46023</v>
      </c>
      <c r="H169" s="370">
        <v>3.5000000000000003E-2</v>
      </c>
      <c r="I169" s="47"/>
      <c r="J169" s="47"/>
      <c r="K169" s="47"/>
      <c r="L169" s="47"/>
      <c r="M169" s="172">
        <v>46388</v>
      </c>
      <c r="N169" s="370">
        <v>0.04</v>
      </c>
      <c r="O169" s="47"/>
      <c r="P169" s="47"/>
      <c r="Q169" s="47"/>
      <c r="R169" s="47"/>
      <c r="S169" s="172">
        <v>46753</v>
      </c>
      <c r="T169" s="370">
        <v>0.04</v>
      </c>
      <c r="U169" s="47"/>
      <c r="V169" s="47"/>
      <c r="W169" s="47"/>
      <c r="X169" s="47"/>
      <c r="Y169" s="172"/>
      <c r="Z169" s="133"/>
      <c r="AA169" s="47"/>
      <c r="AB169" s="47"/>
      <c r="AC169" s="47"/>
      <c r="AD169" s="47"/>
      <c r="AE169" s="172"/>
      <c r="AF169" s="133"/>
      <c r="AG169" s="47"/>
      <c r="AH169" s="47"/>
      <c r="AI169" s="47"/>
      <c r="AJ169" s="136"/>
      <c r="AK169" s="11">
        <f>'Encargos e Benefícios'!D168</f>
        <v>6971.8487432299989</v>
      </c>
      <c r="AL169" s="11">
        <f>IF('Encargos e Benefícios'!C168=0,0,'Encargos e Benefícios'!U168/'Encargos e Benefícios'!C168)</f>
        <v>2313.8791328920006</v>
      </c>
      <c r="AM169" s="11">
        <f>IF('Encargos e Benefícios'!C168=0,0,'Encargos e Benefícios'!AC168/'Encargos e Benefícios'!C168)</f>
        <v>438.8</v>
      </c>
      <c r="AN169" s="119">
        <f>IF('Encargos e Benefícios'!C168=0,0,'Encargos e Benefícios'!AD168/'Encargos e Benefícios'!C168)</f>
        <v>9724.5278761219997</v>
      </c>
      <c r="AO169" s="32">
        <f t="shared" si="2"/>
        <v>6777.27</v>
      </c>
      <c r="AP169" s="31">
        <v>3515.09</v>
      </c>
      <c r="AQ169" s="31">
        <v>10039.450000000001</v>
      </c>
      <c r="AR169" s="210" t="s">
        <v>110</v>
      </c>
      <c r="AS169" s="32"/>
    </row>
    <row r="170" spans="1:45" ht="12.75" x14ac:dyDescent="0.2">
      <c r="A170" s="48">
        <v>164</v>
      </c>
      <c r="B170" s="12" t="str">
        <f>'Encargos e Benefícios'!B169</f>
        <v>Analista de Pedagogia</v>
      </c>
      <c r="C170" s="10">
        <f>'Encargos e Benefícios'!C169</f>
        <v>3</v>
      </c>
      <c r="D170" s="38" t="s">
        <v>616</v>
      </c>
      <c r="E170" s="174">
        <v>46023</v>
      </c>
      <c r="F170" s="173">
        <v>47118</v>
      </c>
      <c r="G170" s="172">
        <v>46023</v>
      </c>
      <c r="H170" s="370">
        <v>3.5000000000000003E-2</v>
      </c>
      <c r="I170" s="47"/>
      <c r="J170" s="47"/>
      <c r="K170" s="47"/>
      <c r="L170" s="47"/>
      <c r="M170" s="172">
        <v>46388</v>
      </c>
      <c r="N170" s="370">
        <v>0.04</v>
      </c>
      <c r="O170" s="47"/>
      <c r="P170" s="47"/>
      <c r="Q170" s="47"/>
      <c r="R170" s="47"/>
      <c r="S170" s="172">
        <v>46753</v>
      </c>
      <c r="T170" s="370">
        <v>0.04</v>
      </c>
      <c r="U170" s="47"/>
      <c r="V170" s="47"/>
      <c r="W170" s="47"/>
      <c r="X170" s="47"/>
      <c r="Y170" s="172"/>
      <c r="Z170" s="133"/>
      <c r="AA170" s="47"/>
      <c r="AB170" s="47"/>
      <c r="AC170" s="47"/>
      <c r="AD170" s="47"/>
      <c r="AE170" s="172"/>
      <c r="AF170" s="133"/>
      <c r="AG170" s="47"/>
      <c r="AH170" s="47"/>
      <c r="AI170" s="47"/>
      <c r="AJ170" s="136"/>
      <c r="AK170" s="11">
        <f>'Encargos e Benefícios'!D169</f>
        <v>3432.9771878639999</v>
      </c>
      <c r="AL170" s="11">
        <f>IF('Encargos e Benefícios'!C169=0,0,'Encargos e Benefícios'!U169/'Encargos e Benefícios'!C169)</f>
        <v>1139.3669844610854</v>
      </c>
      <c r="AM170" s="11">
        <f>IF('Encargos e Benefícios'!C169=0,0,'Encargos e Benefícios'!AC169/'Encargos e Benefícios'!C169)</f>
        <v>602.82136872816</v>
      </c>
      <c r="AN170" s="119">
        <f>IF('Encargos e Benefícios'!C169=0,0,'Encargos e Benefícios'!AD169/'Encargos e Benefícios'!C169)</f>
        <v>5175.1655410532449</v>
      </c>
      <c r="AO170" s="32">
        <f t="shared" si="2"/>
        <v>4280.8549999999996</v>
      </c>
      <c r="AP170" s="31">
        <v>3057.75</v>
      </c>
      <c r="AQ170" s="31">
        <v>5503.96</v>
      </c>
      <c r="AR170" s="210" t="s">
        <v>110</v>
      </c>
      <c r="AS170" s="32"/>
    </row>
    <row r="171" spans="1:45" ht="12.75" x14ac:dyDescent="0.2">
      <c r="A171" s="48">
        <v>165</v>
      </c>
      <c r="B171" s="12" t="str">
        <f>'Encargos e Benefícios'!B170</f>
        <v>Analista de Psicologia</v>
      </c>
      <c r="C171" s="10">
        <f>'Encargos e Benefícios'!C170</f>
        <v>4</v>
      </c>
      <c r="D171" s="38" t="s">
        <v>616</v>
      </c>
      <c r="E171" s="174">
        <v>46023</v>
      </c>
      <c r="F171" s="173">
        <v>47118</v>
      </c>
      <c r="G171" s="172">
        <v>46023</v>
      </c>
      <c r="H171" s="370">
        <v>3.5000000000000003E-2</v>
      </c>
      <c r="I171" s="47"/>
      <c r="J171" s="47"/>
      <c r="K171" s="47"/>
      <c r="L171" s="47"/>
      <c r="M171" s="172">
        <v>46388</v>
      </c>
      <c r="N171" s="370">
        <v>0.04</v>
      </c>
      <c r="O171" s="47"/>
      <c r="P171" s="47"/>
      <c r="Q171" s="47"/>
      <c r="R171" s="47"/>
      <c r="S171" s="172">
        <v>46753</v>
      </c>
      <c r="T171" s="370">
        <v>0.04</v>
      </c>
      <c r="U171" s="47"/>
      <c r="V171" s="47"/>
      <c r="W171" s="47"/>
      <c r="X171" s="47"/>
      <c r="Y171" s="172"/>
      <c r="Z171" s="133"/>
      <c r="AA171" s="47"/>
      <c r="AB171" s="47"/>
      <c r="AC171" s="47"/>
      <c r="AD171" s="47"/>
      <c r="AE171" s="172"/>
      <c r="AF171" s="133"/>
      <c r="AG171" s="47"/>
      <c r="AH171" s="47"/>
      <c r="AI171" s="47"/>
      <c r="AJ171" s="136"/>
      <c r="AK171" s="11">
        <f>'Encargos e Benefícios'!D170</f>
        <v>3432.9771878639999</v>
      </c>
      <c r="AL171" s="11">
        <f>IF('Encargos e Benefícios'!C170=0,0,'Encargos e Benefícios'!U170/'Encargos e Benefícios'!C170)</f>
        <v>1139.3669844610856</v>
      </c>
      <c r="AM171" s="11">
        <f>IF('Encargos e Benefícios'!C170=0,0,'Encargos e Benefícios'!AC170/'Encargos e Benefícios'!C170)</f>
        <v>602.82136872816</v>
      </c>
      <c r="AN171" s="119">
        <f>IF('Encargos e Benefícios'!C170=0,0,'Encargos e Benefícios'!AD170/'Encargos e Benefícios'!C170)</f>
        <v>5175.1655410532458</v>
      </c>
      <c r="AO171" s="32">
        <f t="shared" si="2"/>
        <v>4280.8549999999996</v>
      </c>
      <c r="AP171" s="31">
        <v>3057.75</v>
      </c>
      <c r="AQ171" s="31">
        <v>5503.96</v>
      </c>
      <c r="AR171" s="210" t="s">
        <v>110</v>
      </c>
      <c r="AS171" s="32"/>
    </row>
    <row r="172" spans="1:45" ht="12.75" x14ac:dyDescent="0.2">
      <c r="A172" s="48">
        <v>166</v>
      </c>
      <c r="B172" s="12" t="str">
        <f>'Encargos e Benefícios'!B171</f>
        <v>Analista de Terapia Ocupacional</v>
      </c>
      <c r="C172" s="10">
        <f>'Encargos e Benefícios'!C171</f>
        <v>2</v>
      </c>
      <c r="D172" s="38" t="s">
        <v>616</v>
      </c>
      <c r="E172" s="174">
        <v>46023</v>
      </c>
      <c r="F172" s="173">
        <v>47118</v>
      </c>
      <c r="G172" s="172">
        <v>46023</v>
      </c>
      <c r="H172" s="370">
        <v>3.5000000000000003E-2</v>
      </c>
      <c r="I172" s="47"/>
      <c r="J172" s="47"/>
      <c r="K172" s="47"/>
      <c r="L172" s="47"/>
      <c r="M172" s="172">
        <v>46388</v>
      </c>
      <c r="N172" s="370">
        <v>0.04</v>
      </c>
      <c r="O172" s="47"/>
      <c r="P172" s="47"/>
      <c r="Q172" s="47"/>
      <c r="R172" s="47"/>
      <c r="S172" s="172">
        <v>46753</v>
      </c>
      <c r="T172" s="370">
        <v>0.04</v>
      </c>
      <c r="U172" s="47"/>
      <c r="V172" s="47"/>
      <c r="W172" s="47"/>
      <c r="X172" s="47"/>
      <c r="Y172" s="172"/>
      <c r="Z172" s="133"/>
      <c r="AA172" s="47"/>
      <c r="AB172" s="47"/>
      <c r="AC172" s="47"/>
      <c r="AD172" s="47"/>
      <c r="AE172" s="172"/>
      <c r="AF172" s="133"/>
      <c r="AG172" s="47"/>
      <c r="AH172" s="47"/>
      <c r="AI172" s="47"/>
      <c r="AJ172" s="136"/>
      <c r="AK172" s="11">
        <f>'Encargos e Benefícios'!D171</f>
        <v>3432.9771878639999</v>
      </c>
      <c r="AL172" s="11">
        <f>IF('Encargos e Benefícios'!C171=0,0,'Encargos e Benefícios'!U171/'Encargos e Benefícios'!C171)</f>
        <v>1139.3669844610856</v>
      </c>
      <c r="AM172" s="11">
        <f>IF('Encargos e Benefícios'!C171=0,0,'Encargos e Benefícios'!AC171/'Encargos e Benefícios'!C171)</f>
        <v>602.82136872816</v>
      </c>
      <c r="AN172" s="119">
        <f>IF('Encargos e Benefícios'!C171=0,0,'Encargos e Benefícios'!AD171/'Encargos e Benefícios'!C171)</f>
        <v>5175.1655410532458</v>
      </c>
      <c r="AO172" s="32">
        <f t="shared" si="2"/>
        <v>4280.8549999999996</v>
      </c>
      <c r="AP172" s="31">
        <v>3057.75</v>
      </c>
      <c r="AQ172" s="31">
        <v>5503.96</v>
      </c>
      <c r="AR172" s="210" t="s">
        <v>110</v>
      </c>
      <c r="AS172" s="32"/>
    </row>
    <row r="173" spans="1:45" ht="12.75" x14ac:dyDescent="0.2">
      <c r="A173" s="48">
        <v>167</v>
      </c>
      <c r="B173" s="12" t="str">
        <f>'Encargos e Benefícios'!B172</f>
        <v>Analista de Assistencia Social</v>
      </c>
      <c r="C173" s="10">
        <f>'Encargos e Benefícios'!C172</f>
        <v>4</v>
      </c>
      <c r="D173" s="38" t="s">
        <v>616</v>
      </c>
      <c r="E173" s="174">
        <v>46023</v>
      </c>
      <c r="F173" s="173">
        <v>47118</v>
      </c>
      <c r="G173" s="172">
        <v>46023</v>
      </c>
      <c r="H173" s="370">
        <v>3.5000000000000003E-2</v>
      </c>
      <c r="I173" s="47"/>
      <c r="J173" s="47"/>
      <c r="K173" s="47"/>
      <c r="L173" s="47"/>
      <c r="M173" s="172">
        <v>46388</v>
      </c>
      <c r="N173" s="370">
        <v>0.04</v>
      </c>
      <c r="O173" s="47"/>
      <c r="P173" s="47"/>
      <c r="Q173" s="47"/>
      <c r="R173" s="47"/>
      <c r="S173" s="172">
        <v>46753</v>
      </c>
      <c r="T173" s="370">
        <v>0.04</v>
      </c>
      <c r="U173" s="47"/>
      <c r="V173" s="47"/>
      <c r="W173" s="47"/>
      <c r="X173" s="47"/>
      <c r="Y173" s="172"/>
      <c r="Z173" s="133"/>
      <c r="AA173" s="47"/>
      <c r="AB173" s="47"/>
      <c r="AC173" s="47"/>
      <c r="AD173" s="47"/>
      <c r="AE173" s="172"/>
      <c r="AF173" s="133"/>
      <c r="AG173" s="47"/>
      <c r="AH173" s="47"/>
      <c r="AI173" s="47"/>
      <c r="AJ173" s="136"/>
      <c r="AK173" s="11">
        <f>'Encargos e Benefícios'!D172</f>
        <v>3432.9771878639999</v>
      </c>
      <c r="AL173" s="11">
        <f>IF('Encargos e Benefícios'!C172=0,0,'Encargos e Benefícios'!U172/'Encargos e Benefícios'!C172)</f>
        <v>1139.3669844610856</v>
      </c>
      <c r="AM173" s="11">
        <f>IF('Encargos e Benefícios'!C172=0,0,'Encargos e Benefícios'!AC172/'Encargos e Benefícios'!C172)</f>
        <v>602.82136872816</v>
      </c>
      <c r="AN173" s="119">
        <f>IF('Encargos e Benefícios'!C172=0,0,'Encargos e Benefícios'!AD172/'Encargos e Benefícios'!C172)</f>
        <v>5175.1655410532458</v>
      </c>
      <c r="AO173" s="32">
        <f t="shared" si="2"/>
        <v>4280.8549999999996</v>
      </c>
      <c r="AP173" s="31">
        <v>3057.75</v>
      </c>
      <c r="AQ173" s="31">
        <v>5503.96</v>
      </c>
      <c r="AR173" s="210" t="s">
        <v>110</v>
      </c>
      <c r="AS173" s="32"/>
    </row>
    <row r="174" spans="1:45" ht="12.75" x14ac:dyDescent="0.2">
      <c r="A174" s="48">
        <v>168</v>
      </c>
      <c r="B174" s="12" t="str">
        <f>'Encargos e Benefícios'!B173</f>
        <v>Analista de Direito</v>
      </c>
      <c r="C174" s="10">
        <f>'Encargos e Benefícios'!C173</f>
        <v>3</v>
      </c>
      <c r="D174" s="38" t="s">
        <v>616</v>
      </c>
      <c r="E174" s="174">
        <v>46023</v>
      </c>
      <c r="F174" s="173">
        <v>47118</v>
      </c>
      <c r="G174" s="172">
        <v>46023</v>
      </c>
      <c r="H174" s="370">
        <v>3.5000000000000003E-2</v>
      </c>
      <c r="I174" s="47"/>
      <c r="J174" s="47"/>
      <c r="K174" s="47"/>
      <c r="L174" s="47"/>
      <c r="M174" s="172">
        <v>46388</v>
      </c>
      <c r="N174" s="370">
        <v>0.04</v>
      </c>
      <c r="O174" s="47"/>
      <c r="P174" s="47"/>
      <c r="Q174" s="47"/>
      <c r="R174" s="47"/>
      <c r="S174" s="172">
        <v>46753</v>
      </c>
      <c r="T174" s="370">
        <v>0.04</v>
      </c>
      <c r="U174" s="47"/>
      <c r="V174" s="47"/>
      <c r="W174" s="47"/>
      <c r="X174" s="47"/>
      <c r="Y174" s="172"/>
      <c r="Z174" s="133"/>
      <c r="AA174" s="47"/>
      <c r="AB174" s="47"/>
      <c r="AC174" s="47"/>
      <c r="AD174" s="47"/>
      <c r="AE174" s="172"/>
      <c r="AF174" s="133"/>
      <c r="AG174" s="47"/>
      <c r="AH174" s="47"/>
      <c r="AI174" s="47"/>
      <c r="AJ174" s="136"/>
      <c r="AK174" s="11">
        <f>'Encargos e Benefícios'!D173</f>
        <v>3432.9771878639999</v>
      </c>
      <c r="AL174" s="11">
        <f>IF('Encargos e Benefícios'!C173=0,0,'Encargos e Benefícios'!U173/'Encargos e Benefícios'!C173)</f>
        <v>1139.3669844610854</v>
      </c>
      <c r="AM174" s="11">
        <f>IF('Encargos e Benefícios'!C173=0,0,'Encargos e Benefícios'!AC173/'Encargos e Benefícios'!C173)</f>
        <v>602.82136872816</v>
      </c>
      <c r="AN174" s="119">
        <f>IF('Encargos e Benefícios'!C173=0,0,'Encargos e Benefícios'!AD173/'Encargos e Benefícios'!C173)</f>
        <v>5175.1655410532449</v>
      </c>
      <c r="AO174" s="32">
        <f t="shared" si="2"/>
        <v>4280.8549999999996</v>
      </c>
      <c r="AP174" s="31">
        <v>3057.75</v>
      </c>
      <c r="AQ174" s="31">
        <v>5503.96</v>
      </c>
      <c r="AR174" s="210" t="s">
        <v>110</v>
      </c>
      <c r="AS174" s="32"/>
    </row>
    <row r="175" spans="1:45" ht="12.75" x14ac:dyDescent="0.2">
      <c r="A175" s="48">
        <v>169</v>
      </c>
      <c r="B175" s="12" t="str">
        <f>'Encargos e Benefícios'!B174</f>
        <v>Analista de educação Física</v>
      </c>
      <c r="C175" s="10">
        <f>'Encargos e Benefícios'!C174</f>
        <v>2</v>
      </c>
      <c r="D175" s="38" t="s">
        <v>616</v>
      </c>
      <c r="E175" s="174">
        <v>46023</v>
      </c>
      <c r="F175" s="173">
        <v>47118</v>
      </c>
      <c r="G175" s="172">
        <v>46023</v>
      </c>
      <c r="H175" s="370">
        <v>3.5000000000000003E-2</v>
      </c>
      <c r="I175" s="47"/>
      <c r="J175" s="47"/>
      <c r="K175" s="47"/>
      <c r="L175" s="47"/>
      <c r="M175" s="172">
        <v>46388</v>
      </c>
      <c r="N175" s="370">
        <v>0.04</v>
      </c>
      <c r="O175" s="47"/>
      <c r="P175" s="47"/>
      <c r="Q175" s="47"/>
      <c r="R175" s="47"/>
      <c r="S175" s="172">
        <v>46753</v>
      </c>
      <c r="T175" s="370">
        <v>0.04</v>
      </c>
      <c r="U175" s="47"/>
      <c r="V175" s="47"/>
      <c r="W175" s="47"/>
      <c r="X175" s="47"/>
      <c r="Y175" s="172"/>
      <c r="Z175" s="133"/>
      <c r="AA175" s="47"/>
      <c r="AB175" s="47"/>
      <c r="AC175" s="47"/>
      <c r="AD175" s="47"/>
      <c r="AE175" s="172"/>
      <c r="AF175" s="133"/>
      <c r="AG175" s="47"/>
      <c r="AH175" s="47"/>
      <c r="AI175" s="47"/>
      <c r="AJ175" s="136"/>
      <c r="AK175" s="11">
        <f>'Encargos e Benefícios'!D174</f>
        <v>3432.9771878639999</v>
      </c>
      <c r="AL175" s="11">
        <f>IF('Encargos e Benefícios'!C174=0,0,'Encargos e Benefícios'!U174/'Encargos e Benefícios'!C174)</f>
        <v>1139.3669844610856</v>
      </c>
      <c r="AM175" s="11">
        <f>IF('Encargos e Benefícios'!C174=0,0,'Encargos e Benefícios'!AC174/'Encargos e Benefícios'!C174)</f>
        <v>602.82136872816</v>
      </c>
      <c r="AN175" s="119">
        <f>IF('Encargos e Benefícios'!C174=0,0,'Encargos e Benefícios'!AD174/'Encargos e Benefícios'!C174)</f>
        <v>5175.1655410532458</v>
      </c>
      <c r="AO175" s="32">
        <f t="shared" si="2"/>
        <v>4280.8549999999996</v>
      </c>
      <c r="AP175" s="31">
        <v>3057.75</v>
      </c>
      <c r="AQ175" s="31">
        <v>5503.96</v>
      </c>
      <c r="AR175" s="210" t="s">
        <v>110</v>
      </c>
      <c r="AS175" s="32"/>
    </row>
    <row r="176" spans="1:45" ht="12.75" x14ac:dyDescent="0.2">
      <c r="A176" s="48">
        <v>170</v>
      </c>
      <c r="B176" s="12" t="str">
        <f>'Encargos e Benefícios'!B175</f>
        <v>Auxiliar Educacional</v>
      </c>
      <c r="C176" s="10">
        <f>'Encargos e Benefícios'!C175</f>
        <v>10</v>
      </c>
      <c r="D176" s="38" t="s">
        <v>615</v>
      </c>
      <c r="E176" s="174">
        <v>46023</v>
      </c>
      <c r="F176" s="173">
        <v>47118</v>
      </c>
      <c r="G176" s="172">
        <v>46023</v>
      </c>
      <c r="H176" s="370">
        <v>3.5000000000000003E-2</v>
      </c>
      <c r="I176" s="47"/>
      <c r="J176" s="47"/>
      <c r="K176" s="47"/>
      <c r="L176" s="47"/>
      <c r="M176" s="172">
        <v>46388</v>
      </c>
      <c r="N176" s="370">
        <v>0.04</v>
      </c>
      <c r="O176" s="47"/>
      <c r="P176" s="47"/>
      <c r="Q176" s="47"/>
      <c r="R176" s="47"/>
      <c r="S176" s="172">
        <v>46753</v>
      </c>
      <c r="T176" s="370">
        <v>0.04</v>
      </c>
      <c r="U176" s="47"/>
      <c r="V176" s="47"/>
      <c r="W176" s="47"/>
      <c r="X176" s="47"/>
      <c r="Y176" s="172"/>
      <c r="Z176" s="133"/>
      <c r="AA176" s="47"/>
      <c r="AB176" s="47"/>
      <c r="AC176" s="47"/>
      <c r="AD176" s="47"/>
      <c r="AE176" s="172"/>
      <c r="AF176" s="133"/>
      <c r="AG176" s="47"/>
      <c r="AH176" s="47"/>
      <c r="AI176" s="47"/>
      <c r="AJ176" s="136"/>
      <c r="AK176" s="11">
        <f>'Encargos e Benefícios'!D175</f>
        <v>1954.7239466999999</v>
      </c>
      <c r="AL176" s="11">
        <f>IF('Encargos e Benefícios'!C175=0,0,'Encargos e Benefícios'!U175/'Encargos e Benefícios'!C175)</f>
        <v>1429.7936903911964</v>
      </c>
      <c r="AM176" s="11">
        <f>IF('Encargos e Benefícios'!C175=0,0,'Encargos e Benefícios'!AC175/'Encargos e Benefícios'!C175)</f>
        <v>691.51656319800009</v>
      </c>
      <c r="AN176" s="119">
        <f>IF('Encargos e Benefícios'!C175=0,0,'Encargos e Benefícios'!AD175/'Encargos e Benefícios'!C175)</f>
        <v>4076.0342002891966</v>
      </c>
      <c r="AO176" s="32">
        <f t="shared" si="2"/>
        <v>3332.11</v>
      </c>
      <c r="AP176" s="31">
        <v>2380.08</v>
      </c>
      <c r="AQ176" s="31">
        <v>4284.1400000000003</v>
      </c>
      <c r="AR176" s="210" t="s">
        <v>110</v>
      </c>
      <c r="AS176" s="32"/>
    </row>
    <row r="177" spans="1:45" ht="12.75" x14ac:dyDescent="0.2">
      <c r="A177" s="48">
        <v>171</v>
      </c>
      <c r="B177" s="12" t="str">
        <f>'Encargos e Benefícios'!B176</f>
        <v>Auxiliar Administrativo</v>
      </c>
      <c r="C177" s="10">
        <f>'Encargos e Benefícios'!C176</f>
        <v>4</v>
      </c>
      <c r="D177" s="38" t="s">
        <v>615</v>
      </c>
      <c r="E177" s="174">
        <v>46023</v>
      </c>
      <c r="F177" s="173">
        <v>47118</v>
      </c>
      <c r="G177" s="172">
        <v>46023</v>
      </c>
      <c r="H177" s="370">
        <v>3.5000000000000003E-2</v>
      </c>
      <c r="I177" s="47"/>
      <c r="J177" s="47"/>
      <c r="K177" s="47"/>
      <c r="L177" s="47"/>
      <c r="M177" s="172">
        <v>46388</v>
      </c>
      <c r="N177" s="370">
        <v>0.04</v>
      </c>
      <c r="O177" s="47"/>
      <c r="P177" s="47"/>
      <c r="Q177" s="47"/>
      <c r="R177" s="47"/>
      <c r="S177" s="172">
        <v>46753</v>
      </c>
      <c r="T177" s="370">
        <v>0.04</v>
      </c>
      <c r="U177" s="47"/>
      <c r="V177" s="47"/>
      <c r="W177" s="47"/>
      <c r="X177" s="47"/>
      <c r="Y177" s="172"/>
      <c r="Z177" s="133"/>
      <c r="AA177" s="47"/>
      <c r="AB177" s="47"/>
      <c r="AC177" s="47"/>
      <c r="AD177" s="47"/>
      <c r="AE177" s="172"/>
      <c r="AF177" s="133"/>
      <c r="AG177" s="47"/>
      <c r="AH177" s="47"/>
      <c r="AI177" s="47"/>
      <c r="AJ177" s="136"/>
      <c r="AK177" s="11">
        <f>'Encargos e Benefícios'!D176</f>
        <v>1954.7239466999999</v>
      </c>
      <c r="AL177" s="11">
        <f>IF('Encargos e Benefícios'!C176=0,0,'Encargos e Benefícios'!U176/'Encargos e Benefícios'!C176)</f>
        <v>648.75115875476661</v>
      </c>
      <c r="AM177" s="11">
        <f>IF('Encargos e Benefícios'!C176=0,0,'Encargos e Benefícios'!AC176/'Encargos e Benefícios'!C176)</f>
        <v>691.51656319799997</v>
      </c>
      <c r="AN177" s="119">
        <f>IF('Encargos e Benefícios'!C176=0,0,'Encargos e Benefícios'!AD176/'Encargos e Benefícios'!C176)</f>
        <v>3294.9916686527663</v>
      </c>
      <c r="AO177" s="32">
        <f t="shared" si="2"/>
        <v>3332.11</v>
      </c>
      <c r="AP177" s="31">
        <v>2380.08</v>
      </c>
      <c r="AQ177" s="31">
        <v>4284.1400000000003</v>
      </c>
      <c r="AR177" s="210" t="s">
        <v>110</v>
      </c>
      <c r="AS177" s="32"/>
    </row>
    <row r="178" spans="1:45" ht="12.75" x14ac:dyDescent="0.2">
      <c r="A178" s="48">
        <v>172</v>
      </c>
      <c r="B178" s="12" t="str">
        <f>'Encargos e Benefícios'!B177</f>
        <v>Auxiliar de Serviços Gerais</v>
      </c>
      <c r="C178" s="10">
        <f>'Encargos e Benefícios'!C177</f>
        <v>4</v>
      </c>
      <c r="D178" s="38" t="s">
        <v>615</v>
      </c>
      <c r="E178" s="174">
        <v>46023</v>
      </c>
      <c r="F178" s="173">
        <v>47118</v>
      </c>
      <c r="G178" s="172">
        <v>46023</v>
      </c>
      <c r="H178" s="370">
        <v>3.5000000000000003E-2</v>
      </c>
      <c r="I178" s="47"/>
      <c r="J178" s="47"/>
      <c r="K178" s="47"/>
      <c r="L178" s="47"/>
      <c r="M178" s="172">
        <v>46388</v>
      </c>
      <c r="N178" s="370">
        <v>0.04</v>
      </c>
      <c r="O178" s="47"/>
      <c r="P178" s="47"/>
      <c r="Q178" s="47"/>
      <c r="R178" s="47"/>
      <c r="S178" s="172">
        <v>46753</v>
      </c>
      <c r="T178" s="370">
        <v>0.04</v>
      </c>
      <c r="U178" s="47"/>
      <c r="V178" s="47"/>
      <c r="W178" s="47"/>
      <c r="X178" s="47"/>
      <c r="Y178" s="172"/>
      <c r="Z178" s="133"/>
      <c r="AA178" s="47"/>
      <c r="AB178" s="47"/>
      <c r="AC178" s="47"/>
      <c r="AD178" s="47"/>
      <c r="AE178" s="172"/>
      <c r="AF178" s="133"/>
      <c r="AG178" s="47"/>
      <c r="AH178" s="47"/>
      <c r="AI178" s="47"/>
      <c r="AJ178" s="136"/>
      <c r="AK178" s="11">
        <f>'Encargos e Benefícios'!D177</f>
        <v>1604</v>
      </c>
      <c r="AL178" s="11">
        <f>IF('Encargos e Benefícios'!C177=0,0,'Encargos e Benefícios'!U177/'Encargos e Benefícios'!C177)</f>
        <v>532.34977777777783</v>
      </c>
      <c r="AM178" s="11">
        <f>IF('Encargos e Benefícios'!C177=0,0,'Encargos e Benefícios'!AC177/'Encargos e Benefícios'!C177)</f>
        <v>712.56</v>
      </c>
      <c r="AN178" s="119">
        <f>IF('Encargos e Benefícios'!C177=0,0,'Encargos e Benefícios'!AD177/'Encargos e Benefícios'!C177)</f>
        <v>2848.9097777777779</v>
      </c>
      <c r="AO178" s="32">
        <f t="shared" si="2"/>
        <v>2286.52</v>
      </c>
      <c r="AP178" s="31">
        <v>1633.23</v>
      </c>
      <c r="AQ178" s="31">
        <v>2939.81</v>
      </c>
      <c r="AR178" s="210" t="s">
        <v>110</v>
      </c>
      <c r="AS178" s="32"/>
    </row>
    <row r="179" spans="1:45" ht="12.75" x14ac:dyDescent="0.2">
      <c r="A179" s="48">
        <v>173</v>
      </c>
      <c r="B179" s="12" t="str">
        <f>'Encargos e Benefícios'!B178</f>
        <v>Motorista</v>
      </c>
      <c r="C179" s="10">
        <f>'Encargos e Benefícios'!C178</f>
        <v>3</v>
      </c>
      <c r="D179" s="38" t="s">
        <v>615</v>
      </c>
      <c r="E179" s="174">
        <v>46023</v>
      </c>
      <c r="F179" s="173">
        <v>47118</v>
      </c>
      <c r="G179" s="172">
        <v>46023</v>
      </c>
      <c r="H179" s="370">
        <v>3.5000000000000003E-2</v>
      </c>
      <c r="I179" s="47"/>
      <c r="J179" s="47"/>
      <c r="K179" s="47"/>
      <c r="L179" s="47"/>
      <c r="M179" s="172">
        <v>46388</v>
      </c>
      <c r="N179" s="370">
        <v>0.04</v>
      </c>
      <c r="O179" s="47"/>
      <c r="P179" s="47"/>
      <c r="Q179" s="47"/>
      <c r="R179" s="47"/>
      <c r="S179" s="172">
        <v>46753</v>
      </c>
      <c r="T179" s="370">
        <v>0.04</v>
      </c>
      <c r="U179" s="47"/>
      <c r="V179" s="47"/>
      <c r="W179" s="47"/>
      <c r="X179" s="47"/>
      <c r="Y179" s="172"/>
      <c r="Z179" s="133"/>
      <c r="AA179" s="47"/>
      <c r="AB179" s="47"/>
      <c r="AC179" s="47"/>
      <c r="AD179" s="47"/>
      <c r="AE179" s="172"/>
      <c r="AF179" s="133"/>
      <c r="AG179" s="47"/>
      <c r="AH179" s="47"/>
      <c r="AI179" s="47"/>
      <c r="AJ179" s="136"/>
      <c r="AK179" s="11">
        <f>'Encargos e Benefícios'!D178</f>
        <v>2216.5886211419997</v>
      </c>
      <c r="AL179" s="11">
        <f>IF('Encargos e Benefícios'!C178=0,0,'Encargos e Benefícios'!U178/'Encargos e Benefícios'!C178)</f>
        <v>735.66113459457256</v>
      </c>
      <c r="AM179" s="11">
        <f>IF('Encargos e Benefícios'!C178=0,0,'Encargos e Benefícios'!AC178/'Encargos e Benefícios'!C178)</f>
        <v>675.80468273148006</v>
      </c>
      <c r="AN179" s="119">
        <f>IF('Encargos e Benefícios'!C178=0,0,'Encargos e Benefícios'!AD178/'Encargos e Benefícios'!C178)</f>
        <v>3628.054438468052</v>
      </c>
      <c r="AO179" s="32">
        <f t="shared" si="2"/>
        <v>2638.67</v>
      </c>
      <c r="AP179" s="31">
        <v>1884.76</v>
      </c>
      <c r="AQ179" s="31">
        <v>3392.58</v>
      </c>
      <c r="AR179" s="210" t="s">
        <v>110</v>
      </c>
      <c r="AS179" s="32"/>
    </row>
    <row r="180" spans="1:45" ht="12.75" x14ac:dyDescent="0.2">
      <c r="A180" s="48">
        <v>174</v>
      </c>
      <c r="B180" s="12" t="str">
        <f>'Encargos e Benefícios'!B179</f>
        <v xml:space="preserve">Gestor de Monitoria e Socioeducação </v>
      </c>
      <c r="C180" s="10">
        <f>'Encargos e Benefícios'!C179</f>
        <v>1</v>
      </c>
      <c r="D180" s="38" t="s">
        <v>615</v>
      </c>
      <c r="E180" s="174">
        <v>46023</v>
      </c>
      <c r="F180" s="173">
        <v>47118</v>
      </c>
      <c r="G180" s="172">
        <v>46023</v>
      </c>
      <c r="H180" s="370">
        <v>3.5000000000000003E-2</v>
      </c>
      <c r="I180" s="47"/>
      <c r="J180" s="47"/>
      <c r="K180" s="47"/>
      <c r="L180" s="47"/>
      <c r="M180" s="172">
        <v>46388</v>
      </c>
      <c r="N180" s="370">
        <v>0.04</v>
      </c>
      <c r="O180" s="47"/>
      <c r="P180" s="47"/>
      <c r="Q180" s="47"/>
      <c r="R180" s="47"/>
      <c r="S180" s="172">
        <v>46753</v>
      </c>
      <c r="T180" s="370">
        <v>0.04</v>
      </c>
      <c r="U180" s="47"/>
      <c r="V180" s="47"/>
      <c r="W180" s="47"/>
      <c r="X180" s="47"/>
      <c r="Y180" s="172"/>
      <c r="Z180" s="133"/>
      <c r="AA180" s="47"/>
      <c r="AB180" s="47"/>
      <c r="AC180" s="47"/>
      <c r="AD180" s="47"/>
      <c r="AE180" s="172"/>
      <c r="AF180" s="133"/>
      <c r="AG180" s="47"/>
      <c r="AH180" s="47"/>
      <c r="AI180" s="47"/>
      <c r="AJ180" s="136"/>
      <c r="AK180" s="11">
        <f>'Encargos e Benefícios'!D179</f>
        <v>6971.8487432299989</v>
      </c>
      <c r="AL180" s="11">
        <f>IF('Encargos e Benefícios'!C179=0,0,'Encargos e Benefícios'!U179/'Encargos e Benefícios'!C179)</f>
        <v>2313.8791328920006</v>
      </c>
      <c r="AM180" s="11">
        <f>IF('Encargos e Benefícios'!C179=0,0,'Encargos e Benefícios'!AC179/'Encargos e Benefícios'!C179)</f>
        <v>438.8</v>
      </c>
      <c r="AN180" s="119">
        <f>IF('Encargos e Benefícios'!C179=0,0,'Encargos e Benefícios'!AD179/'Encargos e Benefícios'!C179)</f>
        <v>9724.5278761219997</v>
      </c>
      <c r="AO180" s="32">
        <f t="shared" si="2"/>
        <v>6777.27</v>
      </c>
      <c r="AP180" s="31">
        <v>3515.09</v>
      </c>
      <c r="AQ180" s="31">
        <v>10039.450000000001</v>
      </c>
      <c r="AR180" s="210" t="s">
        <v>110</v>
      </c>
      <c r="AS180" s="32"/>
    </row>
    <row r="181" spans="1:45" ht="12.75" x14ac:dyDescent="0.2">
      <c r="A181" s="48">
        <v>175</v>
      </c>
      <c r="B181" s="12" t="str">
        <f>'Encargos e Benefícios'!B180</f>
        <v>Socioeducador</v>
      </c>
      <c r="C181" s="10">
        <f>'Encargos e Benefícios'!C180</f>
        <v>60</v>
      </c>
      <c r="D181" s="38" t="s">
        <v>615</v>
      </c>
      <c r="E181" s="174">
        <v>46023</v>
      </c>
      <c r="F181" s="173">
        <v>47118</v>
      </c>
      <c r="G181" s="172">
        <v>46023</v>
      </c>
      <c r="H181" s="370">
        <v>3.5000000000000003E-2</v>
      </c>
      <c r="I181" s="47"/>
      <c r="J181" s="47"/>
      <c r="K181" s="47"/>
      <c r="L181" s="47"/>
      <c r="M181" s="172">
        <v>46388</v>
      </c>
      <c r="N181" s="370">
        <v>0.04</v>
      </c>
      <c r="O181" s="47"/>
      <c r="P181" s="47"/>
      <c r="Q181" s="47"/>
      <c r="R181" s="47"/>
      <c r="S181" s="172">
        <v>46753</v>
      </c>
      <c r="T181" s="370">
        <v>0.04</v>
      </c>
      <c r="U181" s="47"/>
      <c r="V181" s="47"/>
      <c r="W181" s="47"/>
      <c r="X181" s="47"/>
      <c r="Y181" s="172"/>
      <c r="Z181" s="133"/>
      <c r="AA181" s="47"/>
      <c r="AB181" s="47"/>
      <c r="AC181" s="47"/>
      <c r="AD181" s="47"/>
      <c r="AE181" s="172"/>
      <c r="AF181" s="133"/>
      <c r="AG181" s="47"/>
      <c r="AH181" s="47"/>
      <c r="AI181" s="47"/>
      <c r="AJ181" s="136"/>
      <c r="AK181" s="11">
        <f>'Encargos e Benefícios'!D180</f>
        <v>2475.9907000000003</v>
      </c>
      <c r="AL181" s="11">
        <f>IF('Encargos e Benefícios'!C180=0,0,'Encargos e Benefícios'!U180/'Encargos e Benefícios'!C180)</f>
        <v>2538.7794398646593</v>
      </c>
      <c r="AM181" s="11">
        <f>IF('Encargos e Benefícios'!C180=0,0,'Encargos e Benefícios'!AC180/'Encargos e Benefícios'!C180)</f>
        <v>660.24055799999996</v>
      </c>
      <c r="AN181" s="119">
        <f>IF('Encargos e Benefícios'!C180=0,0,'Encargos e Benefícios'!AD180/'Encargos e Benefícios'!C180)</f>
        <v>5675.01069786466</v>
      </c>
      <c r="AO181" s="32">
        <f t="shared" si="2"/>
        <v>2621.0150000000003</v>
      </c>
      <c r="AP181" s="31">
        <v>1906.88</v>
      </c>
      <c r="AQ181" s="31">
        <v>3335.15</v>
      </c>
      <c r="AR181" s="210" t="s">
        <v>110</v>
      </c>
      <c r="AS181" s="32"/>
    </row>
    <row r="182" spans="1:45" ht="22.5" x14ac:dyDescent="0.2">
      <c r="A182" s="48">
        <v>176</v>
      </c>
      <c r="B182" s="12" t="str">
        <f>'Encargos e Benefícios'!B181</f>
        <v>Socioeducador</v>
      </c>
      <c r="C182" s="10">
        <f>'Encargos e Benefícios'!C181</f>
        <v>30</v>
      </c>
      <c r="D182" s="38" t="s">
        <v>617</v>
      </c>
      <c r="E182" s="174">
        <v>46023</v>
      </c>
      <c r="F182" s="173">
        <v>47118</v>
      </c>
      <c r="G182" s="172">
        <v>46023</v>
      </c>
      <c r="H182" s="370">
        <v>3.5000000000000003E-2</v>
      </c>
      <c r="I182" s="47"/>
      <c r="J182" s="47"/>
      <c r="K182" s="47"/>
      <c r="L182" s="47"/>
      <c r="M182" s="172">
        <v>46388</v>
      </c>
      <c r="N182" s="370">
        <v>0.04</v>
      </c>
      <c r="O182" s="47"/>
      <c r="P182" s="47"/>
      <c r="Q182" s="47"/>
      <c r="R182" s="47"/>
      <c r="S182" s="172">
        <v>46753</v>
      </c>
      <c r="T182" s="370">
        <v>0.04</v>
      </c>
      <c r="U182" s="47"/>
      <c r="V182" s="47"/>
      <c r="W182" s="47"/>
      <c r="X182" s="47"/>
      <c r="Y182" s="172"/>
      <c r="Z182" s="133"/>
      <c r="AA182" s="47"/>
      <c r="AB182" s="47"/>
      <c r="AC182" s="47"/>
      <c r="AD182" s="47"/>
      <c r="AE182" s="172"/>
      <c r="AF182" s="133"/>
      <c r="AG182" s="47"/>
      <c r="AH182" s="47"/>
      <c r="AI182" s="47"/>
      <c r="AJ182" s="136"/>
      <c r="AK182" s="11">
        <f>'Encargos e Benefícios'!D181</f>
        <v>2475.9907000000003</v>
      </c>
      <c r="AL182" s="11">
        <f>IF('Encargos e Benefícios'!C181=0,0,'Encargos e Benefícios'!U181/'Encargos e Benefícios'!C181)</f>
        <v>2977.1476172418361</v>
      </c>
      <c r="AM182" s="11">
        <f>IF('Encargos e Benefícios'!C181=0,0,'Encargos e Benefícios'!AC181/'Encargos e Benefícios'!C181)</f>
        <v>660.24055799999996</v>
      </c>
      <c r="AN182" s="119">
        <f>IF('Encargos e Benefícios'!C181=0,0,'Encargos e Benefícios'!AD181/'Encargos e Benefícios'!C181)</f>
        <v>6113.3788752418359</v>
      </c>
      <c r="AO182" s="32">
        <f t="shared" si="2"/>
        <v>2621.0150000000003</v>
      </c>
      <c r="AP182" s="31">
        <v>1906.88</v>
      </c>
      <c r="AQ182" s="31">
        <v>3335.15</v>
      </c>
      <c r="AR182" s="210" t="s">
        <v>110</v>
      </c>
      <c r="AS182" s="32"/>
    </row>
    <row r="183" spans="1:45" ht="22.5" x14ac:dyDescent="0.2">
      <c r="A183" s="48">
        <v>177</v>
      </c>
      <c r="B183" s="12" t="str">
        <f>'Encargos e Benefícios'!B182</f>
        <v>Supervisor</v>
      </c>
      <c r="C183" s="10">
        <f>'Encargos e Benefícios'!C182</f>
        <v>3</v>
      </c>
      <c r="D183" s="38" t="s">
        <v>617</v>
      </c>
      <c r="E183" s="174">
        <v>46023</v>
      </c>
      <c r="F183" s="173">
        <v>47118</v>
      </c>
      <c r="G183" s="172">
        <v>46023</v>
      </c>
      <c r="H183" s="370">
        <v>3.5000000000000003E-2</v>
      </c>
      <c r="I183" s="47"/>
      <c r="J183" s="47"/>
      <c r="K183" s="47"/>
      <c r="L183" s="47"/>
      <c r="M183" s="172">
        <v>46388</v>
      </c>
      <c r="N183" s="370">
        <v>0.04</v>
      </c>
      <c r="O183" s="47"/>
      <c r="P183" s="47"/>
      <c r="Q183" s="47"/>
      <c r="R183" s="47"/>
      <c r="S183" s="172">
        <v>46753</v>
      </c>
      <c r="T183" s="370">
        <v>0.04</v>
      </c>
      <c r="U183" s="47"/>
      <c r="V183" s="47"/>
      <c r="W183" s="47"/>
      <c r="X183" s="47"/>
      <c r="Y183" s="172"/>
      <c r="Z183" s="133"/>
      <c r="AA183" s="47"/>
      <c r="AB183" s="47"/>
      <c r="AC183" s="47"/>
      <c r="AD183" s="47"/>
      <c r="AE183" s="172"/>
      <c r="AF183" s="133"/>
      <c r="AG183" s="47"/>
      <c r="AH183" s="47"/>
      <c r="AI183" s="47"/>
      <c r="AJ183" s="136"/>
      <c r="AK183" s="11">
        <f>'Encargos e Benefícios'!D182</f>
        <v>4195.9728999999998</v>
      </c>
      <c r="AL183" s="11">
        <f>IF('Encargos e Benefícios'!C182=0,0,'Encargos e Benefícios'!U182/'Encargos e Benefícios'!C182)</f>
        <v>1392.5967835888887</v>
      </c>
      <c r="AM183" s="11">
        <f>IF('Encargos e Benefícios'!C182=0,0,'Encargos e Benefícios'!AC182/'Encargos e Benefícios'!C182)</f>
        <v>557.04162600000006</v>
      </c>
      <c r="AN183" s="119">
        <f>IF('Encargos e Benefícios'!C182=0,0,'Encargos e Benefícios'!AD182/'Encargos e Benefícios'!C182)</f>
        <v>6145.6113095888877</v>
      </c>
      <c r="AO183" s="32">
        <f t="shared" si="2"/>
        <v>4917.4850000000006</v>
      </c>
      <c r="AP183" s="31">
        <v>2550.5</v>
      </c>
      <c r="AQ183" s="31">
        <v>7284.47</v>
      </c>
      <c r="AR183" s="210" t="s">
        <v>110</v>
      </c>
      <c r="AS183" s="32"/>
    </row>
    <row r="184" spans="1:45" ht="22.5" x14ac:dyDescent="0.2">
      <c r="A184" s="48">
        <v>178</v>
      </c>
      <c r="B184" s="12" t="str">
        <f>'Encargos e Benefícios'!B183</f>
        <v>Enfermeiro</v>
      </c>
      <c r="C184" s="10">
        <f>'Encargos e Benefícios'!C183</f>
        <v>2</v>
      </c>
      <c r="D184" s="38" t="s">
        <v>617</v>
      </c>
      <c r="E184" s="174">
        <v>46023</v>
      </c>
      <c r="F184" s="173">
        <v>47118</v>
      </c>
      <c r="G184" s="172">
        <v>46023</v>
      </c>
      <c r="H184" s="370">
        <v>3.5000000000000003E-2</v>
      </c>
      <c r="I184" s="47"/>
      <c r="J184" s="47"/>
      <c r="K184" s="47"/>
      <c r="L184" s="47"/>
      <c r="M184" s="172">
        <v>46388</v>
      </c>
      <c r="N184" s="370">
        <v>0.04</v>
      </c>
      <c r="O184" s="47"/>
      <c r="P184" s="47"/>
      <c r="Q184" s="47"/>
      <c r="R184" s="47"/>
      <c r="S184" s="172">
        <v>46753</v>
      </c>
      <c r="T184" s="370">
        <v>0.04</v>
      </c>
      <c r="U184" s="47"/>
      <c r="V184" s="47"/>
      <c r="W184" s="47"/>
      <c r="X184" s="47"/>
      <c r="Y184" s="172"/>
      <c r="Z184" s="133"/>
      <c r="AA184" s="47"/>
      <c r="AB184" s="47"/>
      <c r="AC184" s="47"/>
      <c r="AD184" s="47"/>
      <c r="AE184" s="172"/>
      <c r="AF184" s="133"/>
      <c r="AG184" s="47"/>
      <c r="AH184" s="47"/>
      <c r="AI184" s="47"/>
      <c r="AJ184" s="136"/>
      <c r="AK184" s="11">
        <f>'Encargos e Benefícios'!D183</f>
        <v>5372.2025000000003</v>
      </c>
      <c r="AL184" s="11">
        <f>IF('Encargos e Benefícios'!C183=0,0,'Encargos e Benefícios'!U183/'Encargos e Benefícios'!C183)</f>
        <v>3242.6303896077779</v>
      </c>
      <c r="AM184" s="11">
        <f>IF('Encargos e Benefícios'!C183=0,0,'Encargos e Benefícios'!AC183/'Encargos e Benefícios'!C183)</f>
        <v>486.46785</v>
      </c>
      <c r="AN184" s="119">
        <f>IF('Encargos e Benefícios'!C183=0,0,'Encargos e Benefícios'!AD183/'Encargos e Benefícios'!C183)</f>
        <v>9101.3007396077774</v>
      </c>
      <c r="AO184" s="32">
        <f t="shared" si="2"/>
        <v>4535.9449999999997</v>
      </c>
      <c r="AP184" s="31">
        <v>3300.06</v>
      </c>
      <c r="AQ184" s="31">
        <v>5771.83</v>
      </c>
      <c r="AR184" s="210" t="s">
        <v>110</v>
      </c>
      <c r="AS184" s="32"/>
    </row>
    <row r="185" spans="1:45" ht="22.5" x14ac:dyDescent="0.2">
      <c r="A185" s="48">
        <v>179</v>
      </c>
      <c r="B185" s="12" t="str">
        <f>'Encargos e Benefícios'!B184</f>
        <v>Técnico de Enfermagem</v>
      </c>
      <c r="C185" s="10">
        <f>'Encargos e Benefícios'!C184</f>
        <v>4</v>
      </c>
      <c r="D185" s="38" t="s">
        <v>617</v>
      </c>
      <c r="E185" s="174">
        <v>46023</v>
      </c>
      <c r="F185" s="173">
        <v>47118</v>
      </c>
      <c r="G185" s="172">
        <v>46023</v>
      </c>
      <c r="H185" s="370">
        <v>3.5000000000000003E-2</v>
      </c>
      <c r="I185" s="47"/>
      <c r="J185" s="47"/>
      <c r="K185" s="47"/>
      <c r="L185" s="47"/>
      <c r="M185" s="172">
        <v>46388</v>
      </c>
      <c r="N185" s="370">
        <v>0.04</v>
      </c>
      <c r="O185" s="47"/>
      <c r="P185" s="47"/>
      <c r="Q185" s="47"/>
      <c r="R185" s="47"/>
      <c r="S185" s="172">
        <v>46753</v>
      </c>
      <c r="T185" s="370">
        <v>0.04</v>
      </c>
      <c r="U185" s="47"/>
      <c r="V185" s="47"/>
      <c r="W185" s="47"/>
      <c r="X185" s="47"/>
      <c r="Y185" s="172"/>
      <c r="Z185" s="133"/>
      <c r="AA185" s="47"/>
      <c r="AB185" s="47"/>
      <c r="AC185" s="47"/>
      <c r="AD185" s="47"/>
      <c r="AE185" s="172"/>
      <c r="AF185" s="133"/>
      <c r="AG185" s="47"/>
      <c r="AH185" s="47"/>
      <c r="AI185" s="47"/>
      <c r="AJ185" s="136"/>
      <c r="AK185" s="11">
        <f>'Encargos e Benefícios'!D184</f>
        <v>3760.5471000000002</v>
      </c>
      <c r="AL185" s="11">
        <f>IF('Encargos e Benefícios'!C184=0,0,'Encargos e Benefícios'!U184/'Encargos e Benefícios'!C184)</f>
        <v>2269.8445019545338</v>
      </c>
      <c r="AM185" s="11">
        <f>IF('Encargos e Benefícios'!C184=0,0,'Encargos e Benefícios'!AC184/'Encargos e Benefícios'!C184)</f>
        <v>583.16717399999993</v>
      </c>
      <c r="AN185" s="119">
        <f>IF('Encargos e Benefícios'!C184=0,0,'Encargos e Benefícios'!AD184/'Encargos e Benefícios'!C184)</f>
        <v>6613.5587759545342</v>
      </c>
      <c r="AO185" s="32">
        <f t="shared" si="2"/>
        <v>2955.75</v>
      </c>
      <c r="AP185" s="31">
        <v>2150.41</v>
      </c>
      <c r="AQ185" s="31">
        <v>3761.09</v>
      </c>
      <c r="AR185" s="210" t="s">
        <v>110</v>
      </c>
      <c r="AS185" s="32"/>
    </row>
    <row r="186" spans="1:45" ht="22.5" x14ac:dyDescent="0.2">
      <c r="A186" s="48">
        <v>180</v>
      </c>
      <c r="B186" s="12" t="str">
        <f>'Encargos e Benefícios'!B185</f>
        <v>Dentista</v>
      </c>
      <c r="C186" s="10">
        <f>'Encargos e Benefícios'!C185</f>
        <v>1</v>
      </c>
      <c r="D186" s="38" t="s">
        <v>617</v>
      </c>
      <c r="E186" s="174">
        <v>46023</v>
      </c>
      <c r="F186" s="173">
        <v>47118</v>
      </c>
      <c r="G186" s="172">
        <v>46023</v>
      </c>
      <c r="H186" s="370">
        <v>3.5000000000000003E-2</v>
      </c>
      <c r="I186" s="47"/>
      <c r="J186" s="47"/>
      <c r="K186" s="47"/>
      <c r="L186" s="47"/>
      <c r="M186" s="172">
        <v>46388</v>
      </c>
      <c r="N186" s="370">
        <v>0.04</v>
      </c>
      <c r="O186" s="47"/>
      <c r="P186" s="47"/>
      <c r="Q186" s="47"/>
      <c r="R186" s="47"/>
      <c r="S186" s="172">
        <v>46753</v>
      </c>
      <c r="T186" s="370">
        <v>0.04</v>
      </c>
      <c r="U186" s="47"/>
      <c r="V186" s="47"/>
      <c r="W186" s="47"/>
      <c r="X186" s="47"/>
      <c r="Y186" s="172"/>
      <c r="Z186" s="133"/>
      <c r="AA186" s="47"/>
      <c r="AB186" s="47"/>
      <c r="AC186" s="47"/>
      <c r="AD186" s="47"/>
      <c r="AE186" s="172"/>
      <c r="AF186" s="133"/>
      <c r="AG186" s="47"/>
      <c r="AH186" s="47"/>
      <c r="AI186" s="47"/>
      <c r="AJ186" s="136"/>
      <c r="AK186" s="11">
        <f>'Encargos e Benefícios'!D185</f>
        <v>3648.8180338399998</v>
      </c>
      <c r="AL186" s="11">
        <f>IF('Encargos e Benefícios'!C185=0,0,'Encargos e Benefícios'!U185/'Encargos e Benefícios'!C185)</f>
        <v>1211.0021630088977</v>
      </c>
      <c r="AM186" s="11">
        <f>IF('Encargos e Benefícios'!C185=0,0,'Encargos e Benefícios'!AC185/'Encargos e Benefícios'!C185)</f>
        <v>589.87091796959999</v>
      </c>
      <c r="AN186" s="119">
        <f>IF('Encargos e Benefícios'!C185=0,0,'Encargos e Benefícios'!AD185/'Encargos e Benefícios'!C185)</f>
        <v>5449.6911148184972</v>
      </c>
      <c r="AO186" s="32">
        <f t="shared" si="2"/>
        <v>5513.9349999999995</v>
      </c>
      <c r="AP186" s="31">
        <v>3204.46</v>
      </c>
      <c r="AQ186" s="31">
        <v>7823.41</v>
      </c>
      <c r="AR186" s="210" t="s">
        <v>110</v>
      </c>
      <c r="AS186" s="32"/>
    </row>
    <row r="187" spans="1:45" ht="12.75" x14ac:dyDescent="0.2">
      <c r="A187" s="48">
        <v>181</v>
      </c>
      <c r="B187" s="12" t="str">
        <f>'Encargos e Benefícios'!B186</f>
        <v>Técnico em Saúde Bucal</v>
      </c>
      <c r="C187" s="10">
        <f>'Encargos e Benefícios'!C186</f>
        <v>1</v>
      </c>
      <c r="D187" s="38" t="s">
        <v>615</v>
      </c>
      <c r="E187" s="174">
        <v>46023</v>
      </c>
      <c r="F187" s="173">
        <v>47118</v>
      </c>
      <c r="G187" s="172">
        <v>46023</v>
      </c>
      <c r="H187" s="370">
        <v>3.5000000000000003E-2</v>
      </c>
      <c r="I187" s="47"/>
      <c r="J187" s="47"/>
      <c r="K187" s="47"/>
      <c r="L187" s="47"/>
      <c r="M187" s="172">
        <v>46388</v>
      </c>
      <c r="N187" s="370">
        <v>0.04</v>
      </c>
      <c r="O187" s="47"/>
      <c r="P187" s="47"/>
      <c r="Q187" s="47"/>
      <c r="R187" s="47"/>
      <c r="S187" s="172">
        <v>46753</v>
      </c>
      <c r="T187" s="370">
        <v>0.04</v>
      </c>
      <c r="U187" s="47"/>
      <c r="V187" s="47"/>
      <c r="W187" s="47"/>
      <c r="X187" s="47"/>
      <c r="Y187" s="172"/>
      <c r="Z187" s="133"/>
      <c r="AA187" s="47"/>
      <c r="AB187" s="47"/>
      <c r="AC187" s="47"/>
      <c r="AD187" s="47"/>
      <c r="AE187" s="172"/>
      <c r="AF187" s="133"/>
      <c r="AG187" s="47"/>
      <c r="AH187" s="47"/>
      <c r="AI187" s="47"/>
      <c r="AJ187" s="136"/>
      <c r="AK187" s="11">
        <f>'Encargos e Benefícios'!D186</f>
        <v>1954.7239466999999</v>
      </c>
      <c r="AL187" s="11">
        <f>IF('Encargos e Benefícios'!C186=0,0,'Encargos e Benefícios'!U186/'Encargos e Benefícios'!C186)</f>
        <v>648.75115875476661</v>
      </c>
      <c r="AM187" s="11">
        <f>IF('Encargos e Benefícios'!C186=0,0,'Encargos e Benefícios'!AC186/'Encargos e Benefícios'!C186)</f>
        <v>691.51656319799997</v>
      </c>
      <c r="AN187" s="119">
        <f>IF('Encargos e Benefícios'!C186=0,0,'Encargos e Benefícios'!AD186/'Encargos e Benefícios'!C186)</f>
        <v>3294.9916686527663</v>
      </c>
      <c r="AO187" s="32">
        <f t="shared" si="2"/>
        <v>3165.2350000000001</v>
      </c>
      <c r="AP187" s="31">
        <v>2302.8200000000002</v>
      </c>
      <c r="AQ187" s="31">
        <v>4027.65</v>
      </c>
      <c r="AR187" s="210" t="s">
        <v>110</v>
      </c>
      <c r="AS187" s="32"/>
    </row>
    <row r="188" spans="1:45" ht="22.5" x14ac:dyDescent="0.2">
      <c r="A188" s="48">
        <v>182</v>
      </c>
      <c r="B188" s="12" t="str">
        <f>'Encargos e Benefícios'!B187</f>
        <v>Porteiro</v>
      </c>
      <c r="C188" s="10">
        <f>'Encargos e Benefícios'!C187</f>
        <v>5</v>
      </c>
      <c r="D188" s="38" t="s">
        <v>618</v>
      </c>
      <c r="E188" s="174">
        <v>46023</v>
      </c>
      <c r="F188" s="173">
        <v>47118</v>
      </c>
      <c r="G188" s="172">
        <v>46023</v>
      </c>
      <c r="H188" s="370">
        <v>3.5000000000000003E-2</v>
      </c>
      <c r="I188" s="47"/>
      <c r="J188" s="47"/>
      <c r="K188" s="47"/>
      <c r="L188" s="47"/>
      <c r="M188" s="172">
        <v>46388</v>
      </c>
      <c r="N188" s="370">
        <v>0.04</v>
      </c>
      <c r="O188" s="47"/>
      <c r="P188" s="47"/>
      <c r="Q188" s="47"/>
      <c r="R188" s="47"/>
      <c r="S188" s="172">
        <v>46753</v>
      </c>
      <c r="T188" s="370">
        <v>0.04</v>
      </c>
      <c r="U188" s="47"/>
      <c r="V188" s="47"/>
      <c r="W188" s="47"/>
      <c r="X188" s="47"/>
      <c r="Y188" s="172"/>
      <c r="Z188" s="133"/>
      <c r="AA188" s="47"/>
      <c r="AB188" s="47"/>
      <c r="AC188" s="47"/>
      <c r="AD188" s="47"/>
      <c r="AE188" s="172"/>
      <c r="AF188" s="133"/>
      <c r="AG188" s="47"/>
      <c r="AH188" s="47"/>
      <c r="AI188" s="47"/>
      <c r="AJ188" s="136"/>
      <c r="AK188" s="11">
        <f>'Encargos e Benefícios'!D187</f>
        <v>1759.2515520300001</v>
      </c>
      <c r="AL188" s="11">
        <f>IF('Encargos e Benefícios'!C187=0,0,'Encargos e Benefícios'!U187/'Encargos e Benefícios'!C187)</f>
        <v>1412.3974399752335</v>
      </c>
      <c r="AM188" s="11">
        <f>IF('Encargos e Benefícios'!C187=0,0,'Encargos e Benefícios'!AC187/'Encargos e Benefícios'!C187)</f>
        <v>703.24490687820003</v>
      </c>
      <c r="AN188" s="119">
        <f>IF('Encargos e Benefícios'!C187=0,0,'Encargos e Benefícios'!AD187/'Encargos e Benefícios'!C187)</f>
        <v>3874.8938988834334</v>
      </c>
      <c r="AO188" s="32">
        <f t="shared" si="2"/>
        <v>2638.67</v>
      </c>
      <c r="AP188" s="31">
        <v>1884.76</v>
      </c>
      <c r="AQ188" s="31">
        <v>3392.58</v>
      </c>
      <c r="AR188" s="210" t="s">
        <v>110</v>
      </c>
      <c r="AS188" s="32"/>
    </row>
    <row r="189" spans="1:45" ht="22.5" x14ac:dyDescent="0.2">
      <c r="A189" s="48">
        <v>183</v>
      </c>
      <c r="B189" s="12" t="str">
        <f>'Encargos e Benefícios'!B188</f>
        <v>Diretor Geral de Unidade Socioeducativa (TUPACIGUARA)</v>
      </c>
      <c r="C189" s="10">
        <f>'Encargos e Benefícios'!C188</f>
        <v>1</v>
      </c>
      <c r="D189" s="38" t="s">
        <v>615</v>
      </c>
      <c r="E189" s="174">
        <v>46023</v>
      </c>
      <c r="F189" s="173">
        <v>47118</v>
      </c>
      <c r="G189" s="172">
        <v>46023</v>
      </c>
      <c r="H189" s="370">
        <v>3.5000000000000003E-2</v>
      </c>
      <c r="I189" s="47"/>
      <c r="J189" s="47"/>
      <c r="K189" s="47"/>
      <c r="L189" s="47"/>
      <c r="M189" s="172">
        <v>46388</v>
      </c>
      <c r="N189" s="370">
        <v>0.04</v>
      </c>
      <c r="O189" s="47"/>
      <c r="P189" s="47"/>
      <c r="Q189" s="47"/>
      <c r="R189" s="47"/>
      <c r="S189" s="172">
        <v>46753</v>
      </c>
      <c r="T189" s="370">
        <v>0.04</v>
      </c>
      <c r="U189" s="47"/>
      <c r="V189" s="47"/>
      <c r="W189" s="47"/>
      <c r="X189" s="47"/>
      <c r="Y189" s="172"/>
      <c r="Z189" s="133"/>
      <c r="AA189" s="47"/>
      <c r="AB189" s="47"/>
      <c r="AC189" s="47"/>
      <c r="AD189" s="47"/>
      <c r="AE189" s="172"/>
      <c r="AF189" s="133"/>
      <c r="AG189" s="47"/>
      <c r="AH189" s="47"/>
      <c r="AI189" s="47"/>
      <c r="AJ189" s="136"/>
      <c r="AK189" s="11">
        <f>'Encargos e Benefícios'!D188</f>
        <v>8626.8483514359996</v>
      </c>
      <c r="AL189" s="11">
        <f>IF('Encargos e Benefícios'!C188=0,0,'Encargos e Benefícios'!U188/'Encargos e Benefícios'!C188)</f>
        <v>3694.9270758553248</v>
      </c>
      <c r="AM189" s="11">
        <f>IF('Encargos e Benefícios'!C188=0,0,'Encargos e Benefícios'!AC188/'Encargos e Benefícios'!C188)</f>
        <v>438.8</v>
      </c>
      <c r="AN189" s="119">
        <f>IF('Encargos e Benefícios'!C188=0,0,'Encargos e Benefícios'!AD188/'Encargos e Benefícios'!C188)</f>
        <v>12760.575427291324</v>
      </c>
      <c r="AO189" s="32">
        <f t="shared" si="2"/>
        <v>9992.880000000001</v>
      </c>
      <c r="AP189" s="31">
        <v>7137.77</v>
      </c>
      <c r="AQ189" s="31">
        <v>12847.99</v>
      </c>
      <c r="AR189" s="210" t="s">
        <v>111</v>
      </c>
      <c r="AS189" s="32"/>
    </row>
    <row r="190" spans="1:45" ht="22.5" x14ac:dyDescent="0.2">
      <c r="A190" s="48">
        <v>184</v>
      </c>
      <c r="B190" s="12" t="str">
        <f>'Encargos e Benefícios'!B189</f>
        <v>Gestor de Monitoria e Socioeducação  (TUPACIGUARA)</v>
      </c>
      <c r="C190" s="10">
        <f>'Encargos e Benefícios'!C189</f>
        <v>1</v>
      </c>
      <c r="D190" s="38" t="s">
        <v>615</v>
      </c>
      <c r="E190" s="174">
        <v>46023</v>
      </c>
      <c r="F190" s="173">
        <v>47118</v>
      </c>
      <c r="G190" s="172">
        <v>46023</v>
      </c>
      <c r="H190" s="370">
        <v>3.5000000000000003E-2</v>
      </c>
      <c r="I190" s="47"/>
      <c r="J190" s="47"/>
      <c r="K190" s="47"/>
      <c r="L190" s="47"/>
      <c r="M190" s="172">
        <v>46388</v>
      </c>
      <c r="N190" s="370">
        <v>0.04</v>
      </c>
      <c r="O190" s="47"/>
      <c r="P190" s="47"/>
      <c r="Q190" s="47"/>
      <c r="R190" s="47"/>
      <c r="S190" s="172">
        <v>46753</v>
      </c>
      <c r="T190" s="370">
        <v>0.04</v>
      </c>
      <c r="U190" s="47"/>
      <c r="V190" s="47"/>
      <c r="W190" s="47"/>
      <c r="X190" s="47"/>
      <c r="Y190" s="172"/>
      <c r="Z190" s="133"/>
      <c r="AA190" s="47"/>
      <c r="AB190" s="47"/>
      <c r="AC190" s="47"/>
      <c r="AD190" s="47"/>
      <c r="AE190" s="172"/>
      <c r="AF190" s="133"/>
      <c r="AG190" s="47"/>
      <c r="AH190" s="47"/>
      <c r="AI190" s="47"/>
      <c r="AJ190" s="136"/>
      <c r="AK190" s="11">
        <f>'Encargos e Benefícios'!D189</f>
        <v>6971.8487432299989</v>
      </c>
      <c r="AL190" s="11">
        <f>IF('Encargos e Benefícios'!C189=0,0,'Encargos e Benefícios'!U189/'Encargos e Benefícios'!C189)</f>
        <v>2313.8791328920006</v>
      </c>
      <c r="AM190" s="11">
        <f>IF('Encargos e Benefícios'!C189=0,0,'Encargos e Benefícios'!AC189/'Encargos e Benefícios'!C189)</f>
        <v>438.8</v>
      </c>
      <c r="AN190" s="119">
        <f>IF('Encargos e Benefícios'!C189=0,0,'Encargos e Benefícios'!AD189/'Encargos e Benefícios'!C189)</f>
        <v>9724.5278761219997</v>
      </c>
      <c r="AO190" s="32">
        <f t="shared" si="2"/>
        <v>6777.27</v>
      </c>
      <c r="AP190" s="31">
        <v>3515.09</v>
      </c>
      <c r="AQ190" s="31">
        <v>10039.450000000001</v>
      </c>
      <c r="AR190" s="210" t="s">
        <v>111</v>
      </c>
      <c r="AS190" s="32"/>
    </row>
    <row r="191" spans="1:45" ht="12.75" x14ac:dyDescent="0.2">
      <c r="A191" s="48">
        <v>185</v>
      </c>
      <c r="B191" s="12" t="str">
        <f>'Encargos e Benefícios'!B190</f>
        <v>Diretor de Atendimento (TUPACIGUARA)</v>
      </c>
      <c r="C191" s="10">
        <f>'Encargos e Benefícios'!C190</f>
        <v>1</v>
      </c>
      <c r="D191" s="38" t="s">
        <v>615</v>
      </c>
      <c r="E191" s="174">
        <v>46023</v>
      </c>
      <c r="F191" s="173">
        <v>47118</v>
      </c>
      <c r="G191" s="172">
        <v>46023</v>
      </c>
      <c r="H191" s="370">
        <v>3.5000000000000003E-2</v>
      </c>
      <c r="I191" s="47"/>
      <c r="J191" s="47"/>
      <c r="K191" s="47"/>
      <c r="L191" s="47"/>
      <c r="M191" s="172">
        <v>46388</v>
      </c>
      <c r="N191" s="370">
        <v>0.04</v>
      </c>
      <c r="O191" s="47"/>
      <c r="P191" s="47"/>
      <c r="Q191" s="47"/>
      <c r="R191" s="47"/>
      <c r="S191" s="172">
        <v>46753</v>
      </c>
      <c r="T191" s="370">
        <v>0.04</v>
      </c>
      <c r="U191" s="47"/>
      <c r="V191" s="47"/>
      <c r="W191" s="47"/>
      <c r="X191" s="47"/>
      <c r="Y191" s="172"/>
      <c r="Z191" s="133"/>
      <c r="AA191" s="47"/>
      <c r="AB191" s="47"/>
      <c r="AC191" s="47"/>
      <c r="AD191" s="47"/>
      <c r="AE191" s="172"/>
      <c r="AF191" s="133"/>
      <c r="AG191" s="47"/>
      <c r="AH191" s="47"/>
      <c r="AI191" s="47"/>
      <c r="AJ191" s="136"/>
      <c r="AK191" s="11">
        <f>'Encargos e Benefícios'!D190</f>
        <v>6971.8487432299989</v>
      </c>
      <c r="AL191" s="11">
        <f>IF('Encargos e Benefícios'!C190=0,0,'Encargos e Benefícios'!U190/'Encargos e Benefícios'!C190)</f>
        <v>2313.8791328920006</v>
      </c>
      <c r="AM191" s="11">
        <f>IF('Encargos e Benefícios'!C190=0,0,'Encargos e Benefícios'!AC190/'Encargos e Benefícios'!C190)</f>
        <v>438.8</v>
      </c>
      <c r="AN191" s="119">
        <f>IF('Encargos e Benefícios'!C190=0,0,'Encargos e Benefícios'!AD190/'Encargos e Benefícios'!C190)</f>
        <v>9724.5278761219997</v>
      </c>
      <c r="AO191" s="32">
        <f t="shared" si="2"/>
        <v>6777.27</v>
      </c>
      <c r="AP191" s="31">
        <v>3515.09</v>
      </c>
      <c r="AQ191" s="31">
        <v>10039.450000000001</v>
      </c>
      <c r="AR191" s="210" t="s">
        <v>111</v>
      </c>
      <c r="AS191" s="32"/>
    </row>
    <row r="192" spans="1:45" ht="12.75" x14ac:dyDescent="0.2">
      <c r="A192" s="48">
        <v>186</v>
      </c>
      <c r="B192" s="12" t="str">
        <f>'Encargos e Benefícios'!B191</f>
        <v>Analista de Pedagogia</v>
      </c>
      <c r="C192" s="10">
        <f>'Encargos e Benefícios'!C191</f>
        <v>2</v>
      </c>
      <c r="D192" s="38" t="s">
        <v>616</v>
      </c>
      <c r="E192" s="174">
        <v>46023</v>
      </c>
      <c r="F192" s="173">
        <v>47118</v>
      </c>
      <c r="G192" s="172">
        <v>46023</v>
      </c>
      <c r="H192" s="370">
        <v>3.5000000000000003E-2</v>
      </c>
      <c r="I192" s="47"/>
      <c r="J192" s="47"/>
      <c r="K192" s="47"/>
      <c r="L192" s="47"/>
      <c r="M192" s="172">
        <v>46388</v>
      </c>
      <c r="N192" s="370">
        <v>0.04</v>
      </c>
      <c r="O192" s="47"/>
      <c r="P192" s="47"/>
      <c r="Q192" s="47"/>
      <c r="R192" s="47"/>
      <c r="S192" s="172">
        <v>46753</v>
      </c>
      <c r="T192" s="370">
        <v>0.04</v>
      </c>
      <c r="U192" s="47"/>
      <c r="V192" s="47"/>
      <c r="W192" s="47"/>
      <c r="X192" s="47"/>
      <c r="Y192" s="172"/>
      <c r="Z192" s="133"/>
      <c r="AA192" s="47"/>
      <c r="AB192" s="47"/>
      <c r="AC192" s="47"/>
      <c r="AD192" s="47"/>
      <c r="AE192" s="172"/>
      <c r="AF192" s="133"/>
      <c r="AG192" s="47"/>
      <c r="AH192" s="47"/>
      <c r="AI192" s="47"/>
      <c r="AJ192" s="136"/>
      <c r="AK192" s="11">
        <f>'Encargos e Benefícios'!D191</f>
        <v>3432.9771878639999</v>
      </c>
      <c r="AL192" s="11">
        <f>IF('Encargos e Benefícios'!C191=0,0,'Encargos e Benefícios'!U191/'Encargos e Benefícios'!C191)</f>
        <v>1139.3669844610856</v>
      </c>
      <c r="AM192" s="11">
        <f>IF('Encargos e Benefícios'!C191=0,0,'Encargos e Benefícios'!AC191/'Encargos e Benefícios'!C191)</f>
        <v>602.82136872816</v>
      </c>
      <c r="AN192" s="119">
        <f>IF('Encargos e Benefícios'!C191=0,0,'Encargos e Benefícios'!AD191/'Encargos e Benefícios'!C191)</f>
        <v>5175.1655410532458</v>
      </c>
      <c r="AO192" s="32">
        <f t="shared" si="2"/>
        <v>4280.8549999999996</v>
      </c>
      <c r="AP192" s="31">
        <v>3057.75</v>
      </c>
      <c r="AQ192" s="31">
        <v>5503.96</v>
      </c>
      <c r="AR192" s="210" t="s">
        <v>111</v>
      </c>
      <c r="AS192" s="32"/>
    </row>
    <row r="193" spans="1:45" ht="12.75" x14ac:dyDescent="0.2">
      <c r="A193" s="48">
        <v>187</v>
      </c>
      <c r="B193" s="12" t="str">
        <f>'Encargos e Benefícios'!B192</f>
        <v>Analista de Psicologia</v>
      </c>
      <c r="C193" s="10">
        <f>'Encargos e Benefícios'!C192</f>
        <v>2</v>
      </c>
      <c r="D193" s="38" t="s">
        <v>616</v>
      </c>
      <c r="E193" s="174">
        <v>46023</v>
      </c>
      <c r="F193" s="173">
        <v>47118</v>
      </c>
      <c r="G193" s="172">
        <v>46023</v>
      </c>
      <c r="H193" s="370">
        <v>3.5000000000000003E-2</v>
      </c>
      <c r="I193" s="47"/>
      <c r="J193" s="47"/>
      <c r="K193" s="47"/>
      <c r="L193" s="47"/>
      <c r="M193" s="172">
        <v>46388</v>
      </c>
      <c r="N193" s="370">
        <v>0.04</v>
      </c>
      <c r="O193" s="47"/>
      <c r="P193" s="47"/>
      <c r="Q193" s="47"/>
      <c r="R193" s="47"/>
      <c r="S193" s="172">
        <v>46753</v>
      </c>
      <c r="T193" s="370">
        <v>0.04</v>
      </c>
      <c r="U193" s="47"/>
      <c r="V193" s="47"/>
      <c r="W193" s="47"/>
      <c r="X193" s="47"/>
      <c r="Y193" s="172"/>
      <c r="Z193" s="133"/>
      <c r="AA193" s="47"/>
      <c r="AB193" s="47"/>
      <c r="AC193" s="47"/>
      <c r="AD193" s="47"/>
      <c r="AE193" s="172"/>
      <c r="AF193" s="133"/>
      <c r="AG193" s="47"/>
      <c r="AH193" s="47"/>
      <c r="AI193" s="47"/>
      <c r="AJ193" s="136"/>
      <c r="AK193" s="11">
        <f>'Encargos e Benefícios'!D192</f>
        <v>3432.9771878639999</v>
      </c>
      <c r="AL193" s="11">
        <f>IF('Encargos e Benefícios'!C192=0,0,'Encargos e Benefícios'!U192/'Encargos e Benefícios'!C192)</f>
        <v>1139.3669844610856</v>
      </c>
      <c r="AM193" s="11">
        <f>IF('Encargos e Benefícios'!C192=0,0,'Encargos e Benefícios'!AC192/'Encargos e Benefícios'!C192)</f>
        <v>602.82136872816</v>
      </c>
      <c r="AN193" s="119">
        <f>IF('Encargos e Benefícios'!C192=0,0,'Encargos e Benefícios'!AD192/'Encargos e Benefícios'!C192)</f>
        <v>5175.1655410532458</v>
      </c>
      <c r="AO193" s="32">
        <f t="shared" si="2"/>
        <v>4280.8549999999996</v>
      </c>
      <c r="AP193" s="31">
        <v>3057.75</v>
      </c>
      <c r="AQ193" s="31">
        <v>5503.96</v>
      </c>
      <c r="AR193" s="210" t="s">
        <v>111</v>
      </c>
      <c r="AS193" s="32"/>
    </row>
    <row r="194" spans="1:45" ht="12.75" x14ac:dyDescent="0.2">
      <c r="A194" s="48">
        <v>188</v>
      </c>
      <c r="B194" s="12" t="str">
        <f>'Encargos e Benefícios'!B193</f>
        <v>Analista de Terapia Ocupacional</v>
      </c>
      <c r="C194" s="10">
        <f>'Encargos e Benefícios'!C193</f>
        <v>1</v>
      </c>
      <c r="D194" s="38" t="s">
        <v>616</v>
      </c>
      <c r="E194" s="174">
        <v>46023</v>
      </c>
      <c r="F194" s="173">
        <v>47118</v>
      </c>
      <c r="G194" s="172">
        <v>46023</v>
      </c>
      <c r="H194" s="370">
        <v>3.5000000000000003E-2</v>
      </c>
      <c r="I194" s="47"/>
      <c r="J194" s="47"/>
      <c r="K194" s="47"/>
      <c r="L194" s="47"/>
      <c r="M194" s="172">
        <v>46388</v>
      </c>
      <c r="N194" s="370">
        <v>0.04</v>
      </c>
      <c r="O194" s="47"/>
      <c r="P194" s="47"/>
      <c r="Q194" s="47"/>
      <c r="R194" s="47"/>
      <c r="S194" s="172">
        <v>46753</v>
      </c>
      <c r="T194" s="370">
        <v>0.04</v>
      </c>
      <c r="U194" s="47"/>
      <c r="V194" s="47"/>
      <c r="W194" s="47"/>
      <c r="X194" s="47"/>
      <c r="Y194" s="172"/>
      <c r="Z194" s="133"/>
      <c r="AA194" s="47"/>
      <c r="AB194" s="47"/>
      <c r="AC194" s="47"/>
      <c r="AD194" s="47"/>
      <c r="AE194" s="172"/>
      <c r="AF194" s="133"/>
      <c r="AG194" s="47"/>
      <c r="AH194" s="47"/>
      <c r="AI194" s="47"/>
      <c r="AJ194" s="136"/>
      <c r="AK194" s="11">
        <f>'Encargos e Benefícios'!D193</f>
        <v>3432.9771878639999</v>
      </c>
      <c r="AL194" s="11">
        <f>IF('Encargos e Benefícios'!C193=0,0,'Encargos e Benefícios'!U193/'Encargos e Benefícios'!C193)</f>
        <v>1139.3669844610856</v>
      </c>
      <c r="AM194" s="11">
        <f>IF('Encargos e Benefícios'!C193=0,0,'Encargos e Benefícios'!AC193/'Encargos e Benefícios'!C193)</f>
        <v>602.82136872816</v>
      </c>
      <c r="AN194" s="119">
        <f>IF('Encargos e Benefícios'!C193=0,0,'Encargos e Benefícios'!AD193/'Encargos e Benefícios'!C193)</f>
        <v>5175.1655410532458</v>
      </c>
      <c r="AO194" s="32">
        <f t="shared" si="2"/>
        <v>4280.8549999999996</v>
      </c>
      <c r="AP194" s="31">
        <v>3057.75</v>
      </c>
      <c r="AQ194" s="31">
        <v>5503.96</v>
      </c>
      <c r="AR194" s="210" t="s">
        <v>111</v>
      </c>
      <c r="AS194" s="32"/>
    </row>
    <row r="195" spans="1:45" ht="12.75" x14ac:dyDescent="0.2">
      <c r="A195" s="48">
        <v>189</v>
      </c>
      <c r="B195" s="12" t="str">
        <f>'Encargos e Benefícios'!B194</f>
        <v>Analista de Assistencia Social</v>
      </c>
      <c r="C195" s="10">
        <f>'Encargos e Benefícios'!C194</f>
        <v>2</v>
      </c>
      <c r="D195" s="38" t="s">
        <v>616</v>
      </c>
      <c r="E195" s="174">
        <v>46023</v>
      </c>
      <c r="F195" s="173">
        <v>47118</v>
      </c>
      <c r="G195" s="172">
        <v>46023</v>
      </c>
      <c r="H195" s="370">
        <v>3.5000000000000003E-2</v>
      </c>
      <c r="I195" s="47"/>
      <c r="J195" s="47"/>
      <c r="K195" s="47"/>
      <c r="L195" s="47"/>
      <c r="M195" s="172">
        <v>46388</v>
      </c>
      <c r="N195" s="370">
        <v>0.04</v>
      </c>
      <c r="O195" s="47"/>
      <c r="P195" s="47"/>
      <c r="Q195" s="47"/>
      <c r="R195" s="47"/>
      <c r="S195" s="172">
        <v>46753</v>
      </c>
      <c r="T195" s="370">
        <v>0.04</v>
      </c>
      <c r="U195" s="47"/>
      <c r="V195" s="47"/>
      <c r="W195" s="47"/>
      <c r="X195" s="47"/>
      <c r="Y195" s="172"/>
      <c r="Z195" s="133"/>
      <c r="AA195" s="47"/>
      <c r="AB195" s="47"/>
      <c r="AC195" s="47"/>
      <c r="AD195" s="47"/>
      <c r="AE195" s="172"/>
      <c r="AF195" s="133"/>
      <c r="AG195" s="47"/>
      <c r="AH195" s="47"/>
      <c r="AI195" s="47"/>
      <c r="AJ195" s="136"/>
      <c r="AK195" s="11">
        <f>'Encargos e Benefícios'!D194</f>
        <v>3432.9771878639999</v>
      </c>
      <c r="AL195" s="11">
        <f>IF('Encargos e Benefícios'!C194=0,0,'Encargos e Benefícios'!U194/'Encargos e Benefícios'!C194)</f>
        <v>1139.3669844610856</v>
      </c>
      <c r="AM195" s="11">
        <f>IF('Encargos e Benefícios'!C194=0,0,'Encargos e Benefícios'!AC194/'Encargos e Benefícios'!C194)</f>
        <v>602.82136872816</v>
      </c>
      <c r="AN195" s="119">
        <f>IF('Encargos e Benefícios'!C194=0,0,'Encargos e Benefícios'!AD194/'Encargos e Benefícios'!C194)</f>
        <v>5175.1655410532458</v>
      </c>
      <c r="AO195" s="32">
        <f t="shared" si="2"/>
        <v>4280.8549999999996</v>
      </c>
      <c r="AP195" s="31">
        <v>3057.75</v>
      </c>
      <c r="AQ195" s="31">
        <v>5503.96</v>
      </c>
      <c r="AR195" s="210" t="s">
        <v>111</v>
      </c>
      <c r="AS195" s="32"/>
    </row>
    <row r="196" spans="1:45" ht="12.75" x14ac:dyDescent="0.2">
      <c r="A196" s="48">
        <v>190</v>
      </c>
      <c r="B196" s="12" t="str">
        <f>'Encargos e Benefícios'!B195</f>
        <v>Analista de Direito</v>
      </c>
      <c r="C196" s="10">
        <f>'Encargos e Benefícios'!C195</f>
        <v>2</v>
      </c>
      <c r="D196" s="38" t="s">
        <v>616</v>
      </c>
      <c r="E196" s="174">
        <v>46023</v>
      </c>
      <c r="F196" s="173">
        <v>47118</v>
      </c>
      <c r="G196" s="172">
        <v>46023</v>
      </c>
      <c r="H196" s="370">
        <v>3.5000000000000003E-2</v>
      </c>
      <c r="I196" s="47"/>
      <c r="J196" s="47"/>
      <c r="K196" s="47"/>
      <c r="L196" s="47"/>
      <c r="M196" s="172">
        <v>46388</v>
      </c>
      <c r="N196" s="370">
        <v>0.04</v>
      </c>
      <c r="O196" s="47"/>
      <c r="P196" s="47"/>
      <c r="Q196" s="47"/>
      <c r="R196" s="47"/>
      <c r="S196" s="172">
        <v>46753</v>
      </c>
      <c r="T196" s="370">
        <v>0.04</v>
      </c>
      <c r="U196" s="47"/>
      <c r="V196" s="47"/>
      <c r="W196" s="47"/>
      <c r="X196" s="47"/>
      <c r="Y196" s="172"/>
      <c r="Z196" s="133"/>
      <c r="AA196" s="47"/>
      <c r="AB196" s="47"/>
      <c r="AC196" s="47"/>
      <c r="AD196" s="47"/>
      <c r="AE196" s="172"/>
      <c r="AF196" s="133"/>
      <c r="AG196" s="47"/>
      <c r="AH196" s="47"/>
      <c r="AI196" s="47"/>
      <c r="AJ196" s="136"/>
      <c r="AK196" s="11">
        <f>'Encargos e Benefícios'!D195</f>
        <v>3432.9771878639999</v>
      </c>
      <c r="AL196" s="11">
        <f>IF('Encargos e Benefícios'!C195=0,0,'Encargos e Benefícios'!U195/'Encargos e Benefícios'!C195)</f>
        <v>1139.3669844610856</v>
      </c>
      <c r="AM196" s="11">
        <f>IF('Encargos e Benefícios'!C195=0,0,'Encargos e Benefícios'!AC195/'Encargos e Benefícios'!C195)</f>
        <v>602.82136872816</v>
      </c>
      <c r="AN196" s="119">
        <f>IF('Encargos e Benefícios'!C195=0,0,'Encargos e Benefícios'!AD195/'Encargos e Benefícios'!C195)</f>
        <v>5175.1655410532458</v>
      </c>
      <c r="AO196" s="32">
        <f t="shared" si="2"/>
        <v>4280.8549999999996</v>
      </c>
      <c r="AP196" s="31">
        <v>3057.75</v>
      </c>
      <c r="AQ196" s="31">
        <v>5503.96</v>
      </c>
      <c r="AR196" s="210" t="s">
        <v>111</v>
      </c>
      <c r="AS196" s="32"/>
    </row>
    <row r="197" spans="1:45" ht="12.75" x14ac:dyDescent="0.2">
      <c r="A197" s="48">
        <v>191</v>
      </c>
      <c r="B197" s="12" t="str">
        <f>'Encargos e Benefícios'!B196</f>
        <v>Analista de Educação Física</v>
      </c>
      <c r="C197" s="10">
        <f>'Encargos e Benefícios'!C196</f>
        <v>1</v>
      </c>
      <c r="D197" s="38" t="s">
        <v>616</v>
      </c>
      <c r="E197" s="174">
        <v>46023</v>
      </c>
      <c r="F197" s="173">
        <v>47118</v>
      </c>
      <c r="G197" s="172">
        <v>46023</v>
      </c>
      <c r="H197" s="370">
        <v>3.5000000000000003E-2</v>
      </c>
      <c r="I197" s="47"/>
      <c r="J197" s="47"/>
      <c r="K197" s="47"/>
      <c r="L197" s="47"/>
      <c r="M197" s="172">
        <v>46388</v>
      </c>
      <c r="N197" s="370">
        <v>0.04</v>
      </c>
      <c r="O197" s="47"/>
      <c r="P197" s="47"/>
      <c r="Q197" s="47"/>
      <c r="R197" s="47"/>
      <c r="S197" s="172">
        <v>46753</v>
      </c>
      <c r="T197" s="370">
        <v>0.04</v>
      </c>
      <c r="U197" s="47"/>
      <c r="V197" s="47"/>
      <c r="W197" s="47"/>
      <c r="X197" s="47"/>
      <c r="Y197" s="172"/>
      <c r="Z197" s="133"/>
      <c r="AA197" s="47"/>
      <c r="AB197" s="47"/>
      <c r="AC197" s="47"/>
      <c r="AD197" s="47"/>
      <c r="AE197" s="172"/>
      <c r="AF197" s="133"/>
      <c r="AG197" s="47"/>
      <c r="AH197" s="47"/>
      <c r="AI197" s="47"/>
      <c r="AJ197" s="136"/>
      <c r="AK197" s="11">
        <f>'Encargos e Benefícios'!D196</f>
        <v>3432.9771878639999</v>
      </c>
      <c r="AL197" s="11">
        <f>IF('Encargos e Benefícios'!C196=0,0,'Encargos e Benefícios'!U196/'Encargos e Benefícios'!C196)</f>
        <v>1139.3669844610856</v>
      </c>
      <c r="AM197" s="11">
        <f>IF('Encargos e Benefícios'!C196=0,0,'Encargos e Benefícios'!AC196/'Encargos e Benefícios'!C196)</f>
        <v>602.82136872816</v>
      </c>
      <c r="AN197" s="119">
        <f>IF('Encargos e Benefícios'!C196=0,0,'Encargos e Benefícios'!AD196/'Encargos e Benefícios'!C196)</f>
        <v>5175.1655410532458</v>
      </c>
      <c r="AO197" s="32">
        <f t="shared" si="2"/>
        <v>4280.8549999999996</v>
      </c>
      <c r="AP197" s="31">
        <v>3057.75</v>
      </c>
      <c r="AQ197" s="31">
        <v>5503.96</v>
      </c>
      <c r="AR197" s="210" t="s">
        <v>111</v>
      </c>
      <c r="AS197" s="32"/>
    </row>
    <row r="198" spans="1:45" ht="12.75" x14ac:dyDescent="0.2">
      <c r="A198" s="48">
        <v>192</v>
      </c>
      <c r="B198" s="12" t="str">
        <f>'Encargos e Benefícios'!B197</f>
        <v>Auxiliar Educacional</v>
      </c>
      <c r="C198" s="10">
        <f>'Encargos e Benefícios'!C197</f>
        <v>6</v>
      </c>
      <c r="D198" s="38" t="s">
        <v>615</v>
      </c>
      <c r="E198" s="174">
        <v>46023</v>
      </c>
      <c r="F198" s="173">
        <v>47118</v>
      </c>
      <c r="G198" s="172">
        <v>46023</v>
      </c>
      <c r="H198" s="370">
        <v>3.5000000000000003E-2</v>
      </c>
      <c r="I198" s="47"/>
      <c r="J198" s="47"/>
      <c r="K198" s="47"/>
      <c r="L198" s="47"/>
      <c r="M198" s="172">
        <v>46388</v>
      </c>
      <c r="N198" s="370">
        <v>0.04</v>
      </c>
      <c r="O198" s="47"/>
      <c r="P198" s="47"/>
      <c r="Q198" s="47"/>
      <c r="R198" s="47"/>
      <c r="S198" s="172">
        <v>46753</v>
      </c>
      <c r="T198" s="370">
        <v>0.04</v>
      </c>
      <c r="U198" s="47"/>
      <c r="V198" s="47"/>
      <c r="W198" s="47"/>
      <c r="X198" s="47"/>
      <c r="Y198" s="172"/>
      <c r="Z198" s="133"/>
      <c r="AA198" s="47"/>
      <c r="AB198" s="47"/>
      <c r="AC198" s="47"/>
      <c r="AD198" s="47"/>
      <c r="AE198" s="172"/>
      <c r="AF198" s="133"/>
      <c r="AG198" s="47"/>
      <c r="AH198" s="47"/>
      <c r="AI198" s="47"/>
      <c r="AJ198" s="136"/>
      <c r="AK198" s="11">
        <f>'Encargos e Benefícios'!D197</f>
        <v>1954.7239466999999</v>
      </c>
      <c r="AL198" s="11">
        <f>IF('Encargos e Benefícios'!C197=0,0,'Encargos e Benefícios'!U197/'Encargos e Benefícios'!C197)</f>
        <v>1429.7936903911966</v>
      </c>
      <c r="AM198" s="11">
        <f>IF('Encargos e Benefícios'!C197=0,0,'Encargos e Benefícios'!AC197/'Encargos e Benefícios'!C197)</f>
        <v>691.51656319799997</v>
      </c>
      <c r="AN198" s="119">
        <f>IF('Encargos e Benefícios'!C197=0,0,'Encargos e Benefícios'!AD197/'Encargos e Benefícios'!C197)</f>
        <v>4076.0342002891962</v>
      </c>
      <c r="AO198" s="32">
        <f t="shared" si="2"/>
        <v>3332.11</v>
      </c>
      <c r="AP198" s="31">
        <v>2380.08</v>
      </c>
      <c r="AQ198" s="31">
        <v>4284.1400000000003</v>
      </c>
      <c r="AR198" s="210" t="s">
        <v>111</v>
      </c>
      <c r="AS198" s="32"/>
    </row>
    <row r="199" spans="1:45" ht="12.75" x14ac:dyDescent="0.2">
      <c r="A199" s="48">
        <v>193</v>
      </c>
      <c r="B199" s="12" t="str">
        <f>'Encargos e Benefícios'!B198</f>
        <v>Auxiliar Administrativo</v>
      </c>
      <c r="C199" s="10">
        <f>'Encargos e Benefícios'!C198</f>
        <v>2</v>
      </c>
      <c r="D199" s="38" t="s">
        <v>615</v>
      </c>
      <c r="E199" s="174">
        <v>46023</v>
      </c>
      <c r="F199" s="173">
        <v>47118</v>
      </c>
      <c r="G199" s="172">
        <v>46023</v>
      </c>
      <c r="H199" s="370">
        <v>3.5000000000000003E-2</v>
      </c>
      <c r="I199" s="47"/>
      <c r="J199" s="47"/>
      <c r="K199" s="47"/>
      <c r="L199" s="47"/>
      <c r="M199" s="172">
        <v>46388</v>
      </c>
      <c r="N199" s="370">
        <v>0.04</v>
      </c>
      <c r="O199" s="47"/>
      <c r="P199" s="47"/>
      <c r="Q199" s="47"/>
      <c r="R199" s="47"/>
      <c r="S199" s="172">
        <v>46753</v>
      </c>
      <c r="T199" s="370">
        <v>0.04</v>
      </c>
      <c r="U199" s="47"/>
      <c r="V199" s="47"/>
      <c r="W199" s="47"/>
      <c r="X199" s="47"/>
      <c r="Y199" s="172"/>
      <c r="Z199" s="133"/>
      <c r="AA199" s="47"/>
      <c r="AB199" s="47"/>
      <c r="AC199" s="47"/>
      <c r="AD199" s="47"/>
      <c r="AE199" s="172"/>
      <c r="AF199" s="133"/>
      <c r="AG199" s="47"/>
      <c r="AH199" s="47"/>
      <c r="AI199" s="47"/>
      <c r="AJ199" s="136"/>
      <c r="AK199" s="11">
        <f>'Encargos e Benefícios'!D198</f>
        <v>1954.7239466999999</v>
      </c>
      <c r="AL199" s="11">
        <f>IF('Encargos e Benefícios'!C198=0,0,'Encargos e Benefícios'!U198/'Encargos e Benefícios'!C198)</f>
        <v>648.75115875476661</v>
      </c>
      <c r="AM199" s="11">
        <f>IF('Encargos e Benefícios'!C198=0,0,'Encargos e Benefícios'!AC198/'Encargos e Benefícios'!C198)</f>
        <v>691.51656319799997</v>
      </c>
      <c r="AN199" s="119">
        <f>IF('Encargos e Benefícios'!C198=0,0,'Encargos e Benefícios'!AD198/'Encargos e Benefícios'!C198)</f>
        <v>3294.9916686527663</v>
      </c>
      <c r="AO199" s="32">
        <f t="shared" si="2"/>
        <v>3332.11</v>
      </c>
      <c r="AP199" s="31">
        <v>2380.08</v>
      </c>
      <c r="AQ199" s="31">
        <v>4284.1400000000003</v>
      </c>
      <c r="AR199" s="210" t="s">
        <v>111</v>
      </c>
      <c r="AS199" s="32"/>
    </row>
    <row r="200" spans="1:45" ht="12.75" x14ac:dyDescent="0.2">
      <c r="A200" s="48">
        <v>194</v>
      </c>
      <c r="B200" s="12" t="str">
        <f>'Encargos e Benefícios'!B199</f>
        <v>Auxiliar de Serviços Gerais</v>
      </c>
      <c r="C200" s="10">
        <f>'Encargos e Benefícios'!C199</f>
        <v>2</v>
      </c>
      <c r="D200" s="38" t="s">
        <v>615</v>
      </c>
      <c r="E200" s="174">
        <v>46023</v>
      </c>
      <c r="F200" s="173">
        <v>47118</v>
      </c>
      <c r="G200" s="172">
        <v>46023</v>
      </c>
      <c r="H200" s="370">
        <v>3.5000000000000003E-2</v>
      </c>
      <c r="I200" s="47"/>
      <c r="J200" s="47"/>
      <c r="K200" s="47"/>
      <c r="L200" s="47"/>
      <c r="M200" s="172">
        <v>46388</v>
      </c>
      <c r="N200" s="370">
        <v>0.04</v>
      </c>
      <c r="O200" s="47"/>
      <c r="P200" s="47"/>
      <c r="Q200" s="47"/>
      <c r="R200" s="47"/>
      <c r="S200" s="172">
        <v>46753</v>
      </c>
      <c r="T200" s="370">
        <v>0.04</v>
      </c>
      <c r="U200" s="47"/>
      <c r="V200" s="47"/>
      <c r="W200" s="47"/>
      <c r="X200" s="47"/>
      <c r="Y200" s="172"/>
      <c r="Z200" s="133"/>
      <c r="AA200" s="47"/>
      <c r="AB200" s="47"/>
      <c r="AC200" s="47"/>
      <c r="AD200" s="47"/>
      <c r="AE200" s="172"/>
      <c r="AF200" s="133"/>
      <c r="AG200" s="47"/>
      <c r="AH200" s="47"/>
      <c r="AI200" s="47"/>
      <c r="AJ200" s="136"/>
      <c r="AK200" s="11">
        <f>'Encargos e Benefícios'!D199</f>
        <v>1604</v>
      </c>
      <c r="AL200" s="11">
        <f>IF('Encargos e Benefícios'!C199=0,0,'Encargos e Benefícios'!U199/'Encargos e Benefícios'!C199)</f>
        <v>532.34977777777783</v>
      </c>
      <c r="AM200" s="11">
        <f>IF('Encargos e Benefícios'!C199=0,0,'Encargos e Benefícios'!AC199/'Encargos e Benefícios'!C199)</f>
        <v>712.56</v>
      </c>
      <c r="AN200" s="119">
        <f>IF('Encargos e Benefícios'!C199=0,0,'Encargos e Benefícios'!AD199/'Encargos e Benefícios'!C199)</f>
        <v>2848.9097777777779</v>
      </c>
      <c r="AO200" s="32">
        <f t="shared" ref="AO200:AO234" si="3">(AQ200+AP200)/2</f>
        <v>2286.52</v>
      </c>
      <c r="AP200" s="31">
        <v>1633.23</v>
      </c>
      <c r="AQ200" s="31">
        <v>2939.81</v>
      </c>
      <c r="AR200" s="210" t="s">
        <v>111</v>
      </c>
      <c r="AS200" s="32"/>
    </row>
    <row r="201" spans="1:45" ht="12.75" x14ac:dyDescent="0.2">
      <c r="A201" s="48">
        <v>195</v>
      </c>
      <c r="B201" s="12" t="str">
        <f>'Encargos e Benefícios'!B200</f>
        <v>Motorista</v>
      </c>
      <c r="C201" s="10">
        <f>'Encargos e Benefícios'!C200</f>
        <v>2</v>
      </c>
      <c r="D201" s="38" t="s">
        <v>615</v>
      </c>
      <c r="E201" s="174">
        <v>46023</v>
      </c>
      <c r="F201" s="173">
        <v>47118</v>
      </c>
      <c r="G201" s="172">
        <v>46023</v>
      </c>
      <c r="H201" s="370">
        <v>3.5000000000000003E-2</v>
      </c>
      <c r="I201" s="47"/>
      <c r="J201" s="47"/>
      <c r="K201" s="47"/>
      <c r="L201" s="47"/>
      <c r="M201" s="172">
        <v>46388</v>
      </c>
      <c r="N201" s="370">
        <v>0.04</v>
      </c>
      <c r="O201" s="47"/>
      <c r="P201" s="47"/>
      <c r="Q201" s="47"/>
      <c r="R201" s="47"/>
      <c r="S201" s="172">
        <v>46753</v>
      </c>
      <c r="T201" s="370">
        <v>0.04</v>
      </c>
      <c r="U201" s="47"/>
      <c r="V201" s="47"/>
      <c r="W201" s="47"/>
      <c r="X201" s="47"/>
      <c r="Y201" s="172"/>
      <c r="Z201" s="133"/>
      <c r="AA201" s="47"/>
      <c r="AB201" s="47"/>
      <c r="AC201" s="47"/>
      <c r="AD201" s="47"/>
      <c r="AE201" s="172"/>
      <c r="AF201" s="133"/>
      <c r="AG201" s="47"/>
      <c r="AH201" s="47"/>
      <c r="AI201" s="47"/>
      <c r="AJ201" s="136"/>
      <c r="AK201" s="11">
        <f>'Encargos e Benefícios'!D200</f>
        <v>2216.5886211419997</v>
      </c>
      <c r="AL201" s="11">
        <f>IF('Encargos e Benefícios'!C200=0,0,'Encargos e Benefícios'!U200/'Encargos e Benefícios'!C200)</f>
        <v>735.66113459457256</v>
      </c>
      <c r="AM201" s="11">
        <f>IF('Encargos e Benefícios'!C200=0,0,'Encargos e Benefícios'!AC200/'Encargos e Benefícios'!C200)</f>
        <v>675.80468273147994</v>
      </c>
      <c r="AN201" s="119">
        <f>IF('Encargos e Benefícios'!C200=0,0,'Encargos e Benefícios'!AD200/'Encargos e Benefícios'!C200)</f>
        <v>3628.0544384680525</v>
      </c>
      <c r="AO201" s="32">
        <f t="shared" si="3"/>
        <v>2638.67</v>
      </c>
      <c r="AP201" s="31">
        <v>1884.76</v>
      </c>
      <c r="AQ201" s="31">
        <v>3392.58</v>
      </c>
      <c r="AR201" s="210" t="s">
        <v>111</v>
      </c>
      <c r="AS201" s="32"/>
    </row>
    <row r="202" spans="1:45" ht="12.75" hidden="1" x14ac:dyDescent="0.2">
      <c r="A202" s="48">
        <v>196</v>
      </c>
      <c r="B202" s="12">
        <f>'Encargos e Benefícios'!B201</f>
        <v>0</v>
      </c>
      <c r="C202" s="10">
        <f>'Encargos e Benefícios'!C201</f>
        <v>0</v>
      </c>
      <c r="D202" s="38" t="s">
        <v>615</v>
      </c>
      <c r="E202" s="174">
        <v>46023</v>
      </c>
      <c r="F202" s="173">
        <v>47118</v>
      </c>
      <c r="G202" s="172">
        <v>46023</v>
      </c>
      <c r="H202" s="370">
        <v>3.5000000000000003E-2</v>
      </c>
      <c r="I202" s="47"/>
      <c r="J202" s="47"/>
      <c r="K202" s="47"/>
      <c r="L202" s="47"/>
      <c r="M202" s="172">
        <v>46388</v>
      </c>
      <c r="N202" s="370">
        <v>0.04</v>
      </c>
      <c r="O202" s="47"/>
      <c r="P202" s="47"/>
      <c r="Q202" s="47"/>
      <c r="R202" s="47"/>
      <c r="S202" s="172">
        <v>46753</v>
      </c>
      <c r="T202" s="370">
        <v>0.04</v>
      </c>
      <c r="U202" s="47"/>
      <c r="V202" s="47"/>
      <c r="W202" s="47"/>
      <c r="X202" s="47"/>
      <c r="Y202" s="172"/>
      <c r="Z202" s="133"/>
      <c r="AA202" s="47"/>
      <c r="AB202" s="47"/>
      <c r="AC202" s="47"/>
      <c r="AD202" s="47"/>
      <c r="AE202" s="172"/>
      <c r="AF202" s="133"/>
      <c r="AG202" s="47"/>
      <c r="AH202" s="47"/>
      <c r="AI202" s="47"/>
      <c r="AJ202" s="136"/>
      <c r="AK202" s="11">
        <f>'Encargos e Benefícios'!D201</f>
        <v>0</v>
      </c>
      <c r="AL202" s="11">
        <f>IF('Encargos e Benefícios'!C201=0,0,'Encargos e Benefícios'!U201/'Encargos e Benefícios'!C201)</f>
        <v>0</v>
      </c>
      <c r="AM202" s="11">
        <f>IF('Encargos e Benefícios'!C201=0,0,'Encargos e Benefícios'!AC201/'Encargos e Benefícios'!C201)</f>
        <v>0</v>
      </c>
      <c r="AN202" s="119">
        <f>IF('Encargos e Benefícios'!C201=0,0,'Encargos e Benefícios'!AD201/'Encargos e Benefícios'!C201)</f>
        <v>0</v>
      </c>
      <c r="AO202" s="32">
        <f t="shared" si="3"/>
        <v>0</v>
      </c>
      <c r="AP202" s="31"/>
      <c r="AQ202" s="31"/>
      <c r="AR202" s="210" t="s">
        <v>111</v>
      </c>
      <c r="AS202" s="32"/>
    </row>
    <row r="203" spans="1:45" ht="12.75" x14ac:dyDescent="0.2">
      <c r="A203" s="48">
        <v>197</v>
      </c>
      <c r="B203" s="12" t="str">
        <f>'Encargos e Benefícios'!B202</f>
        <v>Socioeducador</v>
      </c>
      <c r="C203" s="10">
        <f>'Encargos e Benefícios'!C202</f>
        <v>32</v>
      </c>
      <c r="D203" s="38" t="s">
        <v>615</v>
      </c>
      <c r="E203" s="174">
        <v>46023</v>
      </c>
      <c r="F203" s="173">
        <v>47118</v>
      </c>
      <c r="G203" s="172">
        <v>46023</v>
      </c>
      <c r="H203" s="370">
        <v>3.5000000000000003E-2</v>
      </c>
      <c r="I203" s="47"/>
      <c r="J203" s="47"/>
      <c r="K203" s="47"/>
      <c r="L203" s="47"/>
      <c r="M203" s="172">
        <v>46388</v>
      </c>
      <c r="N203" s="370">
        <v>0.04</v>
      </c>
      <c r="O203" s="47"/>
      <c r="P203" s="47"/>
      <c r="Q203" s="47"/>
      <c r="R203" s="47"/>
      <c r="S203" s="172">
        <v>46753</v>
      </c>
      <c r="T203" s="370">
        <v>0.04</v>
      </c>
      <c r="U203" s="47"/>
      <c r="V203" s="47"/>
      <c r="W203" s="47"/>
      <c r="X203" s="47"/>
      <c r="Y203" s="172"/>
      <c r="Z203" s="133"/>
      <c r="AA203" s="47"/>
      <c r="AB203" s="47"/>
      <c r="AC203" s="47"/>
      <c r="AD203" s="47"/>
      <c r="AE203" s="172"/>
      <c r="AF203" s="133"/>
      <c r="AG203" s="47"/>
      <c r="AH203" s="47"/>
      <c r="AI203" s="47"/>
      <c r="AJ203" s="136"/>
      <c r="AK203" s="11">
        <f>'Encargos e Benefícios'!D202</f>
        <v>2475.9907000000003</v>
      </c>
      <c r="AL203" s="11">
        <f>IF('Encargos e Benefícios'!C202=0,0,'Encargos e Benefícios'!U202/'Encargos e Benefícios'!C202)</f>
        <v>2535.3442893414071</v>
      </c>
      <c r="AM203" s="11">
        <f>IF('Encargos e Benefícios'!C202=0,0,'Encargos e Benefícios'!AC202/'Encargos e Benefícios'!C202)</f>
        <v>660.24055799999996</v>
      </c>
      <c r="AN203" s="119">
        <f>IF('Encargos e Benefícios'!C202=0,0,'Encargos e Benefícios'!AD202/'Encargos e Benefícios'!C202)</f>
        <v>5671.5755473414065</v>
      </c>
      <c r="AO203" s="32">
        <f t="shared" si="3"/>
        <v>2621.0150000000003</v>
      </c>
      <c r="AP203" s="31">
        <v>1906.88</v>
      </c>
      <c r="AQ203" s="31">
        <v>3335.15</v>
      </c>
      <c r="AR203" s="210" t="s">
        <v>111</v>
      </c>
      <c r="AS203" s="32"/>
    </row>
    <row r="204" spans="1:45" ht="22.5" x14ac:dyDescent="0.2">
      <c r="A204" s="48">
        <v>198</v>
      </c>
      <c r="B204" s="12" t="str">
        <f>'Encargos e Benefícios'!B203</f>
        <v>Socioeducador</v>
      </c>
      <c r="C204" s="10">
        <f>'Encargos e Benefícios'!C203</f>
        <v>18</v>
      </c>
      <c r="D204" s="38" t="s">
        <v>617</v>
      </c>
      <c r="E204" s="174">
        <v>46023</v>
      </c>
      <c r="F204" s="173">
        <v>47118</v>
      </c>
      <c r="G204" s="172">
        <v>46023</v>
      </c>
      <c r="H204" s="370">
        <v>3.5000000000000003E-2</v>
      </c>
      <c r="I204" s="47"/>
      <c r="J204" s="47"/>
      <c r="K204" s="47"/>
      <c r="L204" s="47"/>
      <c r="M204" s="172">
        <v>46388</v>
      </c>
      <c r="N204" s="370">
        <v>0.04</v>
      </c>
      <c r="O204" s="47"/>
      <c r="P204" s="47"/>
      <c r="Q204" s="47"/>
      <c r="R204" s="47"/>
      <c r="S204" s="172">
        <v>46753</v>
      </c>
      <c r="T204" s="370">
        <v>0.04</v>
      </c>
      <c r="U204" s="47"/>
      <c r="V204" s="47"/>
      <c r="W204" s="47"/>
      <c r="X204" s="47"/>
      <c r="Y204" s="172"/>
      <c r="Z204" s="133"/>
      <c r="AA204" s="47"/>
      <c r="AB204" s="47"/>
      <c r="AC204" s="47"/>
      <c r="AD204" s="47"/>
      <c r="AE204" s="172"/>
      <c r="AF204" s="133"/>
      <c r="AG204" s="47"/>
      <c r="AH204" s="47"/>
      <c r="AI204" s="47"/>
      <c r="AJ204" s="136"/>
      <c r="AK204" s="11">
        <f>'Encargos e Benefícios'!D203</f>
        <v>2475.9907000000003</v>
      </c>
      <c r="AL204" s="11">
        <f>IF('Encargos e Benefícios'!C203=0,0,'Encargos e Benefícios'!U203/'Encargos e Benefícios'!C203)</f>
        <v>2977.147617241837</v>
      </c>
      <c r="AM204" s="11">
        <f>IF('Encargos e Benefícios'!C203=0,0,'Encargos e Benefícios'!AC203/'Encargos e Benefícios'!C203)</f>
        <v>660.24055799999996</v>
      </c>
      <c r="AN204" s="119">
        <f>IF('Encargos e Benefícios'!C203=0,0,'Encargos e Benefícios'!AD203/'Encargos e Benefícios'!C203)</f>
        <v>6113.3788752418377</v>
      </c>
      <c r="AO204" s="32">
        <f t="shared" si="3"/>
        <v>2621.0150000000003</v>
      </c>
      <c r="AP204" s="31">
        <v>1906.88</v>
      </c>
      <c r="AQ204" s="31">
        <v>3335.15</v>
      </c>
      <c r="AR204" s="210" t="s">
        <v>111</v>
      </c>
      <c r="AS204" s="32"/>
    </row>
    <row r="205" spans="1:45" ht="22.5" x14ac:dyDescent="0.2">
      <c r="A205" s="48">
        <v>199</v>
      </c>
      <c r="B205" s="12" t="str">
        <f>'Encargos e Benefícios'!B204</f>
        <v>Supervisor</v>
      </c>
      <c r="C205" s="10">
        <f>'Encargos e Benefícios'!C204</f>
        <v>1</v>
      </c>
      <c r="D205" s="38" t="s">
        <v>617</v>
      </c>
      <c r="E205" s="174">
        <v>46023</v>
      </c>
      <c r="F205" s="173">
        <v>47118</v>
      </c>
      <c r="G205" s="172">
        <v>46023</v>
      </c>
      <c r="H205" s="370">
        <v>3.5000000000000003E-2</v>
      </c>
      <c r="I205" s="47"/>
      <c r="J205" s="47"/>
      <c r="K205" s="47"/>
      <c r="L205" s="47"/>
      <c r="M205" s="172">
        <v>46388</v>
      </c>
      <c r="N205" s="370">
        <v>0.04</v>
      </c>
      <c r="O205" s="47"/>
      <c r="P205" s="47"/>
      <c r="Q205" s="47"/>
      <c r="R205" s="47"/>
      <c r="S205" s="172">
        <v>46753</v>
      </c>
      <c r="T205" s="370">
        <v>0.04</v>
      </c>
      <c r="U205" s="47"/>
      <c r="V205" s="47"/>
      <c r="W205" s="47"/>
      <c r="X205" s="47"/>
      <c r="Y205" s="172"/>
      <c r="Z205" s="133"/>
      <c r="AA205" s="47"/>
      <c r="AB205" s="47"/>
      <c r="AC205" s="47"/>
      <c r="AD205" s="47"/>
      <c r="AE205" s="172"/>
      <c r="AF205" s="133"/>
      <c r="AG205" s="47"/>
      <c r="AH205" s="47"/>
      <c r="AI205" s="47"/>
      <c r="AJ205" s="136"/>
      <c r="AK205" s="11">
        <f>'Encargos e Benefícios'!D204</f>
        <v>4195.9728999999998</v>
      </c>
      <c r="AL205" s="11">
        <f>IF('Encargos e Benefícios'!C204=0,0,'Encargos e Benefícios'!U204/'Encargos e Benefícios'!C204)</f>
        <v>1392.5967835888887</v>
      </c>
      <c r="AM205" s="11">
        <f>IF('Encargos e Benefícios'!C204=0,0,'Encargos e Benefícios'!AC204/'Encargos e Benefícios'!C204)</f>
        <v>557.04162599999995</v>
      </c>
      <c r="AN205" s="119">
        <f>IF('Encargos e Benefícios'!C204=0,0,'Encargos e Benefícios'!AD204/'Encargos e Benefícios'!C204)</f>
        <v>6145.6113095888886</v>
      </c>
      <c r="AO205" s="32">
        <f t="shared" si="3"/>
        <v>4917.4850000000006</v>
      </c>
      <c r="AP205" s="31">
        <v>2550.5</v>
      </c>
      <c r="AQ205" s="31">
        <v>7284.47</v>
      </c>
      <c r="AR205" s="210" t="s">
        <v>111</v>
      </c>
      <c r="AS205" s="32"/>
    </row>
    <row r="206" spans="1:45" ht="22.5" x14ac:dyDescent="0.2">
      <c r="A206" s="48">
        <v>200</v>
      </c>
      <c r="B206" s="12" t="str">
        <f>'Encargos e Benefícios'!B205</f>
        <v>Enfermeiro</v>
      </c>
      <c r="C206" s="10">
        <f>'Encargos e Benefícios'!C205</f>
        <v>1</v>
      </c>
      <c r="D206" s="38" t="s">
        <v>617</v>
      </c>
      <c r="E206" s="174">
        <v>46023</v>
      </c>
      <c r="F206" s="173">
        <v>47118</v>
      </c>
      <c r="G206" s="172">
        <v>46023</v>
      </c>
      <c r="H206" s="370">
        <v>3.5000000000000003E-2</v>
      </c>
      <c r="I206" s="47"/>
      <c r="J206" s="47"/>
      <c r="K206" s="47"/>
      <c r="L206" s="47"/>
      <c r="M206" s="172">
        <v>46388</v>
      </c>
      <c r="N206" s="370">
        <v>0.04</v>
      </c>
      <c r="O206" s="47"/>
      <c r="P206" s="47"/>
      <c r="Q206" s="47"/>
      <c r="R206" s="47"/>
      <c r="S206" s="172">
        <v>46753</v>
      </c>
      <c r="T206" s="370">
        <v>0.04</v>
      </c>
      <c r="U206" s="47"/>
      <c r="V206" s="47"/>
      <c r="W206" s="47"/>
      <c r="X206" s="47"/>
      <c r="Y206" s="172"/>
      <c r="Z206" s="133"/>
      <c r="AA206" s="47"/>
      <c r="AB206" s="47"/>
      <c r="AC206" s="47"/>
      <c r="AD206" s="47"/>
      <c r="AE206" s="172"/>
      <c r="AF206" s="133"/>
      <c r="AG206" s="47"/>
      <c r="AH206" s="47"/>
      <c r="AI206" s="47"/>
      <c r="AJ206" s="136"/>
      <c r="AK206" s="11">
        <f>'Encargos e Benefícios'!D205</f>
        <v>5372.2025000000003</v>
      </c>
      <c r="AL206" s="11">
        <f>IF('Encargos e Benefícios'!C205=0,0,'Encargos e Benefícios'!U205/'Encargos e Benefícios'!C205)</f>
        <v>3242.6303896077779</v>
      </c>
      <c r="AM206" s="11">
        <f>IF('Encargos e Benefícios'!C205=0,0,'Encargos e Benefícios'!AC205/'Encargos e Benefícios'!C205)</f>
        <v>486.46785</v>
      </c>
      <c r="AN206" s="119">
        <f>IF('Encargos e Benefícios'!C205=0,0,'Encargos e Benefícios'!AD205/'Encargos e Benefícios'!C205)</f>
        <v>9101.3007396077774</v>
      </c>
      <c r="AO206" s="32">
        <f t="shared" si="3"/>
        <v>4535.9449999999997</v>
      </c>
      <c r="AP206" s="31">
        <v>3300.06</v>
      </c>
      <c r="AQ206" s="31">
        <v>5771.83</v>
      </c>
      <c r="AR206" s="210" t="s">
        <v>111</v>
      </c>
      <c r="AS206" s="32"/>
    </row>
    <row r="207" spans="1:45" ht="22.5" x14ac:dyDescent="0.2">
      <c r="A207" s="48">
        <v>201</v>
      </c>
      <c r="B207" s="12" t="str">
        <f>'Encargos e Benefícios'!B206</f>
        <v>Técnico de Enfermagem</v>
      </c>
      <c r="C207" s="10">
        <f>'Encargos e Benefícios'!C206</f>
        <v>1</v>
      </c>
      <c r="D207" s="38" t="s">
        <v>617</v>
      </c>
      <c r="E207" s="174">
        <v>46023</v>
      </c>
      <c r="F207" s="173">
        <v>47118</v>
      </c>
      <c r="G207" s="172">
        <v>46023</v>
      </c>
      <c r="H207" s="370">
        <v>3.5000000000000003E-2</v>
      </c>
      <c r="I207" s="47"/>
      <c r="J207" s="47"/>
      <c r="K207" s="47"/>
      <c r="L207" s="47"/>
      <c r="M207" s="172">
        <v>46388</v>
      </c>
      <c r="N207" s="370">
        <v>0.04</v>
      </c>
      <c r="O207" s="47"/>
      <c r="P207" s="47"/>
      <c r="Q207" s="47"/>
      <c r="R207" s="47"/>
      <c r="S207" s="172">
        <v>46753</v>
      </c>
      <c r="T207" s="370">
        <v>0.04</v>
      </c>
      <c r="U207" s="47"/>
      <c r="V207" s="47"/>
      <c r="W207" s="47"/>
      <c r="X207" s="47"/>
      <c r="Y207" s="172"/>
      <c r="Z207" s="133"/>
      <c r="AA207" s="47"/>
      <c r="AB207" s="47"/>
      <c r="AC207" s="47"/>
      <c r="AD207" s="47"/>
      <c r="AE207" s="172"/>
      <c r="AF207" s="133"/>
      <c r="AG207" s="47"/>
      <c r="AH207" s="47"/>
      <c r="AI207" s="47"/>
      <c r="AJ207" s="136"/>
      <c r="AK207" s="11">
        <f>'Encargos e Benefícios'!D206</f>
        <v>3760.5471000000002</v>
      </c>
      <c r="AL207" s="11">
        <f>IF('Encargos e Benefícios'!C206=0,0,'Encargos e Benefícios'!U206/'Encargos e Benefícios'!C206)</f>
        <v>2269.8445019545338</v>
      </c>
      <c r="AM207" s="11">
        <f>IF('Encargos e Benefícios'!C206=0,0,'Encargos e Benefícios'!AC206/'Encargos e Benefícios'!C206)</f>
        <v>583.16717399999993</v>
      </c>
      <c r="AN207" s="119">
        <f>IF('Encargos e Benefícios'!C206=0,0,'Encargos e Benefícios'!AD206/'Encargos e Benefícios'!C206)</f>
        <v>6613.5587759545342</v>
      </c>
      <c r="AO207" s="32">
        <f t="shared" si="3"/>
        <v>2955.75</v>
      </c>
      <c r="AP207" s="31">
        <v>2150.41</v>
      </c>
      <c r="AQ207" s="31">
        <v>3761.09</v>
      </c>
      <c r="AR207" s="210" t="s">
        <v>111</v>
      </c>
      <c r="AS207" s="32"/>
    </row>
    <row r="208" spans="1:45" ht="22.5" x14ac:dyDescent="0.2">
      <c r="A208" s="48">
        <v>202</v>
      </c>
      <c r="B208" s="12" t="str">
        <f>'Encargos e Benefícios'!B207</f>
        <v>Porteiro</v>
      </c>
      <c r="C208" s="10">
        <f>'Encargos e Benefícios'!C207</f>
        <v>4</v>
      </c>
      <c r="D208" s="38" t="s">
        <v>617</v>
      </c>
      <c r="E208" s="174">
        <v>46023</v>
      </c>
      <c r="F208" s="173">
        <v>47118</v>
      </c>
      <c r="G208" s="172">
        <v>46023</v>
      </c>
      <c r="H208" s="370">
        <v>3.5000000000000003E-2</v>
      </c>
      <c r="I208" s="47"/>
      <c r="J208" s="47"/>
      <c r="K208" s="47"/>
      <c r="L208" s="47"/>
      <c r="M208" s="172">
        <v>46388</v>
      </c>
      <c r="N208" s="370">
        <v>0.04</v>
      </c>
      <c r="O208" s="47"/>
      <c r="P208" s="47"/>
      <c r="Q208" s="47"/>
      <c r="R208" s="47"/>
      <c r="S208" s="172">
        <v>46753</v>
      </c>
      <c r="T208" s="370">
        <v>0.04</v>
      </c>
      <c r="U208" s="47"/>
      <c r="V208" s="47"/>
      <c r="W208" s="47"/>
      <c r="X208" s="47"/>
      <c r="Y208" s="172"/>
      <c r="Z208" s="133"/>
      <c r="AA208" s="47"/>
      <c r="AB208" s="47"/>
      <c r="AC208" s="47"/>
      <c r="AD208" s="47"/>
      <c r="AE208" s="172"/>
      <c r="AF208" s="133"/>
      <c r="AG208" s="47"/>
      <c r="AH208" s="47"/>
      <c r="AI208" s="47"/>
      <c r="AJ208" s="136"/>
      <c r="AK208" s="11">
        <f>'Encargos e Benefícios'!D207</f>
        <v>1759.2515520300001</v>
      </c>
      <c r="AL208" s="11">
        <f>IF('Encargos e Benefícios'!C207=0,0,'Encargos e Benefícios'!U207/'Encargos e Benefícios'!C207)</f>
        <v>1412.3974399752335</v>
      </c>
      <c r="AM208" s="11">
        <f>IF('Encargos e Benefícios'!C207=0,0,'Encargos e Benefícios'!AC207/'Encargos e Benefícios'!C207)</f>
        <v>703.24490687820003</v>
      </c>
      <c r="AN208" s="119">
        <f>IF('Encargos e Benefícios'!C207=0,0,'Encargos e Benefícios'!AD207/'Encargos e Benefícios'!C207)</f>
        <v>3874.8938988834334</v>
      </c>
      <c r="AO208" s="32">
        <f t="shared" si="3"/>
        <v>2638.67</v>
      </c>
      <c r="AP208" s="31">
        <v>1884.76</v>
      </c>
      <c r="AQ208" s="31">
        <v>3392.58</v>
      </c>
      <c r="AR208" s="210" t="s">
        <v>111</v>
      </c>
      <c r="AS208" s="32"/>
    </row>
    <row r="209" spans="1:45" ht="12.75" x14ac:dyDescent="0.2">
      <c r="A209" s="48">
        <v>203</v>
      </c>
      <c r="B209" s="12" t="str">
        <f>'Encargos e Benefícios'!B208</f>
        <v>Analista Administrativo (Tupaciguara)</v>
      </c>
      <c r="C209" s="10">
        <f>'Encargos e Benefícios'!C208</f>
        <v>1</v>
      </c>
      <c r="D209" s="38" t="s">
        <v>615</v>
      </c>
      <c r="E209" s="174">
        <v>46023</v>
      </c>
      <c r="F209" s="173">
        <v>47118</v>
      </c>
      <c r="G209" s="172">
        <v>46023</v>
      </c>
      <c r="H209" s="370">
        <v>3.5000000000000003E-2</v>
      </c>
      <c r="I209" s="47"/>
      <c r="J209" s="47"/>
      <c r="K209" s="47"/>
      <c r="L209" s="47"/>
      <c r="M209" s="172">
        <v>46388</v>
      </c>
      <c r="N209" s="370">
        <v>0.04</v>
      </c>
      <c r="O209" s="47"/>
      <c r="P209" s="47"/>
      <c r="Q209" s="47"/>
      <c r="R209" s="47"/>
      <c r="S209" s="172">
        <v>46753</v>
      </c>
      <c r="T209" s="370">
        <v>0.04</v>
      </c>
      <c r="U209" s="47"/>
      <c r="V209" s="47"/>
      <c r="W209" s="47"/>
      <c r="X209" s="47"/>
      <c r="Y209" s="172"/>
      <c r="Z209" s="133"/>
      <c r="AA209" s="47"/>
      <c r="AB209" s="47"/>
      <c r="AC209" s="47"/>
      <c r="AD209" s="47"/>
      <c r="AE209" s="172"/>
      <c r="AF209" s="133"/>
      <c r="AG209" s="47"/>
      <c r="AH209" s="47"/>
      <c r="AI209" s="47"/>
      <c r="AJ209" s="136"/>
      <c r="AK209" s="11">
        <f>'Encargos e Benefícios'!D208</f>
        <v>4664.5671649779988</v>
      </c>
      <c r="AL209" s="11">
        <f>IF('Encargos e Benefícios'!C208=0,0,'Encargos e Benefícios'!U208/'Encargos e Benefícios'!C208)</f>
        <v>1548.1180135321424</v>
      </c>
      <c r="AM209" s="11">
        <f>IF('Encargos e Benefícios'!C208=0,0,'Encargos e Benefícios'!AC208/'Encargos e Benefícios'!C208)</f>
        <v>528.9259701013201</v>
      </c>
      <c r="AN209" s="119">
        <f>IF('Encargos e Benefícios'!C208=0,0,'Encargos e Benefícios'!AD208/'Encargos e Benefícios'!C208)</f>
        <v>6741.6111486114605</v>
      </c>
      <c r="AO209" s="32">
        <f t="shared" si="3"/>
        <v>7383.3099999999995</v>
      </c>
      <c r="AP209" s="31">
        <v>5273.79</v>
      </c>
      <c r="AQ209" s="31">
        <v>9492.83</v>
      </c>
      <c r="AR209" s="210" t="s">
        <v>111</v>
      </c>
      <c r="AS209" s="32"/>
    </row>
    <row r="210" spans="1:45" ht="12.75" x14ac:dyDescent="0.2">
      <c r="A210" s="48">
        <v>204</v>
      </c>
      <c r="B210" s="12" t="str">
        <f>'Encargos e Benefícios'!B209</f>
        <v>Analista Administrativo (Araxa)</v>
      </c>
      <c r="C210" s="10">
        <f>'Encargos e Benefícios'!C209</f>
        <v>1</v>
      </c>
      <c r="D210" s="38" t="s">
        <v>615</v>
      </c>
      <c r="E210" s="174">
        <v>46023</v>
      </c>
      <c r="F210" s="173">
        <v>47118</v>
      </c>
      <c r="G210" s="172">
        <v>46023</v>
      </c>
      <c r="H210" s="370">
        <v>3.5000000000000003E-2</v>
      </c>
      <c r="I210" s="47"/>
      <c r="J210" s="47"/>
      <c r="K210" s="47"/>
      <c r="L210" s="47"/>
      <c r="M210" s="172">
        <v>46388</v>
      </c>
      <c r="N210" s="370">
        <v>0.04</v>
      </c>
      <c r="O210" s="47"/>
      <c r="P210" s="47"/>
      <c r="Q210" s="47"/>
      <c r="R210" s="47"/>
      <c r="S210" s="172">
        <v>46753</v>
      </c>
      <c r="T210" s="370">
        <v>0.04</v>
      </c>
      <c r="U210" s="47"/>
      <c r="V210" s="47"/>
      <c r="W210" s="47"/>
      <c r="X210" s="47"/>
      <c r="Y210" s="172"/>
      <c r="Z210" s="133"/>
      <c r="AA210" s="47"/>
      <c r="AB210" s="47"/>
      <c r="AC210" s="47"/>
      <c r="AD210" s="47"/>
      <c r="AE210" s="172"/>
      <c r="AF210" s="133"/>
      <c r="AG210" s="47"/>
      <c r="AH210" s="47"/>
      <c r="AI210" s="47"/>
      <c r="AJ210" s="136"/>
      <c r="AK210" s="11">
        <f>'Encargos e Benefícios'!D209</f>
        <v>4664.5671649779988</v>
      </c>
      <c r="AL210" s="11">
        <f>IF('Encargos e Benefícios'!C209=0,0,'Encargos e Benefícios'!U209/'Encargos e Benefícios'!C209)</f>
        <v>1548.1180135321424</v>
      </c>
      <c r="AM210" s="11">
        <f>IF('Encargos e Benefícios'!C209=0,0,'Encargos e Benefícios'!AC209/'Encargos e Benefícios'!C209)</f>
        <v>528.9259701013201</v>
      </c>
      <c r="AN210" s="119">
        <f>IF('Encargos e Benefícios'!C209=0,0,'Encargos e Benefícios'!AD209/'Encargos e Benefícios'!C209)</f>
        <v>6741.6111486114605</v>
      </c>
      <c r="AO210" s="32">
        <f t="shared" si="3"/>
        <v>7383.3099999999995</v>
      </c>
      <c r="AP210" s="31">
        <v>5273.79</v>
      </c>
      <c r="AQ210" s="31">
        <v>9492.83</v>
      </c>
      <c r="AR210" s="210" t="s">
        <v>102</v>
      </c>
      <c r="AS210" s="32"/>
    </row>
    <row r="211" spans="1:45" ht="12.75" x14ac:dyDescent="0.2">
      <c r="A211" s="48">
        <v>205</v>
      </c>
      <c r="B211" s="12" t="str">
        <f>'Encargos e Benefícios'!B210</f>
        <v>Analista de Terapia Ocupacional (Araxá)</v>
      </c>
      <c r="C211" s="10">
        <f>'Encargos e Benefícios'!C210</f>
        <v>1</v>
      </c>
      <c r="D211" s="38" t="s">
        <v>616</v>
      </c>
      <c r="E211" s="174">
        <v>46023</v>
      </c>
      <c r="F211" s="173">
        <v>47118</v>
      </c>
      <c r="G211" s="172">
        <v>46023</v>
      </c>
      <c r="H211" s="370">
        <v>3.5000000000000003E-2</v>
      </c>
      <c r="I211" s="47"/>
      <c r="J211" s="47"/>
      <c r="K211" s="47"/>
      <c r="L211" s="47"/>
      <c r="M211" s="172">
        <v>46388</v>
      </c>
      <c r="N211" s="370">
        <v>0.04</v>
      </c>
      <c r="O211" s="47"/>
      <c r="P211" s="47"/>
      <c r="Q211" s="47"/>
      <c r="R211" s="47"/>
      <c r="S211" s="172">
        <v>46753</v>
      </c>
      <c r="T211" s="370">
        <v>0.04</v>
      </c>
      <c r="U211" s="47"/>
      <c r="V211" s="47"/>
      <c r="W211" s="47"/>
      <c r="X211" s="47"/>
      <c r="Y211" s="172"/>
      <c r="Z211" s="133"/>
      <c r="AA211" s="47"/>
      <c r="AB211" s="47"/>
      <c r="AC211" s="47"/>
      <c r="AD211" s="47"/>
      <c r="AE211" s="172"/>
      <c r="AF211" s="133"/>
      <c r="AG211" s="47"/>
      <c r="AH211" s="47"/>
      <c r="AI211" s="47"/>
      <c r="AJ211" s="136"/>
      <c r="AK211" s="11">
        <f>'Encargos e Benefícios'!D210</f>
        <v>3432.9771878639999</v>
      </c>
      <c r="AL211" s="11">
        <f>IF('Encargos e Benefícios'!C210=0,0,'Encargos e Benefícios'!U210/'Encargos e Benefícios'!C210)</f>
        <v>1139.3669844610856</v>
      </c>
      <c r="AM211" s="11">
        <f>IF('Encargos e Benefícios'!C210=0,0,'Encargos e Benefícios'!AC210/'Encargos e Benefícios'!C210)</f>
        <v>602.82136872816</v>
      </c>
      <c r="AN211" s="119">
        <f>IF('Encargos e Benefícios'!C210=0,0,'Encargos e Benefícios'!AD210/'Encargos e Benefícios'!C210)</f>
        <v>5175.1655410532458</v>
      </c>
      <c r="AO211" s="32">
        <f t="shared" si="3"/>
        <v>4280.8549999999996</v>
      </c>
      <c r="AP211" s="31">
        <v>3057.75</v>
      </c>
      <c r="AQ211" s="31">
        <v>5503.96</v>
      </c>
      <c r="AR211" s="210" t="s">
        <v>102</v>
      </c>
      <c r="AS211" s="32"/>
    </row>
    <row r="212" spans="1:45" ht="12.75" hidden="1" x14ac:dyDescent="0.2">
      <c r="A212" s="48">
        <v>206</v>
      </c>
      <c r="B212" s="12">
        <f>'Encargos e Benefícios'!B211</f>
        <v>0</v>
      </c>
      <c r="C212" s="10">
        <f>'Encargos e Benefícios'!C211</f>
        <v>0</v>
      </c>
      <c r="D212" s="38"/>
      <c r="E212" s="174"/>
      <c r="F212" s="173"/>
      <c r="G212" s="172"/>
      <c r="H212" s="370">
        <v>3.5000000000000003E-2</v>
      </c>
      <c r="I212" s="47"/>
      <c r="J212" s="47"/>
      <c r="K212" s="47"/>
      <c r="L212" s="47"/>
      <c r="M212" s="172"/>
      <c r="N212" s="370">
        <v>0.04</v>
      </c>
      <c r="O212" s="47"/>
      <c r="P212" s="47"/>
      <c r="Q212" s="47"/>
      <c r="R212" s="47"/>
      <c r="S212" s="172"/>
      <c r="T212" s="370">
        <v>0.04</v>
      </c>
      <c r="U212" s="47"/>
      <c r="V212" s="47"/>
      <c r="W212" s="47"/>
      <c r="X212" s="47"/>
      <c r="Y212" s="172"/>
      <c r="Z212" s="133"/>
      <c r="AA212" s="47"/>
      <c r="AB212" s="47"/>
      <c r="AC212" s="47"/>
      <c r="AD212" s="47"/>
      <c r="AE212" s="172"/>
      <c r="AF212" s="133"/>
      <c r="AG212" s="47"/>
      <c r="AH212" s="47"/>
      <c r="AI212" s="47"/>
      <c r="AJ212" s="136"/>
      <c r="AK212" s="11">
        <f>'Encargos e Benefícios'!D211</f>
        <v>0</v>
      </c>
      <c r="AL212" s="11">
        <f>IF('Encargos e Benefícios'!C211=0,0,'Encargos e Benefícios'!U211/'Encargos e Benefícios'!C211)</f>
        <v>0</v>
      </c>
      <c r="AM212" s="11">
        <f>IF('Encargos e Benefícios'!C211=0,0,'Encargos e Benefícios'!AC211/'Encargos e Benefícios'!C211)</f>
        <v>0</v>
      </c>
      <c r="AN212" s="119">
        <f>IF('Encargos e Benefícios'!C211=0,0,'Encargos e Benefícios'!AD211/'Encargos e Benefícios'!C211)</f>
        <v>0</v>
      </c>
      <c r="AO212" s="32">
        <f t="shared" si="3"/>
        <v>0</v>
      </c>
      <c r="AP212" s="31"/>
      <c r="AQ212" s="31"/>
      <c r="AR212" s="210"/>
      <c r="AS212" s="32"/>
    </row>
    <row r="213" spans="1:45" ht="12.75" hidden="1" x14ac:dyDescent="0.2">
      <c r="A213" s="48">
        <v>207</v>
      </c>
      <c r="B213" s="12">
        <f>'Encargos e Benefícios'!B212</f>
        <v>0</v>
      </c>
      <c r="C213" s="10">
        <f>'Encargos e Benefícios'!C212</f>
        <v>0</v>
      </c>
      <c r="D213" s="38"/>
      <c r="E213" s="174"/>
      <c r="F213" s="173"/>
      <c r="G213" s="172"/>
      <c r="H213" s="370">
        <v>3.5000000000000003E-2</v>
      </c>
      <c r="I213" s="47"/>
      <c r="J213" s="47"/>
      <c r="K213" s="47"/>
      <c r="L213" s="47"/>
      <c r="M213" s="172"/>
      <c r="N213" s="370">
        <v>0.04</v>
      </c>
      <c r="O213" s="47"/>
      <c r="P213" s="47"/>
      <c r="Q213" s="47"/>
      <c r="R213" s="47"/>
      <c r="S213" s="172"/>
      <c r="T213" s="370">
        <v>0.04</v>
      </c>
      <c r="U213" s="47"/>
      <c r="V213" s="47"/>
      <c r="W213" s="47"/>
      <c r="X213" s="47"/>
      <c r="Y213" s="172"/>
      <c r="Z213" s="133"/>
      <c r="AA213" s="47"/>
      <c r="AB213" s="47"/>
      <c r="AC213" s="47"/>
      <c r="AD213" s="47"/>
      <c r="AE213" s="172"/>
      <c r="AF213" s="133"/>
      <c r="AG213" s="47"/>
      <c r="AH213" s="47"/>
      <c r="AI213" s="47"/>
      <c r="AJ213" s="136"/>
      <c r="AK213" s="11">
        <f>'Encargos e Benefícios'!D212</f>
        <v>0</v>
      </c>
      <c r="AL213" s="11">
        <f>IF('Encargos e Benefícios'!C212=0,0,'Encargos e Benefícios'!U212/'Encargos e Benefícios'!C212)</f>
        <v>0</v>
      </c>
      <c r="AM213" s="11">
        <f>IF('Encargos e Benefícios'!C212=0,0,'Encargos e Benefícios'!AC212/'Encargos e Benefícios'!C212)</f>
        <v>0</v>
      </c>
      <c r="AN213" s="119">
        <f>IF('Encargos e Benefícios'!C212=0,0,'Encargos e Benefícios'!AD212/'Encargos e Benefícios'!C212)</f>
        <v>0</v>
      </c>
      <c r="AO213" s="32">
        <f t="shared" si="3"/>
        <v>0</v>
      </c>
      <c r="AP213" s="31"/>
      <c r="AQ213" s="31"/>
      <c r="AR213" s="210"/>
      <c r="AS213" s="32"/>
    </row>
    <row r="214" spans="1:45" ht="12.75" hidden="1" x14ac:dyDescent="0.2">
      <c r="A214" s="48">
        <v>208</v>
      </c>
      <c r="B214" s="12">
        <f>'Encargos e Benefícios'!B213</f>
        <v>0</v>
      </c>
      <c r="C214" s="10">
        <f>'Encargos e Benefícios'!C213</f>
        <v>0</v>
      </c>
      <c r="D214" s="38"/>
      <c r="E214" s="174"/>
      <c r="F214" s="173"/>
      <c r="G214" s="172"/>
      <c r="H214" s="370">
        <v>3.5000000000000003E-2</v>
      </c>
      <c r="I214" s="47"/>
      <c r="J214" s="47"/>
      <c r="K214" s="47"/>
      <c r="L214" s="47"/>
      <c r="M214" s="172"/>
      <c r="N214" s="370">
        <v>0.04</v>
      </c>
      <c r="O214" s="47"/>
      <c r="P214" s="47"/>
      <c r="Q214" s="47"/>
      <c r="R214" s="47"/>
      <c r="S214" s="172"/>
      <c r="T214" s="370">
        <v>0.04</v>
      </c>
      <c r="U214" s="47"/>
      <c r="V214" s="47"/>
      <c r="W214" s="47"/>
      <c r="X214" s="47"/>
      <c r="Y214" s="172"/>
      <c r="Z214" s="133"/>
      <c r="AA214" s="47"/>
      <c r="AB214" s="47"/>
      <c r="AC214" s="47"/>
      <c r="AD214" s="47"/>
      <c r="AE214" s="172"/>
      <c r="AF214" s="133"/>
      <c r="AG214" s="47"/>
      <c r="AH214" s="47"/>
      <c r="AI214" s="47"/>
      <c r="AJ214" s="136"/>
      <c r="AK214" s="11">
        <f>'Encargos e Benefícios'!D213</f>
        <v>0</v>
      </c>
      <c r="AL214" s="11">
        <f>IF('Encargos e Benefícios'!C213=0,0,'Encargos e Benefícios'!U213/'Encargos e Benefícios'!C213)</f>
        <v>0</v>
      </c>
      <c r="AM214" s="11">
        <f>IF('Encargos e Benefícios'!C213=0,0,'Encargos e Benefícios'!AC213/'Encargos e Benefícios'!C213)</f>
        <v>0</v>
      </c>
      <c r="AN214" s="119">
        <f>IF('Encargos e Benefícios'!C213=0,0,'Encargos e Benefícios'!AD213/'Encargos e Benefícios'!C213)</f>
        <v>0</v>
      </c>
      <c r="AO214" s="32">
        <f t="shared" si="3"/>
        <v>0</v>
      </c>
      <c r="AP214" s="31"/>
      <c r="AQ214" s="31"/>
      <c r="AR214" s="210"/>
      <c r="AS214" s="32"/>
    </row>
    <row r="215" spans="1:45" ht="12.75" hidden="1" x14ac:dyDescent="0.2">
      <c r="A215" s="48">
        <v>209</v>
      </c>
      <c r="B215" s="12">
        <f>'Encargos e Benefícios'!B214</f>
        <v>0</v>
      </c>
      <c r="C215" s="10">
        <f>'Encargos e Benefícios'!C214</f>
        <v>0</v>
      </c>
      <c r="D215" s="38"/>
      <c r="E215" s="174"/>
      <c r="F215" s="173"/>
      <c r="G215" s="172"/>
      <c r="H215" s="370">
        <v>3.5000000000000003E-2</v>
      </c>
      <c r="I215" s="47"/>
      <c r="J215" s="47"/>
      <c r="K215" s="47"/>
      <c r="L215" s="47"/>
      <c r="M215" s="172"/>
      <c r="N215" s="370">
        <v>0.04</v>
      </c>
      <c r="O215" s="47"/>
      <c r="P215" s="47"/>
      <c r="Q215" s="47"/>
      <c r="R215" s="47"/>
      <c r="S215" s="172"/>
      <c r="T215" s="370">
        <v>0.04</v>
      </c>
      <c r="U215" s="47"/>
      <c r="V215" s="47"/>
      <c r="W215" s="47"/>
      <c r="X215" s="47"/>
      <c r="Y215" s="172"/>
      <c r="Z215" s="133"/>
      <c r="AA215" s="47"/>
      <c r="AB215" s="47"/>
      <c r="AC215" s="47"/>
      <c r="AD215" s="47"/>
      <c r="AE215" s="172"/>
      <c r="AF215" s="133"/>
      <c r="AG215" s="47"/>
      <c r="AH215" s="47"/>
      <c r="AI215" s="47"/>
      <c r="AJ215" s="136"/>
      <c r="AK215" s="11">
        <f>'Encargos e Benefícios'!D214</f>
        <v>0</v>
      </c>
      <c r="AL215" s="11">
        <f>IF('Encargos e Benefícios'!C214=0,0,'Encargos e Benefícios'!U214/'Encargos e Benefícios'!C214)</f>
        <v>0</v>
      </c>
      <c r="AM215" s="11">
        <f>IF('Encargos e Benefícios'!C214=0,0,'Encargos e Benefícios'!AC214/'Encargos e Benefícios'!C214)</f>
        <v>0</v>
      </c>
      <c r="AN215" s="119">
        <f>IF('Encargos e Benefícios'!C214=0,0,'Encargos e Benefícios'!AD214/'Encargos e Benefícios'!C214)</f>
        <v>0</v>
      </c>
      <c r="AO215" s="32">
        <f t="shared" si="3"/>
        <v>0</v>
      </c>
      <c r="AP215" s="31"/>
      <c r="AQ215" s="31"/>
      <c r="AR215" s="210"/>
      <c r="AS215" s="32"/>
    </row>
    <row r="216" spans="1:45" ht="12.75" x14ac:dyDescent="0.2">
      <c r="A216" s="48">
        <v>210</v>
      </c>
      <c r="B216" s="12" t="str">
        <f>'Encargos e Benefícios'!B215</f>
        <v>Diretor Administrativo/Financeiro</v>
      </c>
      <c r="C216" s="10">
        <f>'Encargos e Benefícios'!C215</f>
        <v>1</v>
      </c>
      <c r="D216" s="38" t="s">
        <v>615</v>
      </c>
      <c r="E216" s="174">
        <v>46023</v>
      </c>
      <c r="F216" s="173">
        <v>47118</v>
      </c>
      <c r="G216" s="172">
        <v>46023</v>
      </c>
      <c r="H216" s="370">
        <v>3.5000000000000003E-2</v>
      </c>
      <c r="I216" s="47"/>
      <c r="J216" s="47"/>
      <c r="K216" s="47"/>
      <c r="L216" s="47"/>
      <c r="M216" s="172">
        <v>46388</v>
      </c>
      <c r="N216" s="370">
        <v>0.04</v>
      </c>
      <c r="O216" s="47"/>
      <c r="P216" s="47"/>
      <c r="Q216" s="47"/>
      <c r="R216" s="47"/>
      <c r="S216" s="172">
        <v>46753</v>
      </c>
      <c r="T216" s="370">
        <v>0.04</v>
      </c>
      <c r="U216" s="47"/>
      <c r="V216" s="47"/>
      <c r="W216" s="47"/>
      <c r="X216" s="47"/>
      <c r="Y216" s="172"/>
      <c r="Z216" s="133"/>
      <c r="AA216" s="47"/>
      <c r="AB216" s="47"/>
      <c r="AC216" s="47"/>
      <c r="AD216" s="47"/>
      <c r="AE216" s="172"/>
      <c r="AF216" s="133"/>
      <c r="AG216" s="47"/>
      <c r="AH216" s="47"/>
      <c r="AI216" s="47"/>
      <c r="AJ216" s="136"/>
      <c r="AK216" s="11">
        <f>'Encargos e Benefícios'!D215</f>
        <v>20640.567500000001</v>
      </c>
      <c r="AL216" s="11">
        <f>IF('Encargos e Benefícios'!C215=0,0,'Encargos e Benefícios'!U215/'Encargos e Benefícios'!C215)</f>
        <v>6850.3750136111121</v>
      </c>
      <c r="AM216" s="11">
        <f>IF('Encargos e Benefícios'!C215=0,0,'Encargos e Benefícios'!AC215/'Encargos e Benefícios'!C215)</f>
        <v>1088.8</v>
      </c>
      <c r="AN216" s="119">
        <f>IF('Encargos e Benefícios'!C215=0,0,'Encargos e Benefícios'!AD215/'Encargos e Benefícios'!C215)</f>
        <v>28579.742513611112</v>
      </c>
      <c r="AO216" s="32">
        <f t="shared" si="3"/>
        <v>58555.7</v>
      </c>
      <c r="AP216" s="31">
        <v>41825.5</v>
      </c>
      <c r="AQ216" s="31">
        <v>75285.899999999994</v>
      </c>
      <c r="AR216" s="210" t="s">
        <v>101</v>
      </c>
      <c r="AS216" s="32"/>
    </row>
    <row r="217" spans="1:45" ht="22.5" x14ac:dyDescent="0.2">
      <c r="A217" s="48">
        <v>211</v>
      </c>
      <c r="B217" s="12" t="str">
        <f>'Encargos e Benefícios'!B216</f>
        <v>Diretor Geral do CG (Técnico e Institucional )</v>
      </c>
      <c r="C217" s="10">
        <f>'Encargos e Benefícios'!C216</f>
        <v>1</v>
      </c>
      <c r="D217" s="38" t="s">
        <v>615</v>
      </c>
      <c r="E217" s="174">
        <v>46023</v>
      </c>
      <c r="F217" s="173">
        <v>47118</v>
      </c>
      <c r="G217" s="172">
        <v>46023</v>
      </c>
      <c r="H217" s="370">
        <v>3.5000000000000003E-2</v>
      </c>
      <c r="I217" s="47"/>
      <c r="J217" s="47"/>
      <c r="K217" s="47"/>
      <c r="L217" s="47"/>
      <c r="M217" s="172">
        <v>46388</v>
      </c>
      <c r="N217" s="370">
        <v>0.04</v>
      </c>
      <c r="O217" s="47"/>
      <c r="P217" s="47"/>
      <c r="Q217" s="47"/>
      <c r="R217" s="47"/>
      <c r="S217" s="172">
        <v>46753</v>
      </c>
      <c r="T217" s="370">
        <v>0.04</v>
      </c>
      <c r="U217" s="47"/>
      <c r="V217" s="47"/>
      <c r="W217" s="47"/>
      <c r="X217" s="47"/>
      <c r="Y217" s="172"/>
      <c r="Z217" s="133"/>
      <c r="AA217" s="47"/>
      <c r="AB217" s="47"/>
      <c r="AC217" s="47"/>
      <c r="AD217" s="47"/>
      <c r="AE217" s="172"/>
      <c r="AF217" s="133"/>
      <c r="AG217" s="47"/>
      <c r="AH217" s="47"/>
      <c r="AI217" s="47"/>
      <c r="AJ217" s="136"/>
      <c r="AK217" s="11">
        <f>'Encargos e Benefícios'!D216</f>
        <v>20640.57</v>
      </c>
      <c r="AL217" s="11">
        <f>IF('Encargos e Benefícios'!C216=0,0,'Encargos e Benefícios'!U216/'Encargos e Benefícios'!C216)</f>
        <v>13509.820287777777</v>
      </c>
      <c r="AM217" s="11">
        <f>IF('Encargos e Benefícios'!C216=0,0,'Encargos e Benefícios'!AC216/'Encargos e Benefícios'!C216)</f>
        <v>1088.8</v>
      </c>
      <c r="AN217" s="119">
        <f>IF('Encargos e Benefícios'!C216=0,0,'Encargos e Benefícios'!AD216/'Encargos e Benefícios'!C216)</f>
        <v>35239.190287777776</v>
      </c>
      <c r="AO217" s="32">
        <f t="shared" si="3"/>
        <v>58555.7</v>
      </c>
      <c r="AP217" s="31">
        <v>41825.5</v>
      </c>
      <c r="AQ217" s="31">
        <v>75285.899999999994</v>
      </c>
      <c r="AR217" s="210" t="s">
        <v>101</v>
      </c>
      <c r="AS217" s="32"/>
    </row>
    <row r="218" spans="1:45" ht="22.5" x14ac:dyDescent="0.2">
      <c r="A218" s="48">
        <v>212</v>
      </c>
      <c r="B218" s="12" t="str">
        <f>'Encargos e Benefícios'!B217</f>
        <v>Gerente (Técnico, Administrativo/compras, RH, Monitoria, Financeiro)</v>
      </c>
      <c r="C218" s="10">
        <f>'Encargos e Benefícios'!C217</f>
        <v>5</v>
      </c>
      <c r="D218" s="38" t="s">
        <v>615</v>
      </c>
      <c r="E218" s="174">
        <v>46023</v>
      </c>
      <c r="F218" s="173">
        <v>47118</v>
      </c>
      <c r="G218" s="172">
        <v>46023</v>
      </c>
      <c r="H218" s="370">
        <v>3.5000000000000003E-2</v>
      </c>
      <c r="I218" s="47"/>
      <c r="J218" s="47"/>
      <c r="K218" s="47"/>
      <c r="L218" s="47"/>
      <c r="M218" s="172">
        <v>46388</v>
      </c>
      <c r="N218" s="370">
        <v>0.04</v>
      </c>
      <c r="O218" s="47"/>
      <c r="P218" s="47"/>
      <c r="Q218" s="47"/>
      <c r="R218" s="47"/>
      <c r="S218" s="172">
        <v>46753</v>
      </c>
      <c r="T218" s="370">
        <v>0.04</v>
      </c>
      <c r="U218" s="47"/>
      <c r="V218" s="47"/>
      <c r="W218" s="47"/>
      <c r="X218" s="47"/>
      <c r="Y218" s="172"/>
      <c r="Z218" s="133"/>
      <c r="AA218" s="47"/>
      <c r="AB218" s="47"/>
      <c r="AC218" s="47"/>
      <c r="AD218" s="47"/>
      <c r="AE218" s="172"/>
      <c r="AF218" s="133"/>
      <c r="AG218" s="47"/>
      <c r="AH218" s="47"/>
      <c r="AI218" s="47"/>
      <c r="AJ218" s="136"/>
      <c r="AK218" s="11">
        <f>'Encargos e Benefícios'!D217</f>
        <v>14546.442773100001</v>
      </c>
      <c r="AL218" s="11">
        <f>IF('Encargos e Benefícios'!C217=0,0,'Encargos e Benefícios'!U217/'Encargos e Benefícios'!C217)</f>
        <v>7491.5805070277447</v>
      </c>
      <c r="AM218" s="11">
        <f>IF('Encargos e Benefícios'!C217=0,0,'Encargos e Benefícios'!AC217/'Encargos e Benefícios'!C217)</f>
        <v>1088.8</v>
      </c>
      <c r="AN218" s="119">
        <f>IF('Encargos e Benefícios'!C217=0,0,'Encargos e Benefícios'!AD217/'Encargos e Benefícios'!C217)</f>
        <v>23126.823280127745</v>
      </c>
      <c r="AO218" s="32">
        <f t="shared" si="3"/>
        <v>19057.990000000002</v>
      </c>
      <c r="AP218" s="31">
        <v>13612.85</v>
      </c>
      <c r="AQ218" s="31">
        <v>24503.13</v>
      </c>
      <c r="AR218" s="210" t="s">
        <v>101</v>
      </c>
      <c r="AS218" s="32"/>
    </row>
    <row r="219" spans="1:45" ht="12.75" x14ac:dyDescent="0.2">
      <c r="A219" s="48">
        <v>213</v>
      </c>
      <c r="B219" s="12" t="str">
        <f>'Encargos e Benefícios'!B218</f>
        <v>Analista Administrativo</v>
      </c>
      <c r="C219" s="10">
        <f>'Encargos e Benefícios'!C218</f>
        <v>36</v>
      </c>
      <c r="D219" s="38" t="s">
        <v>615</v>
      </c>
      <c r="E219" s="174">
        <v>46023</v>
      </c>
      <c r="F219" s="173">
        <v>47118</v>
      </c>
      <c r="G219" s="172">
        <v>46023</v>
      </c>
      <c r="H219" s="370">
        <v>3.5000000000000003E-2</v>
      </c>
      <c r="I219" s="47"/>
      <c r="J219" s="47"/>
      <c r="K219" s="47"/>
      <c r="L219" s="47"/>
      <c r="M219" s="172">
        <v>46388</v>
      </c>
      <c r="N219" s="370">
        <v>0.04</v>
      </c>
      <c r="O219" s="47"/>
      <c r="P219" s="47"/>
      <c r="Q219" s="47"/>
      <c r="R219" s="47"/>
      <c r="S219" s="172">
        <v>46753</v>
      </c>
      <c r="T219" s="370">
        <v>0.04</v>
      </c>
      <c r="U219" s="47"/>
      <c r="V219" s="47"/>
      <c r="W219" s="47"/>
      <c r="X219" s="47"/>
      <c r="Y219" s="172"/>
      <c r="Z219" s="133"/>
      <c r="AA219" s="47"/>
      <c r="AB219" s="47"/>
      <c r="AC219" s="47"/>
      <c r="AD219" s="47"/>
      <c r="AE219" s="172"/>
      <c r="AF219" s="133"/>
      <c r="AG219" s="47"/>
      <c r="AH219" s="47"/>
      <c r="AI219" s="47"/>
      <c r="AJ219" s="136"/>
      <c r="AK219" s="11">
        <f>'Encargos e Benefícios'!D218</f>
        <v>4664.5671649779988</v>
      </c>
      <c r="AL219" s="11">
        <f>IF('Encargos e Benefícios'!C218=0,0,'Encargos e Benefícios'!U218/'Encargos e Benefícios'!C218)</f>
        <v>1733.1025814333771</v>
      </c>
      <c r="AM219" s="11">
        <f>IF('Encargos e Benefícios'!C218=0,0,'Encargos e Benefícios'!AC218/'Encargos e Benefícios'!C218)</f>
        <v>1178.9259701013202</v>
      </c>
      <c r="AN219" s="119">
        <f>IF('Encargos e Benefícios'!C218=0,0,'Encargos e Benefícios'!AD218/'Encargos e Benefícios'!C218)</f>
        <v>7576.5957165126956</v>
      </c>
      <c r="AO219" s="32">
        <f t="shared" si="3"/>
        <v>7383.3099999999995</v>
      </c>
      <c r="AP219" s="31">
        <v>5273.79</v>
      </c>
      <c r="AQ219" s="31">
        <v>9492.83</v>
      </c>
      <c r="AR219" s="210" t="s">
        <v>101</v>
      </c>
      <c r="AS219" s="32"/>
    </row>
    <row r="220" spans="1:45" ht="12.75" x14ac:dyDescent="0.2">
      <c r="A220" s="48">
        <v>214</v>
      </c>
      <c r="B220" s="12" t="str">
        <f>'Encargos e Benefícios'!B219</f>
        <v>Assistente Administrativo</v>
      </c>
      <c r="C220" s="10">
        <f>'Encargos e Benefícios'!C219</f>
        <v>10</v>
      </c>
      <c r="D220" s="38" t="s">
        <v>615</v>
      </c>
      <c r="E220" s="174">
        <v>46023</v>
      </c>
      <c r="F220" s="173">
        <v>47118</v>
      </c>
      <c r="G220" s="172">
        <v>46023</v>
      </c>
      <c r="H220" s="370">
        <v>3.5000000000000003E-2</v>
      </c>
      <c r="I220" s="47"/>
      <c r="J220" s="47"/>
      <c r="K220" s="47"/>
      <c r="L220" s="47"/>
      <c r="M220" s="172">
        <v>46388</v>
      </c>
      <c r="N220" s="370">
        <v>0.04</v>
      </c>
      <c r="O220" s="47"/>
      <c r="P220" s="47"/>
      <c r="Q220" s="47"/>
      <c r="R220" s="47"/>
      <c r="S220" s="172">
        <v>46753</v>
      </c>
      <c r="T220" s="370">
        <v>0.04</v>
      </c>
      <c r="U220" s="47"/>
      <c r="V220" s="47"/>
      <c r="W220" s="47"/>
      <c r="X220" s="47"/>
      <c r="Y220" s="172"/>
      <c r="Z220" s="133"/>
      <c r="AA220" s="47"/>
      <c r="AB220" s="47"/>
      <c r="AC220" s="47"/>
      <c r="AD220" s="47"/>
      <c r="AE220" s="172"/>
      <c r="AF220" s="133"/>
      <c r="AG220" s="47"/>
      <c r="AH220" s="47"/>
      <c r="AI220" s="47"/>
      <c r="AJ220" s="136"/>
      <c r="AK220" s="11">
        <f>'Encargos e Benefícios'!D219</f>
        <v>2327.4222481719999</v>
      </c>
      <c r="AL220" s="11">
        <f>IF('Encargos e Benefícios'!C219=0,0,'Encargos e Benefícios'!U219/'Encargos e Benefícios'!C219)</f>
        <v>772.44558392108479</v>
      </c>
      <c r="AM220" s="11">
        <f>IF('Encargos e Benefícios'!C219=0,0,'Encargos e Benefícios'!AC219/'Encargos e Benefícios'!C219)</f>
        <v>1319.1546651096801</v>
      </c>
      <c r="AN220" s="119">
        <f>IF('Encargos e Benefícios'!C219=0,0,'Encargos e Benefícios'!AD219/'Encargos e Benefícios'!C219)</f>
        <v>4419.0224972027645</v>
      </c>
      <c r="AO220" s="32">
        <f t="shared" si="3"/>
        <v>3332.11</v>
      </c>
      <c r="AP220" s="31">
        <v>2380.08</v>
      </c>
      <c r="AQ220" s="31">
        <v>4284.1400000000003</v>
      </c>
      <c r="AR220" s="210" t="s">
        <v>101</v>
      </c>
      <c r="AS220" s="32"/>
    </row>
    <row r="221" spans="1:45" ht="12.75" x14ac:dyDescent="0.2">
      <c r="A221" s="48">
        <v>215</v>
      </c>
      <c r="B221" s="12" t="str">
        <f>'Encargos e Benefícios'!B220</f>
        <v>Recepcionista</v>
      </c>
      <c r="C221" s="10">
        <f>'Encargos e Benefícios'!C220</f>
        <v>1</v>
      </c>
      <c r="D221" s="38" t="s">
        <v>615</v>
      </c>
      <c r="E221" s="174">
        <v>46023</v>
      </c>
      <c r="F221" s="173">
        <v>47118</v>
      </c>
      <c r="G221" s="172">
        <v>46023</v>
      </c>
      <c r="H221" s="370">
        <v>3.5000000000000003E-2</v>
      </c>
      <c r="I221" s="47"/>
      <c r="J221" s="47"/>
      <c r="K221" s="47"/>
      <c r="L221" s="47"/>
      <c r="M221" s="172">
        <v>46388</v>
      </c>
      <c r="N221" s="370">
        <v>0.04</v>
      </c>
      <c r="O221" s="47"/>
      <c r="P221" s="47"/>
      <c r="Q221" s="47"/>
      <c r="R221" s="47"/>
      <c r="S221" s="172">
        <v>46753</v>
      </c>
      <c r="T221" s="370">
        <v>0.04</v>
      </c>
      <c r="U221" s="47"/>
      <c r="V221" s="47"/>
      <c r="W221" s="47"/>
      <c r="X221" s="47"/>
      <c r="Y221" s="172"/>
      <c r="Z221" s="133"/>
      <c r="AA221" s="47"/>
      <c r="AB221" s="47"/>
      <c r="AC221" s="47"/>
      <c r="AD221" s="47"/>
      <c r="AE221" s="172"/>
      <c r="AF221" s="133"/>
      <c r="AG221" s="47"/>
      <c r="AH221" s="47"/>
      <c r="AI221" s="47"/>
      <c r="AJ221" s="136"/>
      <c r="AK221" s="11">
        <f>'Encargos e Benefícios'!D220</f>
        <v>1800.596</v>
      </c>
      <c r="AL221" s="11">
        <f>IF('Encargos e Benefícios'!C220=0,0,'Encargos e Benefícios'!U220/'Encargos e Benefícios'!C220)</f>
        <v>597.59780577777769</v>
      </c>
      <c r="AM221" s="11">
        <f>IF('Encargos e Benefícios'!C220=0,0,'Encargos e Benefícios'!AC220/'Encargos e Benefícios'!C220)</f>
        <v>1350.76424</v>
      </c>
      <c r="AN221" s="119">
        <f>IF('Encargos e Benefícios'!C220=0,0,'Encargos e Benefícios'!AD220/'Encargos e Benefícios'!C220)</f>
        <v>3748.9580457777779</v>
      </c>
      <c r="AO221" s="32">
        <f t="shared" si="3"/>
        <v>2267.5349999999999</v>
      </c>
      <c r="AP221" s="31">
        <v>1624.26</v>
      </c>
      <c r="AQ221" s="31">
        <v>2910.81</v>
      </c>
      <c r="AR221" s="210" t="s">
        <v>101</v>
      </c>
      <c r="AS221" s="32"/>
    </row>
    <row r="222" spans="1:45" ht="12.75" x14ac:dyDescent="0.2">
      <c r="A222" s="48">
        <v>216</v>
      </c>
      <c r="B222" s="12" t="str">
        <f>'Encargos e Benefícios'!B221</f>
        <v>Auxiliar de Serviços Gerais</v>
      </c>
      <c r="C222" s="10">
        <f>'Encargos e Benefícios'!C221</f>
        <v>2</v>
      </c>
      <c r="D222" s="38" t="s">
        <v>615</v>
      </c>
      <c r="E222" s="174">
        <v>46023</v>
      </c>
      <c r="F222" s="173">
        <v>47118</v>
      </c>
      <c r="G222" s="172">
        <v>46023</v>
      </c>
      <c r="H222" s="370">
        <v>3.5000000000000003E-2</v>
      </c>
      <c r="I222" s="47"/>
      <c r="J222" s="47"/>
      <c r="K222" s="47"/>
      <c r="L222" s="47"/>
      <c r="M222" s="172">
        <v>46388</v>
      </c>
      <c r="N222" s="370">
        <v>0.04</v>
      </c>
      <c r="O222" s="47"/>
      <c r="P222" s="47"/>
      <c r="Q222" s="47"/>
      <c r="R222" s="47"/>
      <c r="S222" s="172">
        <v>46753</v>
      </c>
      <c r="T222" s="370">
        <v>0.04</v>
      </c>
      <c r="U222" s="47"/>
      <c r="V222" s="47"/>
      <c r="W222" s="47"/>
      <c r="X222" s="47"/>
      <c r="Y222" s="172"/>
      <c r="Z222" s="133"/>
      <c r="AA222" s="47"/>
      <c r="AB222" s="47"/>
      <c r="AC222" s="47"/>
      <c r="AD222" s="47"/>
      <c r="AE222" s="172"/>
      <c r="AF222" s="133"/>
      <c r="AG222" s="47"/>
      <c r="AH222" s="47"/>
      <c r="AI222" s="47"/>
      <c r="AJ222" s="136"/>
      <c r="AK222" s="11">
        <f>'Encargos e Benefícios'!D221</f>
        <v>1604</v>
      </c>
      <c r="AL222" s="11">
        <f>IF('Encargos e Benefícios'!C221=0,0,'Encargos e Benefícios'!U221/'Encargos e Benefícios'!C221)</f>
        <v>532.34977777777783</v>
      </c>
      <c r="AM222" s="11">
        <f>IF('Encargos e Benefícios'!C221=0,0,'Encargos e Benefícios'!AC221/'Encargos e Benefícios'!C221)</f>
        <v>1362.56</v>
      </c>
      <c r="AN222" s="119">
        <f>IF('Encargos e Benefícios'!C221=0,0,'Encargos e Benefícios'!AD221/'Encargos e Benefícios'!C221)</f>
        <v>3498.9097777777779</v>
      </c>
      <c r="AO222" s="32">
        <f t="shared" si="3"/>
        <v>2286.52</v>
      </c>
      <c r="AP222" s="31">
        <v>1633.23</v>
      </c>
      <c r="AQ222" s="31">
        <v>2939.81</v>
      </c>
      <c r="AR222" s="210" t="s">
        <v>101</v>
      </c>
      <c r="AS222" s="32"/>
    </row>
    <row r="223" spans="1:45" ht="12.75" x14ac:dyDescent="0.2">
      <c r="A223" s="48">
        <v>217</v>
      </c>
      <c r="B223" s="12" t="str">
        <f>'Encargos e Benefícios'!B222</f>
        <v>Subgerente de Compras e financeiro</v>
      </c>
      <c r="C223" s="10">
        <f>'Encargos e Benefícios'!C222</f>
        <v>2</v>
      </c>
      <c r="D223" s="38" t="s">
        <v>615</v>
      </c>
      <c r="E223" s="174">
        <v>46023</v>
      </c>
      <c r="F223" s="173">
        <v>47118</v>
      </c>
      <c r="G223" s="172">
        <v>46023</v>
      </c>
      <c r="H223" s="370">
        <v>3.5000000000000003E-2</v>
      </c>
      <c r="I223" s="47"/>
      <c r="J223" s="47"/>
      <c r="K223" s="47"/>
      <c r="L223" s="47"/>
      <c r="M223" s="172">
        <v>46388</v>
      </c>
      <c r="N223" s="370">
        <v>0.04</v>
      </c>
      <c r="O223" s="47"/>
      <c r="P223" s="47"/>
      <c r="Q223" s="47"/>
      <c r="R223" s="47"/>
      <c r="S223" s="172">
        <v>46753</v>
      </c>
      <c r="T223" s="370">
        <v>0.04</v>
      </c>
      <c r="U223" s="47"/>
      <c r="V223" s="47"/>
      <c r="W223" s="47"/>
      <c r="X223" s="47"/>
      <c r="Y223" s="172"/>
      <c r="Z223" s="133"/>
      <c r="AA223" s="47"/>
      <c r="AB223" s="47"/>
      <c r="AC223" s="47"/>
      <c r="AD223" s="47"/>
      <c r="AE223" s="172"/>
      <c r="AF223" s="133"/>
      <c r="AG223" s="47"/>
      <c r="AH223" s="47"/>
      <c r="AI223" s="47"/>
      <c r="AJ223" s="136"/>
      <c r="AK223" s="11">
        <f>'Encargos e Benefícios'!D222</f>
        <v>7267.7417400000004</v>
      </c>
      <c r="AL223" s="11">
        <f>IF('Encargos e Benefícios'!C222=0,0,'Encargos e Benefícios'!U222/'Encargos e Benefícios'!C222)</f>
        <v>3743.9716197088892</v>
      </c>
      <c r="AM223" s="11">
        <f>IF('Encargos e Benefícios'!C222=0,0,'Encargos e Benefícios'!AC222/'Encargos e Benefícios'!C222)</f>
        <v>1088.8</v>
      </c>
      <c r="AN223" s="119">
        <f>IF('Encargos e Benefícios'!C222=0,0,'Encargos e Benefícios'!AD222/'Encargos e Benefícios'!C222)</f>
        <v>12100.51335970889</v>
      </c>
      <c r="AO223" s="32">
        <f t="shared" si="3"/>
        <v>9992.880000000001</v>
      </c>
      <c r="AP223" s="31">
        <v>7137.77</v>
      </c>
      <c r="AQ223" s="31">
        <v>12847.99</v>
      </c>
      <c r="AR223" s="210" t="s">
        <v>101</v>
      </c>
      <c r="AS223" s="32"/>
    </row>
    <row r="224" spans="1:45" ht="12.75" x14ac:dyDescent="0.2">
      <c r="A224" s="48">
        <v>218</v>
      </c>
      <c r="B224" s="12" t="str">
        <f>'Encargos e Benefícios'!B223</f>
        <v>Subgerente de Departamento Pessoal</v>
      </c>
      <c r="C224" s="10">
        <f>'Encargos e Benefícios'!C223</f>
        <v>1</v>
      </c>
      <c r="D224" s="38" t="s">
        <v>615</v>
      </c>
      <c r="E224" s="174">
        <v>46023</v>
      </c>
      <c r="F224" s="173">
        <v>47118</v>
      </c>
      <c r="G224" s="172">
        <v>46023</v>
      </c>
      <c r="H224" s="370">
        <v>3.5000000000000003E-2</v>
      </c>
      <c r="I224" s="47"/>
      <c r="J224" s="47"/>
      <c r="K224" s="47"/>
      <c r="L224" s="47"/>
      <c r="M224" s="172">
        <v>46388</v>
      </c>
      <c r="N224" s="370">
        <v>0.04</v>
      </c>
      <c r="O224" s="47"/>
      <c r="P224" s="47"/>
      <c r="Q224" s="47"/>
      <c r="R224" s="47"/>
      <c r="S224" s="172">
        <v>46753</v>
      </c>
      <c r="T224" s="370">
        <v>0.04</v>
      </c>
      <c r="U224" s="47"/>
      <c r="V224" s="47"/>
      <c r="W224" s="47"/>
      <c r="X224" s="47"/>
      <c r="Y224" s="172"/>
      <c r="Z224" s="133"/>
      <c r="AA224" s="47"/>
      <c r="AB224" s="47"/>
      <c r="AC224" s="47"/>
      <c r="AD224" s="47"/>
      <c r="AE224" s="172"/>
      <c r="AF224" s="133"/>
      <c r="AG224" s="47"/>
      <c r="AH224" s="47"/>
      <c r="AI224" s="47"/>
      <c r="AJ224" s="136"/>
      <c r="AK224" s="11">
        <f>'Encargos e Benefícios'!D223</f>
        <v>7267.7417400000004</v>
      </c>
      <c r="AL224" s="11">
        <f>IF('Encargos e Benefícios'!C223=0,0,'Encargos e Benefícios'!U223/'Encargos e Benefícios'!C223)</f>
        <v>3743.9716197088892</v>
      </c>
      <c r="AM224" s="11">
        <f>IF('Encargos e Benefícios'!C223=0,0,'Encargos e Benefícios'!AC223/'Encargos e Benefícios'!C223)</f>
        <v>1088.8</v>
      </c>
      <c r="AN224" s="119">
        <f>IF('Encargos e Benefícios'!C223=0,0,'Encargos e Benefícios'!AD223/'Encargos e Benefícios'!C223)</f>
        <v>12100.51335970889</v>
      </c>
      <c r="AO224" s="32">
        <f t="shared" si="3"/>
        <v>9992.880000000001</v>
      </c>
      <c r="AP224" s="31">
        <v>7137.77</v>
      </c>
      <c r="AQ224" s="31">
        <v>12847.99</v>
      </c>
      <c r="AR224" s="210" t="s">
        <v>101</v>
      </c>
      <c r="AS224" s="32"/>
    </row>
    <row r="225" spans="1:45" ht="12.75" x14ac:dyDescent="0.2">
      <c r="A225" s="48">
        <v>219</v>
      </c>
      <c r="B225" s="12" t="str">
        <f>'Encargos e Benefícios'!B224</f>
        <v>Subgerente de Patrimônio e Frota</v>
      </c>
      <c r="C225" s="10">
        <f>'Encargos e Benefícios'!C224</f>
        <v>1</v>
      </c>
      <c r="D225" s="38" t="s">
        <v>615</v>
      </c>
      <c r="E225" s="174">
        <v>46023</v>
      </c>
      <c r="F225" s="173">
        <v>47118</v>
      </c>
      <c r="G225" s="172">
        <v>46023</v>
      </c>
      <c r="H225" s="370">
        <v>3.5000000000000003E-2</v>
      </c>
      <c r="I225" s="47"/>
      <c r="J225" s="47"/>
      <c r="K225" s="47"/>
      <c r="L225" s="47"/>
      <c r="M225" s="172">
        <v>46388</v>
      </c>
      <c r="N225" s="370">
        <v>0.04</v>
      </c>
      <c r="O225" s="47"/>
      <c r="P225" s="47"/>
      <c r="Q225" s="47"/>
      <c r="R225" s="47"/>
      <c r="S225" s="172">
        <v>46753</v>
      </c>
      <c r="T225" s="370">
        <v>0.04</v>
      </c>
      <c r="U225" s="47"/>
      <c r="V225" s="47"/>
      <c r="W225" s="47"/>
      <c r="X225" s="47"/>
      <c r="Y225" s="172"/>
      <c r="Z225" s="133"/>
      <c r="AA225" s="47"/>
      <c r="AB225" s="47"/>
      <c r="AC225" s="47"/>
      <c r="AD225" s="47"/>
      <c r="AE225" s="172"/>
      <c r="AF225" s="133"/>
      <c r="AG225" s="47"/>
      <c r="AH225" s="47"/>
      <c r="AI225" s="47"/>
      <c r="AJ225" s="136"/>
      <c r="AK225" s="11">
        <f>'Encargos e Benefícios'!D224</f>
        <v>7267.7417400000004</v>
      </c>
      <c r="AL225" s="11">
        <f>IF('Encargos e Benefícios'!C224=0,0,'Encargos e Benefícios'!U224/'Encargos e Benefícios'!C224)</f>
        <v>2412.0827308200005</v>
      </c>
      <c r="AM225" s="11">
        <f>IF('Encargos e Benefícios'!C224=0,0,'Encargos e Benefícios'!AC224/'Encargos e Benefícios'!C224)</f>
        <v>1088.8</v>
      </c>
      <c r="AN225" s="119">
        <f>IF('Encargos e Benefícios'!C224=0,0,'Encargos e Benefícios'!AD224/'Encargos e Benefícios'!C224)</f>
        <v>10768.624470819999</v>
      </c>
      <c r="AO225" s="32">
        <f t="shared" si="3"/>
        <v>9992.880000000001</v>
      </c>
      <c r="AP225" s="31">
        <v>7137.77</v>
      </c>
      <c r="AQ225" s="31">
        <v>12847.99</v>
      </c>
      <c r="AR225" s="210" t="s">
        <v>101</v>
      </c>
      <c r="AS225" s="32"/>
    </row>
    <row r="226" spans="1:45" ht="12.75" x14ac:dyDescent="0.2">
      <c r="A226" s="48">
        <v>220</v>
      </c>
      <c r="B226" s="12" t="str">
        <f>'Encargos e Benefícios'!B225</f>
        <v xml:space="preserve">Supervisão Técnica de Monitoramento </v>
      </c>
      <c r="C226" s="10">
        <f>'Encargos e Benefícios'!C225</f>
        <v>6</v>
      </c>
      <c r="D226" s="38" t="s">
        <v>615</v>
      </c>
      <c r="E226" s="174">
        <v>46023</v>
      </c>
      <c r="F226" s="173">
        <v>47118</v>
      </c>
      <c r="G226" s="172">
        <v>46023</v>
      </c>
      <c r="H226" s="370">
        <v>3.5000000000000003E-2</v>
      </c>
      <c r="I226" s="47"/>
      <c r="J226" s="47"/>
      <c r="K226" s="47"/>
      <c r="L226" s="47"/>
      <c r="M226" s="172">
        <v>46388</v>
      </c>
      <c r="N226" s="370">
        <v>0.04</v>
      </c>
      <c r="O226" s="47"/>
      <c r="P226" s="47"/>
      <c r="Q226" s="47"/>
      <c r="R226" s="47"/>
      <c r="S226" s="172">
        <v>46753</v>
      </c>
      <c r="T226" s="370">
        <v>0.04</v>
      </c>
      <c r="U226" s="47"/>
      <c r="V226" s="47"/>
      <c r="W226" s="47"/>
      <c r="X226" s="47"/>
      <c r="Y226" s="172"/>
      <c r="Z226" s="133"/>
      <c r="AA226" s="47"/>
      <c r="AB226" s="47"/>
      <c r="AC226" s="47"/>
      <c r="AD226" s="47"/>
      <c r="AE226" s="172"/>
      <c r="AF226" s="133"/>
      <c r="AG226" s="47"/>
      <c r="AH226" s="47"/>
      <c r="AI226" s="47"/>
      <c r="AJ226" s="136"/>
      <c r="AK226" s="11">
        <f>'Encargos e Benefícios'!D225</f>
        <v>7267.7417400000004</v>
      </c>
      <c r="AL226" s="11">
        <f>IF('Encargos e Benefícios'!C225=0,0,'Encargos e Benefícios'!U225/'Encargos e Benefícios'!C225)</f>
        <v>2412.0827308200001</v>
      </c>
      <c r="AM226" s="11">
        <f>IF('Encargos e Benefícios'!C225=0,0,'Encargos e Benefícios'!AC225/'Encargos e Benefícios'!C225)</f>
        <v>1088.8</v>
      </c>
      <c r="AN226" s="119">
        <f>IF('Encargos e Benefícios'!C225=0,0,'Encargos e Benefícios'!AD225/'Encargos e Benefícios'!C225)</f>
        <v>10768.624470820001</v>
      </c>
      <c r="AO226" s="32">
        <f t="shared" si="3"/>
        <v>9992.880000000001</v>
      </c>
      <c r="AP226" s="31">
        <v>7137.77</v>
      </c>
      <c r="AQ226" s="31">
        <v>12847.99</v>
      </c>
      <c r="AR226" s="210" t="s">
        <v>116</v>
      </c>
      <c r="AS226" s="32"/>
    </row>
    <row r="227" spans="1:45" ht="12.75" x14ac:dyDescent="0.2">
      <c r="A227" s="48">
        <v>221</v>
      </c>
      <c r="B227" s="12" t="str">
        <f>'Encargos e Benefícios'!B226</f>
        <v xml:space="preserve">Supervisão Técnica de Monitoria </v>
      </c>
      <c r="C227" s="10">
        <f>'Encargos e Benefícios'!C226</f>
        <v>4</v>
      </c>
      <c r="D227" s="38" t="s">
        <v>615</v>
      </c>
      <c r="E227" s="174">
        <v>46023</v>
      </c>
      <c r="F227" s="173">
        <v>47118</v>
      </c>
      <c r="G227" s="172">
        <v>46023</v>
      </c>
      <c r="H227" s="370">
        <v>3.5000000000000003E-2</v>
      </c>
      <c r="I227" s="47"/>
      <c r="J227" s="47"/>
      <c r="K227" s="47"/>
      <c r="L227" s="47"/>
      <c r="M227" s="172">
        <v>46388</v>
      </c>
      <c r="N227" s="370">
        <v>0.04</v>
      </c>
      <c r="O227" s="47"/>
      <c r="P227" s="47"/>
      <c r="Q227" s="47"/>
      <c r="R227" s="47"/>
      <c r="S227" s="172">
        <v>46753</v>
      </c>
      <c r="T227" s="370">
        <v>0.04</v>
      </c>
      <c r="U227" s="47"/>
      <c r="V227" s="47"/>
      <c r="W227" s="47"/>
      <c r="X227" s="47"/>
      <c r="Y227" s="172"/>
      <c r="Z227" s="133"/>
      <c r="AA227" s="47"/>
      <c r="AB227" s="47"/>
      <c r="AC227" s="47"/>
      <c r="AD227" s="47"/>
      <c r="AE227" s="172"/>
      <c r="AF227" s="133"/>
      <c r="AG227" s="47"/>
      <c r="AH227" s="47"/>
      <c r="AI227" s="47"/>
      <c r="AJ227" s="136"/>
      <c r="AK227" s="11">
        <f>'Encargos e Benefícios'!D226</f>
        <v>7267.7417400000004</v>
      </c>
      <c r="AL227" s="11">
        <f>IF('Encargos e Benefícios'!C226=0,0,'Encargos e Benefícios'!U226/'Encargos e Benefícios'!C226)</f>
        <v>2412.0827308200005</v>
      </c>
      <c r="AM227" s="11">
        <f>IF('Encargos e Benefícios'!C226=0,0,'Encargos e Benefícios'!AC226/'Encargos e Benefícios'!C226)</f>
        <v>1088.8</v>
      </c>
      <c r="AN227" s="119">
        <f>IF('Encargos e Benefícios'!C226=0,0,'Encargos e Benefícios'!AD226/'Encargos e Benefícios'!C226)</f>
        <v>10768.624470819999</v>
      </c>
      <c r="AO227" s="32">
        <f t="shared" si="3"/>
        <v>9992.880000000001</v>
      </c>
      <c r="AP227" s="31">
        <v>7137.77</v>
      </c>
      <c r="AQ227" s="31">
        <v>12847.99</v>
      </c>
      <c r="AR227" s="210" t="s">
        <v>116</v>
      </c>
      <c r="AS227" s="32"/>
    </row>
    <row r="228" spans="1:45" ht="12.75" x14ac:dyDescent="0.2">
      <c r="A228" s="48">
        <v>222</v>
      </c>
      <c r="B228" s="12" t="str">
        <f>'Encargos e Benefícios'!B227</f>
        <v xml:space="preserve">Assessor Jurídico </v>
      </c>
      <c r="C228" s="10">
        <f>'Encargos e Benefícios'!C227</f>
        <v>1</v>
      </c>
      <c r="D228" s="38" t="s">
        <v>615</v>
      </c>
      <c r="E228" s="174">
        <v>46023</v>
      </c>
      <c r="F228" s="173">
        <v>47118</v>
      </c>
      <c r="G228" s="172">
        <v>46023</v>
      </c>
      <c r="H228" s="370">
        <v>3.5000000000000003E-2</v>
      </c>
      <c r="I228" s="47"/>
      <c r="J228" s="47"/>
      <c r="K228" s="47"/>
      <c r="L228" s="47"/>
      <c r="M228" s="172">
        <v>46388</v>
      </c>
      <c r="N228" s="370">
        <v>0.04</v>
      </c>
      <c r="O228" s="47"/>
      <c r="P228" s="47"/>
      <c r="Q228" s="47"/>
      <c r="R228" s="47"/>
      <c r="S228" s="172">
        <v>46753</v>
      </c>
      <c r="T228" s="370">
        <v>0.04</v>
      </c>
      <c r="U228" s="47"/>
      <c r="V228" s="47"/>
      <c r="W228" s="47"/>
      <c r="X228" s="47"/>
      <c r="Y228" s="172"/>
      <c r="Z228" s="133"/>
      <c r="AA228" s="47"/>
      <c r="AB228" s="47"/>
      <c r="AC228" s="47"/>
      <c r="AD228" s="47"/>
      <c r="AE228" s="172"/>
      <c r="AF228" s="133"/>
      <c r="AG228" s="47"/>
      <c r="AH228" s="47"/>
      <c r="AI228" s="47"/>
      <c r="AJ228" s="136"/>
      <c r="AK228" s="11">
        <f>'Encargos e Benefícios'!D227</f>
        <v>5734.57</v>
      </c>
      <c r="AL228" s="11">
        <f>IF('Encargos e Benefícios'!C227=0,0,'Encargos e Benefícios'!U227/'Encargos e Benefícios'!C227)</f>
        <v>1903.2400655555555</v>
      </c>
      <c r="AM228" s="11">
        <f>IF('Encargos e Benefícios'!C227=0,0,'Encargos e Benefícios'!AC227/'Encargos e Benefícios'!C227)</f>
        <v>1114.7257999999999</v>
      </c>
      <c r="AN228" s="119">
        <f>IF('Encargos e Benefícios'!C227=0,0,'Encargos e Benefícios'!AD227/'Encargos e Benefícios'!C227)</f>
        <v>8752.5358655555556</v>
      </c>
      <c r="AO228" s="32">
        <f t="shared" si="3"/>
        <v>9992.880000000001</v>
      </c>
      <c r="AP228" s="31">
        <v>7137.77</v>
      </c>
      <c r="AQ228" s="31">
        <v>12847.99</v>
      </c>
      <c r="AR228" s="210" t="s">
        <v>101</v>
      </c>
      <c r="AS228" s="32"/>
    </row>
    <row r="229" spans="1:45" ht="12.75" x14ac:dyDescent="0.2">
      <c r="A229" s="48">
        <v>223</v>
      </c>
      <c r="B229" s="12" t="str">
        <f>'Encargos e Benefícios'!B228</f>
        <v>Motorista</v>
      </c>
      <c r="C229" s="10">
        <f>'Encargos e Benefícios'!C228</f>
        <v>1</v>
      </c>
      <c r="D229" s="38" t="s">
        <v>615</v>
      </c>
      <c r="E229" s="174">
        <v>46023</v>
      </c>
      <c r="F229" s="173">
        <v>47118</v>
      </c>
      <c r="G229" s="172">
        <v>46023</v>
      </c>
      <c r="H229" s="370">
        <v>3.5000000000000003E-2</v>
      </c>
      <c r="I229" s="47"/>
      <c r="J229" s="47"/>
      <c r="K229" s="47"/>
      <c r="L229" s="47"/>
      <c r="M229" s="172">
        <v>46388</v>
      </c>
      <c r="N229" s="370">
        <v>0.04</v>
      </c>
      <c r="O229" s="47"/>
      <c r="P229" s="47"/>
      <c r="Q229" s="47"/>
      <c r="R229" s="47"/>
      <c r="S229" s="172">
        <v>46753</v>
      </c>
      <c r="T229" s="370">
        <v>0.04</v>
      </c>
      <c r="U229" s="47"/>
      <c r="V229" s="47"/>
      <c r="W229" s="47"/>
      <c r="X229" s="47"/>
      <c r="Y229" s="172"/>
      <c r="Z229" s="133"/>
      <c r="AA229" s="47"/>
      <c r="AB229" s="47"/>
      <c r="AC229" s="47"/>
      <c r="AD229" s="47"/>
      <c r="AE229" s="172"/>
      <c r="AF229" s="133"/>
      <c r="AG229" s="47"/>
      <c r="AH229" s="47"/>
      <c r="AI229" s="47"/>
      <c r="AJ229" s="136"/>
      <c r="AK229" s="11">
        <f>'Encargos e Benefícios'!D228</f>
        <v>2216.5886211419997</v>
      </c>
      <c r="AL229" s="11">
        <f>IF('Encargos e Benefícios'!C228=0,0,'Encargos e Benefícios'!U228/'Encargos e Benefícios'!C228)</f>
        <v>735.66113459457256</v>
      </c>
      <c r="AM229" s="11">
        <f>IF('Encargos e Benefícios'!C228=0,0,'Encargos e Benefícios'!AC228/'Encargos e Benefícios'!C228)</f>
        <v>1325.8046827314799</v>
      </c>
      <c r="AN229" s="119">
        <f>IF('Encargos e Benefícios'!C228=0,0,'Encargos e Benefícios'!AD228/'Encargos e Benefícios'!C228)</f>
        <v>4278.0544384680525</v>
      </c>
      <c r="AO229" s="32">
        <f t="shared" si="3"/>
        <v>2638.67</v>
      </c>
      <c r="AP229" s="31">
        <v>1884.76</v>
      </c>
      <c r="AQ229" s="31">
        <v>3392.58</v>
      </c>
      <c r="AR229" s="210" t="s">
        <v>101</v>
      </c>
      <c r="AS229" s="32"/>
    </row>
    <row r="230" spans="1:45" ht="12.75" x14ac:dyDescent="0.2">
      <c r="A230" s="48">
        <v>224</v>
      </c>
      <c r="B230" s="12" t="str">
        <f>'Encargos e Benefícios'!B229</f>
        <v>Analista  - Nutricionista</v>
      </c>
      <c r="C230" s="10">
        <f>'Encargos e Benefícios'!C229</f>
        <v>1</v>
      </c>
      <c r="D230" s="38" t="s">
        <v>615</v>
      </c>
      <c r="E230" s="174">
        <v>46023</v>
      </c>
      <c r="F230" s="173">
        <v>47118</v>
      </c>
      <c r="G230" s="172">
        <v>46023</v>
      </c>
      <c r="H230" s="370">
        <v>3.5000000000000003E-2</v>
      </c>
      <c r="I230" s="47"/>
      <c r="J230" s="47"/>
      <c r="K230" s="47"/>
      <c r="L230" s="47"/>
      <c r="M230" s="172">
        <v>46388</v>
      </c>
      <c r="N230" s="370">
        <v>0.04</v>
      </c>
      <c r="O230" s="47"/>
      <c r="P230" s="47"/>
      <c r="Q230" s="47"/>
      <c r="R230" s="47"/>
      <c r="S230" s="172">
        <v>46753</v>
      </c>
      <c r="T230" s="370">
        <v>0.04</v>
      </c>
      <c r="U230" s="47"/>
      <c r="V230" s="47"/>
      <c r="W230" s="47"/>
      <c r="X230" s="47"/>
      <c r="Y230" s="172"/>
      <c r="Z230" s="133"/>
      <c r="AA230" s="47"/>
      <c r="AB230" s="47"/>
      <c r="AC230" s="47"/>
      <c r="AD230" s="47"/>
      <c r="AE230" s="172"/>
      <c r="AF230" s="133"/>
      <c r="AG230" s="47"/>
      <c r="AH230" s="47"/>
      <c r="AI230" s="47"/>
      <c r="AJ230" s="136"/>
      <c r="AK230" s="11">
        <f>'Encargos e Benefícios'!D229</f>
        <v>4664.5671649779988</v>
      </c>
      <c r="AL230" s="11">
        <f>IF('Encargos e Benefícios'!C229=0,0,'Encargos e Benefícios'!U229/'Encargos e Benefícios'!C229)</f>
        <v>1548.1180135321424</v>
      </c>
      <c r="AM230" s="11">
        <f>IF('Encargos e Benefícios'!C229=0,0,'Encargos e Benefícios'!AC229/'Encargos e Benefícios'!C229)</f>
        <v>1178.92597010132</v>
      </c>
      <c r="AN230" s="119">
        <f>IF('Encargos e Benefícios'!C229=0,0,'Encargos e Benefícios'!AD229/'Encargos e Benefícios'!C229)</f>
        <v>7391.6111486114605</v>
      </c>
      <c r="AO230" s="32">
        <f t="shared" si="3"/>
        <v>7383.3099999999995</v>
      </c>
      <c r="AP230" s="31">
        <v>5273.79</v>
      </c>
      <c r="AQ230" s="31">
        <v>9492.83</v>
      </c>
      <c r="AR230" s="210" t="s">
        <v>116</v>
      </c>
      <c r="AS230" s="32"/>
    </row>
    <row r="231" spans="1:45" ht="12.75" x14ac:dyDescent="0.2">
      <c r="A231" s="48">
        <v>225</v>
      </c>
      <c r="B231" s="12" t="str">
        <f>'Encargos e Benefícios'!B230</f>
        <v xml:space="preserve">Engenheiro </v>
      </c>
      <c r="C231" s="10">
        <f>'Encargos e Benefícios'!C230</f>
        <v>1</v>
      </c>
      <c r="D231" s="38" t="s">
        <v>615</v>
      </c>
      <c r="E231" s="174">
        <v>46023</v>
      </c>
      <c r="F231" s="173">
        <v>47118</v>
      </c>
      <c r="G231" s="172">
        <v>46023</v>
      </c>
      <c r="H231" s="370">
        <v>3.5000000000000003E-2</v>
      </c>
      <c r="I231" s="47"/>
      <c r="J231" s="47"/>
      <c r="K231" s="47"/>
      <c r="L231" s="47"/>
      <c r="M231" s="172">
        <v>46388</v>
      </c>
      <c r="N231" s="370">
        <v>0.04</v>
      </c>
      <c r="O231" s="47"/>
      <c r="P231" s="47"/>
      <c r="Q231" s="47"/>
      <c r="R231" s="47"/>
      <c r="S231" s="172">
        <v>46753</v>
      </c>
      <c r="T231" s="370">
        <v>0.04</v>
      </c>
      <c r="U231" s="47"/>
      <c r="V231" s="47"/>
      <c r="W231" s="47"/>
      <c r="X231" s="47"/>
      <c r="Y231" s="172"/>
      <c r="Z231" s="133"/>
      <c r="AA231" s="47"/>
      <c r="AB231" s="47"/>
      <c r="AC231" s="47"/>
      <c r="AD231" s="47"/>
      <c r="AE231" s="172"/>
      <c r="AF231" s="133"/>
      <c r="AG231" s="47"/>
      <c r="AH231" s="47"/>
      <c r="AI231" s="47"/>
      <c r="AJ231" s="136"/>
      <c r="AK231" s="11">
        <f>'Encargos e Benefícios'!D230</f>
        <v>9600</v>
      </c>
      <c r="AL231" s="11">
        <f>IF('Encargos e Benefícios'!C230=0,0,'Encargos e Benefícios'!U230/'Encargos e Benefícios'!C230)</f>
        <v>3186.1333333333332</v>
      </c>
      <c r="AM231" s="11">
        <f>IF('Encargos e Benefícios'!C230=0,0,'Encargos e Benefícios'!AC230/'Encargos e Benefícios'!C230)</f>
        <v>1088.8</v>
      </c>
      <c r="AN231" s="119">
        <f>IF('Encargos e Benefícios'!C230=0,0,'Encargos e Benefícios'!AD230/'Encargos e Benefícios'!C230)</f>
        <v>13874.933333333332</v>
      </c>
      <c r="AO231" s="32">
        <f t="shared" si="3"/>
        <v>13514.705000000002</v>
      </c>
      <c r="AP231" s="31">
        <v>9147.1200000000008</v>
      </c>
      <c r="AQ231" s="31">
        <v>17882.29</v>
      </c>
      <c r="AR231" s="210" t="s">
        <v>116</v>
      </c>
      <c r="AS231" s="32"/>
    </row>
    <row r="232" spans="1:45" ht="12.75" x14ac:dyDescent="0.2">
      <c r="A232" s="48">
        <v>226</v>
      </c>
      <c r="B232" s="12" t="str">
        <f>'Encargos e Benefícios'!B231</f>
        <v>Jovem Aprendiz</v>
      </c>
      <c r="C232" s="10">
        <f>'Encargos e Benefícios'!C231</f>
        <v>41</v>
      </c>
      <c r="D232" s="38" t="s">
        <v>619</v>
      </c>
      <c r="E232" s="174">
        <v>46023</v>
      </c>
      <c r="F232" s="173">
        <v>46387</v>
      </c>
      <c r="G232" s="172">
        <v>46023</v>
      </c>
      <c r="H232" s="370">
        <v>3.5000000000000003E-2</v>
      </c>
      <c r="I232" s="47"/>
      <c r="J232" s="47"/>
      <c r="K232" s="47"/>
      <c r="L232" s="47"/>
      <c r="M232" s="172">
        <v>46388</v>
      </c>
      <c r="N232" s="370">
        <v>0.04</v>
      </c>
      <c r="O232" s="47"/>
      <c r="P232" s="47"/>
      <c r="Q232" s="47"/>
      <c r="R232" s="47"/>
      <c r="S232" s="172">
        <v>46753</v>
      </c>
      <c r="T232" s="370">
        <v>0.04</v>
      </c>
      <c r="U232" s="47"/>
      <c r="V232" s="47"/>
      <c r="W232" s="47"/>
      <c r="X232" s="47"/>
      <c r="Y232" s="172"/>
      <c r="Z232" s="133"/>
      <c r="AA232" s="47"/>
      <c r="AB232" s="47"/>
      <c r="AC232" s="47"/>
      <c r="AD232" s="47"/>
      <c r="AE232" s="172"/>
      <c r="AF232" s="133"/>
      <c r="AG232" s="47"/>
      <c r="AH232" s="47"/>
      <c r="AI232" s="47"/>
      <c r="AJ232" s="136"/>
      <c r="AK232" s="11">
        <f>'Encargos e Benefícios'!D231</f>
        <v>760</v>
      </c>
      <c r="AL232" s="11">
        <f>IF('Encargos e Benefícios'!C231=0,0,'Encargos e Benefícios'!U231/'Encargos e Benefícios'!C231)</f>
        <v>234.64999999999998</v>
      </c>
      <c r="AM232" s="11">
        <f>IF('Encargos e Benefícios'!C231=0,0,'Encargos e Benefícios'!AC231/'Encargos e Benefícios'!C231)</f>
        <v>863.93658536585372</v>
      </c>
      <c r="AN232" s="119">
        <f>IF('Encargos e Benefícios'!C231=0,0,'Encargos e Benefícios'!AD231/'Encargos e Benefícios'!C231)</f>
        <v>1858.5865853658538</v>
      </c>
      <c r="AO232" s="32"/>
      <c r="AP232" s="31" t="s">
        <v>621</v>
      </c>
      <c r="AQ232" s="31"/>
      <c r="AR232" s="210" t="s">
        <v>101</v>
      </c>
      <c r="AS232" s="32"/>
    </row>
    <row r="233" spans="1:45" ht="12.75" x14ac:dyDescent="0.2">
      <c r="A233" s="48">
        <v>227</v>
      </c>
      <c r="B233" s="12" t="str">
        <f>'Encargos e Benefícios'!B232</f>
        <v xml:space="preserve">Encarregado de manutenção </v>
      </c>
      <c r="C233" s="10">
        <f>'Encargos e Benefícios'!C232</f>
        <v>7</v>
      </c>
      <c r="D233" s="38" t="s">
        <v>615</v>
      </c>
      <c r="E233" s="174">
        <v>46023</v>
      </c>
      <c r="F233" s="173">
        <v>46387</v>
      </c>
      <c r="G233" s="172">
        <v>46023</v>
      </c>
      <c r="H233" s="370">
        <v>3.5000000000000003E-2</v>
      </c>
      <c r="I233" s="47"/>
      <c r="J233" s="47"/>
      <c r="K233" s="47"/>
      <c r="L233" s="47"/>
      <c r="M233" s="172">
        <v>46388</v>
      </c>
      <c r="N233" s="370">
        <v>0.04</v>
      </c>
      <c r="O233" s="47"/>
      <c r="P233" s="47"/>
      <c r="Q233" s="47"/>
      <c r="R233" s="47"/>
      <c r="S233" s="172">
        <v>46753</v>
      </c>
      <c r="T233" s="370">
        <v>0.04</v>
      </c>
      <c r="U233" s="47"/>
      <c r="V233" s="47"/>
      <c r="W233" s="47"/>
      <c r="X233" s="47"/>
      <c r="Y233" s="172"/>
      <c r="Z233" s="133"/>
      <c r="AA233" s="47"/>
      <c r="AB233" s="47"/>
      <c r="AC233" s="47"/>
      <c r="AD233" s="47"/>
      <c r="AE233" s="172"/>
      <c r="AF233" s="133"/>
      <c r="AG233" s="47"/>
      <c r="AH233" s="47"/>
      <c r="AI233" s="47"/>
      <c r="AJ233" s="136"/>
      <c r="AK233" s="11">
        <f>'Encargos e Benefícios'!D232</f>
        <v>2800</v>
      </c>
      <c r="AL233" s="11">
        <f>IF('Encargos e Benefícios'!C232=0,0,'Encargos e Benefícios'!U232/'Encargos e Benefícios'!C232)</f>
        <v>864.5</v>
      </c>
      <c r="AM233" s="11">
        <f>IF('Encargos e Benefícios'!C232=0,0,'Encargos e Benefícios'!AC232/'Encargos e Benefícios'!C232)</f>
        <v>1233</v>
      </c>
      <c r="AN233" s="119">
        <f>IF('Encargos e Benefícios'!C232=0,0,'Encargos e Benefícios'!AD232/'Encargos e Benefícios'!C232)</f>
        <v>4897.5</v>
      </c>
      <c r="AO233" s="32">
        <f t="shared" si="3"/>
        <v>2645.89</v>
      </c>
      <c r="AP233" s="31">
        <v>1889.89</v>
      </c>
      <c r="AQ233" s="31">
        <v>3401.89</v>
      </c>
      <c r="AR233" s="210" t="s">
        <v>116</v>
      </c>
      <c r="AS233" s="32"/>
    </row>
    <row r="234" spans="1:45" ht="21" customHeight="1" x14ac:dyDescent="0.2">
      <c r="A234" s="48">
        <v>228</v>
      </c>
      <c r="B234" s="12" t="str">
        <f>'Encargos e Benefícios'!B233</f>
        <v>Gestor de Monitoria e Socioeducação (CEIP Sete Lagoas)</v>
      </c>
      <c r="C234" s="10">
        <f>'Encargos e Benefícios'!C233</f>
        <v>1</v>
      </c>
      <c r="D234" s="38" t="s">
        <v>615</v>
      </c>
      <c r="E234" s="174">
        <v>46023</v>
      </c>
      <c r="F234" s="173">
        <v>46387</v>
      </c>
      <c r="G234" s="172">
        <v>46023</v>
      </c>
      <c r="H234" s="370">
        <v>3.5000000000000003E-2</v>
      </c>
      <c r="I234" s="47"/>
      <c r="J234" s="47"/>
      <c r="K234" s="47"/>
      <c r="L234" s="47"/>
      <c r="M234" s="172">
        <v>46388</v>
      </c>
      <c r="N234" s="370">
        <v>0.04</v>
      </c>
      <c r="O234" s="47"/>
      <c r="P234" s="47"/>
      <c r="Q234" s="47"/>
      <c r="R234" s="47"/>
      <c r="S234" s="172">
        <v>46753</v>
      </c>
      <c r="T234" s="370">
        <v>0.04</v>
      </c>
      <c r="U234" s="47"/>
      <c r="V234" s="47"/>
      <c r="W234" s="47"/>
      <c r="X234" s="47"/>
      <c r="Y234" s="172"/>
      <c r="Z234" s="133"/>
      <c r="AA234" s="47"/>
      <c r="AB234" s="47"/>
      <c r="AC234" s="47"/>
      <c r="AD234" s="47"/>
      <c r="AE234" s="172"/>
      <c r="AF234" s="133"/>
      <c r="AG234" s="47"/>
      <c r="AH234" s="47"/>
      <c r="AI234" s="47"/>
      <c r="AJ234" s="136"/>
      <c r="AK234" s="11">
        <f>'Encargos e Benefícios'!D233</f>
        <v>6971.8487432299989</v>
      </c>
      <c r="AL234" s="11">
        <f>IF('Encargos e Benefícios'!C233=0,0,'Encargos e Benefícios'!U233/'Encargos e Benefícios'!C233)</f>
        <v>2152.5582994722622</v>
      </c>
      <c r="AM234" s="11">
        <f>IF('Encargos e Benefícios'!C233=0,0,'Encargos e Benefícios'!AC233/'Encargos e Benefícios'!C233)</f>
        <v>1031</v>
      </c>
      <c r="AN234" s="119">
        <f>IF('Encargos e Benefícios'!C233=0,0,'Encargos e Benefícios'!AD233/'Encargos e Benefícios'!C233)</f>
        <v>10155.407042702262</v>
      </c>
      <c r="AO234" s="32">
        <f t="shared" si="3"/>
        <v>6777.27</v>
      </c>
      <c r="AP234" s="31">
        <v>3515.09</v>
      </c>
      <c r="AQ234" s="31">
        <v>10039.450000000001</v>
      </c>
      <c r="AR234" s="210" t="s">
        <v>116</v>
      </c>
      <c r="AS234" s="32"/>
    </row>
    <row r="235" spans="1:45" ht="12.75" hidden="1" x14ac:dyDescent="0.2">
      <c r="A235" s="48">
        <v>229</v>
      </c>
      <c r="B235" s="12">
        <f>'Encargos e Benefícios'!B234</f>
        <v>0</v>
      </c>
      <c r="C235" s="10">
        <f>'Encargos e Benefícios'!C234</f>
        <v>0</v>
      </c>
      <c r="D235" s="38"/>
      <c r="E235" s="174"/>
      <c r="F235" s="173"/>
      <c r="G235" s="172"/>
      <c r="H235" s="370"/>
      <c r="I235" s="47"/>
      <c r="J235" s="47"/>
      <c r="K235" s="47"/>
      <c r="L235" s="47"/>
      <c r="M235" s="172"/>
      <c r="N235" s="370"/>
      <c r="O235" s="47"/>
      <c r="P235" s="47"/>
      <c r="Q235" s="47"/>
      <c r="R235" s="47"/>
      <c r="S235" s="172"/>
      <c r="T235" s="370"/>
      <c r="U235" s="47"/>
      <c r="V235" s="47"/>
      <c r="W235" s="47"/>
      <c r="X235" s="47"/>
      <c r="Y235" s="172"/>
      <c r="Z235" s="133"/>
      <c r="AA235" s="47"/>
      <c r="AB235" s="47"/>
      <c r="AC235" s="47"/>
      <c r="AD235" s="47"/>
      <c r="AE235" s="172"/>
      <c r="AF235" s="133"/>
      <c r="AG235" s="47"/>
      <c r="AH235" s="47"/>
      <c r="AI235" s="47"/>
      <c r="AJ235" s="136"/>
      <c r="AK235" s="11">
        <f>'Encargos e Benefícios'!D234</f>
        <v>0</v>
      </c>
      <c r="AL235" s="11">
        <f>IF('Encargos e Benefícios'!C234=0,0,'Encargos e Benefícios'!U234/'Encargos e Benefícios'!C234)</f>
        <v>0</v>
      </c>
      <c r="AM235" s="11">
        <f>IF('Encargos e Benefícios'!C234=0,0,'Encargos e Benefícios'!AC234/'Encargos e Benefícios'!C234)</f>
        <v>0</v>
      </c>
      <c r="AN235" s="119">
        <f>IF('Encargos e Benefícios'!C234=0,0,'Encargos e Benefícios'!AD234/'Encargos e Benefícios'!C234)</f>
        <v>0</v>
      </c>
      <c r="AO235" s="32">
        <f t="shared" ref="AO235:AO243" si="4">(AQ235+AP235)/2</f>
        <v>4280.8549999999996</v>
      </c>
      <c r="AP235" s="31">
        <v>3057.75</v>
      </c>
      <c r="AQ235" s="31">
        <v>5503.96</v>
      </c>
      <c r="AR235" s="210" t="s">
        <v>575</v>
      </c>
      <c r="AS235" s="32"/>
    </row>
    <row r="236" spans="1:45" ht="12.75" hidden="1" x14ac:dyDescent="0.2">
      <c r="A236" s="48">
        <v>230</v>
      </c>
      <c r="B236" s="12">
        <f>'Encargos e Benefícios'!B235</f>
        <v>0</v>
      </c>
      <c r="C236" s="10">
        <f>'Encargos e Benefícios'!C235</f>
        <v>0</v>
      </c>
      <c r="D236" s="38"/>
      <c r="E236" s="174"/>
      <c r="F236" s="173"/>
      <c r="G236" s="172"/>
      <c r="H236" s="370"/>
      <c r="I236" s="47"/>
      <c r="J236" s="47"/>
      <c r="K236" s="47"/>
      <c r="L236" s="47"/>
      <c r="M236" s="172"/>
      <c r="N236" s="370"/>
      <c r="O236" s="47"/>
      <c r="P236" s="47"/>
      <c r="Q236" s="47"/>
      <c r="R236" s="47"/>
      <c r="S236" s="172"/>
      <c r="T236" s="370"/>
      <c r="U236" s="47"/>
      <c r="V236" s="47"/>
      <c r="W236" s="47"/>
      <c r="X236" s="47"/>
      <c r="Y236" s="172"/>
      <c r="Z236" s="133"/>
      <c r="AA236" s="47"/>
      <c r="AB236" s="47"/>
      <c r="AC236" s="47"/>
      <c r="AD236" s="47"/>
      <c r="AE236" s="172"/>
      <c r="AF236" s="133"/>
      <c r="AG236" s="47"/>
      <c r="AH236" s="47"/>
      <c r="AI236" s="47"/>
      <c r="AJ236" s="136"/>
      <c r="AK236" s="11">
        <f>'Encargos e Benefícios'!D235</f>
        <v>0</v>
      </c>
      <c r="AL236" s="11">
        <f>IF('Encargos e Benefícios'!C235=0,0,'Encargos e Benefícios'!U235/'Encargos e Benefícios'!C235)</f>
        <v>0</v>
      </c>
      <c r="AM236" s="11">
        <f>IF('Encargos e Benefícios'!C235=0,0,'Encargos e Benefícios'!AC235/'Encargos e Benefícios'!C235)</f>
        <v>0</v>
      </c>
      <c r="AN236" s="119">
        <f>IF('Encargos e Benefícios'!C235=0,0,'Encargos e Benefícios'!AD235/'Encargos e Benefícios'!C235)</f>
        <v>0</v>
      </c>
      <c r="AO236" s="32">
        <f t="shared" si="4"/>
        <v>4280.8549999999996</v>
      </c>
      <c r="AP236" s="31">
        <v>3057.75</v>
      </c>
      <c r="AQ236" s="31">
        <v>5503.96</v>
      </c>
      <c r="AR236" s="210" t="s">
        <v>575</v>
      </c>
      <c r="AS236" s="32"/>
    </row>
    <row r="237" spans="1:45" ht="12.75" hidden="1" x14ac:dyDescent="0.2">
      <c r="A237" s="48">
        <v>231</v>
      </c>
      <c r="B237" s="12">
        <f>'Encargos e Benefícios'!B236</f>
        <v>0</v>
      </c>
      <c r="C237" s="10">
        <f>'Encargos e Benefícios'!C236</f>
        <v>0</v>
      </c>
      <c r="D237" s="38"/>
      <c r="E237" s="174"/>
      <c r="F237" s="173"/>
      <c r="G237" s="172"/>
      <c r="H237" s="370"/>
      <c r="I237" s="47"/>
      <c r="J237" s="47"/>
      <c r="K237" s="47"/>
      <c r="L237" s="47"/>
      <c r="M237" s="172"/>
      <c r="N237" s="370"/>
      <c r="O237" s="47"/>
      <c r="P237" s="47"/>
      <c r="Q237" s="47"/>
      <c r="R237" s="47"/>
      <c r="S237" s="172"/>
      <c r="T237" s="370"/>
      <c r="U237" s="47"/>
      <c r="V237" s="47"/>
      <c r="W237" s="47"/>
      <c r="X237" s="47"/>
      <c r="Y237" s="172"/>
      <c r="Z237" s="133"/>
      <c r="AA237" s="47"/>
      <c r="AB237" s="47"/>
      <c r="AC237" s="47"/>
      <c r="AD237" s="47"/>
      <c r="AE237" s="172"/>
      <c r="AF237" s="133"/>
      <c r="AG237" s="47"/>
      <c r="AH237" s="47"/>
      <c r="AI237" s="47"/>
      <c r="AJ237" s="136"/>
      <c r="AK237" s="11">
        <f>'Encargos e Benefícios'!D236</f>
        <v>0</v>
      </c>
      <c r="AL237" s="11">
        <f>IF('Encargos e Benefícios'!C236=0,0,'Encargos e Benefícios'!U236/'Encargos e Benefícios'!C236)</f>
        <v>0</v>
      </c>
      <c r="AM237" s="11">
        <f>IF('Encargos e Benefícios'!C236=0,0,'Encargos e Benefícios'!AC236/'Encargos e Benefícios'!C236)</f>
        <v>0</v>
      </c>
      <c r="AN237" s="119">
        <f>IF('Encargos e Benefícios'!C236=0,0,'Encargos e Benefícios'!AD236/'Encargos e Benefícios'!C236)</f>
        <v>0</v>
      </c>
      <c r="AO237" s="32">
        <f t="shared" si="4"/>
        <v>4280.8549999999996</v>
      </c>
      <c r="AP237" s="31">
        <v>3057.75</v>
      </c>
      <c r="AQ237" s="31">
        <v>5503.96</v>
      </c>
      <c r="AR237" s="210" t="s">
        <v>575</v>
      </c>
      <c r="AS237" s="32"/>
    </row>
    <row r="238" spans="1:45" ht="12.75" hidden="1" x14ac:dyDescent="0.2">
      <c r="A238" s="48">
        <v>232</v>
      </c>
      <c r="B238" s="12">
        <f>'Encargos e Benefícios'!B237</f>
        <v>0</v>
      </c>
      <c r="C238" s="10">
        <f>'Encargos e Benefícios'!C237</f>
        <v>0</v>
      </c>
      <c r="D238" s="38"/>
      <c r="E238" s="174"/>
      <c r="F238" s="173"/>
      <c r="G238" s="172"/>
      <c r="H238" s="370"/>
      <c r="I238" s="47"/>
      <c r="J238" s="47"/>
      <c r="K238" s="47"/>
      <c r="L238" s="47"/>
      <c r="M238" s="172"/>
      <c r="N238" s="370"/>
      <c r="O238" s="47"/>
      <c r="P238" s="47"/>
      <c r="Q238" s="47"/>
      <c r="R238" s="47"/>
      <c r="S238" s="172"/>
      <c r="T238" s="370"/>
      <c r="U238" s="47"/>
      <c r="V238" s="47"/>
      <c r="W238" s="47"/>
      <c r="X238" s="47"/>
      <c r="Y238" s="172"/>
      <c r="Z238" s="133"/>
      <c r="AA238" s="47"/>
      <c r="AB238" s="47"/>
      <c r="AC238" s="47"/>
      <c r="AD238" s="47"/>
      <c r="AE238" s="172"/>
      <c r="AF238" s="133"/>
      <c r="AG238" s="47"/>
      <c r="AH238" s="47"/>
      <c r="AI238" s="47"/>
      <c r="AJ238" s="136"/>
      <c r="AK238" s="11">
        <f>'Encargos e Benefícios'!D237</f>
        <v>0</v>
      </c>
      <c r="AL238" s="11">
        <f>IF('Encargos e Benefícios'!C237=0,0,'Encargos e Benefícios'!U237/'Encargos e Benefícios'!C237)</f>
        <v>0</v>
      </c>
      <c r="AM238" s="11">
        <f>IF('Encargos e Benefícios'!C237=0,0,'Encargos e Benefícios'!AC237/'Encargos e Benefícios'!C237)</f>
        <v>0</v>
      </c>
      <c r="AN238" s="119">
        <f>IF('Encargos e Benefícios'!C237=0,0,'Encargos e Benefícios'!AD237/'Encargos e Benefícios'!C237)</f>
        <v>0</v>
      </c>
      <c r="AO238" s="32">
        <f t="shared" si="4"/>
        <v>7383.3099999999995</v>
      </c>
      <c r="AP238" s="31">
        <v>5273.79</v>
      </c>
      <c r="AQ238" s="31">
        <v>9492.83</v>
      </c>
      <c r="AR238" s="210" t="s">
        <v>575</v>
      </c>
      <c r="AS238" s="32"/>
    </row>
    <row r="239" spans="1:45" ht="12.75" hidden="1" x14ac:dyDescent="0.2">
      <c r="A239" s="48">
        <v>233</v>
      </c>
      <c r="B239" s="12">
        <f>'Encargos e Benefícios'!B238</f>
        <v>0</v>
      </c>
      <c r="C239" s="10">
        <f>'Encargos e Benefícios'!C238</f>
        <v>0</v>
      </c>
      <c r="D239" s="38"/>
      <c r="E239" s="174"/>
      <c r="F239" s="173"/>
      <c r="G239" s="172"/>
      <c r="H239" s="370"/>
      <c r="I239" s="47"/>
      <c r="J239" s="47"/>
      <c r="K239" s="47"/>
      <c r="L239" s="47"/>
      <c r="M239" s="172"/>
      <c r="N239" s="370"/>
      <c r="O239" s="47"/>
      <c r="P239" s="47"/>
      <c r="Q239" s="47"/>
      <c r="R239" s="47"/>
      <c r="S239" s="172"/>
      <c r="T239" s="370"/>
      <c r="U239" s="47"/>
      <c r="V239" s="47"/>
      <c r="W239" s="47"/>
      <c r="X239" s="47"/>
      <c r="Y239" s="172"/>
      <c r="Z239" s="133"/>
      <c r="AA239" s="47"/>
      <c r="AB239" s="47"/>
      <c r="AC239" s="47"/>
      <c r="AD239" s="47"/>
      <c r="AE239" s="172"/>
      <c r="AF239" s="133"/>
      <c r="AG239" s="47"/>
      <c r="AH239" s="47"/>
      <c r="AI239" s="47"/>
      <c r="AJ239" s="136"/>
      <c r="AK239" s="11">
        <f>'Encargos e Benefícios'!D238</f>
        <v>0</v>
      </c>
      <c r="AL239" s="11">
        <f>IF('Encargos e Benefícios'!C238=0,0,'Encargos e Benefícios'!U238/'Encargos e Benefícios'!C238)</f>
        <v>0</v>
      </c>
      <c r="AM239" s="11">
        <f>IF('Encargos e Benefícios'!C238=0,0,'Encargos e Benefícios'!AC238/'Encargos e Benefícios'!C238)</f>
        <v>0</v>
      </c>
      <c r="AN239" s="119">
        <f>IF('Encargos e Benefícios'!C238=0,0,'Encargos e Benefícios'!AD238/'Encargos e Benefícios'!C238)</f>
        <v>0</v>
      </c>
      <c r="AO239" s="32">
        <f t="shared" si="4"/>
        <v>4280.8549999999996</v>
      </c>
      <c r="AP239" s="31">
        <v>3057.75</v>
      </c>
      <c r="AQ239" s="31">
        <v>5503.96</v>
      </c>
      <c r="AR239" s="210" t="s">
        <v>575</v>
      </c>
      <c r="AS239" s="32"/>
    </row>
    <row r="240" spans="1:45" ht="12.75" hidden="1" x14ac:dyDescent="0.2">
      <c r="A240" s="48">
        <v>234</v>
      </c>
      <c r="B240" s="12">
        <f>'Encargos e Benefícios'!B239</f>
        <v>0</v>
      </c>
      <c r="C240" s="10">
        <f>'Encargos e Benefícios'!C239</f>
        <v>0</v>
      </c>
      <c r="D240" s="38"/>
      <c r="E240" s="174"/>
      <c r="F240" s="173"/>
      <c r="G240" s="172"/>
      <c r="H240" s="370"/>
      <c r="I240" s="47"/>
      <c r="J240" s="47"/>
      <c r="K240" s="47"/>
      <c r="L240" s="47"/>
      <c r="M240" s="172"/>
      <c r="N240" s="370"/>
      <c r="O240" s="47"/>
      <c r="P240" s="47"/>
      <c r="Q240" s="47"/>
      <c r="R240" s="47"/>
      <c r="S240" s="172"/>
      <c r="T240" s="370"/>
      <c r="U240" s="47"/>
      <c r="V240" s="47"/>
      <c r="W240" s="47"/>
      <c r="X240" s="47"/>
      <c r="Y240" s="172"/>
      <c r="Z240" s="133"/>
      <c r="AA240" s="47"/>
      <c r="AB240" s="47"/>
      <c r="AC240" s="47"/>
      <c r="AD240" s="47"/>
      <c r="AE240" s="172"/>
      <c r="AF240" s="133"/>
      <c r="AG240" s="47"/>
      <c r="AH240" s="47"/>
      <c r="AI240" s="47"/>
      <c r="AJ240" s="136"/>
      <c r="AK240" s="11">
        <f>'Encargos e Benefícios'!D239</f>
        <v>0</v>
      </c>
      <c r="AL240" s="11">
        <f>IF('Encargos e Benefícios'!C239=0,0,'Encargos e Benefícios'!U239/'Encargos e Benefícios'!C239)</f>
        <v>0</v>
      </c>
      <c r="AM240" s="11">
        <f>IF('Encargos e Benefícios'!C239=0,0,'Encargos e Benefícios'!AC239/'Encargos e Benefícios'!C239)</f>
        <v>0</v>
      </c>
      <c r="AN240" s="119">
        <f>IF('Encargos e Benefícios'!C239=0,0,'Encargos e Benefícios'!AD239/'Encargos e Benefícios'!C239)</f>
        <v>0</v>
      </c>
      <c r="AO240" s="32">
        <f t="shared" si="4"/>
        <v>4280.8549999999996</v>
      </c>
      <c r="AP240" s="31">
        <v>3057.75</v>
      </c>
      <c r="AQ240" s="31">
        <v>5503.96</v>
      </c>
      <c r="AR240" s="210" t="s">
        <v>575</v>
      </c>
      <c r="AS240" s="32"/>
    </row>
    <row r="241" spans="1:45" ht="12.75" hidden="1" x14ac:dyDescent="0.2">
      <c r="A241" s="48">
        <v>235</v>
      </c>
      <c r="B241" s="12">
        <f>'Encargos e Benefícios'!B240</f>
        <v>0</v>
      </c>
      <c r="C241" s="10">
        <f>'Encargos e Benefícios'!C240</f>
        <v>0</v>
      </c>
      <c r="D241" s="38"/>
      <c r="E241" s="174"/>
      <c r="F241" s="173"/>
      <c r="G241" s="172"/>
      <c r="H241" s="370"/>
      <c r="I241" s="47"/>
      <c r="J241" s="47"/>
      <c r="K241" s="47"/>
      <c r="L241" s="47"/>
      <c r="M241" s="172"/>
      <c r="N241" s="370"/>
      <c r="O241" s="47"/>
      <c r="P241" s="47"/>
      <c r="Q241" s="47"/>
      <c r="R241" s="47"/>
      <c r="S241" s="172"/>
      <c r="T241" s="370"/>
      <c r="U241" s="47"/>
      <c r="V241" s="47"/>
      <c r="W241" s="47"/>
      <c r="X241" s="47"/>
      <c r="Y241" s="172"/>
      <c r="Z241" s="133"/>
      <c r="AA241" s="47"/>
      <c r="AB241" s="47"/>
      <c r="AC241" s="47"/>
      <c r="AD241" s="47"/>
      <c r="AE241" s="172"/>
      <c r="AF241" s="133"/>
      <c r="AG241" s="47"/>
      <c r="AH241" s="47"/>
      <c r="AI241" s="47"/>
      <c r="AJ241" s="136"/>
      <c r="AK241" s="11">
        <f>'Encargos e Benefícios'!D240</f>
        <v>0</v>
      </c>
      <c r="AL241" s="11">
        <f>IF('Encargos e Benefícios'!C240=0,0,'Encargos e Benefícios'!U240/'Encargos e Benefícios'!C240)</f>
        <v>0</v>
      </c>
      <c r="AM241" s="11">
        <f>IF('Encargos e Benefícios'!C240=0,0,'Encargos e Benefícios'!AC240/'Encargos e Benefícios'!C240)</f>
        <v>0</v>
      </c>
      <c r="AN241" s="119">
        <f>IF('Encargos e Benefícios'!C240=0,0,'Encargos e Benefícios'!AD240/'Encargos e Benefícios'!C240)</f>
        <v>0</v>
      </c>
      <c r="AO241" s="32">
        <f t="shared" si="4"/>
        <v>3332.11</v>
      </c>
      <c r="AP241" s="31">
        <v>2380.08</v>
      </c>
      <c r="AQ241" s="31">
        <v>4284.1400000000003</v>
      </c>
      <c r="AR241" s="210" t="s">
        <v>575</v>
      </c>
      <c r="AS241" s="32"/>
    </row>
    <row r="242" spans="1:45" ht="12.75" hidden="1" x14ac:dyDescent="0.2">
      <c r="A242" s="48">
        <v>236</v>
      </c>
      <c r="B242" s="12">
        <f>'Encargos e Benefícios'!B241</f>
        <v>0</v>
      </c>
      <c r="C242" s="10">
        <f>'Encargos e Benefícios'!C241</f>
        <v>0</v>
      </c>
      <c r="D242" s="38"/>
      <c r="E242" s="174"/>
      <c r="F242" s="173"/>
      <c r="G242" s="172"/>
      <c r="H242" s="370"/>
      <c r="I242" s="47"/>
      <c r="J242" s="47"/>
      <c r="K242" s="47"/>
      <c r="L242" s="47"/>
      <c r="M242" s="172"/>
      <c r="N242" s="370"/>
      <c r="O242" s="47"/>
      <c r="P242" s="47"/>
      <c r="Q242" s="47"/>
      <c r="R242" s="47"/>
      <c r="S242" s="172"/>
      <c r="T242" s="370"/>
      <c r="U242" s="47"/>
      <c r="V242" s="47"/>
      <c r="W242" s="47"/>
      <c r="X242" s="47"/>
      <c r="Y242" s="172"/>
      <c r="Z242" s="133"/>
      <c r="AA242" s="47"/>
      <c r="AB242" s="47"/>
      <c r="AC242" s="47"/>
      <c r="AD242" s="47"/>
      <c r="AE242" s="172"/>
      <c r="AF242" s="133"/>
      <c r="AG242" s="47"/>
      <c r="AH242" s="47"/>
      <c r="AI242" s="47"/>
      <c r="AJ242" s="136"/>
      <c r="AK242" s="11">
        <f>'Encargos e Benefícios'!D241</f>
        <v>0</v>
      </c>
      <c r="AL242" s="11">
        <f>IF('Encargos e Benefícios'!C241=0,0,'Encargos e Benefícios'!U241/'Encargos e Benefícios'!C241)</f>
        <v>0</v>
      </c>
      <c r="AM242" s="11">
        <f>IF('Encargos e Benefícios'!C241=0,0,'Encargos e Benefícios'!AC241/'Encargos e Benefícios'!C241)</f>
        <v>0</v>
      </c>
      <c r="AN242" s="119">
        <f>IF('Encargos e Benefícios'!C241=0,0,'Encargos e Benefícios'!AD241/'Encargos e Benefícios'!C241)</f>
        <v>0</v>
      </c>
      <c r="AO242" s="32">
        <f t="shared" si="4"/>
        <v>3332.11</v>
      </c>
      <c r="AP242" s="31">
        <v>2380.08</v>
      </c>
      <c r="AQ242" s="31">
        <v>4284.1400000000003</v>
      </c>
      <c r="AR242" s="210" t="s">
        <v>575</v>
      </c>
      <c r="AS242" s="32"/>
    </row>
    <row r="243" spans="1:45" ht="12.75" hidden="1" x14ac:dyDescent="0.2">
      <c r="A243" s="48">
        <v>237</v>
      </c>
      <c r="B243" s="12">
        <f>'Encargos e Benefícios'!B242</f>
        <v>0</v>
      </c>
      <c r="C243" s="10">
        <f>'Encargos e Benefícios'!C242</f>
        <v>0</v>
      </c>
      <c r="D243" s="38"/>
      <c r="E243" s="174"/>
      <c r="F243" s="173"/>
      <c r="G243" s="172"/>
      <c r="H243" s="370"/>
      <c r="I243" s="47"/>
      <c r="J243" s="47"/>
      <c r="K243" s="47"/>
      <c r="L243" s="47"/>
      <c r="M243" s="172"/>
      <c r="N243" s="370"/>
      <c r="O243" s="47"/>
      <c r="P243" s="47"/>
      <c r="Q243" s="47"/>
      <c r="R243" s="47"/>
      <c r="S243" s="172"/>
      <c r="T243" s="370"/>
      <c r="U243" s="47"/>
      <c r="V243" s="47"/>
      <c r="W243" s="47"/>
      <c r="X243" s="47"/>
      <c r="Y243" s="172"/>
      <c r="Z243" s="133"/>
      <c r="AA243" s="47"/>
      <c r="AB243" s="47"/>
      <c r="AC243" s="47"/>
      <c r="AD243" s="47"/>
      <c r="AE243" s="172"/>
      <c r="AF243" s="133"/>
      <c r="AG243" s="47"/>
      <c r="AH243" s="47"/>
      <c r="AI243" s="47"/>
      <c r="AJ243" s="136"/>
      <c r="AK243" s="11">
        <f>'Encargos e Benefícios'!D242</f>
        <v>0</v>
      </c>
      <c r="AL243" s="11">
        <f>IF('Encargos e Benefícios'!C242=0,0,'Encargos e Benefícios'!U242/'Encargos e Benefícios'!C242)</f>
        <v>0</v>
      </c>
      <c r="AM243" s="11">
        <f>IF('Encargos e Benefícios'!C242=0,0,'Encargos e Benefícios'!AC242/'Encargos e Benefícios'!C242)</f>
        <v>0</v>
      </c>
      <c r="AN243" s="119">
        <f>IF('Encargos e Benefícios'!C242=0,0,'Encargos e Benefícios'!AD242/'Encargos e Benefícios'!C242)</f>
        <v>0</v>
      </c>
      <c r="AO243" s="32">
        <f t="shared" si="4"/>
        <v>2286.52</v>
      </c>
      <c r="AP243" s="31">
        <v>1633.23</v>
      </c>
      <c r="AQ243" s="31">
        <v>2939.81</v>
      </c>
      <c r="AR243" s="210" t="s">
        <v>575</v>
      </c>
      <c r="AS243" s="32"/>
    </row>
    <row r="244" spans="1:45" ht="12.75" hidden="1" x14ac:dyDescent="0.2">
      <c r="A244" s="48">
        <v>238</v>
      </c>
      <c r="B244" s="12">
        <f>'Encargos e Benefícios'!B243</f>
        <v>0</v>
      </c>
      <c r="C244" s="10">
        <f>'Encargos e Benefícios'!C243</f>
        <v>0</v>
      </c>
      <c r="D244" s="38"/>
      <c r="E244" s="174"/>
      <c r="F244" s="173"/>
      <c r="G244" s="172"/>
      <c r="H244" s="370"/>
      <c r="I244" s="47"/>
      <c r="J244" s="47"/>
      <c r="K244" s="47"/>
      <c r="L244" s="47"/>
      <c r="M244" s="172"/>
      <c r="N244" s="370"/>
      <c r="O244" s="47"/>
      <c r="P244" s="47"/>
      <c r="Q244" s="47"/>
      <c r="R244" s="47"/>
      <c r="S244" s="172"/>
      <c r="T244" s="370"/>
      <c r="U244" s="47"/>
      <c r="V244" s="47"/>
      <c r="W244" s="47"/>
      <c r="X244" s="47"/>
      <c r="Y244" s="172"/>
      <c r="Z244" s="133"/>
      <c r="AA244" s="47"/>
      <c r="AB244" s="47"/>
      <c r="AC244" s="47"/>
      <c r="AD244" s="47"/>
      <c r="AE244" s="172"/>
      <c r="AF244" s="133"/>
      <c r="AG244" s="47"/>
      <c r="AH244" s="47"/>
      <c r="AI244" s="47"/>
      <c r="AJ244" s="136"/>
      <c r="AK244" s="11">
        <f>'Encargos e Benefícios'!D243</f>
        <v>0</v>
      </c>
      <c r="AL244" s="11">
        <f>IF('Encargos e Benefícios'!C243=0,0,'Encargos e Benefícios'!U243/'Encargos e Benefícios'!C243)</f>
        <v>0</v>
      </c>
      <c r="AM244" s="11">
        <f>IF('Encargos e Benefícios'!C243=0,0,'Encargos e Benefícios'!AC243/'Encargos e Benefícios'!C243)</f>
        <v>0</v>
      </c>
      <c r="AN244" s="119">
        <f>IF('Encargos e Benefícios'!C243=0,0,'Encargos e Benefícios'!AD243/'Encargos e Benefícios'!C243)</f>
        <v>0</v>
      </c>
      <c r="AO244" s="32"/>
      <c r="AP244" s="31">
        <v>1884.76</v>
      </c>
      <c r="AQ244" s="31">
        <v>3392.58</v>
      </c>
      <c r="AR244" s="210" t="s">
        <v>575</v>
      </c>
      <c r="AS244" s="32"/>
    </row>
    <row r="245" spans="1:45" ht="12.75" hidden="1" x14ac:dyDescent="0.2">
      <c r="A245" s="48">
        <v>239</v>
      </c>
      <c r="B245" s="12">
        <f>'Encargos e Benefícios'!B244</f>
        <v>0</v>
      </c>
      <c r="C245" s="10">
        <f>'Encargos e Benefícios'!C244</f>
        <v>0</v>
      </c>
      <c r="D245" s="38"/>
      <c r="E245" s="174"/>
      <c r="F245" s="173"/>
      <c r="G245" s="172"/>
      <c r="H245" s="370"/>
      <c r="I245" s="47"/>
      <c r="J245" s="47"/>
      <c r="K245" s="47"/>
      <c r="L245" s="47"/>
      <c r="M245" s="172"/>
      <c r="N245" s="370"/>
      <c r="O245" s="47"/>
      <c r="P245" s="47"/>
      <c r="Q245" s="47"/>
      <c r="R245" s="47"/>
      <c r="S245" s="172"/>
      <c r="T245" s="370"/>
      <c r="U245" s="47"/>
      <c r="V245" s="47"/>
      <c r="W245" s="47"/>
      <c r="X245" s="47"/>
      <c r="Y245" s="172"/>
      <c r="Z245" s="133"/>
      <c r="AA245" s="47"/>
      <c r="AB245" s="47"/>
      <c r="AC245" s="47"/>
      <c r="AD245" s="47"/>
      <c r="AE245" s="172"/>
      <c r="AF245" s="133"/>
      <c r="AG245" s="47"/>
      <c r="AH245" s="47"/>
      <c r="AI245" s="47"/>
      <c r="AJ245" s="136"/>
      <c r="AK245" s="11">
        <f>'Encargos e Benefícios'!D244</f>
        <v>0</v>
      </c>
      <c r="AL245" s="11">
        <f>IF('Encargos e Benefícios'!C244=0,0,'Encargos e Benefícios'!U244/'Encargos e Benefícios'!C244)</f>
        <v>0</v>
      </c>
      <c r="AM245" s="11">
        <f>IF('Encargos e Benefícios'!C244=0,0,'Encargos e Benefícios'!AC244/'Encargos e Benefícios'!C244)</f>
        <v>0</v>
      </c>
      <c r="AN245" s="119">
        <f>IF('Encargos e Benefícios'!C244=0,0,'Encargos e Benefícios'!AD244/'Encargos e Benefícios'!C244)</f>
        <v>0</v>
      </c>
      <c r="AO245" s="32"/>
      <c r="AP245" s="31">
        <v>1906.88</v>
      </c>
      <c r="AQ245" s="31">
        <v>3335.15</v>
      </c>
      <c r="AR245" s="210" t="s">
        <v>575</v>
      </c>
      <c r="AS245" s="32"/>
    </row>
    <row r="246" spans="1:45" ht="12.75" hidden="1" x14ac:dyDescent="0.2">
      <c r="A246" s="48">
        <v>240</v>
      </c>
      <c r="B246" s="12">
        <f>'Encargos e Benefícios'!B245</f>
        <v>0</v>
      </c>
      <c r="C246" s="10">
        <f>'Encargos e Benefícios'!C245</f>
        <v>0</v>
      </c>
      <c r="D246" s="38"/>
      <c r="E246" s="174"/>
      <c r="F246" s="173"/>
      <c r="G246" s="172"/>
      <c r="H246" s="370"/>
      <c r="I246" s="47"/>
      <c r="J246" s="47"/>
      <c r="K246" s="47"/>
      <c r="L246" s="47"/>
      <c r="M246" s="172"/>
      <c r="N246" s="370"/>
      <c r="O246" s="47"/>
      <c r="P246" s="47"/>
      <c r="Q246" s="47"/>
      <c r="R246" s="47"/>
      <c r="S246" s="172"/>
      <c r="T246" s="370"/>
      <c r="U246" s="47"/>
      <c r="V246" s="47"/>
      <c r="W246" s="47"/>
      <c r="X246" s="47"/>
      <c r="Y246" s="172"/>
      <c r="Z246" s="133"/>
      <c r="AA246" s="47"/>
      <c r="AB246" s="47"/>
      <c r="AC246" s="47"/>
      <c r="AD246" s="47"/>
      <c r="AE246" s="172"/>
      <c r="AF246" s="133"/>
      <c r="AG246" s="47"/>
      <c r="AH246" s="47"/>
      <c r="AI246" s="47"/>
      <c r="AJ246" s="136"/>
      <c r="AK246" s="11">
        <f>'Encargos e Benefícios'!D245</f>
        <v>0</v>
      </c>
      <c r="AL246" s="11">
        <f>IF('Encargos e Benefícios'!C245=0,0,'Encargos e Benefícios'!U245/'Encargos e Benefícios'!C245)</f>
        <v>0</v>
      </c>
      <c r="AM246" s="11">
        <f>IF('Encargos e Benefícios'!C245=0,0,'Encargos e Benefícios'!AC245/'Encargos e Benefícios'!C245)</f>
        <v>0</v>
      </c>
      <c r="AN246" s="119">
        <f>IF('Encargos e Benefícios'!C245=0,0,'Encargos e Benefícios'!AD245/'Encargos e Benefícios'!C245)</f>
        <v>0</v>
      </c>
      <c r="AO246" s="32"/>
      <c r="AP246" s="31">
        <v>1906.88</v>
      </c>
      <c r="AQ246" s="31">
        <v>3335.15</v>
      </c>
      <c r="AR246" s="210" t="s">
        <v>575</v>
      </c>
      <c r="AS246" s="32"/>
    </row>
    <row r="247" spans="1:45" ht="12.75" hidden="1" x14ac:dyDescent="0.2">
      <c r="A247" s="48">
        <v>241</v>
      </c>
      <c r="B247" s="12">
        <f>'Encargos e Benefícios'!B246</f>
        <v>0</v>
      </c>
      <c r="C247" s="10">
        <f>'Encargos e Benefícios'!C246</f>
        <v>0</v>
      </c>
      <c r="D247" s="38"/>
      <c r="E247" s="174"/>
      <c r="F247" s="173"/>
      <c r="G247" s="172"/>
      <c r="H247" s="370"/>
      <c r="I247" s="47"/>
      <c r="J247" s="47"/>
      <c r="K247" s="47"/>
      <c r="L247" s="47"/>
      <c r="M247" s="172"/>
      <c r="N247" s="370"/>
      <c r="O247" s="47"/>
      <c r="P247" s="47"/>
      <c r="Q247" s="47"/>
      <c r="R247" s="47"/>
      <c r="S247" s="172"/>
      <c r="T247" s="370"/>
      <c r="U247" s="47"/>
      <c r="V247" s="47"/>
      <c r="W247" s="47"/>
      <c r="X247" s="47"/>
      <c r="Y247" s="172"/>
      <c r="Z247" s="133"/>
      <c r="AA247" s="47"/>
      <c r="AB247" s="47"/>
      <c r="AC247" s="47"/>
      <c r="AD247" s="47"/>
      <c r="AE247" s="172"/>
      <c r="AF247" s="133"/>
      <c r="AG247" s="47"/>
      <c r="AH247" s="47"/>
      <c r="AI247" s="47"/>
      <c r="AJ247" s="136"/>
      <c r="AK247" s="11">
        <f>'Encargos e Benefícios'!D246</f>
        <v>0</v>
      </c>
      <c r="AL247" s="11">
        <f>IF('Encargos e Benefícios'!C246=0,0,'Encargos e Benefícios'!U246/'Encargos e Benefícios'!C246)</f>
        <v>0</v>
      </c>
      <c r="AM247" s="11">
        <f>IF('Encargos e Benefícios'!C246=0,0,'Encargos e Benefícios'!AC246/'Encargos e Benefícios'!C246)</f>
        <v>0</v>
      </c>
      <c r="AN247" s="119">
        <f>IF('Encargos e Benefícios'!C246=0,0,'Encargos e Benefícios'!AD246/'Encargos e Benefícios'!C246)</f>
        <v>0</v>
      </c>
      <c r="AO247" s="32"/>
      <c r="AP247" s="31">
        <v>2550.5</v>
      </c>
      <c r="AQ247" s="31">
        <v>7284.47</v>
      </c>
      <c r="AR247" s="210" t="s">
        <v>575</v>
      </c>
      <c r="AS247" s="32"/>
    </row>
    <row r="248" spans="1:45" ht="12.75" hidden="1" x14ac:dyDescent="0.2">
      <c r="A248" s="48">
        <v>242</v>
      </c>
      <c r="B248" s="12">
        <f>'Encargos e Benefícios'!B247</f>
        <v>0</v>
      </c>
      <c r="C248" s="10">
        <f>'Encargos e Benefícios'!C247</f>
        <v>0</v>
      </c>
      <c r="D248" s="38"/>
      <c r="E248" s="174"/>
      <c r="F248" s="173"/>
      <c r="G248" s="172"/>
      <c r="H248" s="370"/>
      <c r="I248" s="47"/>
      <c r="J248" s="47"/>
      <c r="K248" s="47"/>
      <c r="L248" s="47"/>
      <c r="M248" s="172"/>
      <c r="N248" s="370"/>
      <c r="O248" s="47"/>
      <c r="P248" s="47"/>
      <c r="Q248" s="47"/>
      <c r="R248" s="47"/>
      <c r="S248" s="172"/>
      <c r="T248" s="370"/>
      <c r="U248" s="47"/>
      <c r="V248" s="47"/>
      <c r="W248" s="47"/>
      <c r="X248" s="47"/>
      <c r="Y248" s="172"/>
      <c r="Z248" s="133"/>
      <c r="AA248" s="47"/>
      <c r="AB248" s="47"/>
      <c r="AC248" s="47"/>
      <c r="AD248" s="47"/>
      <c r="AE248" s="172"/>
      <c r="AF248" s="133"/>
      <c r="AG248" s="47"/>
      <c r="AH248" s="47"/>
      <c r="AI248" s="47"/>
      <c r="AJ248" s="136"/>
      <c r="AK248" s="11">
        <f>'Encargos e Benefícios'!D247</f>
        <v>0</v>
      </c>
      <c r="AL248" s="11">
        <f>IF('Encargos e Benefícios'!C247=0,0,'Encargos e Benefícios'!U247/'Encargos e Benefícios'!C247)</f>
        <v>0</v>
      </c>
      <c r="AM248" s="11">
        <f>IF('Encargos e Benefícios'!C247=0,0,'Encargos e Benefícios'!AC247/'Encargos e Benefícios'!C247)</f>
        <v>0</v>
      </c>
      <c r="AN248" s="119">
        <f>IF('Encargos e Benefícios'!C247=0,0,'Encargos e Benefícios'!AD247/'Encargos e Benefícios'!C247)</f>
        <v>0</v>
      </c>
      <c r="AO248" s="32"/>
      <c r="AP248" s="31">
        <v>3095.54</v>
      </c>
      <c r="AQ248" s="31">
        <v>7557.45</v>
      </c>
      <c r="AR248" s="210" t="s">
        <v>575</v>
      </c>
      <c r="AS248" s="32"/>
    </row>
    <row r="249" spans="1:45" ht="12.75" hidden="1" x14ac:dyDescent="0.2">
      <c r="A249" s="48">
        <v>243</v>
      </c>
      <c r="B249" s="12">
        <f>'Encargos e Benefícios'!B248</f>
        <v>0</v>
      </c>
      <c r="C249" s="10">
        <f>'Encargos e Benefícios'!C248</f>
        <v>0</v>
      </c>
      <c r="D249" s="38"/>
      <c r="E249" s="174"/>
      <c r="F249" s="173"/>
      <c r="G249" s="172"/>
      <c r="H249" s="370"/>
      <c r="I249" s="47"/>
      <c r="J249" s="47"/>
      <c r="K249" s="47"/>
      <c r="L249" s="47"/>
      <c r="M249" s="172"/>
      <c r="N249" s="370"/>
      <c r="O249" s="47"/>
      <c r="P249" s="47"/>
      <c r="Q249" s="47"/>
      <c r="R249" s="47"/>
      <c r="S249" s="172"/>
      <c r="T249" s="370"/>
      <c r="U249" s="47"/>
      <c r="V249" s="47"/>
      <c r="W249" s="47"/>
      <c r="X249" s="47"/>
      <c r="Y249" s="172"/>
      <c r="Z249" s="133"/>
      <c r="AA249" s="47"/>
      <c r="AB249" s="47"/>
      <c r="AC249" s="47"/>
      <c r="AD249" s="47"/>
      <c r="AE249" s="172"/>
      <c r="AF249" s="133"/>
      <c r="AG249" s="47"/>
      <c r="AH249" s="47"/>
      <c r="AI249" s="47"/>
      <c r="AJ249" s="136"/>
      <c r="AK249" s="11">
        <f>'Encargos e Benefícios'!D248</f>
        <v>0</v>
      </c>
      <c r="AL249" s="11">
        <f>IF('Encargos e Benefícios'!C248=0,0,'Encargos e Benefícios'!U248/'Encargos e Benefícios'!C248)</f>
        <v>0</v>
      </c>
      <c r="AM249" s="11">
        <f>IF('Encargos e Benefícios'!C248=0,0,'Encargos e Benefícios'!AC248/'Encargos e Benefícios'!C248)</f>
        <v>0</v>
      </c>
      <c r="AN249" s="119">
        <f>IF('Encargos e Benefícios'!C248=0,0,'Encargos e Benefícios'!AD248/'Encargos e Benefícios'!C248)</f>
        <v>0</v>
      </c>
      <c r="AO249" s="32"/>
      <c r="AP249" s="31">
        <v>2083.61</v>
      </c>
      <c r="AQ249" s="31">
        <v>3644.25</v>
      </c>
      <c r="AR249" s="210" t="s">
        <v>575</v>
      </c>
      <c r="AS249" s="32"/>
    </row>
    <row r="250" spans="1:45" ht="12.75" hidden="1" x14ac:dyDescent="0.2">
      <c r="A250" s="48">
        <v>244</v>
      </c>
      <c r="B250" s="12">
        <f>'Encargos e Benefícios'!B249</f>
        <v>0</v>
      </c>
      <c r="C250" s="10">
        <f>'Encargos e Benefícios'!C249</f>
        <v>0</v>
      </c>
      <c r="D250" s="38"/>
      <c r="E250" s="174"/>
      <c r="F250" s="173"/>
      <c r="G250" s="172"/>
      <c r="H250" s="370"/>
      <c r="I250" s="47"/>
      <c r="J250" s="47"/>
      <c r="K250" s="47"/>
      <c r="L250" s="47"/>
      <c r="M250" s="172"/>
      <c r="N250" s="370"/>
      <c r="O250" s="47"/>
      <c r="P250" s="47"/>
      <c r="Q250" s="47"/>
      <c r="R250" s="47"/>
      <c r="S250" s="172"/>
      <c r="T250" s="370"/>
      <c r="U250" s="47"/>
      <c r="V250" s="47"/>
      <c r="W250" s="47"/>
      <c r="X250" s="47"/>
      <c r="Y250" s="172"/>
      <c r="Z250" s="133"/>
      <c r="AA250" s="47"/>
      <c r="AB250" s="47"/>
      <c r="AC250" s="47"/>
      <c r="AD250" s="47"/>
      <c r="AE250" s="172"/>
      <c r="AF250" s="133"/>
      <c r="AG250" s="47"/>
      <c r="AH250" s="47"/>
      <c r="AI250" s="47"/>
      <c r="AJ250" s="136"/>
      <c r="AK250" s="11">
        <f>'Encargos e Benefícios'!D249</f>
        <v>0</v>
      </c>
      <c r="AL250" s="11">
        <f>IF('Encargos e Benefícios'!C249=0,0,'Encargos e Benefícios'!U249/'Encargos e Benefícios'!C249)</f>
        <v>0</v>
      </c>
      <c r="AM250" s="11">
        <f>IF('Encargos e Benefícios'!C249=0,0,'Encargos e Benefícios'!AC249/'Encargos e Benefícios'!C249)</f>
        <v>0</v>
      </c>
      <c r="AN250" s="119">
        <f>IF('Encargos e Benefícios'!C249=0,0,'Encargos e Benefícios'!AD249/'Encargos e Benefícios'!C249)</f>
        <v>0</v>
      </c>
      <c r="AO250" s="32"/>
      <c r="AP250" s="31">
        <v>1618.02</v>
      </c>
      <c r="AQ250" s="31">
        <v>2368.94</v>
      </c>
      <c r="AR250" s="210" t="s">
        <v>575</v>
      </c>
      <c r="AS250" s="32"/>
    </row>
    <row r="251" spans="1:45" ht="12.75" hidden="1" x14ac:dyDescent="0.2">
      <c r="A251" s="48">
        <v>245</v>
      </c>
      <c r="B251" s="12">
        <f>'Encargos e Benefícios'!B250</f>
        <v>0</v>
      </c>
      <c r="C251" s="10">
        <f>'Encargos e Benefícios'!C250</f>
        <v>0</v>
      </c>
      <c r="D251" s="38"/>
      <c r="E251" s="174"/>
      <c r="F251" s="173"/>
      <c r="G251" s="172"/>
      <c r="H251" s="370"/>
      <c r="I251" s="47"/>
      <c r="J251" s="47"/>
      <c r="K251" s="47"/>
      <c r="L251" s="47"/>
      <c r="M251" s="172"/>
      <c r="N251" s="370"/>
      <c r="O251" s="47"/>
      <c r="P251" s="47"/>
      <c r="Q251" s="47"/>
      <c r="R251" s="47"/>
      <c r="S251" s="172"/>
      <c r="T251" s="370"/>
      <c r="U251" s="47"/>
      <c r="V251" s="47"/>
      <c r="W251" s="47"/>
      <c r="X251" s="47"/>
      <c r="Y251" s="172"/>
      <c r="Z251" s="133"/>
      <c r="AA251" s="47"/>
      <c r="AB251" s="47"/>
      <c r="AC251" s="47"/>
      <c r="AD251" s="47"/>
      <c r="AE251" s="172"/>
      <c r="AF251" s="133"/>
      <c r="AG251" s="47"/>
      <c r="AH251" s="47"/>
      <c r="AI251" s="47"/>
      <c r="AJ251" s="136"/>
      <c r="AK251" s="11">
        <f>'Encargos e Benefícios'!D250</f>
        <v>0</v>
      </c>
      <c r="AL251" s="11">
        <f>IF('Encargos e Benefícios'!C250=0,0,'Encargos e Benefícios'!U250/'Encargos e Benefícios'!C250)</f>
        <v>0</v>
      </c>
      <c r="AM251" s="11">
        <f>IF('Encargos e Benefícios'!C250=0,0,'Encargos e Benefícios'!AC250/'Encargos e Benefícios'!C250)</f>
        <v>0</v>
      </c>
      <c r="AN251" s="119">
        <f>IF('Encargos e Benefícios'!C250=0,0,'Encargos e Benefícios'!AD250/'Encargos e Benefícios'!C250)</f>
        <v>0</v>
      </c>
      <c r="AO251" s="32">
        <f>(AQ251+AP251)/2</f>
        <v>10234.755000000001</v>
      </c>
      <c r="AP251" s="31">
        <v>5308.35</v>
      </c>
      <c r="AQ251" s="31">
        <v>15161.16</v>
      </c>
      <c r="AR251" s="210" t="s">
        <v>577</v>
      </c>
      <c r="AS251" s="32"/>
    </row>
    <row r="252" spans="1:45" ht="12.75" hidden="1" x14ac:dyDescent="0.2">
      <c r="A252" s="48">
        <v>246</v>
      </c>
      <c r="B252" s="12">
        <f>'Encargos e Benefícios'!B251</f>
        <v>0</v>
      </c>
      <c r="C252" s="10">
        <f>'Encargos e Benefícios'!C251</f>
        <v>0</v>
      </c>
      <c r="D252" s="38"/>
      <c r="E252" s="174"/>
      <c r="F252" s="173"/>
      <c r="G252" s="172"/>
      <c r="H252" s="370"/>
      <c r="I252" s="47"/>
      <c r="J252" s="47"/>
      <c r="K252" s="47"/>
      <c r="L252" s="47"/>
      <c r="M252" s="172"/>
      <c r="N252" s="370"/>
      <c r="O252" s="47"/>
      <c r="P252" s="47"/>
      <c r="Q252" s="47"/>
      <c r="R252" s="47"/>
      <c r="S252" s="172"/>
      <c r="T252" s="370"/>
      <c r="U252" s="47"/>
      <c r="V252" s="47"/>
      <c r="W252" s="47"/>
      <c r="X252" s="47"/>
      <c r="Y252" s="172"/>
      <c r="Z252" s="133"/>
      <c r="AA252" s="47"/>
      <c r="AB252" s="47"/>
      <c r="AC252" s="47"/>
      <c r="AD252" s="47"/>
      <c r="AE252" s="172"/>
      <c r="AF252" s="133"/>
      <c r="AG252" s="47"/>
      <c r="AH252" s="47"/>
      <c r="AI252" s="47"/>
      <c r="AJ252" s="136"/>
      <c r="AK252" s="11">
        <f>'Encargos e Benefícios'!D251</f>
        <v>0</v>
      </c>
      <c r="AL252" s="11">
        <f>IF('Encargos e Benefícios'!C251=0,0,'Encargos e Benefícios'!U251/'Encargos e Benefícios'!C251)</f>
        <v>0</v>
      </c>
      <c r="AM252" s="11">
        <f>IF('Encargos e Benefícios'!C251=0,0,'Encargos e Benefícios'!AC251/'Encargos e Benefícios'!C251)</f>
        <v>0</v>
      </c>
      <c r="AN252" s="119">
        <f>IF('Encargos e Benefícios'!C251=0,0,'Encargos e Benefícios'!AD251/'Encargos e Benefícios'!C251)</f>
        <v>0</v>
      </c>
      <c r="AO252" s="32"/>
      <c r="AP252" s="31">
        <v>5308.35</v>
      </c>
      <c r="AQ252" s="31">
        <v>15161.16</v>
      </c>
      <c r="AR252" s="210" t="s">
        <v>577</v>
      </c>
      <c r="AS252" s="32"/>
    </row>
    <row r="253" spans="1:45" ht="12.75" hidden="1" x14ac:dyDescent="0.2">
      <c r="A253" s="48">
        <v>247</v>
      </c>
      <c r="B253" s="12">
        <f>'Encargos e Benefícios'!B252</f>
        <v>0</v>
      </c>
      <c r="C253" s="10">
        <f>'Encargos e Benefícios'!C252</f>
        <v>0</v>
      </c>
      <c r="D253" s="38"/>
      <c r="E253" s="174"/>
      <c r="F253" s="173"/>
      <c r="G253" s="172"/>
      <c r="H253" s="370"/>
      <c r="I253" s="47"/>
      <c r="J253" s="47"/>
      <c r="K253" s="47"/>
      <c r="L253" s="47"/>
      <c r="M253" s="172"/>
      <c r="N253" s="370"/>
      <c r="O253" s="47"/>
      <c r="P253" s="47"/>
      <c r="Q253" s="47"/>
      <c r="R253" s="47"/>
      <c r="S253" s="172"/>
      <c r="T253" s="370"/>
      <c r="U253" s="47"/>
      <c r="V253" s="47"/>
      <c r="W253" s="47"/>
      <c r="X253" s="47"/>
      <c r="Y253" s="172"/>
      <c r="Z253" s="133"/>
      <c r="AA253" s="47"/>
      <c r="AB253" s="47"/>
      <c r="AC253" s="47"/>
      <c r="AD253" s="47"/>
      <c r="AE253" s="172"/>
      <c r="AF253" s="133"/>
      <c r="AG253" s="47"/>
      <c r="AH253" s="47"/>
      <c r="AI253" s="47"/>
      <c r="AJ253" s="136"/>
      <c r="AK253" s="11">
        <f>'Encargos e Benefícios'!D252</f>
        <v>0</v>
      </c>
      <c r="AL253" s="11">
        <f>IF('Encargos e Benefícios'!C252=0,0,'Encargos e Benefícios'!U252/'Encargos e Benefícios'!C252)</f>
        <v>0</v>
      </c>
      <c r="AM253" s="11">
        <f>IF('Encargos e Benefícios'!C252=0,0,'Encargos e Benefícios'!AC252/'Encargos e Benefícios'!C252)</f>
        <v>0</v>
      </c>
      <c r="AN253" s="119">
        <f>IF('Encargos e Benefícios'!C252=0,0,'Encargos e Benefícios'!AD252/'Encargos e Benefícios'!C252)</f>
        <v>0</v>
      </c>
      <c r="AO253" s="32"/>
      <c r="AP253" s="31">
        <v>5308.35</v>
      </c>
      <c r="AQ253" s="31">
        <v>15161.16</v>
      </c>
      <c r="AR253" s="210" t="s">
        <v>577</v>
      </c>
      <c r="AS253" s="32"/>
    </row>
    <row r="254" spans="1:45" ht="12.75" hidden="1" x14ac:dyDescent="0.2">
      <c r="A254" s="48">
        <v>248</v>
      </c>
      <c r="B254" s="12">
        <f>'Encargos e Benefícios'!B253</f>
        <v>0</v>
      </c>
      <c r="C254" s="10">
        <f>'Encargos e Benefícios'!C253</f>
        <v>0</v>
      </c>
      <c r="D254" s="38"/>
      <c r="E254" s="174"/>
      <c r="F254" s="173"/>
      <c r="G254" s="172"/>
      <c r="H254" s="370"/>
      <c r="I254" s="47"/>
      <c r="J254" s="47"/>
      <c r="K254" s="47"/>
      <c r="L254" s="47"/>
      <c r="M254" s="172"/>
      <c r="N254" s="370"/>
      <c r="O254" s="47"/>
      <c r="P254" s="47"/>
      <c r="Q254" s="47"/>
      <c r="R254" s="47"/>
      <c r="S254" s="172"/>
      <c r="T254" s="370"/>
      <c r="U254" s="47"/>
      <c r="V254" s="47"/>
      <c r="W254" s="47"/>
      <c r="X254" s="47"/>
      <c r="Y254" s="172"/>
      <c r="Z254" s="133"/>
      <c r="AA254" s="47"/>
      <c r="AB254" s="47"/>
      <c r="AC254" s="47"/>
      <c r="AD254" s="47"/>
      <c r="AE254" s="172"/>
      <c r="AF254" s="133"/>
      <c r="AG254" s="47"/>
      <c r="AH254" s="47"/>
      <c r="AI254" s="47"/>
      <c r="AJ254" s="136"/>
      <c r="AK254" s="11">
        <f>'Encargos e Benefícios'!D253</f>
        <v>0</v>
      </c>
      <c r="AL254" s="11">
        <f>IF('Encargos e Benefícios'!C253=0,0,'Encargos e Benefícios'!U253/'Encargos e Benefícios'!C253)</f>
        <v>0</v>
      </c>
      <c r="AM254" s="11">
        <f>IF('Encargos e Benefícios'!C253=0,0,'Encargos e Benefícios'!AC253/'Encargos e Benefícios'!C253)</f>
        <v>0</v>
      </c>
      <c r="AN254" s="119">
        <f>IF('Encargos e Benefícios'!C253=0,0,'Encargos e Benefícios'!AD253/'Encargos e Benefícios'!C253)</f>
        <v>0</v>
      </c>
      <c r="AO254" s="32">
        <f t="shared" ref="AO254:AO262" si="5">(AQ254+AP254)/2</f>
        <v>4280.8549999999996</v>
      </c>
      <c r="AP254" s="31">
        <v>3057.75</v>
      </c>
      <c r="AQ254" s="31">
        <v>5503.96</v>
      </c>
      <c r="AR254" s="210" t="s">
        <v>577</v>
      </c>
      <c r="AS254" s="32"/>
    </row>
    <row r="255" spans="1:45" ht="12.75" hidden="1" x14ac:dyDescent="0.2">
      <c r="A255" s="48">
        <v>249</v>
      </c>
      <c r="B255" s="12">
        <f>'Encargos e Benefícios'!B254</f>
        <v>0</v>
      </c>
      <c r="C255" s="10">
        <f>'Encargos e Benefícios'!C254</f>
        <v>0</v>
      </c>
      <c r="D255" s="38"/>
      <c r="E255" s="174"/>
      <c r="F255" s="173"/>
      <c r="G255" s="172"/>
      <c r="H255" s="370"/>
      <c r="I255" s="47"/>
      <c r="J255" s="47"/>
      <c r="K255" s="47"/>
      <c r="L255" s="47"/>
      <c r="M255" s="172"/>
      <c r="N255" s="370"/>
      <c r="O255" s="47"/>
      <c r="P255" s="47"/>
      <c r="Q255" s="47"/>
      <c r="R255" s="47"/>
      <c r="S255" s="172"/>
      <c r="T255" s="370"/>
      <c r="U255" s="47"/>
      <c r="V255" s="47"/>
      <c r="W255" s="47"/>
      <c r="X255" s="47"/>
      <c r="Y255" s="172"/>
      <c r="Z255" s="133"/>
      <c r="AA255" s="47"/>
      <c r="AB255" s="47"/>
      <c r="AC255" s="47"/>
      <c r="AD255" s="47"/>
      <c r="AE255" s="172"/>
      <c r="AF255" s="133"/>
      <c r="AG255" s="47"/>
      <c r="AH255" s="47"/>
      <c r="AI255" s="47"/>
      <c r="AJ255" s="136"/>
      <c r="AK255" s="11">
        <f>'Encargos e Benefícios'!D254</f>
        <v>0</v>
      </c>
      <c r="AL255" s="11">
        <f>IF('Encargos e Benefícios'!C254=0,0,'Encargos e Benefícios'!U254/'Encargos e Benefícios'!C254)</f>
        <v>0</v>
      </c>
      <c r="AM255" s="11">
        <f>IF('Encargos e Benefícios'!C254=0,0,'Encargos e Benefícios'!AC254/'Encargos e Benefícios'!C254)</f>
        <v>0</v>
      </c>
      <c r="AN255" s="119">
        <f>IF('Encargos e Benefícios'!C254=0,0,'Encargos e Benefícios'!AD254/'Encargos e Benefícios'!C254)</f>
        <v>0</v>
      </c>
      <c r="AO255" s="32">
        <f t="shared" si="5"/>
        <v>4280.8549999999996</v>
      </c>
      <c r="AP255" s="31">
        <v>3057.75</v>
      </c>
      <c r="AQ255" s="31">
        <v>5503.96</v>
      </c>
      <c r="AR255" s="210" t="s">
        <v>577</v>
      </c>
      <c r="AS255" s="32"/>
    </row>
    <row r="256" spans="1:45" ht="12.75" hidden="1" x14ac:dyDescent="0.2">
      <c r="A256" s="48">
        <v>250</v>
      </c>
      <c r="B256" s="12">
        <f>'Encargos e Benefícios'!B255</f>
        <v>0</v>
      </c>
      <c r="C256" s="10">
        <f>'Encargos e Benefícios'!C255</f>
        <v>0</v>
      </c>
      <c r="D256" s="38"/>
      <c r="E256" s="174"/>
      <c r="F256" s="173"/>
      <c r="G256" s="172"/>
      <c r="H256" s="370"/>
      <c r="I256" s="47"/>
      <c r="J256" s="47"/>
      <c r="K256" s="47"/>
      <c r="L256" s="47"/>
      <c r="M256" s="172"/>
      <c r="N256" s="370"/>
      <c r="O256" s="47"/>
      <c r="P256" s="47"/>
      <c r="Q256" s="47"/>
      <c r="R256" s="47"/>
      <c r="S256" s="172"/>
      <c r="T256" s="370"/>
      <c r="U256" s="47"/>
      <c r="V256" s="47"/>
      <c r="W256" s="47"/>
      <c r="X256" s="47"/>
      <c r="Y256" s="172"/>
      <c r="Z256" s="133"/>
      <c r="AA256" s="47"/>
      <c r="AB256" s="47"/>
      <c r="AC256" s="47"/>
      <c r="AD256" s="47"/>
      <c r="AE256" s="172"/>
      <c r="AF256" s="133"/>
      <c r="AG256" s="47"/>
      <c r="AH256" s="47"/>
      <c r="AI256" s="47"/>
      <c r="AJ256" s="136"/>
      <c r="AK256" s="11">
        <f>'Encargos e Benefícios'!D255</f>
        <v>0</v>
      </c>
      <c r="AL256" s="11">
        <f>IF('Encargos e Benefícios'!C255=0,0,'Encargos e Benefícios'!U255/'Encargos e Benefícios'!C255)</f>
        <v>0</v>
      </c>
      <c r="AM256" s="11">
        <f>IF('Encargos e Benefícios'!C255=0,0,'Encargos e Benefícios'!AC255/'Encargos e Benefícios'!C255)</f>
        <v>0</v>
      </c>
      <c r="AN256" s="119">
        <f>IF('Encargos e Benefícios'!C255=0,0,'Encargos e Benefícios'!AD255/'Encargos e Benefícios'!C255)</f>
        <v>0</v>
      </c>
      <c r="AO256" s="32">
        <f t="shared" si="5"/>
        <v>4280.8549999999996</v>
      </c>
      <c r="AP256" s="31">
        <v>3057.75</v>
      </c>
      <c r="AQ256" s="31">
        <v>5503.96</v>
      </c>
      <c r="AR256" s="210" t="s">
        <v>577</v>
      </c>
      <c r="AS256" s="32"/>
    </row>
    <row r="257" spans="1:45" ht="12.75" hidden="1" x14ac:dyDescent="0.2">
      <c r="A257" s="48">
        <v>251</v>
      </c>
      <c r="B257" s="12">
        <f>'Encargos e Benefícios'!B256</f>
        <v>0</v>
      </c>
      <c r="C257" s="10">
        <f>'Encargos e Benefícios'!C256</f>
        <v>0</v>
      </c>
      <c r="D257" s="38"/>
      <c r="E257" s="174"/>
      <c r="F257" s="173"/>
      <c r="G257" s="172"/>
      <c r="H257" s="370"/>
      <c r="I257" s="47"/>
      <c r="J257" s="47"/>
      <c r="K257" s="47"/>
      <c r="L257" s="47"/>
      <c r="M257" s="172"/>
      <c r="N257" s="370"/>
      <c r="O257" s="47"/>
      <c r="P257" s="47"/>
      <c r="Q257" s="47"/>
      <c r="R257" s="47"/>
      <c r="S257" s="172"/>
      <c r="T257" s="370"/>
      <c r="U257" s="47"/>
      <c r="V257" s="47"/>
      <c r="W257" s="47"/>
      <c r="X257" s="47"/>
      <c r="Y257" s="172"/>
      <c r="Z257" s="133"/>
      <c r="AA257" s="47"/>
      <c r="AB257" s="47"/>
      <c r="AC257" s="47"/>
      <c r="AD257" s="47"/>
      <c r="AE257" s="172"/>
      <c r="AF257" s="133"/>
      <c r="AG257" s="47"/>
      <c r="AH257" s="47"/>
      <c r="AI257" s="47"/>
      <c r="AJ257" s="136"/>
      <c r="AK257" s="11">
        <f>'Encargos e Benefícios'!D256</f>
        <v>0</v>
      </c>
      <c r="AL257" s="11">
        <f>IF('Encargos e Benefícios'!C256=0,0,'Encargos e Benefícios'!U256/'Encargos e Benefícios'!C256)</f>
        <v>0</v>
      </c>
      <c r="AM257" s="11">
        <f>IF('Encargos e Benefícios'!C256=0,0,'Encargos e Benefícios'!AC256/'Encargos e Benefícios'!C256)</f>
        <v>0</v>
      </c>
      <c r="AN257" s="119">
        <f>IF('Encargos e Benefícios'!C256=0,0,'Encargos e Benefícios'!AD256/'Encargos e Benefícios'!C256)</f>
        <v>0</v>
      </c>
      <c r="AO257" s="32">
        <f t="shared" si="5"/>
        <v>7383.3099999999995</v>
      </c>
      <c r="AP257" s="31">
        <v>5273.79</v>
      </c>
      <c r="AQ257" s="31">
        <v>9492.83</v>
      </c>
      <c r="AR257" s="210" t="s">
        <v>577</v>
      </c>
      <c r="AS257" s="32"/>
    </row>
    <row r="258" spans="1:45" ht="12.75" hidden="1" x14ac:dyDescent="0.2">
      <c r="A258" s="48">
        <v>252</v>
      </c>
      <c r="B258" s="12">
        <f>'Encargos e Benefícios'!B257</f>
        <v>0</v>
      </c>
      <c r="C258" s="10">
        <f>'Encargos e Benefícios'!C257</f>
        <v>0</v>
      </c>
      <c r="D258" s="38"/>
      <c r="E258" s="174"/>
      <c r="F258" s="173"/>
      <c r="G258" s="172"/>
      <c r="H258" s="370"/>
      <c r="I258" s="47"/>
      <c r="J258" s="47"/>
      <c r="K258" s="47"/>
      <c r="L258" s="47"/>
      <c r="M258" s="172"/>
      <c r="N258" s="370"/>
      <c r="O258" s="47"/>
      <c r="P258" s="47"/>
      <c r="Q258" s="47"/>
      <c r="R258" s="47"/>
      <c r="S258" s="172"/>
      <c r="T258" s="370"/>
      <c r="U258" s="47"/>
      <c r="V258" s="47"/>
      <c r="W258" s="47"/>
      <c r="X258" s="47"/>
      <c r="Y258" s="172"/>
      <c r="Z258" s="133"/>
      <c r="AA258" s="47"/>
      <c r="AB258" s="47"/>
      <c r="AC258" s="47"/>
      <c r="AD258" s="47"/>
      <c r="AE258" s="172"/>
      <c r="AF258" s="133"/>
      <c r="AG258" s="47"/>
      <c r="AH258" s="47"/>
      <c r="AI258" s="47"/>
      <c r="AJ258" s="136"/>
      <c r="AK258" s="11">
        <f>'Encargos e Benefícios'!D257</f>
        <v>0</v>
      </c>
      <c r="AL258" s="11">
        <f>IF('Encargos e Benefícios'!C257=0,0,'Encargos e Benefícios'!U257/'Encargos e Benefícios'!C257)</f>
        <v>0</v>
      </c>
      <c r="AM258" s="11">
        <f>IF('Encargos e Benefícios'!C257=0,0,'Encargos e Benefícios'!AC257/'Encargos e Benefícios'!C257)</f>
        <v>0</v>
      </c>
      <c r="AN258" s="119">
        <f>IF('Encargos e Benefícios'!C257=0,0,'Encargos e Benefícios'!AD257/'Encargos e Benefícios'!C257)</f>
        <v>0</v>
      </c>
      <c r="AO258" s="32">
        <f t="shared" si="5"/>
        <v>4280.8549999999996</v>
      </c>
      <c r="AP258" s="31">
        <v>3057.75</v>
      </c>
      <c r="AQ258" s="31">
        <v>5503.96</v>
      </c>
      <c r="AR258" s="210" t="s">
        <v>577</v>
      </c>
      <c r="AS258" s="32"/>
    </row>
    <row r="259" spans="1:45" ht="12.75" hidden="1" x14ac:dyDescent="0.2">
      <c r="A259" s="48">
        <v>253</v>
      </c>
      <c r="B259" s="12">
        <f>'Encargos e Benefícios'!B258</f>
        <v>0</v>
      </c>
      <c r="C259" s="10">
        <f>'Encargos e Benefícios'!C258</f>
        <v>0</v>
      </c>
      <c r="D259" s="38"/>
      <c r="E259" s="174"/>
      <c r="F259" s="173"/>
      <c r="G259" s="172"/>
      <c r="H259" s="370"/>
      <c r="I259" s="47"/>
      <c r="J259" s="47"/>
      <c r="K259" s="47"/>
      <c r="L259" s="47"/>
      <c r="M259" s="172"/>
      <c r="N259" s="370"/>
      <c r="O259" s="47"/>
      <c r="P259" s="47"/>
      <c r="Q259" s="47"/>
      <c r="R259" s="47"/>
      <c r="S259" s="172"/>
      <c r="T259" s="370"/>
      <c r="U259" s="47"/>
      <c r="V259" s="47"/>
      <c r="W259" s="47"/>
      <c r="X259" s="47"/>
      <c r="Y259" s="172"/>
      <c r="Z259" s="133"/>
      <c r="AA259" s="47"/>
      <c r="AB259" s="47"/>
      <c r="AC259" s="47"/>
      <c r="AD259" s="47"/>
      <c r="AE259" s="172"/>
      <c r="AF259" s="133"/>
      <c r="AG259" s="47"/>
      <c r="AH259" s="47"/>
      <c r="AI259" s="47"/>
      <c r="AJ259" s="136"/>
      <c r="AK259" s="11">
        <f>'Encargos e Benefícios'!D258</f>
        <v>0</v>
      </c>
      <c r="AL259" s="11">
        <f>IF('Encargos e Benefícios'!C258=0,0,'Encargos e Benefícios'!U258/'Encargos e Benefícios'!C258)</f>
        <v>0</v>
      </c>
      <c r="AM259" s="11">
        <f>IF('Encargos e Benefícios'!C258=0,0,'Encargos e Benefícios'!AC258/'Encargos e Benefícios'!C258)</f>
        <v>0</v>
      </c>
      <c r="AN259" s="119">
        <f>IF('Encargos e Benefícios'!C258=0,0,'Encargos e Benefícios'!AD258/'Encargos e Benefícios'!C258)</f>
        <v>0</v>
      </c>
      <c r="AO259" s="32">
        <f t="shared" si="5"/>
        <v>4280.8549999999996</v>
      </c>
      <c r="AP259" s="31">
        <v>3057.75</v>
      </c>
      <c r="AQ259" s="31">
        <v>5503.96</v>
      </c>
      <c r="AR259" s="210" t="s">
        <v>577</v>
      </c>
      <c r="AS259" s="32"/>
    </row>
    <row r="260" spans="1:45" ht="12.75" hidden="1" x14ac:dyDescent="0.2">
      <c r="A260" s="48">
        <v>254</v>
      </c>
      <c r="B260" s="12">
        <f>'Encargos e Benefícios'!B259</f>
        <v>0</v>
      </c>
      <c r="C260" s="10">
        <f>'Encargos e Benefícios'!C259</f>
        <v>0</v>
      </c>
      <c r="D260" s="38"/>
      <c r="E260" s="174"/>
      <c r="F260" s="173"/>
      <c r="G260" s="172"/>
      <c r="H260" s="370"/>
      <c r="I260" s="47"/>
      <c r="J260" s="47"/>
      <c r="K260" s="47"/>
      <c r="L260" s="47"/>
      <c r="M260" s="172"/>
      <c r="N260" s="370"/>
      <c r="O260" s="47"/>
      <c r="P260" s="47"/>
      <c r="Q260" s="47"/>
      <c r="R260" s="47"/>
      <c r="S260" s="172"/>
      <c r="T260" s="370"/>
      <c r="U260" s="47"/>
      <c r="V260" s="47"/>
      <c r="W260" s="47"/>
      <c r="X260" s="47"/>
      <c r="Y260" s="172"/>
      <c r="Z260" s="133"/>
      <c r="AA260" s="47"/>
      <c r="AB260" s="47"/>
      <c r="AC260" s="47"/>
      <c r="AD260" s="47"/>
      <c r="AE260" s="172"/>
      <c r="AF260" s="133"/>
      <c r="AG260" s="47"/>
      <c r="AH260" s="47"/>
      <c r="AI260" s="47"/>
      <c r="AJ260" s="136"/>
      <c r="AK260" s="11">
        <f>'Encargos e Benefícios'!D259</f>
        <v>0</v>
      </c>
      <c r="AL260" s="11">
        <f>IF('Encargos e Benefícios'!C259=0,0,'Encargos e Benefícios'!U259/'Encargos e Benefícios'!C259)</f>
        <v>0</v>
      </c>
      <c r="AM260" s="11">
        <f>IF('Encargos e Benefícios'!C259=0,0,'Encargos e Benefícios'!AC259/'Encargos e Benefícios'!C259)</f>
        <v>0</v>
      </c>
      <c r="AN260" s="119">
        <f>IF('Encargos e Benefícios'!C259=0,0,'Encargos e Benefícios'!AD259/'Encargos e Benefícios'!C259)</f>
        <v>0</v>
      </c>
      <c r="AO260" s="32">
        <f t="shared" si="5"/>
        <v>3332.11</v>
      </c>
      <c r="AP260" s="31">
        <v>2380.08</v>
      </c>
      <c r="AQ260" s="31">
        <v>4284.1400000000003</v>
      </c>
      <c r="AR260" s="210" t="s">
        <v>577</v>
      </c>
      <c r="AS260" s="32"/>
    </row>
    <row r="261" spans="1:45" ht="12.75" hidden="1" x14ac:dyDescent="0.2">
      <c r="A261" s="48">
        <v>255</v>
      </c>
      <c r="B261" s="12">
        <f>'Encargos e Benefícios'!B260</f>
        <v>0</v>
      </c>
      <c r="C261" s="10">
        <f>'Encargos e Benefícios'!C260</f>
        <v>0</v>
      </c>
      <c r="D261" s="38"/>
      <c r="E261" s="174"/>
      <c r="F261" s="173"/>
      <c r="G261" s="172"/>
      <c r="H261" s="370"/>
      <c r="I261" s="47"/>
      <c r="J261" s="47"/>
      <c r="K261" s="47"/>
      <c r="L261" s="47"/>
      <c r="M261" s="172"/>
      <c r="N261" s="370"/>
      <c r="O261" s="47"/>
      <c r="P261" s="47"/>
      <c r="Q261" s="47"/>
      <c r="R261" s="47"/>
      <c r="S261" s="172"/>
      <c r="T261" s="370"/>
      <c r="U261" s="47"/>
      <c r="V261" s="47"/>
      <c r="W261" s="47"/>
      <c r="X261" s="47"/>
      <c r="Y261" s="172"/>
      <c r="Z261" s="133"/>
      <c r="AA261" s="47"/>
      <c r="AB261" s="47"/>
      <c r="AC261" s="47"/>
      <c r="AD261" s="47"/>
      <c r="AE261" s="172"/>
      <c r="AF261" s="133"/>
      <c r="AG261" s="47"/>
      <c r="AH261" s="47"/>
      <c r="AI261" s="47"/>
      <c r="AJ261" s="136"/>
      <c r="AK261" s="11">
        <f>'Encargos e Benefícios'!D260</f>
        <v>0</v>
      </c>
      <c r="AL261" s="11">
        <f>IF('Encargos e Benefícios'!C260=0,0,'Encargos e Benefícios'!U260/'Encargos e Benefícios'!C260)</f>
        <v>0</v>
      </c>
      <c r="AM261" s="11">
        <f>IF('Encargos e Benefícios'!C260=0,0,'Encargos e Benefícios'!AC260/'Encargos e Benefícios'!C260)</f>
        <v>0</v>
      </c>
      <c r="AN261" s="119">
        <f>IF('Encargos e Benefícios'!C260=0,0,'Encargos e Benefícios'!AD260/'Encargos e Benefícios'!C260)</f>
        <v>0</v>
      </c>
      <c r="AO261" s="32">
        <f t="shared" si="5"/>
        <v>3332.11</v>
      </c>
      <c r="AP261" s="31">
        <v>2380.08</v>
      </c>
      <c r="AQ261" s="31">
        <v>4284.1400000000003</v>
      </c>
      <c r="AR261" s="210" t="s">
        <v>577</v>
      </c>
      <c r="AS261" s="32"/>
    </row>
    <row r="262" spans="1:45" ht="12.75" hidden="1" x14ac:dyDescent="0.2">
      <c r="A262" s="48">
        <v>256</v>
      </c>
      <c r="B262" s="12">
        <f>'Encargos e Benefícios'!B261</f>
        <v>0</v>
      </c>
      <c r="C262" s="10">
        <f>'Encargos e Benefícios'!C261</f>
        <v>0</v>
      </c>
      <c r="D262" s="38"/>
      <c r="E262" s="174"/>
      <c r="F262" s="173"/>
      <c r="G262" s="172"/>
      <c r="H262" s="370"/>
      <c r="I262" s="47"/>
      <c r="J262" s="47"/>
      <c r="K262" s="47"/>
      <c r="L262" s="47"/>
      <c r="M262" s="172"/>
      <c r="N262" s="370"/>
      <c r="O262" s="47"/>
      <c r="P262" s="47"/>
      <c r="Q262" s="47"/>
      <c r="R262" s="47"/>
      <c r="S262" s="172"/>
      <c r="T262" s="370"/>
      <c r="U262" s="47"/>
      <c r="V262" s="47"/>
      <c r="W262" s="47"/>
      <c r="X262" s="47"/>
      <c r="Y262" s="172"/>
      <c r="Z262" s="133"/>
      <c r="AA262" s="47"/>
      <c r="AB262" s="47"/>
      <c r="AC262" s="47"/>
      <c r="AD262" s="47"/>
      <c r="AE262" s="172"/>
      <c r="AF262" s="133"/>
      <c r="AG262" s="47"/>
      <c r="AH262" s="47"/>
      <c r="AI262" s="47"/>
      <c r="AJ262" s="136"/>
      <c r="AK262" s="11">
        <f>'Encargos e Benefícios'!D261</f>
        <v>0</v>
      </c>
      <c r="AL262" s="11">
        <f>IF('Encargos e Benefícios'!C261=0,0,'Encargos e Benefícios'!U261/'Encargos e Benefícios'!C261)</f>
        <v>0</v>
      </c>
      <c r="AM262" s="11">
        <f>IF('Encargos e Benefícios'!C261=0,0,'Encargos e Benefícios'!AC261/'Encargos e Benefícios'!C261)</f>
        <v>0</v>
      </c>
      <c r="AN262" s="119">
        <f>IF('Encargos e Benefícios'!C261=0,0,'Encargos e Benefícios'!AD261/'Encargos e Benefícios'!C261)</f>
        <v>0</v>
      </c>
      <c r="AO262" s="32">
        <f t="shared" si="5"/>
        <v>2286.52</v>
      </c>
      <c r="AP262" s="31">
        <v>1633.23</v>
      </c>
      <c r="AQ262" s="31">
        <v>2939.81</v>
      </c>
      <c r="AR262" s="210" t="s">
        <v>577</v>
      </c>
      <c r="AS262" s="32"/>
    </row>
    <row r="263" spans="1:45" ht="12.75" hidden="1" x14ac:dyDescent="0.2">
      <c r="A263" s="48">
        <v>257</v>
      </c>
      <c r="B263" s="12">
        <f>'Encargos e Benefícios'!B262</f>
        <v>0</v>
      </c>
      <c r="C263" s="10">
        <f>'Encargos e Benefícios'!C262</f>
        <v>0</v>
      </c>
      <c r="D263" s="38"/>
      <c r="E263" s="174"/>
      <c r="F263" s="173"/>
      <c r="G263" s="172"/>
      <c r="H263" s="370"/>
      <c r="I263" s="47"/>
      <c r="J263" s="47"/>
      <c r="K263" s="47"/>
      <c r="L263" s="47"/>
      <c r="M263" s="172"/>
      <c r="N263" s="370"/>
      <c r="O263" s="47"/>
      <c r="P263" s="47"/>
      <c r="Q263" s="47"/>
      <c r="R263" s="47"/>
      <c r="S263" s="172"/>
      <c r="T263" s="370"/>
      <c r="U263" s="47"/>
      <c r="V263" s="47"/>
      <c r="W263" s="47"/>
      <c r="X263" s="47"/>
      <c r="Y263" s="172"/>
      <c r="Z263" s="133"/>
      <c r="AA263" s="47"/>
      <c r="AB263" s="47"/>
      <c r="AC263" s="47"/>
      <c r="AD263" s="47"/>
      <c r="AE263" s="172"/>
      <c r="AF263" s="133"/>
      <c r="AG263" s="47"/>
      <c r="AH263" s="47"/>
      <c r="AI263" s="47"/>
      <c r="AJ263" s="136"/>
      <c r="AK263" s="11">
        <f>'Encargos e Benefícios'!D262</f>
        <v>0</v>
      </c>
      <c r="AL263" s="11">
        <f>IF('Encargos e Benefícios'!C262=0,0,'Encargos e Benefícios'!U262/'Encargos e Benefícios'!C262)</f>
        <v>0</v>
      </c>
      <c r="AM263" s="11">
        <f>IF('Encargos e Benefícios'!C262=0,0,'Encargos e Benefícios'!AC262/'Encargos e Benefícios'!C262)</f>
        <v>0</v>
      </c>
      <c r="AN263" s="119">
        <f>IF('Encargos e Benefícios'!C262=0,0,'Encargos e Benefícios'!AD262/'Encargos e Benefícios'!C262)</f>
        <v>0</v>
      </c>
      <c r="AO263" s="32"/>
      <c r="AP263" s="31">
        <v>1884.76</v>
      </c>
      <c r="AQ263" s="31">
        <v>3392.58</v>
      </c>
      <c r="AR263" s="210" t="s">
        <v>577</v>
      </c>
      <c r="AS263" s="32"/>
    </row>
    <row r="264" spans="1:45" ht="12.75" hidden="1" x14ac:dyDescent="0.2">
      <c r="A264" s="48">
        <v>258</v>
      </c>
      <c r="B264" s="12">
        <f>'Encargos e Benefícios'!B263</f>
        <v>0</v>
      </c>
      <c r="C264" s="10">
        <f>'Encargos e Benefícios'!C263</f>
        <v>0</v>
      </c>
      <c r="D264" s="38"/>
      <c r="E264" s="174"/>
      <c r="F264" s="173"/>
      <c r="G264" s="172"/>
      <c r="H264" s="370"/>
      <c r="I264" s="47"/>
      <c r="J264" s="47"/>
      <c r="K264" s="47"/>
      <c r="L264" s="47"/>
      <c r="M264" s="172"/>
      <c r="N264" s="370"/>
      <c r="O264" s="47"/>
      <c r="P264" s="47"/>
      <c r="Q264" s="47"/>
      <c r="R264" s="47"/>
      <c r="S264" s="172"/>
      <c r="T264" s="370"/>
      <c r="U264" s="47"/>
      <c r="V264" s="47"/>
      <c r="W264" s="47"/>
      <c r="X264" s="47"/>
      <c r="Y264" s="172"/>
      <c r="Z264" s="133"/>
      <c r="AA264" s="47"/>
      <c r="AB264" s="47"/>
      <c r="AC264" s="47"/>
      <c r="AD264" s="47"/>
      <c r="AE264" s="172"/>
      <c r="AF264" s="133"/>
      <c r="AG264" s="47"/>
      <c r="AH264" s="47"/>
      <c r="AI264" s="47"/>
      <c r="AJ264" s="136"/>
      <c r="AK264" s="11">
        <f>'Encargos e Benefícios'!D263</f>
        <v>0</v>
      </c>
      <c r="AL264" s="11">
        <f>IF('Encargos e Benefícios'!C263=0,0,'Encargos e Benefícios'!U263/'Encargos e Benefícios'!C263)</f>
        <v>0</v>
      </c>
      <c r="AM264" s="11">
        <f>IF('Encargos e Benefícios'!C263=0,0,'Encargos e Benefícios'!AC263/'Encargos e Benefícios'!C263)</f>
        <v>0</v>
      </c>
      <c r="AN264" s="119">
        <f>IF('Encargos e Benefícios'!C263=0,0,'Encargos e Benefícios'!AD263/'Encargos e Benefícios'!C263)</f>
        <v>0</v>
      </c>
      <c r="AO264" s="32"/>
      <c r="AP264" s="31">
        <v>1906.88</v>
      </c>
      <c r="AQ264" s="31">
        <v>3335.15</v>
      </c>
      <c r="AR264" s="210" t="s">
        <v>577</v>
      </c>
      <c r="AS264" s="32"/>
    </row>
    <row r="265" spans="1:45" ht="12.75" hidden="1" x14ac:dyDescent="0.2">
      <c r="A265" s="48">
        <v>259</v>
      </c>
      <c r="B265" s="12">
        <f>'Encargos e Benefícios'!B264</f>
        <v>0</v>
      </c>
      <c r="C265" s="10">
        <f>'Encargos e Benefícios'!C264</f>
        <v>0</v>
      </c>
      <c r="D265" s="38"/>
      <c r="E265" s="174"/>
      <c r="F265" s="173"/>
      <c r="G265" s="172"/>
      <c r="H265" s="370"/>
      <c r="I265" s="47"/>
      <c r="J265" s="47"/>
      <c r="K265" s="47"/>
      <c r="L265" s="47"/>
      <c r="M265" s="172"/>
      <c r="N265" s="370"/>
      <c r="O265" s="47"/>
      <c r="P265" s="47"/>
      <c r="Q265" s="47"/>
      <c r="R265" s="47"/>
      <c r="S265" s="172"/>
      <c r="T265" s="370"/>
      <c r="U265" s="47"/>
      <c r="V265" s="47"/>
      <c r="W265" s="47"/>
      <c r="X265" s="47"/>
      <c r="Y265" s="172"/>
      <c r="Z265" s="133"/>
      <c r="AA265" s="47"/>
      <c r="AB265" s="47"/>
      <c r="AC265" s="47"/>
      <c r="AD265" s="47"/>
      <c r="AE265" s="172"/>
      <c r="AF265" s="133"/>
      <c r="AG265" s="47"/>
      <c r="AH265" s="47"/>
      <c r="AI265" s="47"/>
      <c r="AJ265" s="136"/>
      <c r="AK265" s="11">
        <f>'Encargos e Benefícios'!D264</f>
        <v>0</v>
      </c>
      <c r="AL265" s="11">
        <f>IF('Encargos e Benefícios'!C264=0,0,'Encargos e Benefícios'!U264/'Encargos e Benefícios'!C264)</f>
        <v>0</v>
      </c>
      <c r="AM265" s="11">
        <f>IF('Encargos e Benefícios'!C264=0,0,'Encargos e Benefícios'!AC264/'Encargos e Benefícios'!C264)</f>
        <v>0</v>
      </c>
      <c r="AN265" s="119">
        <f>IF('Encargos e Benefícios'!C264=0,0,'Encargos e Benefícios'!AD264/'Encargos e Benefícios'!C264)</f>
        <v>0</v>
      </c>
      <c r="AO265" s="32"/>
      <c r="AP265" s="31">
        <v>1906.88</v>
      </c>
      <c r="AQ265" s="31">
        <v>3335.15</v>
      </c>
      <c r="AR265" s="210" t="s">
        <v>577</v>
      </c>
      <c r="AS265" s="32"/>
    </row>
    <row r="266" spans="1:45" ht="12.75" hidden="1" x14ac:dyDescent="0.2">
      <c r="A266" s="48">
        <v>260</v>
      </c>
      <c r="B266" s="12">
        <f>'Encargos e Benefícios'!B265</f>
        <v>0</v>
      </c>
      <c r="C266" s="10">
        <f>'Encargos e Benefícios'!C265</f>
        <v>0</v>
      </c>
      <c r="D266" s="38"/>
      <c r="E266" s="174"/>
      <c r="F266" s="173"/>
      <c r="G266" s="172"/>
      <c r="H266" s="370"/>
      <c r="I266" s="47"/>
      <c r="J266" s="47"/>
      <c r="K266" s="47"/>
      <c r="L266" s="47"/>
      <c r="M266" s="172"/>
      <c r="N266" s="370"/>
      <c r="O266" s="47"/>
      <c r="P266" s="47"/>
      <c r="Q266" s="47"/>
      <c r="R266" s="47"/>
      <c r="S266" s="172"/>
      <c r="T266" s="370"/>
      <c r="U266" s="47"/>
      <c r="V266" s="47"/>
      <c r="W266" s="47"/>
      <c r="X266" s="47"/>
      <c r="Y266" s="172"/>
      <c r="Z266" s="133"/>
      <c r="AA266" s="47"/>
      <c r="AB266" s="47"/>
      <c r="AC266" s="47"/>
      <c r="AD266" s="47"/>
      <c r="AE266" s="172"/>
      <c r="AF266" s="133"/>
      <c r="AG266" s="47"/>
      <c r="AH266" s="47"/>
      <c r="AI266" s="47"/>
      <c r="AJ266" s="136"/>
      <c r="AK266" s="11">
        <f>'Encargos e Benefícios'!D265</f>
        <v>0</v>
      </c>
      <c r="AL266" s="11">
        <f>IF('Encargos e Benefícios'!C265=0,0,'Encargos e Benefícios'!U265/'Encargos e Benefícios'!C265)</f>
        <v>0</v>
      </c>
      <c r="AM266" s="11">
        <f>IF('Encargos e Benefícios'!C265=0,0,'Encargos e Benefícios'!AC265/'Encargos e Benefícios'!C265)</f>
        <v>0</v>
      </c>
      <c r="AN266" s="119">
        <f>IF('Encargos e Benefícios'!C265=0,0,'Encargos e Benefícios'!AD265/'Encargos e Benefícios'!C265)</f>
        <v>0</v>
      </c>
      <c r="AO266" s="32"/>
      <c r="AP266" s="31">
        <v>2550.5</v>
      </c>
      <c r="AQ266" s="31">
        <v>7284.47</v>
      </c>
      <c r="AR266" s="210" t="s">
        <v>577</v>
      </c>
      <c r="AS266" s="32"/>
    </row>
    <row r="267" spans="1:45" ht="12.75" hidden="1" x14ac:dyDescent="0.2">
      <c r="A267" s="48">
        <v>261</v>
      </c>
      <c r="B267" s="12">
        <f>'Encargos e Benefícios'!B266</f>
        <v>0</v>
      </c>
      <c r="C267" s="10">
        <f>'Encargos e Benefícios'!C266</f>
        <v>0</v>
      </c>
      <c r="D267" s="38"/>
      <c r="E267" s="174"/>
      <c r="F267" s="173"/>
      <c r="G267" s="172"/>
      <c r="H267" s="370"/>
      <c r="I267" s="47"/>
      <c r="J267" s="47"/>
      <c r="K267" s="47"/>
      <c r="L267" s="47"/>
      <c r="M267" s="172"/>
      <c r="N267" s="370"/>
      <c r="O267" s="47"/>
      <c r="P267" s="47"/>
      <c r="Q267" s="47"/>
      <c r="R267" s="47"/>
      <c r="S267" s="172"/>
      <c r="T267" s="370"/>
      <c r="U267" s="47"/>
      <c r="V267" s="47"/>
      <c r="W267" s="47"/>
      <c r="X267" s="47"/>
      <c r="Y267" s="172"/>
      <c r="Z267" s="133"/>
      <c r="AA267" s="47"/>
      <c r="AB267" s="47"/>
      <c r="AC267" s="47"/>
      <c r="AD267" s="47"/>
      <c r="AE267" s="172"/>
      <c r="AF267" s="133"/>
      <c r="AG267" s="47"/>
      <c r="AH267" s="47"/>
      <c r="AI267" s="47"/>
      <c r="AJ267" s="136"/>
      <c r="AK267" s="11">
        <f>'Encargos e Benefícios'!D266</f>
        <v>0</v>
      </c>
      <c r="AL267" s="11">
        <f>IF('Encargos e Benefícios'!C266=0,0,'Encargos e Benefícios'!U266/'Encargos e Benefícios'!C266)</f>
        <v>0</v>
      </c>
      <c r="AM267" s="11">
        <f>IF('Encargos e Benefícios'!C266=0,0,'Encargos e Benefícios'!AC266/'Encargos e Benefícios'!C266)</f>
        <v>0</v>
      </c>
      <c r="AN267" s="119">
        <f>IF('Encargos e Benefícios'!C266=0,0,'Encargos e Benefícios'!AD266/'Encargos e Benefícios'!C266)</f>
        <v>0</v>
      </c>
      <c r="AO267" s="32"/>
      <c r="AP267" s="31">
        <v>3095.54</v>
      </c>
      <c r="AQ267" s="31">
        <v>7557.45</v>
      </c>
      <c r="AR267" s="210" t="s">
        <v>577</v>
      </c>
      <c r="AS267" s="32"/>
    </row>
    <row r="268" spans="1:45" ht="12.75" hidden="1" x14ac:dyDescent="0.2">
      <c r="A268" s="48">
        <v>262</v>
      </c>
      <c r="B268" s="12">
        <f>'Encargos e Benefícios'!B267</f>
        <v>0</v>
      </c>
      <c r="C268" s="10">
        <f>'Encargos e Benefícios'!C267</f>
        <v>0</v>
      </c>
      <c r="D268" s="38"/>
      <c r="E268" s="174"/>
      <c r="F268" s="173"/>
      <c r="G268" s="172"/>
      <c r="H268" s="370"/>
      <c r="I268" s="47"/>
      <c r="J268" s="47"/>
      <c r="K268" s="47"/>
      <c r="L268" s="47"/>
      <c r="M268" s="172"/>
      <c r="N268" s="370"/>
      <c r="O268" s="47"/>
      <c r="P268" s="47"/>
      <c r="Q268" s="47"/>
      <c r="R268" s="47"/>
      <c r="S268" s="172"/>
      <c r="T268" s="370"/>
      <c r="U268" s="47"/>
      <c r="V268" s="47"/>
      <c r="W268" s="47"/>
      <c r="X268" s="47"/>
      <c r="Y268" s="172"/>
      <c r="Z268" s="133"/>
      <c r="AA268" s="47"/>
      <c r="AB268" s="47"/>
      <c r="AC268" s="47"/>
      <c r="AD268" s="47"/>
      <c r="AE268" s="172"/>
      <c r="AF268" s="133"/>
      <c r="AG268" s="47"/>
      <c r="AH268" s="47"/>
      <c r="AI268" s="47"/>
      <c r="AJ268" s="136"/>
      <c r="AK268" s="11">
        <f>'Encargos e Benefícios'!D267</f>
        <v>0</v>
      </c>
      <c r="AL268" s="11">
        <f>IF('Encargos e Benefícios'!C267=0,0,'Encargos e Benefícios'!U267/'Encargos e Benefícios'!C267)</f>
        <v>0</v>
      </c>
      <c r="AM268" s="11">
        <f>IF('Encargos e Benefícios'!C267=0,0,'Encargos e Benefícios'!AC267/'Encargos e Benefícios'!C267)</f>
        <v>0</v>
      </c>
      <c r="AN268" s="119">
        <f>IF('Encargos e Benefícios'!C267=0,0,'Encargos e Benefícios'!AD267/'Encargos e Benefícios'!C267)</f>
        <v>0</v>
      </c>
      <c r="AO268" s="32"/>
      <c r="AP268" s="31">
        <v>2083.61</v>
      </c>
      <c r="AQ268" s="31">
        <v>3644.25</v>
      </c>
      <c r="AR268" s="210" t="s">
        <v>577</v>
      </c>
      <c r="AS268" s="32"/>
    </row>
    <row r="269" spans="1:45" ht="12.75" hidden="1" x14ac:dyDescent="0.2">
      <c r="A269" s="48">
        <v>263</v>
      </c>
      <c r="B269" s="12">
        <f>'Encargos e Benefícios'!B268</f>
        <v>0</v>
      </c>
      <c r="C269" s="10">
        <f>'Encargos e Benefícios'!C268</f>
        <v>0</v>
      </c>
      <c r="D269" s="38"/>
      <c r="E269" s="174"/>
      <c r="F269" s="173"/>
      <c r="G269" s="172"/>
      <c r="H269" s="370"/>
      <c r="I269" s="47"/>
      <c r="J269" s="47"/>
      <c r="K269" s="47"/>
      <c r="L269" s="47"/>
      <c r="M269" s="172"/>
      <c r="N269" s="370"/>
      <c r="O269" s="47"/>
      <c r="P269" s="47"/>
      <c r="Q269" s="47"/>
      <c r="R269" s="47"/>
      <c r="S269" s="172"/>
      <c r="T269" s="370"/>
      <c r="U269" s="47"/>
      <c r="V269" s="47"/>
      <c r="W269" s="47"/>
      <c r="X269" s="47"/>
      <c r="Y269" s="172"/>
      <c r="Z269" s="133"/>
      <c r="AA269" s="47"/>
      <c r="AB269" s="47"/>
      <c r="AC269" s="47"/>
      <c r="AD269" s="47"/>
      <c r="AE269" s="172"/>
      <c r="AF269" s="133"/>
      <c r="AG269" s="47"/>
      <c r="AH269" s="47"/>
      <c r="AI269" s="47"/>
      <c r="AJ269" s="136"/>
      <c r="AK269" s="11">
        <f>'Encargos e Benefícios'!D268</f>
        <v>0</v>
      </c>
      <c r="AL269" s="11">
        <f>IF('Encargos e Benefícios'!C268=0,0,'Encargos e Benefícios'!U268/'Encargos e Benefícios'!C268)</f>
        <v>0</v>
      </c>
      <c r="AM269" s="11">
        <f>IF('Encargos e Benefícios'!C268=0,0,'Encargos e Benefícios'!AC268/'Encargos e Benefícios'!C268)</f>
        <v>0</v>
      </c>
      <c r="AN269" s="119">
        <f>IF('Encargos e Benefícios'!C268=0,0,'Encargos e Benefícios'!AD268/'Encargos e Benefícios'!C268)</f>
        <v>0</v>
      </c>
      <c r="AO269" s="32"/>
      <c r="AP269" s="31">
        <v>1618.02</v>
      </c>
      <c r="AQ269" s="31">
        <v>2368.94</v>
      </c>
      <c r="AR269" s="210" t="s">
        <v>577</v>
      </c>
      <c r="AS269" s="32"/>
    </row>
    <row r="270" spans="1:45" ht="12.75" hidden="1" x14ac:dyDescent="0.2">
      <c r="A270" s="48">
        <v>264</v>
      </c>
      <c r="B270" s="12">
        <f>'Encargos e Benefícios'!B269</f>
        <v>0</v>
      </c>
      <c r="C270" s="10">
        <f>'Encargos e Benefícios'!C269</f>
        <v>0</v>
      </c>
      <c r="D270" s="38"/>
      <c r="E270" s="174"/>
      <c r="F270" s="173"/>
      <c r="G270" s="172"/>
      <c r="H270" s="370"/>
      <c r="I270" s="47"/>
      <c r="J270" s="47"/>
      <c r="K270" s="47"/>
      <c r="L270" s="47"/>
      <c r="M270" s="172"/>
      <c r="N270" s="370"/>
      <c r="O270" s="47"/>
      <c r="P270" s="47"/>
      <c r="Q270" s="47"/>
      <c r="R270" s="47"/>
      <c r="S270" s="172"/>
      <c r="T270" s="370"/>
      <c r="U270" s="47"/>
      <c r="V270" s="47"/>
      <c r="W270" s="47"/>
      <c r="X270" s="47"/>
      <c r="Y270" s="172"/>
      <c r="Z270" s="133"/>
      <c r="AA270" s="47"/>
      <c r="AB270" s="47"/>
      <c r="AC270" s="47"/>
      <c r="AD270" s="47"/>
      <c r="AE270" s="172"/>
      <c r="AF270" s="133"/>
      <c r="AG270" s="47"/>
      <c r="AH270" s="47"/>
      <c r="AI270" s="47"/>
      <c r="AJ270" s="136"/>
      <c r="AK270" s="11">
        <f>'Encargos e Benefícios'!D269</f>
        <v>0</v>
      </c>
      <c r="AL270" s="11">
        <f>IF('Encargos e Benefícios'!C269=0,0,'Encargos e Benefícios'!U269/'Encargos e Benefícios'!C269)</f>
        <v>0</v>
      </c>
      <c r="AM270" s="11">
        <f>IF('Encargos e Benefícios'!C269=0,0,'Encargos e Benefícios'!AC269/'Encargos e Benefícios'!C269)</f>
        <v>0</v>
      </c>
      <c r="AN270" s="119">
        <f>IF('Encargos e Benefícios'!C269=0,0,'Encargos e Benefícios'!AD269/'Encargos e Benefícios'!C269)</f>
        <v>0</v>
      </c>
      <c r="AO270" s="32">
        <f>(AQ270+AP270)/2</f>
        <v>10234.755000000001</v>
      </c>
      <c r="AP270" s="31">
        <v>5308.35</v>
      </c>
      <c r="AQ270" s="31">
        <v>15161.16</v>
      </c>
      <c r="AR270" s="210" t="s">
        <v>576</v>
      </c>
      <c r="AS270" s="32"/>
    </row>
    <row r="271" spans="1:45" ht="12.75" hidden="1" x14ac:dyDescent="0.2">
      <c r="A271" s="48">
        <v>265</v>
      </c>
      <c r="B271" s="12">
        <f>'Encargos e Benefícios'!B270</f>
        <v>0</v>
      </c>
      <c r="C271" s="10">
        <f>'Encargos e Benefícios'!C270</f>
        <v>0</v>
      </c>
      <c r="D271" s="38"/>
      <c r="E271" s="174"/>
      <c r="F271" s="173"/>
      <c r="G271" s="172"/>
      <c r="H271" s="370"/>
      <c r="I271" s="47"/>
      <c r="J271" s="47"/>
      <c r="K271" s="47"/>
      <c r="L271" s="47"/>
      <c r="M271" s="172"/>
      <c r="N271" s="370"/>
      <c r="O271" s="47"/>
      <c r="P271" s="47"/>
      <c r="Q271" s="47"/>
      <c r="R271" s="47"/>
      <c r="S271" s="172"/>
      <c r="T271" s="370"/>
      <c r="U271" s="47"/>
      <c r="V271" s="47"/>
      <c r="W271" s="47"/>
      <c r="X271" s="47"/>
      <c r="Y271" s="172"/>
      <c r="Z271" s="133"/>
      <c r="AA271" s="47"/>
      <c r="AB271" s="47"/>
      <c r="AC271" s="47"/>
      <c r="AD271" s="47"/>
      <c r="AE271" s="172"/>
      <c r="AF271" s="133"/>
      <c r="AG271" s="47"/>
      <c r="AH271" s="47"/>
      <c r="AI271" s="47"/>
      <c r="AJ271" s="136"/>
      <c r="AK271" s="11">
        <f>'Encargos e Benefícios'!D270</f>
        <v>0</v>
      </c>
      <c r="AL271" s="11">
        <f>IF('Encargos e Benefícios'!C270=0,0,'Encargos e Benefícios'!U270/'Encargos e Benefícios'!C270)</f>
        <v>0</v>
      </c>
      <c r="AM271" s="11">
        <f>IF('Encargos e Benefícios'!C270=0,0,'Encargos e Benefícios'!AC270/'Encargos e Benefícios'!C270)</f>
        <v>0</v>
      </c>
      <c r="AN271" s="119">
        <f>IF('Encargos e Benefícios'!C270=0,0,'Encargos e Benefícios'!AD270/'Encargos e Benefícios'!C270)</f>
        <v>0</v>
      </c>
      <c r="AO271" s="32"/>
      <c r="AP271" s="31">
        <v>5308.35</v>
      </c>
      <c r="AQ271" s="31">
        <v>15161.16</v>
      </c>
      <c r="AR271" s="210" t="s">
        <v>576</v>
      </c>
      <c r="AS271" s="32"/>
    </row>
    <row r="272" spans="1:45" ht="12.75" hidden="1" x14ac:dyDescent="0.2">
      <c r="A272" s="48">
        <v>266</v>
      </c>
      <c r="B272" s="12">
        <f>'Encargos e Benefícios'!B271</f>
        <v>0</v>
      </c>
      <c r="C272" s="10">
        <f>'Encargos e Benefícios'!C271</f>
        <v>0</v>
      </c>
      <c r="D272" s="38"/>
      <c r="E272" s="174"/>
      <c r="F272" s="173"/>
      <c r="G272" s="172"/>
      <c r="H272" s="370"/>
      <c r="I272" s="47"/>
      <c r="J272" s="47"/>
      <c r="K272" s="47"/>
      <c r="L272" s="47"/>
      <c r="M272" s="172"/>
      <c r="N272" s="370"/>
      <c r="O272" s="47"/>
      <c r="P272" s="47"/>
      <c r="Q272" s="47"/>
      <c r="R272" s="47"/>
      <c r="S272" s="172"/>
      <c r="T272" s="370"/>
      <c r="U272" s="47"/>
      <c r="V272" s="47"/>
      <c r="W272" s="47"/>
      <c r="X272" s="47"/>
      <c r="Y272" s="172"/>
      <c r="Z272" s="133"/>
      <c r="AA272" s="47"/>
      <c r="AB272" s="47"/>
      <c r="AC272" s="47"/>
      <c r="AD272" s="47"/>
      <c r="AE272" s="172"/>
      <c r="AF272" s="133"/>
      <c r="AG272" s="47"/>
      <c r="AH272" s="47"/>
      <c r="AI272" s="47"/>
      <c r="AJ272" s="136"/>
      <c r="AK272" s="11">
        <f>'Encargos e Benefícios'!D271</f>
        <v>0</v>
      </c>
      <c r="AL272" s="11">
        <f>IF('Encargos e Benefícios'!C271=0,0,'Encargos e Benefícios'!U271/'Encargos e Benefícios'!C271)</f>
        <v>0</v>
      </c>
      <c r="AM272" s="11">
        <f>IF('Encargos e Benefícios'!C271=0,0,'Encargos e Benefícios'!AC271/'Encargos e Benefícios'!C271)</f>
        <v>0</v>
      </c>
      <c r="AN272" s="119">
        <f>IF('Encargos e Benefícios'!C271=0,0,'Encargos e Benefícios'!AD271/'Encargos e Benefícios'!C271)</f>
        <v>0</v>
      </c>
      <c r="AO272" s="32"/>
      <c r="AP272" s="31">
        <v>5308.35</v>
      </c>
      <c r="AQ272" s="31">
        <v>15161.16</v>
      </c>
      <c r="AR272" s="210" t="s">
        <v>576</v>
      </c>
      <c r="AS272" s="32"/>
    </row>
    <row r="273" spans="1:45" ht="12.75" hidden="1" x14ac:dyDescent="0.2">
      <c r="A273" s="48">
        <v>267</v>
      </c>
      <c r="B273" s="12">
        <f>'Encargos e Benefícios'!B272</f>
        <v>0</v>
      </c>
      <c r="C273" s="10">
        <f>'Encargos e Benefícios'!C272</f>
        <v>0</v>
      </c>
      <c r="D273" s="38"/>
      <c r="E273" s="174"/>
      <c r="F273" s="173"/>
      <c r="G273" s="172"/>
      <c r="H273" s="370"/>
      <c r="I273" s="47"/>
      <c r="J273" s="47"/>
      <c r="K273" s="47"/>
      <c r="L273" s="47"/>
      <c r="M273" s="172"/>
      <c r="N273" s="370"/>
      <c r="O273" s="47"/>
      <c r="P273" s="47"/>
      <c r="Q273" s="47"/>
      <c r="R273" s="47"/>
      <c r="S273" s="172"/>
      <c r="T273" s="370"/>
      <c r="U273" s="47"/>
      <c r="V273" s="47"/>
      <c r="W273" s="47"/>
      <c r="X273" s="47"/>
      <c r="Y273" s="172"/>
      <c r="Z273" s="133"/>
      <c r="AA273" s="47"/>
      <c r="AB273" s="47"/>
      <c r="AC273" s="47"/>
      <c r="AD273" s="47"/>
      <c r="AE273" s="172"/>
      <c r="AF273" s="133"/>
      <c r="AG273" s="47"/>
      <c r="AH273" s="47"/>
      <c r="AI273" s="47"/>
      <c r="AJ273" s="136"/>
      <c r="AK273" s="11">
        <f>'Encargos e Benefícios'!D272</f>
        <v>0</v>
      </c>
      <c r="AL273" s="11">
        <f>IF('Encargos e Benefícios'!C272=0,0,'Encargos e Benefícios'!U272/'Encargos e Benefícios'!C272)</f>
        <v>0</v>
      </c>
      <c r="AM273" s="11">
        <f>IF('Encargos e Benefícios'!C272=0,0,'Encargos e Benefícios'!AC272/'Encargos e Benefícios'!C272)</f>
        <v>0</v>
      </c>
      <c r="AN273" s="119">
        <f>IF('Encargos e Benefícios'!C272=0,0,'Encargos e Benefícios'!AD272/'Encargos e Benefícios'!C272)</f>
        <v>0</v>
      </c>
      <c r="AO273" s="32">
        <f t="shared" ref="AO273:AO281" si="6">(AQ273+AP273)/2</f>
        <v>4280.8549999999996</v>
      </c>
      <c r="AP273" s="31">
        <v>3057.75</v>
      </c>
      <c r="AQ273" s="31">
        <v>5503.96</v>
      </c>
      <c r="AR273" s="210" t="s">
        <v>576</v>
      </c>
      <c r="AS273" s="32"/>
    </row>
    <row r="274" spans="1:45" ht="12.75" hidden="1" x14ac:dyDescent="0.2">
      <c r="A274" s="48">
        <v>268</v>
      </c>
      <c r="B274" s="12">
        <f>'Encargos e Benefícios'!B273</f>
        <v>0</v>
      </c>
      <c r="C274" s="10">
        <f>'Encargos e Benefícios'!C273</f>
        <v>0</v>
      </c>
      <c r="D274" s="38"/>
      <c r="E274" s="174"/>
      <c r="F274" s="173"/>
      <c r="G274" s="172"/>
      <c r="H274" s="370"/>
      <c r="I274" s="47"/>
      <c r="J274" s="47"/>
      <c r="K274" s="47"/>
      <c r="L274" s="47"/>
      <c r="M274" s="172"/>
      <c r="N274" s="370"/>
      <c r="O274" s="47"/>
      <c r="P274" s="47"/>
      <c r="Q274" s="47"/>
      <c r="R274" s="47"/>
      <c r="S274" s="172"/>
      <c r="T274" s="370"/>
      <c r="U274" s="47"/>
      <c r="V274" s="47"/>
      <c r="W274" s="47"/>
      <c r="X274" s="47"/>
      <c r="Y274" s="172"/>
      <c r="Z274" s="133"/>
      <c r="AA274" s="47"/>
      <c r="AB274" s="47"/>
      <c r="AC274" s="47"/>
      <c r="AD274" s="47"/>
      <c r="AE274" s="172"/>
      <c r="AF274" s="133"/>
      <c r="AG274" s="47"/>
      <c r="AH274" s="47"/>
      <c r="AI274" s="47"/>
      <c r="AJ274" s="136"/>
      <c r="AK274" s="11">
        <f>'Encargos e Benefícios'!D273</f>
        <v>0</v>
      </c>
      <c r="AL274" s="11">
        <f>IF('Encargos e Benefícios'!C273=0,0,'Encargos e Benefícios'!U273/'Encargos e Benefícios'!C273)</f>
        <v>0</v>
      </c>
      <c r="AM274" s="11">
        <f>IF('Encargos e Benefícios'!C273=0,0,'Encargos e Benefícios'!AC273/'Encargos e Benefícios'!C273)</f>
        <v>0</v>
      </c>
      <c r="AN274" s="119">
        <f>IF('Encargos e Benefícios'!C273=0,0,'Encargos e Benefícios'!AD273/'Encargos e Benefícios'!C273)</f>
        <v>0</v>
      </c>
      <c r="AO274" s="32">
        <f t="shared" si="6"/>
        <v>4280.8549999999996</v>
      </c>
      <c r="AP274" s="31">
        <v>3057.75</v>
      </c>
      <c r="AQ274" s="31">
        <v>5503.96</v>
      </c>
      <c r="AR274" s="210" t="s">
        <v>576</v>
      </c>
      <c r="AS274" s="32"/>
    </row>
    <row r="275" spans="1:45" ht="12.75" hidden="1" x14ac:dyDescent="0.2">
      <c r="A275" s="48">
        <v>269</v>
      </c>
      <c r="B275" s="12">
        <f>'Encargos e Benefícios'!B274</f>
        <v>0</v>
      </c>
      <c r="C275" s="10">
        <f>'Encargos e Benefícios'!C274</f>
        <v>0</v>
      </c>
      <c r="D275" s="38"/>
      <c r="E275" s="174"/>
      <c r="F275" s="173"/>
      <c r="G275" s="172"/>
      <c r="H275" s="370"/>
      <c r="I275" s="47"/>
      <c r="J275" s="47"/>
      <c r="K275" s="47"/>
      <c r="L275" s="47"/>
      <c r="M275" s="172"/>
      <c r="N275" s="370"/>
      <c r="O275" s="47"/>
      <c r="P275" s="47"/>
      <c r="Q275" s="47"/>
      <c r="R275" s="47"/>
      <c r="S275" s="172"/>
      <c r="T275" s="370"/>
      <c r="U275" s="47"/>
      <c r="V275" s="47"/>
      <c r="W275" s="47"/>
      <c r="X275" s="47"/>
      <c r="Y275" s="172"/>
      <c r="Z275" s="133"/>
      <c r="AA275" s="47"/>
      <c r="AB275" s="47"/>
      <c r="AC275" s="47"/>
      <c r="AD275" s="47"/>
      <c r="AE275" s="172"/>
      <c r="AF275" s="133"/>
      <c r="AG275" s="47"/>
      <c r="AH275" s="47"/>
      <c r="AI275" s="47"/>
      <c r="AJ275" s="136"/>
      <c r="AK275" s="11">
        <f>'Encargos e Benefícios'!D274</f>
        <v>0</v>
      </c>
      <c r="AL275" s="11">
        <f>IF('Encargos e Benefícios'!C274=0,0,'Encargos e Benefícios'!U274/'Encargos e Benefícios'!C274)</f>
        <v>0</v>
      </c>
      <c r="AM275" s="11">
        <f>IF('Encargos e Benefícios'!C274=0,0,'Encargos e Benefícios'!AC274/'Encargos e Benefícios'!C274)</f>
        <v>0</v>
      </c>
      <c r="AN275" s="119">
        <f>IF('Encargos e Benefícios'!C274=0,0,'Encargos e Benefícios'!AD274/'Encargos e Benefícios'!C274)</f>
        <v>0</v>
      </c>
      <c r="AO275" s="32">
        <f t="shared" si="6"/>
        <v>4280.8549999999996</v>
      </c>
      <c r="AP275" s="31">
        <v>3057.75</v>
      </c>
      <c r="AQ275" s="31">
        <v>5503.96</v>
      </c>
      <c r="AR275" s="210" t="s">
        <v>576</v>
      </c>
      <c r="AS275" s="32"/>
    </row>
    <row r="276" spans="1:45" ht="12.75" hidden="1" x14ac:dyDescent="0.2">
      <c r="A276" s="48">
        <v>270</v>
      </c>
      <c r="B276" s="12">
        <f>'Encargos e Benefícios'!B275</f>
        <v>0</v>
      </c>
      <c r="C276" s="10">
        <f>'Encargos e Benefícios'!C275</f>
        <v>0</v>
      </c>
      <c r="D276" s="38"/>
      <c r="E276" s="174"/>
      <c r="F276" s="173"/>
      <c r="G276" s="172"/>
      <c r="H276" s="370"/>
      <c r="I276" s="47"/>
      <c r="J276" s="47"/>
      <c r="K276" s="47"/>
      <c r="L276" s="47"/>
      <c r="M276" s="172"/>
      <c r="N276" s="370"/>
      <c r="O276" s="47"/>
      <c r="P276" s="47"/>
      <c r="Q276" s="47"/>
      <c r="R276" s="47"/>
      <c r="S276" s="172"/>
      <c r="T276" s="370"/>
      <c r="U276" s="47"/>
      <c r="V276" s="47"/>
      <c r="W276" s="47"/>
      <c r="X276" s="47"/>
      <c r="Y276" s="172"/>
      <c r="Z276" s="133"/>
      <c r="AA276" s="47"/>
      <c r="AB276" s="47"/>
      <c r="AC276" s="47"/>
      <c r="AD276" s="47"/>
      <c r="AE276" s="172"/>
      <c r="AF276" s="133"/>
      <c r="AG276" s="47"/>
      <c r="AH276" s="47"/>
      <c r="AI276" s="47"/>
      <c r="AJ276" s="136"/>
      <c r="AK276" s="11">
        <f>'Encargos e Benefícios'!D275</f>
        <v>0</v>
      </c>
      <c r="AL276" s="11">
        <f>IF('Encargos e Benefícios'!C275=0,0,'Encargos e Benefícios'!U275/'Encargos e Benefícios'!C275)</f>
        <v>0</v>
      </c>
      <c r="AM276" s="11">
        <f>IF('Encargos e Benefícios'!C275=0,0,'Encargos e Benefícios'!AC275/'Encargos e Benefícios'!C275)</f>
        <v>0</v>
      </c>
      <c r="AN276" s="119">
        <f>IF('Encargos e Benefícios'!C275=0,0,'Encargos e Benefícios'!AD275/'Encargos e Benefícios'!C275)</f>
        <v>0</v>
      </c>
      <c r="AO276" s="32">
        <f t="shared" si="6"/>
        <v>7383.3099999999995</v>
      </c>
      <c r="AP276" s="31">
        <v>5273.79</v>
      </c>
      <c r="AQ276" s="31">
        <v>9492.83</v>
      </c>
      <c r="AR276" s="210" t="s">
        <v>576</v>
      </c>
      <c r="AS276" s="32"/>
    </row>
    <row r="277" spans="1:45" ht="12.75" hidden="1" x14ac:dyDescent="0.2">
      <c r="A277" s="48">
        <v>271</v>
      </c>
      <c r="B277" s="12">
        <f>'Encargos e Benefícios'!B276</f>
        <v>0</v>
      </c>
      <c r="C277" s="10">
        <f>'Encargos e Benefícios'!C276</f>
        <v>0</v>
      </c>
      <c r="D277" s="38"/>
      <c r="E277" s="174"/>
      <c r="F277" s="173"/>
      <c r="G277" s="172"/>
      <c r="H277" s="370"/>
      <c r="I277" s="47"/>
      <c r="J277" s="47"/>
      <c r="K277" s="47"/>
      <c r="L277" s="47"/>
      <c r="M277" s="172"/>
      <c r="N277" s="370"/>
      <c r="O277" s="47"/>
      <c r="P277" s="47"/>
      <c r="Q277" s="47"/>
      <c r="R277" s="47"/>
      <c r="S277" s="172"/>
      <c r="T277" s="370"/>
      <c r="U277" s="47"/>
      <c r="V277" s="47"/>
      <c r="W277" s="47"/>
      <c r="X277" s="47"/>
      <c r="Y277" s="172"/>
      <c r="Z277" s="133"/>
      <c r="AA277" s="47"/>
      <c r="AB277" s="47"/>
      <c r="AC277" s="47"/>
      <c r="AD277" s="47"/>
      <c r="AE277" s="172"/>
      <c r="AF277" s="133"/>
      <c r="AG277" s="47"/>
      <c r="AH277" s="47"/>
      <c r="AI277" s="47"/>
      <c r="AJ277" s="136"/>
      <c r="AK277" s="11">
        <f>'Encargos e Benefícios'!D276</f>
        <v>0</v>
      </c>
      <c r="AL277" s="11">
        <f>IF('Encargos e Benefícios'!C276=0,0,'Encargos e Benefícios'!U276/'Encargos e Benefícios'!C276)</f>
        <v>0</v>
      </c>
      <c r="AM277" s="11">
        <f>IF('Encargos e Benefícios'!C276=0,0,'Encargos e Benefícios'!AC276/'Encargos e Benefícios'!C276)</f>
        <v>0</v>
      </c>
      <c r="AN277" s="119">
        <f>IF('Encargos e Benefícios'!C276=0,0,'Encargos e Benefícios'!AD276/'Encargos e Benefícios'!C276)</f>
        <v>0</v>
      </c>
      <c r="AO277" s="32">
        <f t="shared" si="6"/>
        <v>4280.8549999999996</v>
      </c>
      <c r="AP277" s="31">
        <v>3057.75</v>
      </c>
      <c r="AQ277" s="31">
        <v>5503.96</v>
      </c>
      <c r="AR277" s="210" t="s">
        <v>576</v>
      </c>
      <c r="AS277" s="32"/>
    </row>
    <row r="278" spans="1:45" ht="12.75" hidden="1" x14ac:dyDescent="0.2">
      <c r="A278" s="48">
        <v>272</v>
      </c>
      <c r="B278" s="12">
        <f>'Encargos e Benefícios'!B277</f>
        <v>0</v>
      </c>
      <c r="C278" s="10">
        <f>'Encargos e Benefícios'!C277</f>
        <v>0</v>
      </c>
      <c r="D278" s="38"/>
      <c r="E278" s="174"/>
      <c r="F278" s="173"/>
      <c r="G278" s="172"/>
      <c r="H278" s="370"/>
      <c r="I278" s="47"/>
      <c r="J278" s="47"/>
      <c r="K278" s="47"/>
      <c r="L278" s="47"/>
      <c r="M278" s="172"/>
      <c r="N278" s="370"/>
      <c r="O278" s="47"/>
      <c r="P278" s="47"/>
      <c r="Q278" s="47"/>
      <c r="R278" s="47"/>
      <c r="S278" s="172"/>
      <c r="T278" s="370"/>
      <c r="U278" s="47"/>
      <c r="V278" s="47"/>
      <c r="W278" s="47"/>
      <c r="X278" s="47"/>
      <c r="Y278" s="172"/>
      <c r="Z278" s="133"/>
      <c r="AA278" s="47"/>
      <c r="AB278" s="47"/>
      <c r="AC278" s="47"/>
      <c r="AD278" s="47"/>
      <c r="AE278" s="172"/>
      <c r="AF278" s="133"/>
      <c r="AG278" s="47"/>
      <c r="AH278" s="47"/>
      <c r="AI278" s="47"/>
      <c r="AJ278" s="136"/>
      <c r="AK278" s="11">
        <f>'Encargos e Benefícios'!D277</f>
        <v>0</v>
      </c>
      <c r="AL278" s="11">
        <f>IF('Encargos e Benefícios'!C277=0,0,'Encargos e Benefícios'!U277/'Encargos e Benefícios'!C277)</f>
        <v>0</v>
      </c>
      <c r="AM278" s="11">
        <f>IF('Encargos e Benefícios'!C277=0,0,'Encargos e Benefícios'!AC277/'Encargos e Benefícios'!C277)</f>
        <v>0</v>
      </c>
      <c r="AN278" s="119">
        <f>IF('Encargos e Benefícios'!C277=0,0,'Encargos e Benefícios'!AD277/'Encargos e Benefícios'!C277)</f>
        <v>0</v>
      </c>
      <c r="AO278" s="32">
        <f t="shared" si="6"/>
        <v>4280.8549999999996</v>
      </c>
      <c r="AP278" s="31">
        <v>3057.75</v>
      </c>
      <c r="AQ278" s="31">
        <v>5503.96</v>
      </c>
      <c r="AR278" s="210" t="s">
        <v>576</v>
      </c>
      <c r="AS278" s="32"/>
    </row>
    <row r="279" spans="1:45" ht="12.75" hidden="1" x14ac:dyDescent="0.2">
      <c r="A279" s="48">
        <v>273</v>
      </c>
      <c r="B279" s="12">
        <f>'Encargos e Benefícios'!B278</f>
        <v>0</v>
      </c>
      <c r="C279" s="10">
        <f>'Encargos e Benefícios'!C278</f>
        <v>0</v>
      </c>
      <c r="D279" s="38"/>
      <c r="E279" s="174"/>
      <c r="F279" s="173"/>
      <c r="G279" s="172"/>
      <c r="H279" s="370"/>
      <c r="I279" s="47"/>
      <c r="J279" s="47"/>
      <c r="K279" s="47"/>
      <c r="L279" s="47"/>
      <c r="M279" s="172"/>
      <c r="N279" s="370"/>
      <c r="O279" s="47"/>
      <c r="P279" s="47"/>
      <c r="Q279" s="47"/>
      <c r="R279" s="47"/>
      <c r="S279" s="172"/>
      <c r="T279" s="370"/>
      <c r="U279" s="47"/>
      <c r="V279" s="47"/>
      <c r="W279" s="47"/>
      <c r="X279" s="47"/>
      <c r="Y279" s="172"/>
      <c r="Z279" s="133"/>
      <c r="AA279" s="47"/>
      <c r="AB279" s="47"/>
      <c r="AC279" s="47"/>
      <c r="AD279" s="47"/>
      <c r="AE279" s="172"/>
      <c r="AF279" s="133"/>
      <c r="AG279" s="47"/>
      <c r="AH279" s="47"/>
      <c r="AI279" s="47"/>
      <c r="AJ279" s="136"/>
      <c r="AK279" s="11">
        <f>'Encargos e Benefícios'!D278</f>
        <v>0</v>
      </c>
      <c r="AL279" s="11">
        <f>IF('Encargos e Benefícios'!C278=0,0,'Encargos e Benefícios'!U278/'Encargos e Benefícios'!C278)</f>
        <v>0</v>
      </c>
      <c r="AM279" s="11">
        <f>IF('Encargos e Benefícios'!C278=0,0,'Encargos e Benefícios'!AC278/'Encargos e Benefícios'!C278)</f>
        <v>0</v>
      </c>
      <c r="AN279" s="119">
        <f>IF('Encargos e Benefícios'!C278=0,0,'Encargos e Benefícios'!AD278/'Encargos e Benefícios'!C278)</f>
        <v>0</v>
      </c>
      <c r="AO279" s="32">
        <f t="shared" si="6"/>
        <v>3332.11</v>
      </c>
      <c r="AP279" s="31">
        <v>2380.08</v>
      </c>
      <c r="AQ279" s="31">
        <v>4284.1400000000003</v>
      </c>
      <c r="AR279" s="210" t="s">
        <v>576</v>
      </c>
      <c r="AS279" s="32"/>
    </row>
    <row r="280" spans="1:45" ht="12.75" hidden="1" x14ac:dyDescent="0.2">
      <c r="A280" s="48">
        <v>274</v>
      </c>
      <c r="B280" s="12">
        <f>'Encargos e Benefícios'!B279</f>
        <v>0</v>
      </c>
      <c r="C280" s="10">
        <f>'Encargos e Benefícios'!C279</f>
        <v>0</v>
      </c>
      <c r="D280" s="38"/>
      <c r="E280" s="174"/>
      <c r="F280" s="173"/>
      <c r="G280" s="172"/>
      <c r="H280" s="370"/>
      <c r="I280" s="47"/>
      <c r="J280" s="47"/>
      <c r="K280" s="47"/>
      <c r="L280" s="47"/>
      <c r="M280" s="172"/>
      <c r="N280" s="370"/>
      <c r="O280" s="47"/>
      <c r="P280" s="47"/>
      <c r="Q280" s="47"/>
      <c r="R280" s="47"/>
      <c r="S280" s="172"/>
      <c r="T280" s="370"/>
      <c r="U280" s="47"/>
      <c r="V280" s="47"/>
      <c r="W280" s="47"/>
      <c r="X280" s="47"/>
      <c r="Y280" s="172"/>
      <c r="Z280" s="133"/>
      <c r="AA280" s="47"/>
      <c r="AB280" s="47"/>
      <c r="AC280" s="47"/>
      <c r="AD280" s="47"/>
      <c r="AE280" s="172"/>
      <c r="AF280" s="133"/>
      <c r="AG280" s="47"/>
      <c r="AH280" s="47"/>
      <c r="AI280" s="47"/>
      <c r="AJ280" s="136"/>
      <c r="AK280" s="11">
        <f>'Encargos e Benefícios'!D279</f>
        <v>0</v>
      </c>
      <c r="AL280" s="11">
        <f>IF('Encargos e Benefícios'!C279=0,0,'Encargos e Benefícios'!U279/'Encargos e Benefícios'!C279)</f>
        <v>0</v>
      </c>
      <c r="AM280" s="11">
        <f>IF('Encargos e Benefícios'!C279=0,0,'Encargos e Benefícios'!AC279/'Encargos e Benefícios'!C279)</f>
        <v>0</v>
      </c>
      <c r="AN280" s="119">
        <f>IF('Encargos e Benefícios'!C279=0,0,'Encargos e Benefícios'!AD279/'Encargos e Benefícios'!C279)</f>
        <v>0</v>
      </c>
      <c r="AO280" s="32">
        <f t="shared" si="6"/>
        <v>3332.11</v>
      </c>
      <c r="AP280" s="31">
        <v>2380.08</v>
      </c>
      <c r="AQ280" s="31">
        <v>4284.1400000000003</v>
      </c>
      <c r="AR280" s="210" t="s">
        <v>576</v>
      </c>
      <c r="AS280" s="32"/>
    </row>
    <row r="281" spans="1:45" ht="12.75" hidden="1" x14ac:dyDescent="0.2">
      <c r="A281" s="48">
        <v>275</v>
      </c>
      <c r="B281" s="12">
        <f>'Encargos e Benefícios'!B280</f>
        <v>0</v>
      </c>
      <c r="C281" s="10">
        <f>'Encargos e Benefícios'!C280</f>
        <v>0</v>
      </c>
      <c r="D281" s="38"/>
      <c r="E281" s="174"/>
      <c r="F281" s="173"/>
      <c r="G281" s="172"/>
      <c r="H281" s="370"/>
      <c r="I281" s="47"/>
      <c r="J281" s="47"/>
      <c r="K281" s="47"/>
      <c r="L281" s="47"/>
      <c r="M281" s="172"/>
      <c r="N281" s="370"/>
      <c r="O281" s="47"/>
      <c r="P281" s="47"/>
      <c r="Q281" s="47"/>
      <c r="R281" s="47"/>
      <c r="S281" s="172"/>
      <c r="T281" s="370"/>
      <c r="U281" s="47"/>
      <c r="V281" s="47"/>
      <c r="W281" s="47"/>
      <c r="X281" s="47"/>
      <c r="Y281" s="172"/>
      <c r="Z281" s="133"/>
      <c r="AA281" s="47"/>
      <c r="AB281" s="47"/>
      <c r="AC281" s="47"/>
      <c r="AD281" s="47"/>
      <c r="AE281" s="172"/>
      <c r="AF281" s="133"/>
      <c r="AG281" s="47"/>
      <c r="AH281" s="47"/>
      <c r="AI281" s="47"/>
      <c r="AJ281" s="136"/>
      <c r="AK281" s="11">
        <f>'Encargos e Benefícios'!D280</f>
        <v>0</v>
      </c>
      <c r="AL281" s="11">
        <f>IF('Encargos e Benefícios'!C280=0,0,'Encargos e Benefícios'!U280/'Encargos e Benefícios'!C280)</f>
        <v>0</v>
      </c>
      <c r="AM281" s="11">
        <f>IF('Encargos e Benefícios'!C280=0,0,'Encargos e Benefícios'!AC280/'Encargos e Benefícios'!C280)</f>
        <v>0</v>
      </c>
      <c r="AN281" s="119">
        <f>IF('Encargos e Benefícios'!C280=0,0,'Encargos e Benefícios'!AD280/'Encargos e Benefícios'!C280)</f>
        <v>0</v>
      </c>
      <c r="AO281" s="32">
        <f t="shared" si="6"/>
        <v>2286.52</v>
      </c>
      <c r="AP281" s="31">
        <v>1633.23</v>
      </c>
      <c r="AQ281" s="31">
        <v>2939.81</v>
      </c>
      <c r="AR281" s="210" t="s">
        <v>576</v>
      </c>
      <c r="AS281" s="32"/>
    </row>
    <row r="282" spans="1:45" ht="12.75" hidden="1" x14ac:dyDescent="0.2">
      <c r="A282" s="48">
        <v>276</v>
      </c>
      <c r="B282" s="12">
        <f>'Encargos e Benefícios'!B281</f>
        <v>0</v>
      </c>
      <c r="C282" s="10">
        <f>'Encargos e Benefícios'!C281</f>
        <v>0</v>
      </c>
      <c r="D282" s="38"/>
      <c r="E282" s="174"/>
      <c r="F282" s="173"/>
      <c r="G282" s="172"/>
      <c r="H282" s="370"/>
      <c r="I282" s="47"/>
      <c r="J282" s="47"/>
      <c r="K282" s="47"/>
      <c r="L282" s="47"/>
      <c r="M282" s="172"/>
      <c r="N282" s="370"/>
      <c r="O282" s="47"/>
      <c r="P282" s="47"/>
      <c r="Q282" s="47"/>
      <c r="R282" s="47"/>
      <c r="S282" s="172"/>
      <c r="T282" s="370"/>
      <c r="U282" s="47"/>
      <c r="V282" s="47"/>
      <c r="W282" s="47"/>
      <c r="X282" s="47"/>
      <c r="Y282" s="172"/>
      <c r="Z282" s="133"/>
      <c r="AA282" s="47"/>
      <c r="AB282" s="47"/>
      <c r="AC282" s="47"/>
      <c r="AD282" s="47"/>
      <c r="AE282" s="172"/>
      <c r="AF282" s="133"/>
      <c r="AG282" s="47"/>
      <c r="AH282" s="47"/>
      <c r="AI282" s="47"/>
      <c r="AJ282" s="136"/>
      <c r="AK282" s="11">
        <f>'Encargos e Benefícios'!D281</f>
        <v>0</v>
      </c>
      <c r="AL282" s="11">
        <f>IF('Encargos e Benefícios'!C281=0,0,'Encargos e Benefícios'!U281/'Encargos e Benefícios'!C281)</f>
        <v>0</v>
      </c>
      <c r="AM282" s="11">
        <f>IF('Encargos e Benefícios'!C281=0,0,'Encargos e Benefícios'!AC281/'Encargos e Benefícios'!C281)</f>
        <v>0</v>
      </c>
      <c r="AN282" s="119">
        <f>IF('Encargos e Benefícios'!C281=0,0,'Encargos e Benefícios'!AD281/'Encargos e Benefícios'!C281)</f>
        <v>0</v>
      </c>
      <c r="AO282" s="32"/>
      <c r="AP282" s="31">
        <v>1884.76</v>
      </c>
      <c r="AQ282" s="31">
        <v>3392.58</v>
      </c>
      <c r="AR282" s="210" t="s">
        <v>576</v>
      </c>
      <c r="AS282" s="32"/>
    </row>
    <row r="283" spans="1:45" ht="12.75" hidden="1" x14ac:dyDescent="0.2">
      <c r="A283" s="48">
        <v>277</v>
      </c>
      <c r="B283" s="12">
        <f>'Encargos e Benefícios'!B282</f>
        <v>0</v>
      </c>
      <c r="C283" s="10">
        <f>'Encargos e Benefícios'!C282</f>
        <v>0</v>
      </c>
      <c r="D283" s="38"/>
      <c r="E283" s="174"/>
      <c r="F283" s="173"/>
      <c r="G283" s="172"/>
      <c r="H283" s="370"/>
      <c r="I283" s="47"/>
      <c r="J283" s="47"/>
      <c r="K283" s="47"/>
      <c r="L283" s="47"/>
      <c r="M283" s="172"/>
      <c r="N283" s="370"/>
      <c r="O283" s="47"/>
      <c r="P283" s="47"/>
      <c r="Q283" s="47"/>
      <c r="R283" s="47"/>
      <c r="S283" s="172"/>
      <c r="T283" s="370"/>
      <c r="U283" s="47"/>
      <c r="V283" s="47"/>
      <c r="W283" s="47"/>
      <c r="X283" s="47"/>
      <c r="Y283" s="172"/>
      <c r="Z283" s="133"/>
      <c r="AA283" s="47"/>
      <c r="AB283" s="47"/>
      <c r="AC283" s="47"/>
      <c r="AD283" s="47"/>
      <c r="AE283" s="172"/>
      <c r="AF283" s="133"/>
      <c r="AG283" s="47"/>
      <c r="AH283" s="47"/>
      <c r="AI283" s="47"/>
      <c r="AJ283" s="136"/>
      <c r="AK283" s="11">
        <f>'Encargos e Benefícios'!D282</f>
        <v>0</v>
      </c>
      <c r="AL283" s="11">
        <f>IF('Encargos e Benefícios'!C282=0,0,'Encargos e Benefícios'!U282/'Encargos e Benefícios'!C282)</f>
        <v>0</v>
      </c>
      <c r="AM283" s="11">
        <f>IF('Encargos e Benefícios'!C282=0,0,'Encargos e Benefícios'!AC282/'Encargos e Benefícios'!C282)</f>
        <v>0</v>
      </c>
      <c r="AN283" s="119">
        <f>IF('Encargos e Benefícios'!C282=0,0,'Encargos e Benefícios'!AD282/'Encargos e Benefícios'!C282)</f>
        <v>0</v>
      </c>
      <c r="AO283" s="32"/>
      <c r="AP283" s="31">
        <v>1906.88</v>
      </c>
      <c r="AQ283" s="31">
        <v>3335.15</v>
      </c>
      <c r="AR283" s="210" t="s">
        <v>576</v>
      </c>
      <c r="AS283" s="32"/>
    </row>
    <row r="284" spans="1:45" ht="12.75" hidden="1" x14ac:dyDescent="0.2">
      <c r="A284" s="48">
        <v>278</v>
      </c>
      <c r="B284" s="12">
        <f>'Encargos e Benefícios'!B283</f>
        <v>0</v>
      </c>
      <c r="C284" s="10">
        <f>'Encargos e Benefícios'!C283</f>
        <v>0</v>
      </c>
      <c r="D284" s="38"/>
      <c r="E284" s="174"/>
      <c r="F284" s="173"/>
      <c r="G284" s="172"/>
      <c r="H284" s="370"/>
      <c r="I284" s="47"/>
      <c r="J284" s="47"/>
      <c r="K284" s="47"/>
      <c r="L284" s="47"/>
      <c r="M284" s="172"/>
      <c r="N284" s="370"/>
      <c r="O284" s="47"/>
      <c r="P284" s="47"/>
      <c r="Q284" s="47"/>
      <c r="R284" s="47"/>
      <c r="S284" s="172"/>
      <c r="T284" s="370"/>
      <c r="U284" s="47"/>
      <c r="V284" s="47"/>
      <c r="W284" s="47"/>
      <c r="X284" s="47"/>
      <c r="Y284" s="172"/>
      <c r="Z284" s="133"/>
      <c r="AA284" s="47"/>
      <c r="AB284" s="47"/>
      <c r="AC284" s="47"/>
      <c r="AD284" s="47"/>
      <c r="AE284" s="172"/>
      <c r="AF284" s="133"/>
      <c r="AG284" s="47"/>
      <c r="AH284" s="47"/>
      <c r="AI284" s="47"/>
      <c r="AJ284" s="136"/>
      <c r="AK284" s="11">
        <f>'Encargos e Benefícios'!D283</f>
        <v>0</v>
      </c>
      <c r="AL284" s="11">
        <f>IF('Encargos e Benefícios'!C283=0,0,'Encargos e Benefícios'!U283/'Encargos e Benefícios'!C283)</f>
        <v>0</v>
      </c>
      <c r="AM284" s="11">
        <f>IF('Encargos e Benefícios'!C283=0,0,'Encargos e Benefícios'!AC283/'Encargos e Benefícios'!C283)</f>
        <v>0</v>
      </c>
      <c r="AN284" s="119">
        <f>IF('Encargos e Benefícios'!C283=0,0,'Encargos e Benefícios'!AD283/'Encargos e Benefícios'!C283)</f>
        <v>0</v>
      </c>
      <c r="AO284" s="32"/>
      <c r="AP284" s="31">
        <v>1906.88</v>
      </c>
      <c r="AQ284" s="31">
        <v>3335.15</v>
      </c>
      <c r="AR284" s="210" t="s">
        <v>576</v>
      </c>
      <c r="AS284" s="32"/>
    </row>
    <row r="285" spans="1:45" ht="12.75" hidden="1" x14ac:dyDescent="0.2">
      <c r="A285" s="48">
        <v>279</v>
      </c>
      <c r="B285" s="12">
        <f>'Encargos e Benefícios'!B284</f>
        <v>0</v>
      </c>
      <c r="C285" s="10">
        <f>'Encargos e Benefícios'!C284</f>
        <v>0</v>
      </c>
      <c r="D285" s="38"/>
      <c r="E285" s="174"/>
      <c r="F285" s="173"/>
      <c r="G285" s="172"/>
      <c r="H285" s="370"/>
      <c r="I285" s="47"/>
      <c r="J285" s="47"/>
      <c r="K285" s="47"/>
      <c r="L285" s="47"/>
      <c r="M285" s="172"/>
      <c r="N285" s="370"/>
      <c r="O285" s="47"/>
      <c r="P285" s="47"/>
      <c r="Q285" s="47"/>
      <c r="R285" s="47"/>
      <c r="S285" s="172"/>
      <c r="T285" s="370"/>
      <c r="U285" s="47"/>
      <c r="V285" s="47"/>
      <c r="W285" s="47"/>
      <c r="X285" s="47"/>
      <c r="Y285" s="172"/>
      <c r="Z285" s="133"/>
      <c r="AA285" s="47"/>
      <c r="AB285" s="47"/>
      <c r="AC285" s="47"/>
      <c r="AD285" s="47"/>
      <c r="AE285" s="172"/>
      <c r="AF285" s="133"/>
      <c r="AG285" s="47"/>
      <c r="AH285" s="47"/>
      <c r="AI285" s="47"/>
      <c r="AJ285" s="136"/>
      <c r="AK285" s="11">
        <f>'Encargos e Benefícios'!D284</f>
        <v>0</v>
      </c>
      <c r="AL285" s="11">
        <f>IF('Encargos e Benefícios'!C284=0,0,'Encargos e Benefícios'!U284/'Encargos e Benefícios'!C284)</f>
        <v>0</v>
      </c>
      <c r="AM285" s="11">
        <f>IF('Encargos e Benefícios'!C284=0,0,'Encargos e Benefícios'!AC284/'Encargos e Benefícios'!C284)</f>
        <v>0</v>
      </c>
      <c r="AN285" s="119">
        <f>IF('Encargos e Benefícios'!C284=0,0,'Encargos e Benefícios'!AD284/'Encargos e Benefícios'!C284)</f>
        <v>0</v>
      </c>
      <c r="AO285" s="32"/>
      <c r="AP285" s="31">
        <v>2550.5</v>
      </c>
      <c r="AQ285" s="31">
        <v>7284.47</v>
      </c>
      <c r="AR285" s="210" t="s">
        <v>576</v>
      </c>
      <c r="AS285" s="32"/>
    </row>
    <row r="286" spans="1:45" ht="12.75" hidden="1" x14ac:dyDescent="0.2">
      <c r="A286" s="48">
        <v>280</v>
      </c>
      <c r="B286" s="12">
        <f>'Encargos e Benefícios'!B285</f>
        <v>0</v>
      </c>
      <c r="C286" s="10">
        <f>'Encargos e Benefícios'!C285</f>
        <v>0</v>
      </c>
      <c r="D286" s="38"/>
      <c r="E286" s="174"/>
      <c r="F286" s="173"/>
      <c r="G286" s="172"/>
      <c r="H286" s="370"/>
      <c r="I286" s="47"/>
      <c r="J286" s="47"/>
      <c r="K286" s="47"/>
      <c r="L286" s="47"/>
      <c r="M286" s="172"/>
      <c r="N286" s="370"/>
      <c r="O286" s="47"/>
      <c r="P286" s="47"/>
      <c r="Q286" s="47"/>
      <c r="R286" s="47"/>
      <c r="S286" s="172"/>
      <c r="T286" s="370"/>
      <c r="U286" s="47"/>
      <c r="V286" s="47"/>
      <c r="W286" s="47"/>
      <c r="X286" s="47"/>
      <c r="Y286" s="172"/>
      <c r="Z286" s="133"/>
      <c r="AA286" s="47"/>
      <c r="AB286" s="47"/>
      <c r="AC286" s="47"/>
      <c r="AD286" s="47"/>
      <c r="AE286" s="172"/>
      <c r="AF286" s="133"/>
      <c r="AG286" s="47"/>
      <c r="AH286" s="47"/>
      <c r="AI286" s="47"/>
      <c r="AJ286" s="136"/>
      <c r="AK286" s="11">
        <f>'Encargos e Benefícios'!D285</f>
        <v>0</v>
      </c>
      <c r="AL286" s="11">
        <f>IF('Encargos e Benefícios'!C285=0,0,'Encargos e Benefícios'!U285/'Encargos e Benefícios'!C285)</f>
        <v>0</v>
      </c>
      <c r="AM286" s="11">
        <f>IF('Encargos e Benefícios'!C285=0,0,'Encargos e Benefícios'!AC285/'Encargos e Benefícios'!C285)</f>
        <v>0</v>
      </c>
      <c r="AN286" s="119">
        <f>IF('Encargos e Benefícios'!C285=0,0,'Encargos e Benefícios'!AD285/'Encargos e Benefícios'!C285)</f>
        <v>0</v>
      </c>
      <c r="AO286" s="32"/>
      <c r="AP286" s="31">
        <v>3095.54</v>
      </c>
      <c r="AQ286" s="31">
        <v>7557.45</v>
      </c>
      <c r="AR286" s="210" t="s">
        <v>576</v>
      </c>
      <c r="AS286" s="32"/>
    </row>
    <row r="287" spans="1:45" ht="12.75" hidden="1" x14ac:dyDescent="0.2">
      <c r="A287" s="48">
        <v>281</v>
      </c>
      <c r="B287" s="12">
        <f>'Encargos e Benefícios'!B286</f>
        <v>0</v>
      </c>
      <c r="C287" s="10">
        <f>'Encargos e Benefícios'!C286</f>
        <v>0</v>
      </c>
      <c r="D287" s="38"/>
      <c r="E287" s="174"/>
      <c r="F287" s="173"/>
      <c r="G287" s="172"/>
      <c r="H287" s="370"/>
      <c r="I287" s="47"/>
      <c r="J287" s="47"/>
      <c r="K287" s="47"/>
      <c r="L287" s="47"/>
      <c r="M287" s="172"/>
      <c r="N287" s="370"/>
      <c r="O287" s="47"/>
      <c r="P287" s="47"/>
      <c r="Q287" s="47"/>
      <c r="R287" s="47"/>
      <c r="S287" s="172"/>
      <c r="T287" s="370"/>
      <c r="U287" s="47"/>
      <c r="V287" s="47"/>
      <c r="W287" s="47"/>
      <c r="X287" s="47"/>
      <c r="Y287" s="172"/>
      <c r="Z287" s="133"/>
      <c r="AA287" s="47"/>
      <c r="AB287" s="47"/>
      <c r="AC287" s="47"/>
      <c r="AD287" s="47"/>
      <c r="AE287" s="172"/>
      <c r="AF287" s="133"/>
      <c r="AG287" s="47"/>
      <c r="AH287" s="47"/>
      <c r="AI287" s="47"/>
      <c r="AJ287" s="136"/>
      <c r="AK287" s="11">
        <f>'Encargos e Benefícios'!D286</f>
        <v>0</v>
      </c>
      <c r="AL287" s="11">
        <f>IF('Encargos e Benefícios'!C286=0,0,'Encargos e Benefícios'!U286/'Encargos e Benefícios'!C286)</f>
        <v>0</v>
      </c>
      <c r="AM287" s="11">
        <f>IF('Encargos e Benefícios'!C286=0,0,'Encargos e Benefícios'!AC286/'Encargos e Benefícios'!C286)</f>
        <v>0</v>
      </c>
      <c r="AN287" s="119">
        <f>IF('Encargos e Benefícios'!C286=0,0,'Encargos e Benefícios'!AD286/'Encargos e Benefícios'!C286)</f>
        <v>0</v>
      </c>
      <c r="AO287" s="32"/>
      <c r="AP287" s="31">
        <v>2083.61</v>
      </c>
      <c r="AQ287" s="31">
        <v>3644.25</v>
      </c>
      <c r="AR287" s="210" t="s">
        <v>576</v>
      </c>
      <c r="AS287" s="32"/>
    </row>
    <row r="288" spans="1:45" ht="12.75" hidden="1" x14ac:dyDescent="0.2">
      <c r="A288" s="48">
        <v>282</v>
      </c>
      <c r="B288" s="12">
        <f>'Encargos e Benefícios'!B287</f>
        <v>0</v>
      </c>
      <c r="C288" s="10">
        <f>'Encargos e Benefícios'!C287</f>
        <v>0</v>
      </c>
      <c r="D288" s="38"/>
      <c r="E288" s="174"/>
      <c r="F288" s="173"/>
      <c r="G288" s="172"/>
      <c r="H288" s="370"/>
      <c r="I288" s="47"/>
      <c r="J288" s="47"/>
      <c r="K288" s="47"/>
      <c r="L288" s="47"/>
      <c r="M288" s="172"/>
      <c r="N288" s="370"/>
      <c r="O288" s="47"/>
      <c r="P288" s="47"/>
      <c r="Q288" s="47"/>
      <c r="R288" s="47"/>
      <c r="S288" s="172"/>
      <c r="T288" s="370"/>
      <c r="U288" s="47"/>
      <c r="V288" s="47"/>
      <c r="W288" s="47"/>
      <c r="X288" s="47"/>
      <c r="Y288" s="172"/>
      <c r="Z288" s="133"/>
      <c r="AA288" s="47"/>
      <c r="AB288" s="47"/>
      <c r="AC288" s="47"/>
      <c r="AD288" s="47"/>
      <c r="AE288" s="172"/>
      <c r="AF288" s="133"/>
      <c r="AG288" s="47"/>
      <c r="AH288" s="47"/>
      <c r="AI288" s="47"/>
      <c r="AJ288" s="136"/>
      <c r="AK288" s="11">
        <f>'Encargos e Benefícios'!D287</f>
        <v>0</v>
      </c>
      <c r="AL288" s="11">
        <f>IF('Encargos e Benefícios'!C287=0,0,'Encargos e Benefícios'!U287/'Encargos e Benefícios'!C287)</f>
        <v>0</v>
      </c>
      <c r="AM288" s="11">
        <f>IF('Encargos e Benefícios'!C287=0,0,'Encargos e Benefícios'!AC287/'Encargos e Benefícios'!C287)</f>
        <v>0</v>
      </c>
      <c r="AN288" s="119">
        <f>IF('Encargos e Benefícios'!C287=0,0,'Encargos e Benefícios'!AD287/'Encargos e Benefícios'!C287)</f>
        <v>0</v>
      </c>
      <c r="AO288" s="32"/>
      <c r="AP288" s="31">
        <v>1618.02</v>
      </c>
      <c r="AQ288" s="31">
        <v>2368.94</v>
      </c>
      <c r="AR288" s="210" t="s">
        <v>576</v>
      </c>
      <c r="AS288" s="32"/>
    </row>
    <row r="289" spans="1:45" ht="12.75" hidden="1" x14ac:dyDescent="0.2">
      <c r="A289" s="48">
        <v>283</v>
      </c>
      <c r="B289" s="12">
        <f>'Encargos e Benefícios'!B288</f>
        <v>0</v>
      </c>
      <c r="C289" s="10">
        <f>'Encargos e Benefícios'!C288</f>
        <v>0</v>
      </c>
      <c r="D289" s="38"/>
      <c r="E289" s="174"/>
      <c r="F289" s="173"/>
      <c r="G289" s="172"/>
      <c r="H289" s="370"/>
      <c r="I289" s="47"/>
      <c r="J289" s="47"/>
      <c r="K289" s="47"/>
      <c r="L289" s="47"/>
      <c r="M289" s="172"/>
      <c r="N289" s="370"/>
      <c r="O289" s="47"/>
      <c r="P289" s="47"/>
      <c r="Q289" s="47"/>
      <c r="R289" s="47"/>
      <c r="S289" s="172"/>
      <c r="T289" s="370"/>
      <c r="U289" s="47"/>
      <c r="V289" s="47"/>
      <c r="W289" s="47"/>
      <c r="X289" s="47"/>
      <c r="Y289" s="172"/>
      <c r="Z289" s="133"/>
      <c r="AA289" s="47"/>
      <c r="AB289" s="47"/>
      <c r="AC289" s="47"/>
      <c r="AD289" s="47"/>
      <c r="AE289" s="172"/>
      <c r="AF289" s="133"/>
      <c r="AG289" s="47"/>
      <c r="AH289" s="47"/>
      <c r="AI289" s="47"/>
      <c r="AJ289" s="136"/>
      <c r="AK289" s="11">
        <f>'Encargos e Benefícios'!D288</f>
        <v>0</v>
      </c>
      <c r="AL289" s="11">
        <f>IF('Encargos e Benefícios'!C288=0,0,'Encargos e Benefícios'!U288/'Encargos e Benefícios'!C288)</f>
        <v>0</v>
      </c>
      <c r="AM289" s="11">
        <f>IF('Encargos e Benefícios'!C288=0,0,'Encargos e Benefícios'!AC288/'Encargos e Benefícios'!C288)</f>
        <v>0</v>
      </c>
      <c r="AN289" s="119">
        <f>IF('Encargos e Benefícios'!C288=0,0,'Encargos e Benefícios'!AD288/'Encargos e Benefícios'!C288)</f>
        <v>0</v>
      </c>
      <c r="AO289" s="32"/>
      <c r="AP289" s="31">
        <v>5273.79</v>
      </c>
      <c r="AQ289" s="31">
        <v>9492.83</v>
      </c>
      <c r="AR289" s="210" t="s">
        <v>587</v>
      </c>
      <c r="AS289" s="32"/>
    </row>
    <row r="290" spans="1:45" ht="12.75" hidden="1" x14ac:dyDescent="0.2">
      <c r="A290" s="48">
        <v>284</v>
      </c>
      <c r="B290" s="12">
        <f>'Encargos e Benefícios'!B289</f>
        <v>0</v>
      </c>
      <c r="C290" s="10">
        <f>'Encargos e Benefícios'!C289</f>
        <v>0</v>
      </c>
      <c r="D290" s="38"/>
      <c r="E290" s="174"/>
      <c r="F290" s="173"/>
      <c r="G290" s="172"/>
      <c r="H290" s="370"/>
      <c r="I290" s="47"/>
      <c r="J290" s="47"/>
      <c r="K290" s="47"/>
      <c r="L290" s="47"/>
      <c r="M290" s="172"/>
      <c r="N290" s="370"/>
      <c r="O290" s="47"/>
      <c r="P290" s="47"/>
      <c r="Q290" s="47"/>
      <c r="R290" s="47"/>
      <c r="S290" s="172"/>
      <c r="T290" s="370"/>
      <c r="U290" s="47"/>
      <c r="V290" s="47"/>
      <c r="W290" s="47"/>
      <c r="X290" s="47"/>
      <c r="Y290" s="172"/>
      <c r="Z290" s="133"/>
      <c r="AA290" s="47"/>
      <c r="AB290" s="47"/>
      <c r="AC290" s="47"/>
      <c r="AD290" s="47"/>
      <c r="AE290" s="172"/>
      <c r="AF290" s="133"/>
      <c r="AG290" s="47"/>
      <c r="AH290" s="47"/>
      <c r="AI290" s="47"/>
      <c r="AJ290" s="136"/>
      <c r="AK290" s="11">
        <f>'Encargos e Benefícios'!D289</f>
        <v>0</v>
      </c>
      <c r="AL290" s="11">
        <f>IF('Encargos e Benefícios'!C289=0,0,'Encargos e Benefícios'!U289/'Encargos e Benefícios'!C289)</f>
        <v>0</v>
      </c>
      <c r="AM290" s="11">
        <f>IF('Encargos e Benefícios'!C289=0,0,'Encargos e Benefícios'!AC289/'Encargos e Benefícios'!C289)</f>
        <v>0</v>
      </c>
      <c r="AN290" s="119">
        <f>IF('Encargos e Benefícios'!C289=0,0,'Encargos e Benefícios'!AD289/'Encargos e Benefícios'!C289)</f>
        <v>0</v>
      </c>
      <c r="AO290" s="32"/>
      <c r="AP290" s="31">
        <v>1518</v>
      </c>
      <c r="AQ290" s="31">
        <v>2000</v>
      </c>
      <c r="AR290" s="210" t="s">
        <v>101</v>
      </c>
      <c r="AS290" s="32"/>
    </row>
    <row r="291" spans="1:45" ht="12.75" hidden="1" x14ac:dyDescent="0.2">
      <c r="A291" s="48">
        <v>285</v>
      </c>
      <c r="B291" s="12">
        <f>'Encargos e Benefícios'!B290</f>
        <v>0</v>
      </c>
      <c r="C291" s="10">
        <f>'Encargos e Benefícios'!C290</f>
        <v>0</v>
      </c>
      <c r="D291" s="38"/>
      <c r="E291" s="174"/>
      <c r="F291" s="173"/>
      <c r="G291" s="172"/>
      <c r="H291" s="370"/>
      <c r="I291" s="47"/>
      <c r="J291" s="47"/>
      <c r="K291" s="47"/>
      <c r="L291" s="47"/>
      <c r="M291" s="172"/>
      <c r="N291" s="370"/>
      <c r="O291" s="47"/>
      <c r="P291" s="47"/>
      <c r="Q291" s="47"/>
      <c r="R291" s="47"/>
      <c r="S291" s="172"/>
      <c r="T291" s="370"/>
      <c r="U291" s="47"/>
      <c r="V291" s="47"/>
      <c r="W291" s="47"/>
      <c r="X291" s="47"/>
      <c r="Y291" s="172"/>
      <c r="Z291" s="133"/>
      <c r="AA291" s="47"/>
      <c r="AB291" s="47"/>
      <c r="AC291" s="47"/>
      <c r="AD291" s="47"/>
      <c r="AE291" s="172"/>
      <c r="AF291" s="133"/>
      <c r="AG291" s="47"/>
      <c r="AH291" s="47"/>
      <c r="AI291" s="47"/>
      <c r="AJ291" s="136"/>
      <c r="AK291" s="11">
        <f>'Encargos e Benefícios'!D290</f>
        <v>0</v>
      </c>
      <c r="AL291" s="11">
        <f>IF('Encargos e Benefícios'!C290=0,0,'Encargos e Benefícios'!U290/'Encargos e Benefícios'!C290)</f>
        <v>0</v>
      </c>
      <c r="AM291" s="11">
        <f>IF('Encargos e Benefícios'!C290=0,0,'Encargos e Benefícios'!AC290/'Encargos e Benefícios'!C290)</f>
        <v>0</v>
      </c>
      <c r="AN291" s="119">
        <f>IF('Encargos e Benefícios'!C290=0,0,'Encargos e Benefícios'!AD290/'Encargos e Benefícios'!C290)</f>
        <v>0</v>
      </c>
      <c r="AO291" s="32"/>
      <c r="AP291" s="31">
        <v>2807.32</v>
      </c>
      <c r="AQ291" s="31">
        <v>5053.18</v>
      </c>
      <c r="AR291" s="210" t="s">
        <v>116</v>
      </c>
      <c r="AS291" s="32"/>
    </row>
    <row r="292" spans="1:45" ht="19.5" hidden="1" customHeight="1" x14ac:dyDescent="0.2">
      <c r="A292" s="48">
        <v>286</v>
      </c>
      <c r="B292" s="12">
        <f>'Encargos e Benefícios'!B291</f>
        <v>0</v>
      </c>
      <c r="C292" s="10">
        <f>'Encargos e Benefícios'!C291</f>
        <v>0</v>
      </c>
      <c r="D292" s="38"/>
      <c r="E292" s="174"/>
      <c r="F292" s="173"/>
      <c r="G292" s="172"/>
      <c r="H292" s="133"/>
      <c r="I292" s="47"/>
      <c r="J292" s="47"/>
      <c r="K292" s="47"/>
      <c r="L292" s="47"/>
      <c r="M292" s="172"/>
      <c r="N292" s="370"/>
      <c r="O292" s="47"/>
      <c r="P292" s="47"/>
      <c r="Q292" s="47"/>
      <c r="R292" s="47"/>
      <c r="S292" s="172"/>
      <c r="T292" s="370"/>
      <c r="U292" s="47"/>
      <c r="V292" s="47"/>
      <c r="W292" s="47"/>
      <c r="X292" s="47"/>
      <c r="Y292" s="172"/>
      <c r="Z292" s="133"/>
      <c r="AA292" s="47"/>
      <c r="AB292" s="47"/>
      <c r="AC292" s="47"/>
      <c r="AD292" s="47"/>
      <c r="AE292" s="172"/>
      <c r="AF292" s="133"/>
      <c r="AG292" s="47"/>
      <c r="AH292" s="47"/>
      <c r="AI292" s="47"/>
      <c r="AJ292" s="136"/>
      <c r="AK292" s="11">
        <f>'Encargos e Benefícios'!D291</f>
        <v>0</v>
      </c>
      <c r="AL292" s="11">
        <f>IF('Encargos e Benefícios'!C291=0,0,'Encargos e Benefícios'!U291/'Encargos e Benefícios'!C291)</f>
        <v>0</v>
      </c>
      <c r="AM292" s="11">
        <f>IF('Encargos e Benefícios'!C291=0,0,'Encargos e Benefícios'!AC291/'Encargos e Benefícios'!C291)</f>
        <v>0</v>
      </c>
      <c r="AN292" s="119">
        <f>IF('Encargos e Benefícios'!C291=0,0,'Encargos e Benefícios'!AD291/'Encargos e Benefícios'!C291)</f>
        <v>0</v>
      </c>
      <c r="AO292" s="32"/>
      <c r="AP292" s="31">
        <v>5308.35</v>
      </c>
      <c r="AQ292" s="31">
        <v>15161.16</v>
      </c>
      <c r="AR292" s="210" t="s">
        <v>587</v>
      </c>
      <c r="AS292" s="32"/>
    </row>
    <row r="293" spans="1:45" ht="12.75" hidden="1" x14ac:dyDescent="0.2">
      <c r="A293" s="48">
        <v>287</v>
      </c>
      <c r="B293" s="12">
        <f>'Encargos e Benefícios'!B292</f>
        <v>0</v>
      </c>
      <c r="C293" s="10">
        <f>'Encargos e Benefícios'!C292</f>
        <v>0</v>
      </c>
      <c r="D293" s="38"/>
      <c r="E293" s="174"/>
      <c r="F293" s="173"/>
      <c r="G293" s="172"/>
      <c r="H293" s="133"/>
      <c r="I293" s="47"/>
      <c r="J293" s="47"/>
      <c r="K293" s="47"/>
      <c r="L293" s="47"/>
      <c r="M293" s="172"/>
      <c r="N293" s="370"/>
      <c r="O293" s="47"/>
      <c r="P293" s="47"/>
      <c r="Q293" s="47"/>
      <c r="R293" s="47"/>
      <c r="S293" s="172"/>
      <c r="T293" s="370"/>
      <c r="U293" s="47"/>
      <c r="V293" s="47"/>
      <c r="W293" s="47"/>
      <c r="X293" s="47"/>
      <c r="Y293" s="172"/>
      <c r="Z293" s="133"/>
      <c r="AA293" s="47"/>
      <c r="AB293" s="47"/>
      <c r="AC293" s="47"/>
      <c r="AD293" s="47"/>
      <c r="AE293" s="172"/>
      <c r="AF293" s="133"/>
      <c r="AG293" s="47"/>
      <c r="AH293" s="47"/>
      <c r="AI293" s="47"/>
      <c r="AJ293" s="136"/>
      <c r="AK293" s="11">
        <f>'Encargos e Benefícios'!D292</f>
        <v>0</v>
      </c>
      <c r="AL293" s="11">
        <f>IF('Encargos e Benefícios'!C292=0,0,'Encargos e Benefícios'!U292/'Encargos e Benefícios'!C292)</f>
        <v>0</v>
      </c>
      <c r="AM293" s="11">
        <f>IF('Encargos e Benefícios'!C292=0,0,'Encargos e Benefícios'!AC292/'Encargos e Benefícios'!C292)</f>
        <v>0</v>
      </c>
      <c r="AN293" s="119">
        <f>IF('Encargos e Benefícios'!C292=0,0,'Encargos e Benefícios'!AD292/'Encargos e Benefícios'!C292)</f>
        <v>0</v>
      </c>
      <c r="AO293" s="32"/>
      <c r="AP293" s="31">
        <v>5273.79</v>
      </c>
      <c r="AQ293" s="31">
        <v>9492.83</v>
      </c>
      <c r="AR293" s="210" t="s">
        <v>587</v>
      </c>
      <c r="AS293" s="32"/>
    </row>
    <row r="294" spans="1:45" ht="12.75" hidden="1" x14ac:dyDescent="0.2">
      <c r="A294" s="48">
        <v>288</v>
      </c>
      <c r="B294" s="12">
        <f>'Encargos e Benefícios'!B293</f>
        <v>0</v>
      </c>
      <c r="C294" s="10">
        <f>'Encargos e Benefícios'!C293</f>
        <v>0</v>
      </c>
      <c r="D294" s="38"/>
      <c r="E294" s="174"/>
      <c r="F294" s="173"/>
      <c r="G294" s="172"/>
      <c r="H294" s="133"/>
      <c r="I294" s="47"/>
      <c r="J294" s="47"/>
      <c r="K294" s="47"/>
      <c r="L294" s="47"/>
      <c r="M294" s="172"/>
      <c r="N294" s="370"/>
      <c r="O294" s="47"/>
      <c r="P294" s="47"/>
      <c r="Q294" s="47"/>
      <c r="R294" s="47"/>
      <c r="S294" s="172"/>
      <c r="T294" s="370"/>
      <c r="U294" s="47"/>
      <c r="V294" s="47"/>
      <c r="W294" s="47"/>
      <c r="X294" s="47"/>
      <c r="Y294" s="172"/>
      <c r="Z294" s="133"/>
      <c r="AA294" s="47"/>
      <c r="AB294" s="47"/>
      <c r="AC294" s="47"/>
      <c r="AD294" s="47"/>
      <c r="AE294" s="172"/>
      <c r="AF294" s="133"/>
      <c r="AG294" s="47"/>
      <c r="AH294" s="47"/>
      <c r="AI294" s="47"/>
      <c r="AJ294" s="136"/>
      <c r="AK294" s="11">
        <f>'Encargos e Benefícios'!D293</f>
        <v>0</v>
      </c>
      <c r="AL294" s="11">
        <f>IF('Encargos e Benefícios'!C293=0,0,'Encargos e Benefícios'!U293/'Encargos e Benefícios'!C293)</f>
        <v>0</v>
      </c>
      <c r="AM294" s="11">
        <f>IF('Encargos e Benefícios'!C293=0,0,'Encargos e Benefícios'!AC293/'Encargos e Benefícios'!C293)</f>
        <v>0</v>
      </c>
      <c r="AN294" s="119">
        <f>IF('Encargos e Benefícios'!C293=0,0,'Encargos e Benefícios'!AD293/'Encargos e Benefícios'!C293)</f>
        <v>0</v>
      </c>
      <c r="AO294" s="32"/>
      <c r="AP294" s="31">
        <v>5308.35</v>
      </c>
      <c r="AQ294" s="31">
        <v>15161.16</v>
      </c>
      <c r="AR294" s="210" t="s">
        <v>587</v>
      </c>
      <c r="AS294" s="32"/>
    </row>
    <row r="295" spans="1:45" ht="12.75" hidden="1" x14ac:dyDescent="0.2">
      <c r="A295" s="48">
        <v>289</v>
      </c>
      <c r="B295" s="12">
        <f>'Encargos e Benefícios'!B294</f>
        <v>0</v>
      </c>
      <c r="C295" s="10">
        <f>'Encargos e Benefícios'!C294</f>
        <v>0</v>
      </c>
      <c r="D295" s="38"/>
      <c r="E295" s="174"/>
      <c r="F295" s="173"/>
      <c r="G295" s="172"/>
      <c r="H295" s="133"/>
      <c r="I295" s="47"/>
      <c r="J295" s="47"/>
      <c r="K295" s="47"/>
      <c r="L295" s="47"/>
      <c r="M295" s="172"/>
      <c r="N295" s="370"/>
      <c r="O295" s="47"/>
      <c r="P295" s="47"/>
      <c r="Q295" s="47"/>
      <c r="R295" s="47"/>
      <c r="S295" s="172"/>
      <c r="T295" s="370"/>
      <c r="U295" s="47"/>
      <c r="V295" s="47"/>
      <c r="W295" s="47"/>
      <c r="X295" s="47"/>
      <c r="Y295" s="172"/>
      <c r="Z295" s="133"/>
      <c r="AA295" s="47"/>
      <c r="AB295" s="47"/>
      <c r="AC295" s="47"/>
      <c r="AD295" s="47"/>
      <c r="AE295" s="172"/>
      <c r="AF295" s="133"/>
      <c r="AG295" s="47"/>
      <c r="AH295" s="47"/>
      <c r="AI295" s="47"/>
      <c r="AJ295" s="136"/>
      <c r="AK295" s="11">
        <f>'Encargos e Benefícios'!D294</f>
        <v>0</v>
      </c>
      <c r="AL295" s="11">
        <f>IF('Encargos e Benefícios'!C294=0,0,'Encargos e Benefícios'!U294/'Encargos e Benefícios'!C294)</f>
        <v>0</v>
      </c>
      <c r="AM295" s="11">
        <f>IF('Encargos e Benefícios'!C294=0,0,'Encargos e Benefícios'!AC294/'Encargos e Benefícios'!C294)</f>
        <v>0</v>
      </c>
      <c r="AN295" s="119">
        <f>IF('Encargos e Benefícios'!C294=0,0,'Encargos e Benefícios'!AD294/'Encargos e Benefícios'!C294)</f>
        <v>0</v>
      </c>
      <c r="AO295" s="32">
        <f t="shared" ref="AO295:AO304" si="7">(AQ295+AP295)/2</f>
        <v>4280.8549999999996</v>
      </c>
      <c r="AP295" s="31">
        <v>3057.75</v>
      </c>
      <c r="AQ295" s="31">
        <v>5503.96</v>
      </c>
      <c r="AR295" s="210" t="s">
        <v>587</v>
      </c>
      <c r="AS295" s="32"/>
    </row>
    <row r="296" spans="1:45" ht="12.75" hidden="1" x14ac:dyDescent="0.2">
      <c r="A296" s="48">
        <v>290</v>
      </c>
      <c r="B296" s="12">
        <f>'Encargos e Benefícios'!B295</f>
        <v>0</v>
      </c>
      <c r="C296" s="10">
        <f>'Encargos e Benefícios'!C295</f>
        <v>0</v>
      </c>
      <c r="D296" s="38"/>
      <c r="E296" s="174"/>
      <c r="F296" s="173"/>
      <c r="G296" s="172"/>
      <c r="H296" s="133"/>
      <c r="I296" s="47"/>
      <c r="J296" s="47"/>
      <c r="K296" s="47"/>
      <c r="L296" s="47"/>
      <c r="M296" s="172"/>
      <c r="N296" s="370"/>
      <c r="O296" s="47"/>
      <c r="P296" s="47"/>
      <c r="Q296" s="47"/>
      <c r="R296" s="47"/>
      <c r="S296" s="172"/>
      <c r="T296" s="370"/>
      <c r="U296" s="47"/>
      <c r="V296" s="47"/>
      <c r="W296" s="47"/>
      <c r="X296" s="47"/>
      <c r="Y296" s="172"/>
      <c r="Z296" s="133"/>
      <c r="AA296" s="47"/>
      <c r="AB296" s="47"/>
      <c r="AC296" s="47"/>
      <c r="AD296" s="47"/>
      <c r="AE296" s="172"/>
      <c r="AF296" s="133"/>
      <c r="AG296" s="47"/>
      <c r="AH296" s="47"/>
      <c r="AI296" s="47"/>
      <c r="AJ296" s="136"/>
      <c r="AK296" s="11">
        <f>'Encargos e Benefícios'!D295</f>
        <v>0</v>
      </c>
      <c r="AL296" s="11">
        <f>IF('Encargos e Benefícios'!C295=0,0,'Encargos e Benefícios'!U295/'Encargos e Benefícios'!C295)</f>
        <v>0</v>
      </c>
      <c r="AM296" s="11">
        <f>IF('Encargos e Benefícios'!C295=0,0,'Encargos e Benefícios'!AC295/'Encargos e Benefícios'!C295)</f>
        <v>0</v>
      </c>
      <c r="AN296" s="119">
        <f>IF('Encargos e Benefícios'!C295=0,0,'Encargos e Benefícios'!AD295/'Encargos e Benefícios'!C295)</f>
        <v>0</v>
      </c>
      <c r="AO296" s="32">
        <f t="shared" si="7"/>
        <v>4280.8549999999996</v>
      </c>
      <c r="AP296" s="31">
        <v>3057.75</v>
      </c>
      <c r="AQ296" s="31">
        <v>5503.96</v>
      </c>
      <c r="AR296" s="210" t="s">
        <v>587</v>
      </c>
      <c r="AS296" s="32"/>
    </row>
    <row r="297" spans="1:45" ht="12.75" hidden="1" x14ac:dyDescent="0.2">
      <c r="A297" s="48">
        <v>291</v>
      </c>
      <c r="B297" s="12">
        <f>'Encargos e Benefícios'!B296</f>
        <v>0</v>
      </c>
      <c r="C297" s="10">
        <f>'Encargos e Benefícios'!C296</f>
        <v>0</v>
      </c>
      <c r="D297" s="38"/>
      <c r="E297" s="174"/>
      <c r="F297" s="173"/>
      <c r="G297" s="172"/>
      <c r="H297" s="133"/>
      <c r="I297" s="47"/>
      <c r="J297" s="47"/>
      <c r="K297" s="47"/>
      <c r="L297" s="47"/>
      <c r="M297" s="172"/>
      <c r="N297" s="370"/>
      <c r="O297" s="47"/>
      <c r="P297" s="47"/>
      <c r="Q297" s="47"/>
      <c r="R297" s="47"/>
      <c r="S297" s="172"/>
      <c r="T297" s="370"/>
      <c r="U297" s="47"/>
      <c r="V297" s="47"/>
      <c r="W297" s="47"/>
      <c r="X297" s="47"/>
      <c r="Y297" s="172"/>
      <c r="Z297" s="133"/>
      <c r="AA297" s="47"/>
      <c r="AB297" s="47"/>
      <c r="AC297" s="47"/>
      <c r="AD297" s="47"/>
      <c r="AE297" s="172"/>
      <c r="AF297" s="133"/>
      <c r="AG297" s="47"/>
      <c r="AH297" s="47"/>
      <c r="AI297" s="47"/>
      <c r="AJ297" s="136"/>
      <c r="AK297" s="11">
        <f>'Encargos e Benefícios'!D296</f>
        <v>0</v>
      </c>
      <c r="AL297" s="11">
        <f>IF('Encargos e Benefícios'!C296=0,0,'Encargos e Benefícios'!U296/'Encargos e Benefícios'!C296)</f>
        <v>0</v>
      </c>
      <c r="AM297" s="11">
        <f>IF('Encargos e Benefícios'!C296=0,0,'Encargos e Benefícios'!AC296/'Encargos e Benefícios'!C296)</f>
        <v>0</v>
      </c>
      <c r="AN297" s="119">
        <f>IF('Encargos e Benefícios'!C296=0,0,'Encargos e Benefícios'!AD296/'Encargos e Benefícios'!C296)</f>
        <v>0</v>
      </c>
      <c r="AO297" s="32">
        <f t="shared" si="7"/>
        <v>4280.8549999999996</v>
      </c>
      <c r="AP297" s="31">
        <v>3057.75</v>
      </c>
      <c r="AQ297" s="31">
        <v>5503.96</v>
      </c>
      <c r="AR297" s="210" t="s">
        <v>587</v>
      </c>
      <c r="AS297" s="32"/>
    </row>
    <row r="298" spans="1:45" ht="12.75" hidden="1" x14ac:dyDescent="0.2">
      <c r="A298" s="48">
        <v>292</v>
      </c>
      <c r="B298" s="12">
        <f>'Encargos e Benefícios'!B297</f>
        <v>0</v>
      </c>
      <c r="C298" s="10">
        <f>'Encargos e Benefícios'!C297</f>
        <v>0</v>
      </c>
      <c r="D298" s="38"/>
      <c r="E298" s="174"/>
      <c r="F298" s="173"/>
      <c r="G298" s="172"/>
      <c r="H298" s="133"/>
      <c r="I298" s="47"/>
      <c r="J298" s="47"/>
      <c r="K298" s="47"/>
      <c r="L298" s="47"/>
      <c r="M298" s="172"/>
      <c r="N298" s="370"/>
      <c r="O298" s="47"/>
      <c r="P298" s="47"/>
      <c r="Q298" s="47"/>
      <c r="R298" s="47"/>
      <c r="S298" s="172"/>
      <c r="T298" s="370"/>
      <c r="U298" s="47"/>
      <c r="V298" s="47"/>
      <c r="W298" s="47"/>
      <c r="X298" s="47"/>
      <c r="Y298" s="172"/>
      <c r="Z298" s="133"/>
      <c r="AA298" s="47"/>
      <c r="AB298" s="47"/>
      <c r="AC298" s="47"/>
      <c r="AD298" s="47"/>
      <c r="AE298" s="172"/>
      <c r="AF298" s="133"/>
      <c r="AG298" s="47"/>
      <c r="AH298" s="47"/>
      <c r="AI298" s="47"/>
      <c r="AJ298" s="136"/>
      <c r="AK298" s="11">
        <f>'Encargos e Benefícios'!D297</f>
        <v>0</v>
      </c>
      <c r="AL298" s="11">
        <f>IF('Encargos e Benefícios'!C297=0,0,'Encargos e Benefícios'!U297/'Encargos e Benefícios'!C297)</f>
        <v>0</v>
      </c>
      <c r="AM298" s="11">
        <f>IF('Encargos e Benefícios'!C297=0,0,'Encargos e Benefícios'!AC297/'Encargos e Benefícios'!C297)</f>
        <v>0</v>
      </c>
      <c r="AN298" s="119">
        <f>IF('Encargos e Benefícios'!C297=0,0,'Encargos e Benefícios'!AD297/'Encargos e Benefícios'!C297)</f>
        <v>0</v>
      </c>
      <c r="AO298" s="32">
        <f t="shared" si="7"/>
        <v>7383.3099999999995</v>
      </c>
      <c r="AP298" s="31">
        <v>5273.79</v>
      </c>
      <c r="AQ298" s="31">
        <v>9492.83</v>
      </c>
      <c r="AR298" s="210" t="s">
        <v>587</v>
      </c>
      <c r="AS298" s="32"/>
    </row>
    <row r="299" spans="1:45" ht="12.75" hidden="1" x14ac:dyDescent="0.2">
      <c r="A299" s="48">
        <v>293</v>
      </c>
      <c r="B299" s="12">
        <f>'Encargos e Benefícios'!B298</f>
        <v>0</v>
      </c>
      <c r="C299" s="10">
        <f>'Encargos e Benefícios'!C298</f>
        <v>0</v>
      </c>
      <c r="D299" s="38"/>
      <c r="E299" s="174"/>
      <c r="F299" s="173"/>
      <c r="G299" s="172"/>
      <c r="H299" s="133"/>
      <c r="I299" s="47"/>
      <c r="J299" s="47"/>
      <c r="K299" s="47"/>
      <c r="L299" s="47"/>
      <c r="M299" s="172"/>
      <c r="N299" s="370"/>
      <c r="O299" s="47"/>
      <c r="P299" s="47"/>
      <c r="Q299" s="47"/>
      <c r="R299" s="47"/>
      <c r="S299" s="172"/>
      <c r="T299" s="370"/>
      <c r="U299" s="47"/>
      <c r="V299" s="47"/>
      <c r="W299" s="47"/>
      <c r="X299" s="47"/>
      <c r="Y299" s="172"/>
      <c r="Z299" s="133"/>
      <c r="AA299" s="47"/>
      <c r="AB299" s="47"/>
      <c r="AC299" s="47"/>
      <c r="AD299" s="47"/>
      <c r="AE299" s="172"/>
      <c r="AF299" s="133"/>
      <c r="AG299" s="47"/>
      <c r="AH299" s="47"/>
      <c r="AI299" s="47"/>
      <c r="AJ299" s="136"/>
      <c r="AK299" s="11">
        <f>'Encargos e Benefícios'!D298</f>
        <v>0</v>
      </c>
      <c r="AL299" s="11">
        <f>IF('Encargos e Benefícios'!C298=0,0,'Encargos e Benefícios'!U298/'Encargos e Benefícios'!C298)</f>
        <v>0</v>
      </c>
      <c r="AM299" s="11">
        <f>IF('Encargos e Benefícios'!C298=0,0,'Encargos e Benefícios'!AC298/'Encargos e Benefícios'!C298)</f>
        <v>0</v>
      </c>
      <c r="AN299" s="119">
        <f>IF('Encargos e Benefícios'!C298=0,0,'Encargos e Benefícios'!AD298/'Encargos e Benefícios'!C298)</f>
        <v>0</v>
      </c>
      <c r="AO299" s="32">
        <f t="shared" si="7"/>
        <v>4280.8549999999996</v>
      </c>
      <c r="AP299" s="31">
        <v>3057.75</v>
      </c>
      <c r="AQ299" s="31">
        <v>5503.96</v>
      </c>
      <c r="AR299" s="210" t="s">
        <v>587</v>
      </c>
      <c r="AS299" s="32"/>
    </row>
    <row r="300" spans="1:45" ht="12.75" hidden="1" x14ac:dyDescent="0.2">
      <c r="A300" s="48">
        <v>294</v>
      </c>
      <c r="B300" s="12">
        <f>'Encargos e Benefícios'!B299</f>
        <v>0</v>
      </c>
      <c r="C300" s="10">
        <f>'Encargos e Benefícios'!C299</f>
        <v>0</v>
      </c>
      <c r="D300" s="38"/>
      <c r="E300" s="174"/>
      <c r="F300" s="173"/>
      <c r="G300" s="172"/>
      <c r="H300" s="133"/>
      <c r="I300" s="47"/>
      <c r="J300" s="47"/>
      <c r="K300" s="47"/>
      <c r="L300" s="47"/>
      <c r="M300" s="172"/>
      <c r="N300" s="370"/>
      <c r="O300" s="47"/>
      <c r="P300" s="47"/>
      <c r="Q300" s="47"/>
      <c r="R300" s="47"/>
      <c r="S300" s="172"/>
      <c r="T300" s="370"/>
      <c r="U300" s="47"/>
      <c r="V300" s="47"/>
      <c r="W300" s="47"/>
      <c r="X300" s="47"/>
      <c r="Y300" s="172"/>
      <c r="Z300" s="133"/>
      <c r="AA300" s="47"/>
      <c r="AB300" s="47"/>
      <c r="AC300" s="47"/>
      <c r="AD300" s="47"/>
      <c r="AE300" s="172"/>
      <c r="AF300" s="133"/>
      <c r="AG300" s="47"/>
      <c r="AH300" s="47"/>
      <c r="AI300" s="47"/>
      <c r="AJ300" s="136"/>
      <c r="AK300" s="11">
        <f>'Encargos e Benefícios'!D299</f>
        <v>0</v>
      </c>
      <c r="AL300" s="11">
        <f>IF('Encargos e Benefícios'!C299=0,0,'Encargos e Benefícios'!U299/'Encargos e Benefícios'!C299)</f>
        <v>0</v>
      </c>
      <c r="AM300" s="11">
        <f>IF('Encargos e Benefícios'!C299=0,0,'Encargos e Benefícios'!AC299/'Encargos e Benefícios'!C299)</f>
        <v>0</v>
      </c>
      <c r="AN300" s="119">
        <f>IF('Encargos e Benefícios'!C299=0,0,'Encargos e Benefícios'!AD299/'Encargos e Benefícios'!C299)</f>
        <v>0</v>
      </c>
      <c r="AO300" s="32">
        <f t="shared" si="7"/>
        <v>4280.8549999999996</v>
      </c>
      <c r="AP300" s="31">
        <v>3057.75</v>
      </c>
      <c r="AQ300" s="31">
        <v>5503.96</v>
      </c>
      <c r="AR300" s="210" t="s">
        <v>587</v>
      </c>
      <c r="AS300" s="32"/>
    </row>
    <row r="301" spans="1:45" ht="12.75" hidden="1" x14ac:dyDescent="0.2">
      <c r="A301" s="48">
        <v>295</v>
      </c>
      <c r="B301" s="12">
        <f>'Encargos e Benefícios'!B300</f>
        <v>0</v>
      </c>
      <c r="C301" s="10">
        <f>'Encargos e Benefícios'!C300</f>
        <v>0</v>
      </c>
      <c r="D301" s="38"/>
      <c r="E301" s="174"/>
      <c r="F301" s="173"/>
      <c r="G301" s="172"/>
      <c r="H301" s="133"/>
      <c r="I301" s="47"/>
      <c r="J301" s="47"/>
      <c r="K301" s="47"/>
      <c r="L301" s="47"/>
      <c r="M301" s="172"/>
      <c r="N301" s="370"/>
      <c r="O301" s="47"/>
      <c r="P301" s="47"/>
      <c r="Q301" s="47"/>
      <c r="R301" s="47"/>
      <c r="S301" s="172"/>
      <c r="T301" s="370"/>
      <c r="U301" s="47"/>
      <c r="V301" s="47"/>
      <c r="W301" s="47"/>
      <c r="X301" s="47"/>
      <c r="Y301" s="172"/>
      <c r="Z301" s="133"/>
      <c r="AA301" s="47"/>
      <c r="AB301" s="47"/>
      <c r="AC301" s="47"/>
      <c r="AD301" s="47"/>
      <c r="AE301" s="172"/>
      <c r="AF301" s="133"/>
      <c r="AG301" s="47"/>
      <c r="AH301" s="47"/>
      <c r="AI301" s="47"/>
      <c r="AJ301" s="136"/>
      <c r="AK301" s="11">
        <f>'Encargos e Benefícios'!D300</f>
        <v>0</v>
      </c>
      <c r="AL301" s="11">
        <f>IF('Encargos e Benefícios'!C300=0,0,'Encargos e Benefícios'!U300/'Encargos e Benefícios'!C300)</f>
        <v>0</v>
      </c>
      <c r="AM301" s="11">
        <f>IF('Encargos e Benefícios'!C300=0,0,'Encargos e Benefícios'!AC300/'Encargos e Benefícios'!C300)</f>
        <v>0</v>
      </c>
      <c r="AN301" s="119">
        <f>IF('Encargos e Benefícios'!C300=0,0,'Encargos e Benefícios'!AD300/'Encargos e Benefícios'!C300)</f>
        <v>0</v>
      </c>
      <c r="AO301" s="32">
        <f t="shared" si="7"/>
        <v>3332.11</v>
      </c>
      <c r="AP301" s="31">
        <v>2380.08</v>
      </c>
      <c r="AQ301" s="31">
        <v>4284.1400000000003</v>
      </c>
      <c r="AR301" s="210" t="s">
        <v>587</v>
      </c>
      <c r="AS301" s="32"/>
    </row>
    <row r="302" spans="1:45" ht="12.75" hidden="1" x14ac:dyDescent="0.2">
      <c r="A302" s="48">
        <v>296</v>
      </c>
      <c r="B302" s="12">
        <f>'Encargos e Benefícios'!B301</f>
        <v>0</v>
      </c>
      <c r="C302" s="10">
        <f>'Encargos e Benefícios'!C301</f>
        <v>0</v>
      </c>
      <c r="D302" s="38"/>
      <c r="E302" s="174"/>
      <c r="F302" s="173"/>
      <c r="G302" s="172"/>
      <c r="H302" s="133"/>
      <c r="I302" s="47"/>
      <c r="J302" s="47"/>
      <c r="K302" s="47"/>
      <c r="L302" s="47"/>
      <c r="M302" s="172"/>
      <c r="N302" s="370"/>
      <c r="O302" s="47"/>
      <c r="P302" s="47"/>
      <c r="Q302" s="47"/>
      <c r="R302" s="47"/>
      <c r="S302" s="172"/>
      <c r="T302" s="370"/>
      <c r="U302" s="47"/>
      <c r="V302" s="47"/>
      <c r="W302" s="47"/>
      <c r="X302" s="47"/>
      <c r="Y302" s="172"/>
      <c r="Z302" s="133"/>
      <c r="AA302" s="47"/>
      <c r="AB302" s="47"/>
      <c r="AC302" s="47"/>
      <c r="AD302" s="47"/>
      <c r="AE302" s="172"/>
      <c r="AF302" s="133"/>
      <c r="AG302" s="47"/>
      <c r="AH302" s="47"/>
      <c r="AI302" s="47"/>
      <c r="AJ302" s="136"/>
      <c r="AK302" s="11">
        <f>'Encargos e Benefícios'!D301</f>
        <v>0</v>
      </c>
      <c r="AL302" s="11">
        <f>IF('Encargos e Benefícios'!C301=0,0,'Encargos e Benefícios'!U301/'Encargos e Benefícios'!C301)</f>
        <v>0</v>
      </c>
      <c r="AM302" s="11">
        <f>IF('Encargos e Benefícios'!C301=0,0,'Encargos e Benefícios'!AC301/'Encargos e Benefícios'!C301)</f>
        <v>0</v>
      </c>
      <c r="AN302" s="119">
        <f>IF('Encargos e Benefícios'!C301=0,0,'Encargos e Benefícios'!AD301/'Encargos e Benefícios'!C301)</f>
        <v>0</v>
      </c>
      <c r="AO302" s="32">
        <f t="shared" si="7"/>
        <v>3332.11</v>
      </c>
      <c r="AP302" s="31">
        <v>2380.08</v>
      </c>
      <c r="AQ302" s="31">
        <v>4284.1400000000003</v>
      </c>
      <c r="AR302" s="210" t="s">
        <v>587</v>
      </c>
      <c r="AS302" s="32"/>
    </row>
    <row r="303" spans="1:45" ht="12.75" hidden="1" x14ac:dyDescent="0.2">
      <c r="A303" s="48">
        <v>297</v>
      </c>
      <c r="B303" s="12">
        <f>'Encargos e Benefícios'!B302</f>
        <v>0</v>
      </c>
      <c r="C303" s="10">
        <f>'Encargos e Benefícios'!C302</f>
        <v>0</v>
      </c>
      <c r="D303" s="38"/>
      <c r="E303" s="174"/>
      <c r="F303" s="173"/>
      <c r="G303" s="172"/>
      <c r="H303" s="133"/>
      <c r="I303" s="47"/>
      <c r="J303" s="47"/>
      <c r="K303" s="47"/>
      <c r="L303" s="47"/>
      <c r="M303" s="172"/>
      <c r="N303" s="370"/>
      <c r="O303" s="47"/>
      <c r="P303" s="47"/>
      <c r="Q303" s="47"/>
      <c r="R303" s="47"/>
      <c r="S303" s="172"/>
      <c r="T303" s="370"/>
      <c r="U303" s="47"/>
      <c r="V303" s="47"/>
      <c r="W303" s="47"/>
      <c r="X303" s="47"/>
      <c r="Y303" s="172"/>
      <c r="Z303" s="133"/>
      <c r="AA303" s="47"/>
      <c r="AB303" s="47"/>
      <c r="AC303" s="47"/>
      <c r="AD303" s="47"/>
      <c r="AE303" s="172"/>
      <c r="AF303" s="133"/>
      <c r="AG303" s="47"/>
      <c r="AH303" s="47"/>
      <c r="AI303" s="47"/>
      <c r="AJ303" s="136"/>
      <c r="AK303" s="11">
        <f>'Encargos e Benefícios'!D302</f>
        <v>0</v>
      </c>
      <c r="AL303" s="11">
        <f>IF('Encargos e Benefícios'!C302=0,0,'Encargos e Benefícios'!U302/'Encargos e Benefícios'!C302)</f>
        <v>0</v>
      </c>
      <c r="AM303" s="11">
        <f>IF('Encargos e Benefícios'!C302=0,0,'Encargos e Benefícios'!AC302/'Encargos e Benefícios'!C302)</f>
        <v>0</v>
      </c>
      <c r="AN303" s="119">
        <f>IF('Encargos e Benefícios'!C302=0,0,'Encargos e Benefícios'!AD302/'Encargos e Benefícios'!C302)</f>
        <v>0</v>
      </c>
      <c r="AO303" s="32">
        <f t="shared" si="7"/>
        <v>2286.52</v>
      </c>
      <c r="AP303" s="31">
        <v>1633.23</v>
      </c>
      <c r="AQ303" s="31">
        <v>2939.81</v>
      </c>
      <c r="AR303" s="210" t="s">
        <v>587</v>
      </c>
      <c r="AS303" s="32"/>
    </row>
    <row r="304" spans="1:45" ht="12.75" hidden="1" x14ac:dyDescent="0.2">
      <c r="A304" s="48">
        <v>298</v>
      </c>
      <c r="B304" s="12">
        <f>'Encargos e Benefícios'!B303</f>
        <v>0</v>
      </c>
      <c r="C304" s="10">
        <f>'Encargos e Benefícios'!C303</f>
        <v>0</v>
      </c>
      <c r="D304" s="38"/>
      <c r="E304" s="174"/>
      <c r="F304" s="173"/>
      <c r="G304" s="172"/>
      <c r="H304" s="133"/>
      <c r="I304" s="47"/>
      <c r="J304" s="47"/>
      <c r="K304" s="47"/>
      <c r="L304" s="47"/>
      <c r="M304" s="172"/>
      <c r="N304" s="370"/>
      <c r="O304" s="47"/>
      <c r="P304" s="47"/>
      <c r="Q304" s="47"/>
      <c r="R304" s="47"/>
      <c r="S304" s="172"/>
      <c r="T304" s="370"/>
      <c r="U304" s="47"/>
      <c r="V304" s="47"/>
      <c r="W304" s="47"/>
      <c r="X304" s="47"/>
      <c r="Y304" s="172"/>
      <c r="Z304" s="133"/>
      <c r="AA304" s="47"/>
      <c r="AB304" s="47"/>
      <c r="AC304" s="47"/>
      <c r="AD304" s="47"/>
      <c r="AE304" s="172"/>
      <c r="AF304" s="133"/>
      <c r="AG304" s="47"/>
      <c r="AH304" s="47"/>
      <c r="AI304" s="47"/>
      <c r="AJ304" s="136"/>
      <c r="AK304" s="11">
        <f>'Encargos e Benefícios'!D303</f>
        <v>0</v>
      </c>
      <c r="AL304" s="11">
        <f>IF('Encargos e Benefícios'!C303=0,0,'Encargos e Benefícios'!U303/'Encargos e Benefícios'!C303)</f>
        <v>0</v>
      </c>
      <c r="AM304" s="11">
        <f>IF('Encargos e Benefícios'!C303=0,0,'Encargos e Benefícios'!AC303/'Encargos e Benefícios'!C303)</f>
        <v>0</v>
      </c>
      <c r="AN304" s="119">
        <f>IF('Encargos e Benefícios'!C303=0,0,'Encargos e Benefícios'!AD303/'Encargos e Benefícios'!C303)</f>
        <v>0</v>
      </c>
      <c r="AO304" s="32">
        <f t="shared" si="7"/>
        <v>2638.67</v>
      </c>
      <c r="AP304" s="31">
        <v>1884.76</v>
      </c>
      <c r="AQ304" s="31">
        <v>3392.58</v>
      </c>
      <c r="AR304" s="210" t="s">
        <v>587</v>
      </c>
      <c r="AS304" s="32"/>
    </row>
    <row r="305" spans="1:45" ht="12.75" hidden="1" x14ac:dyDescent="0.2">
      <c r="A305" s="48">
        <v>299</v>
      </c>
      <c r="B305" s="12">
        <f>'Encargos e Benefícios'!B304</f>
        <v>0</v>
      </c>
      <c r="C305" s="10">
        <f>'Encargos e Benefícios'!C304</f>
        <v>0</v>
      </c>
      <c r="D305" s="38"/>
      <c r="E305" s="174"/>
      <c r="F305" s="173"/>
      <c r="G305" s="172"/>
      <c r="H305" s="133"/>
      <c r="I305" s="47"/>
      <c r="J305" s="47"/>
      <c r="K305" s="47"/>
      <c r="L305" s="47"/>
      <c r="M305" s="172"/>
      <c r="N305" s="370"/>
      <c r="O305" s="47"/>
      <c r="P305" s="47"/>
      <c r="Q305" s="47"/>
      <c r="R305" s="47"/>
      <c r="S305" s="172"/>
      <c r="T305" s="370"/>
      <c r="U305" s="47"/>
      <c r="V305" s="47"/>
      <c r="W305" s="47"/>
      <c r="X305" s="47"/>
      <c r="Y305" s="172"/>
      <c r="Z305" s="133"/>
      <c r="AA305" s="47"/>
      <c r="AB305" s="47"/>
      <c r="AC305" s="47"/>
      <c r="AD305" s="47"/>
      <c r="AE305" s="172"/>
      <c r="AF305" s="133"/>
      <c r="AG305" s="47"/>
      <c r="AH305" s="47"/>
      <c r="AI305" s="47"/>
      <c r="AJ305" s="136"/>
      <c r="AK305" s="11">
        <f>'Encargos e Benefícios'!D304</f>
        <v>0</v>
      </c>
      <c r="AL305" s="11">
        <f>IF('Encargos e Benefícios'!C304=0,0,'Encargos e Benefícios'!U304/'Encargos e Benefícios'!C304)</f>
        <v>0</v>
      </c>
      <c r="AM305" s="11">
        <f>IF('Encargos e Benefícios'!C304=0,0,'Encargos e Benefícios'!AC304/'Encargos e Benefícios'!C304)</f>
        <v>0</v>
      </c>
      <c r="AN305" s="119">
        <f>IF('Encargos e Benefícios'!C304=0,0,'Encargos e Benefícios'!AD304/'Encargos e Benefícios'!C304)</f>
        <v>0</v>
      </c>
      <c r="AO305" s="32"/>
      <c r="AP305" s="31">
        <v>5308.35</v>
      </c>
      <c r="AQ305" s="31">
        <v>15161.16</v>
      </c>
      <c r="AR305" s="210" t="s">
        <v>587</v>
      </c>
      <c r="AS305" s="32"/>
    </row>
    <row r="306" spans="1:45" ht="12.75" hidden="1" x14ac:dyDescent="0.2">
      <c r="A306" s="48">
        <v>300</v>
      </c>
      <c r="B306" s="12">
        <f>'Encargos e Benefícios'!B305</f>
        <v>0</v>
      </c>
      <c r="C306" s="10">
        <f>'Encargos e Benefícios'!C305</f>
        <v>0</v>
      </c>
      <c r="D306" s="38"/>
      <c r="E306" s="174"/>
      <c r="F306" s="173"/>
      <c r="G306" s="172"/>
      <c r="H306" s="133"/>
      <c r="I306" s="47"/>
      <c r="J306" s="47"/>
      <c r="K306" s="47"/>
      <c r="L306" s="47"/>
      <c r="M306" s="172"/>
      <c r="N306" s="370"/>
      <c r="O306" s="47"/>
      <c r="P306" s="47"/>
      <c r="Q306" s="47"/>
      <c r="R306" s="47"/>
      <c r="S306" s="172"/>
      <c r="T306" s="370"/>
      <c r="U306" s="47"/>
      <c r="V306" s="47"/>
      <c r="W306" s="47"/>
      <c r="X306" s="47"/>
      <c r="Y306" s="172"/>
      <c r="Z306" s="133"/>
      <c r="AA306" s="47"/>
      <c r="AB306" s="47"/>
      <c r="AC306" s="47"/>
      <c r="AD306" s="47"/>
      <c r="AE306" s="172"/>
      <c r="AF306" s="133"/>
      <c r="AG306" s="47"/>
      <c r="AH306" s="47"/>
      <c r="AI306" s="47"/>
      <c r="AJ306" s="136"/>
      <c r="AK306" s="11">
        <f>'Encargos e Benefícios'!D305</f>
        <v>0</v>
      </c>
      <c r="AL306" s="11">
        <f>IF('Encargos e Benefícios'!C305=0,0,'Encargos e Benefícios'!U305/'Encargos e Benefícios'!C305)</f>
        <v>0</v>
      </c>
      <c r="AM306" s="11">
        <f>IF('Encargos e Benefícios'!C305=0,0,'Encargos e Benefícios'!AC305/'Encargos e Benefícios'!C305)</f>
        <v>0</v>
      </c>
      <c r="AN306" s="119">
        <f>IF('Encargos e Benefícios'!C305=0,0,'Encargos e Benefícios'!AD305/'Encargos e Benefícios'!C305)</f>
        <v>0</v>
      </c>
      <c r="AO306" s="32"/>
      <c r="AP306" s="31">
        <v>1906.88</v>
      </c>
      <c r="AQ306" s="31">
        <v>3335.15</v>
      </c>
      <c r="AR306" s="210" t="s">
        <v>587</v>
      </c>
      <c r="AS306" s="32"/>
    </row>
    <row r="307" spans="1:45" ht="12.75" hidden="1" x14ac:dyDescent="0.2">
      <c r="A307" s="48">
        <v>301</v>
      </c>
      <c r="B307" s="12">
        <f>'Encargos e Benefícios'!B306</f>
        <v>0</v>
      </c>
      <c r="C307" s="10">
        <f>'Encargos e Benefícios'!C306</f>
        <v>0</v>
      </c>
      <c r="D307" s="38"/>
      <c r="E307" s="174"/>
      <c r="F307" s="173"/>
      <c r="G307" s="172"/>
      <c r="H307" s="133"/>
      <c r="I307" s="47"/>
      <c r="J307" s="47"/>
      <c r="K307" s="47"/>
      <c r="L307" s="47"/>
      <c r="M307" s="172"/>
      <c r="N307" s="370"/>
      <c r="O307" s="47"/>
      <c r="P307" s="47"/>
      <c r="Q307" s="47"/>
      <c r="R307" s="47"/>
      <c r="S307" s="172"/>
      <c r="T307" s="370"/>
      <c r="U307" s="47"/>
      <c r="V307" s="47"/>
      <c r="W307" s="47"/>
      <c r="X307" s="47"/>
      <c r="Y307" s="172"/>
      <c r="Z307" s="133"/>
      <c r="AA307" s="47"/>
      <c r="AB307" s="47"/>
      <c r="AC307" s="47"/>
      <c r="AD307" s="47"/>
      <c r="AE307" s="172"/>
      <c r="AF307" s="133"/>
      <c r="AG307" s="47"/>
      <c r="AH307" s="47"/>
      <c r="AI307" s="47"/>
      <c r="AJ307" s="136"/>
      <c r="AK307" s="11">
        <f>'Encargos e Benefícios'!D306</f>
        <v>0</v>
      </c>
      <c r="AL307" s="11">
        <f>IF('Encargos e Benefícios'!C306=0,0,'Encargos e Benefícios'!U306/'Encargos e Benefícios'!C306)</f>
        <v>0</v>
      </c>
      <c r="AM307" s="11">
        <f>IF('Encargos e Benefícios'!C306=0,0,'Encargos e Benefícios'!AC306/'Encargos e Benefícios'!C306)</f>
        <v>0</v>
      </c>
      <c r="AN307" s="119">
        <f>IF('Encargos e Benefícios'!C306=0,0,'Encargos e Benefícios'!AD306/'Encargos e Benefícios'!C306)</f>
        <v>0</v>
      </c>
      <c r="AO307" s="32"/>
      <c r="AP307" s="31">
        <v>1906.88</v>
      </c>
      <c r="AQ307" s="31">
        <v>3335.15</v>
      </c>
      <c r="AR307" s="210" t="s">
        <v>587</v>
      </c>
      <c r="AS307" s="32"/>
    </row>
    <row r="308" spans="1:45" ht="12.75" hidden="1" x14ac:dyDescent="0.2">
      <c r="A308" s="48">
        <v>302</v>
      </c>
      <c r="B308" s="12">
        <f>'Encargos e Benefícios'!B307</f>
        <v>0</v>
      </c>
      <c r="C308" s="10">
        <f>'Encargos e Benefícios'!C307</f>
        <v>0</v>
      </c>
      <c r="D308" s="38"/>
      <c r="E308" s="174"/>
      <c r="F308" s="173"/>
      <c r="G308" s="172"/>
      <c r="H308" s="133"/>
      <c r="I308" s="47"/>
      <c r="J308" s="47"/>
      <c r="K308" s="47"/>
      <c r="L308" s="47"/>
      <c r="M308" s="172"/>
      <c r="N308" s="370"/>
      <c r="O308" s="47"/>
      <c r="P308" s="47"/>
      <c r="Q308" s="47"/>
      <c r="R308" s="47"/>
      <c r="S308" s="172"/>
      <c r="T308" s="370"/>
      <c r="U308" s="47"/>
      <c r="V308" s="47"/>
      <c r="W308" s="47"/>
      <c r="X308" s="47"/>
      <c r="Y308" s="172"/>
      <c r="Z308" s="133"/>
      <c r="AA308" s="47"/>
      <c r="AB308" s="47"/>
      <c r="AC308" s="47"/>
      <c r="AD308" s="47"/>
      <c r="AE308" s="172"/>
      <c r="AF308" s="133"/>
      <c r="AG308" s="47"/>
      <c r="AH308" s="47"/>
      <c r="AI308" s="47"/>
      <c r="AJ308" s="136"/>
      <c r="AK308" s="11">
        <f>'Encargos e Benefícios'!D307</f>
        <v>0</v>
      </c>
      <c r="AL308" s="11">
        <f>IF('Encargos e Benefícios'!C307=0,0,'Encargos e Benefícios'!U307/'Encargos e Benefícios'!C307)</f>
        <v>0</v>
      </c>
      <c r="AM308" s="11">
        <f>IF('Encargos e Benefícios'!C307=0,0,'Encargos e Benefícios'!AC307/'Encargos e Benefícios'!C307)</f>
        <v>0</v>
      </c>
      <c r="AN308" s="119">
        <f>IF('Encargos e Benefícios'!C307=0,0,'Encargos e Benefícios'!AD307/'Encargos e Benefícios'!C307)</f>
        <v>0</v>
      </c>
      <c r="AO308" s="32"/>
      <c r="AP308" s="31">
        <v>2550.5</v>
      </c>
      <c r="AQ308" s="31">
        <v>7284.47</v>
      </c>
      <c r="AR308" s="210" t="s">
        <v>587</v>
      </c>
      <c r="AS308" s="32"/>
    </row>
    <row r="309" spans="1:45" ht="12.75" hidden="1" x14ac:dyDescent="0.2">
      <c r="A309" s="48">
        <v>303</v>
      </c>
      <c r="B309" s="12">
        <f>'Encargos e Benefícios'!B308</f>
        <v>0</v>
      </c>
      <c r="C309" s="10">
        <f>'Encargos e Benefícios'!C308</f>
        <v>0</v>
      </c>
      <c r="D309" s="38"/>
      <c r="E309" s="174"/>
      <c r="F309" s="173"/>
      <c r="G309" s="172"/>
      <c r="H309" s="133"/>
      <c r="I309" s="47"/>
      <c r="J309" s="47"/>
      <c r="K309" s="47"/>
      <c r="L309" s="47"/>
      <c r="M309" s="172"/>
      <c r="N309" s="370"/>
      <c r="O309" s="47"/>
      <c r="P309" s="47"/>
      <c r="Q309" s="47"/>
      <c r="R309" s="47"/>
      <c r="S309" s="172"/>
      <c r="T309" s="370"/>
      <c r="U309" s="47"/>
      <c r="V309" s="47"/>
      <c r="W309" s="47"/>
      <c r="X309" s="47"/>
      <c r="Y309" s="172"/>
      <c r="Z309" s="133"/>
      <c r="AA309" s="47"/>
      <c r="AB309" s="47"/>
      <c r="AC309" s="47"/>
      <c r="AD309" s="47"/>
      <c r="AE309" s="172"/>
      <c r="AF309" s="133"/>
      <c r="AG309" s="47"/>
      <c r="AH309" s="47"/>
      <c r="AI309" s="47"/>
      <c r="AJ309" s="136"/>
      <c r="AK309" s="11">
        <f>'Encargos e Benefícios'!D308</f>
        <v>0</v>
      </c>
      <c r="AL309" s="11">
        <f>IF('Encargos e Benefícios'!C308=0,0,'Encargos e Benefícios'!U308/'Encargos e Benefícios'!C308)</f>
        <v>0</v>
      </c>
      <c r="AM309" s="11">
        <f>IF('Encargos e Benefícios'!C308=0,0,'Encargos e Benefícios'!AC308/'Encargos e Benefícios'!C308)</f>
        <v>0</v>
      </c>
      <c r="AN309" s="119">
        <f>IF('Encargos e Benefícios'!C308=0,0,'Encargos e Benefícios'!AD308/'Encargos e Benefícios'!C308)</f>
        <v>0</v>
      </c>
      <c r="AO309" s="32"/>
      <c r="AP309" s="31">
        <v>3095.54</v>
      </c>
      <c r="AQ309" s="31">
        <v>7557.45</v>
      </c>
      <c r="AR309" s="210" t="s">
        <v>587</v>
      </c>
      <c r="AS309" s="32"/>
    </row>
    <row r="310" spans="1:45" ht="12.75" hidden="1" x14ac:dyDescent="0.2">
      <c r="A310" s="48">
        <v>304</v>
      </c>
      <c r="B310" s="12">
        <f>'Encargos e Benefícios'!B309</f>
        <v>0</v>
      </c>
      <c r="C310" s="10">
        <f>'Encargos e Benefícios'!C309</f>
        <v>0</v>
      </c>
      <c r="D310" s="38"/>
      <c r="E310" s="174"/>
      <c r="F310" s="173"/>
      <c r="G310" s="172"/>
      <c r="H310" s="133"/>
      <c r="I310" s="47"/>
      <c r="J310" s="47"/>
      <c r="K310" s="47"/>
      <c r="L310" s="47"/>
      <c r="M310" s="172"/>
      <c r="N310" s="370"/>
      <c r="O310" s="47"/>
      <c r="P310" s="47"/>
      <c r="Q310" s="47"/>
      <c r="R310" s="47"/>
      <c r="S310" s="172"/>
      <c r="T310" s="370"/>
      <c r="U310" s="47"/>
      <c r="V310" s="47"/>
      <c r="W310" s="47"/>
      <c r="X310" s="47"/>
      <c r="Y310" s="172"/>
      <c r="Z310" s="133"/>
      <c r="AA310" s="47"/>
      <c r="AB310" s="47"/>
      <c r="AC310" s="47"/>
      <c r="AD310" s="47"/>
      <c r="AE310" s="172"/>
      <c r="AF310" s="133"/>
      <c r="AG310" s="47"/>
      <c r="AH310" s="47"/>
      <c r="AI310" s="47"/>
      <c r="AJ310" s="136"/>
      <c r="AK310" s="11">
        <f>'Encargos e Benefícios'!D309</f>
        <v>0</v>
      </c>
      <c r="AL310" s="11">
        <f>IF('Encargos e Benefícios'!C309=0,0,'Encargos e Benefícios'!U309/'Encargos e Benefícios'!C309)</f>
        <v>0</v>
      </c>
      <c r="AM310" s="11">
        <f>IF('Encargos e Benefícios'!C309=0,0,'Encargos e Benefícios'!AC309/'Encargos e Benefícios'!C309)</f>
        <v>0</v>
      </c>
      <c r="AN310" s="119">
        <f>IF('Encargos e Benefícios'!C309=0,0,'Encargos e Benefícios'!AD309/'Encargos e Benefícios'!C309)</f>
        <v>0</v>
      </c>
      <c r="AO310" s="32"/>
      <c r="AP310" s="31">
        <v>2083.61</v>
      </c>
      <c r="AQ310" s="31">
        <v>3644.25</v>
      </c>
      <c r="AR310" s="210" t="s">
        <v>587</v>
      </c>
      <c r="AS310" s="32"/>
    </row>
    <row r="311" spans="1:45" ht="12.75" hidden="1" x14ac:dyDescent="0.2">
      <c r="A311" s="48">
        <v>305</v>
      </c>
      <c r="B311" s="12">
        <f>'Encargos e Benefícios'!B310</f>
        <v>0</v>
      </c>
      <c r="C311" s="10">
        <f>'Encargos e Benefícios'!C310</f>
        <v>0</v>
      </c>
      <c r="D311" s="38"/>
      <c r="E311" s="174"/>
      <c r="F311" s="173"/>
      <c r="G311" s="172"/>
      <c r="H311" s="133"/>
      <c r="I311" s="47"/>
      <c r="J311" s="47"/>
      <c r="K311" s="47"/>
      <c r="L311" s="47"/>
      <c r="M311" s="172"/>
      <c r="N311" s="370"/>
      <c r="O311" s="47"/>
      <c r="P311" s="47"/>
      <c r="Q311" s="47"/>
      <c r="R311" s="47"/>
      <c r="S311" s="172"/>
      <c r="T311" s="370"/>
      <c r="U311" s="47"/>
      <c r="V311" s="47"/>
      <c r="W311" s="47"/>
      <c r="X311" s="47"/>
      <c r="Y311" s="172"/>
      <c r="Z311" s="133"/>
      <c r="AA311" s="47"/>
      <c r="AB311" s="47"/>
      <c r="AC311" s="47"/>
      <c r="AD311" s="47"/>
      <c r="AE311" s="172"/>
      <c r="AF311" s="133"/>
      <c r="AG311" s="47"/>
      <c r="AH311" s="47"/>
      <c r="AI311" s="47"/>
      <c r="AJ311" s="136"/>
      <c r="AK311" s="11">
        <f>'Encargos e Benefícios'!D310</f>
        <v>0</v>
      </c>
      <c r="AL311" s="11">
        <f>IF('Encargos e Benefícios'!C310=0,0,'Encargos e Benefícios'!U310/'Encargos e Benefícios'!C310)</f>
        <v>0</v>
      </c>
      <c r="AM311" s="11">
        <f>IF('Encargos e Benefícios'!C310=0,0,'Encargos e Benefícios'!AC310/'Encargos e Benefícios'!C310)</f>
        <v>0</v>
      </c>
      <c r="AN311" s="119">
        <f>IF('Encargos e Benefícios'!C310=0,0,'Encargos e Benefícios'!AD310/'Encargos e Benefícios'!C310)</f>
        <v>0</v>
      </c>
      <c r="AO311" s="32"/>
      <c r="AP311" s="31">
        <v>3204.46</v>
      </c>
      <c r="AQ311" s="31">
        <v>7823.41</v>
      </c>
      <c r="AR311" s="210" t="s">
        <v>587</v>
      </c>
      <c r="AS311" s="32"/>
    </row>
    <row r="312" spans="1:45" ht="12.75" hidden="1" x14ac:dyDescent="0.2">
      <c r="A312" s="48">
        <v>306</v>
      </c>
      <c r="B312" s="12">
        <f>'Encargos e Benefícios'!B311</f>
        <v>0</v>
      </c>
      <c r="C312" s="10">
        <f>'Encargos e Benefícios'!C311</f>
        <v>0</v>
      </c>
      <c r="D312" s="38"/>
      <c r="E312" s="174"/>
      <c r="F312" s="173"/>
      <c r="G312" s="172"/>
      <c r="H312" s="133"/>
      <c r="I312" s="47"/>
      <c r="J312" s="47"/>
      <c r="K312" s="47"/>
      <c r="L312" s="47"/>
      <c r="M312" s="172"/>
      <c r="N312" s="370"/>
      <c r="O312" s="47"/>
      <c r="P312" s="47"/>
      <c r="Q312" s="47"/>
      <c r="R312" s="47"/>
      <c r="S312" s="172"/>
      <c r="T312" s="370"/>
      <c r="U312" s="47"/>
      <c r="V312" s="47"/>
      <c r="W312" s="47"/>
      <c r="X312" s="47"/>
      <c r="Y312" s="172"/>
      <c r="Z312" s="133"/>
      <c r="AA312" s="47"/>
      <c r="AB312" s="47"/>
      <c r="AC312" s="47"/>
      <c r="AD312" s="47"/>
      <c r="AE312" s="172"/>
      <c r="AF312" s="133"/>
      <c r="AG312" s="47"/>
      <c r="AH312" s="47"/>
      <c r="AI312" s="47"/>
      <c r="AJ312" s="136"/>
      <c r="AK312" s="11">
        <f>'Encargos e Benefícios'!D311</f>
        <v>0</v>
      </c>
      <c r="AL312" s="11">
        <f>IF('Encargos e Benefícios'!C311=0,0,'Encargos e Benefícios'!U311/'Encargos e Benefícios'!C311)</f>
        <v>0</v>
      </c>
      <c r="AM312" s="11">
        <f>IF('Encargos e Benefícios'!C311=0,0,'Encargos e Benefícios'!AC311/'Encargos e Benefícios'!C311)</f>
        <v>0</v>
      </c>
      <c r="AN312" s="119">
        <f>IF('Encargos e Benefícios'!C311=0,0,'Encargos e Benefícios'!AD311/'Encargos e Benefícios'!C311)</f>
        <v>0</v>
      </c>
      <c r="AO312" s="32"/>
      <c r="AP312" s="31">
        <v>2302.8200000000002</v>
      </c>
      <c r="AQ312" s="31">
        <v>4027.65</v>
      </c>
      <c r="AR312" s="210" t="s">
        <v>587</v>
      </c>
      <c r="AS312" s="32"/>
    </row>
    <row r="313" spans="1:45" ht="12.75" hidden="1" x14ac:dyDescent="0.2">
      <c r="A313" s="48">
        <v>307</v>
      </c>
      <c r="B313" s="12">
        <f>'Encargos e Benefícios'!B312</f>
        <v>0</v>
      </c>
      <c r="C313" s="10">
        <f>'Encargos e Benefícios'!C312</f>
        <v>0</v>
      </c>
      <c r="D313" s="38"/>
      <c r="E313" s="174"/>
      <c r="F313" s="173"/>
      <c r="G313" s="172"/>
      <c r="H313" s="133"/>
      <c r="I313" s="47"/>
      <c r="J313" s="47"/>
      <c r="K313" s="47"/>
      <c r="L313" s="47"/>
      <c r="M313" s="172"/>
      <c r="N313" s="370"/>
      <c r="O313" s="47"/>
      <c r="P313" s="47"/>
      <c r="Q313" s="47"/>
      <c r="R313" s="47"/>
      <c r="S313" s="172"/>
      <c r="T313" s="370"/>
      <c r="U313" s="47"/>
      <c r="V313" s="47"/>
      <c r="W313" s="47"/>
      <c r="X313" s="47"/>
      <c r="Y313" s="172"/>
      <c r="Z313" s="133"/>
      <c r="AA313" s="47"/>
      <c r="AB313" s="47"/>
      <c r="AC313" s="47"/>
      <c r="AD313" s="47"/>
      <c r="AE313" s="172"/>
      <c r="AF313" s="133"/>
      <c r="AG313" s="47"/>
      <c r="AH313" s="47"/>
      <c r="AI313" s="47"/>
      <c r="AJ313" s="136"/>
      <c r="AK313" s="11">
        <f>'Encargos e Benefícios'!D312</f>
        <v>0</v>
      </c>
      <c r="AL313" s="11">
        <f>IF('Encargos e Benefícios'!C312=0,0,'Encargos e Benefícios'!U312/'Encargos e Benefícios'!C312)</f>
        <v>0</v>
      </c>
      <c r="AM313" s="11">
        <f>IF('Encargos e Benefícios'!C312=0,0,'Encargos e Benefícios'!AC312/'Encargos e Benefícios'!C312)</f>
        <v>0</v>
      </c>
      <c r="AN313" s="119">
        <f>IF('Encargos e Benefícios'!C312=0,0,'Encargos e Benefícios'!AD312/'Encargos e Benefícios'!C312)</f>
        <v>0</v>
      </c>
      <c r="AO313" s="32"/>
      <c r="AP313" s="31">
        <v>1618.02</v>
      </c>
      <c r="AQ313" s="31">
        <v>2368.94</v>
      </c>
      <c r="AR313" s="210" t="s">
        <v>587</v>
      </c>
      <c r="AS313" s="32"/>
    </row>
    <row r="314" spans="1:45" ht="18.75" hidden="1" customHeight="1" x14ac:dyDescent="0.2">
      <c r="A314" s="48">
        <v>308</v>
      </c>
      <c r="B314" s="12">
        <f>'Encargos e Benefícios'!B313</f>
        <v>0</v>
      </c>
      <c r="C314" s="10">
        <f>'Encargos e Benefícios'!C313</f>
        <v>0</v>
      </c>
      <c r="D314" s="38"/>
      <c r="E314" s="174"/>
      <c r="F314" s="173"/>
      <c r="G314" s="172"/>
      <c r="H314" s="370"/>
      <c r="I314" s="47"/>
      <c r="J314" s="47"/>
      <c r="K314" s="47"/>
      <c r="L314" s="47"/>
      <c r="M314" s="172"/>
      <c r="N314" s="133"/>
      <c r="O314" s="47"/>
      <c r="P314" s="47"/>
      <c r="Q314" s="47"/>
      <c r="R314" s="47"/>
      <c r="S314" s="172"/>
      <c r="T314" s="133"/>
      <c r="U314" s="47"/>
      <c r="V314" s="47"/>
      <c r="W314" s="47"/>
      <c r="X314" s="47"/>
      <c r="Y314" s="172"/>
      <c r="Z314" s="133"/>
      <c r="AA314" s="47"/>
      <c r="AB314" s="47"/>
      <c r="AC314" s="47"/>
      <c r="AD314" s="47"/>
      <c r="AE314" s="172"/>
      <c r="AF314" s="133"/>
      <c r="AG314" s="47"/>
      <c r="AH314" s="47"/>
      <c r="AI314" s="47"/>
      <c r="AJ314" s="136"/>
      <c r="AK314" s="11">
        <f>'Encargos e Benefícios'!D313</f>
        <v>0</v>
      </c>
      <c r="AL314" s="11">
        <f>IF('Encargos e Benefícios'!C313=0,0,'Encargos e Benefícios'!U313/'Encargos e Benefícios'!C313)</f>
        <v>0</v>
      </c>
      <c r="AM314" s="11">
        <f>IF('Encargos e Benefícios'!C313=0,0,'Encargos e Benefícios'!AC313/'Encargos e Benefícios'!C313)</f>
        <v>0</v>
      </c>
      <c r="AN314" s="119">
        <f>IF('Encargos e Benefícios'!C313=0,0,'Encargos e Benefícios'!AD313/'Encargos e Benefícios'!C313)</f>
        <v>0</v>
      </c>
      <c r="AO314" s="32"/>
      <c r="AP314" s="31"/>
      <c r="AQ314" s="31"/>
      <c r="AR314" s="210"/>
      <c r="AS314" s="32"/>
    </row>
    <row r="315" spans="1:45" ht="12.75" hidden="1" x14ac:dyDescent="0.2">
      <c r="A315" s="48">
        <v>309</v>
      </c>
      <c r="B315" s="12">
        <f>'Encargos e Benefícios'!B314</f>
        <v>0</v>
      </c>
      <c r="C315" s="10">
        <f>'Encargos e Benefícios'!C314</f>
        <v>0</v>
      </c>
      <c r="D315" s="38"/>
      <c r="E315" s="174"/>
      <c r="F315" s="173"/>
      <c r="G315" s="172"/>
      <c r="H315" s="133"/>
      <c r="I315" s="47"/>
      <c r="J315" s="47"/>
      <c r="K315" s="47"/>
      <c r="L315" s="47"/>
      <c r="M315" s="172"/>
      <c r="N315" s="133"/>
      <c r="O315" s="47"/>
      <c r="P315" s="47"/>
      <c r="Q315" s="47"/>
      <c r="R315" s="47"/>
      <c r="S315" s="172"/>
      <c r="T315" s="133"/>
      <c r="U315" s="47"/>
      <c r="V315" s="47"/>
      <c r="W315" s="47"/>
      <c r="X315" s="47"/>
      <c r="Y315" s="172"/>
      <c r="Z315" s="133"/>
      <c r="AA315" s="47"/>
      <c r="AB315" s="47"/>
      <c r="AC315" s="47"/>
      <c r="AD315" s="47"/>
      <c r="AE315" s="172"/>
      <c r="AF315" s="133"/>
      <c r="AG315" s="47"/>
      <c r="AH315" s="47"/>
      <c r="AI315" s="47"/>
      <c r="AJ315" s="136"/>
      <c r="AK315" s="11">
        <f>'Encargos e Benefícios'!D314</f>
        <v>0</v>
      </c>
      <c r="AL315" s="11">
        <f>IF('Encargos e Benefícios'!C314=0,0,'Encargos e Benefícios'!U314/'Encargos e Benefícios'!C314)</f>
        <v>0</v>
      </c>
      <c r="AM315" s="11">
        <f>IF('Encargos e Benefícios'!C314=0,0,'Encargos e Benefícios'!AC314/'Encargos e Benefícios'!C314)</f>
        <v>0</v>
      </c>
      <c r="AN315" s="119">
        <f>IF('Encargos e Benefícios'!C314=0,0,'Encargos e Benefícios'!AD314/'Encargos e Benefícios'!C314)</f>
        <v>0</v>
      </c>
      <c r="AO315" s="32"/>
      <c r="AP315" s="31"/>
      <c r="AQ315" s="31"/>
      <c r="AR315" s="210"/>
      <c r="AS315" s="32"/>
    </row>
    <row r="316" spans="1:45" ht="12.75" hidden="1" x14ac:dyDescent="0.2">
      <c r="A316" s="48">
        <v>310</v>
      </c>
      <c r="B316" s="12">
        <f>'Encargos e Benefícios'!B315</f>
        <v>0</v>
      </c>
      <c r="C316" s="10">
        <f>'Encargos e Benefícios'!C315</f>
        <v>0</v>
      </c>
      <c r="D316" s="38"/>
      <c r="E316" s="174"/>
      <c r="F316" s="173"/>
      <c r="G316" s="172"/>
      <c r="H316" s="133"/>
      <c r="I316" s="47"/>
      <c r="J316" s="47"/>
      <c r="K316" s="47"/>
      <c r="L316" s="47"/>
      <c r="M316" s="172"/>
      <c r="N316" s="133"/>
      <c r="O316" s="47"/>
      <c r="P316" s="47"/>
      <c r="Q316" s="47"/>
      <c r="R316" s="47"/>
      <c r="S316" s="172"/>
      <c r="T316" s="133"/>
      <c r="U316" s="47"/>
      <c r="V316" s="47"/>
      <c r="W316" s="47"/>
      <c r="X316" s="47"/>
      <c r="Y316" s="172"/>
      <c r="Z316" s="133"/>
      <c r="AA316" s="47"/>
      <c r="AB316" s="47"/>
      <c r="AC316" s="47"/>
      <c r="AD316" s="47"/>
      <c r="AE316" s="172"/>
      <c r="AF316" s="133"/>
      <c r="AG316" s="47"/>
      <c r="AH316" s="47"/>
      <c r="AI316" s="47"/>
      <c r="AJ316" s="136"/>
      <c r="AK316" s="11">
        <f>'Encargos e Benefícios'!D315</f>
        <v>0</v>
      </c>
      <c r="AL316" s="11">
        <f>IF('Encargos e Benefícios'!C315=0,0,'Encargos e Benefícios'!U315/'Encargos e Benefícios'!C315)</f>
        <v>0</v>
      </c>
      <c r="AM316" s="11">
        <f>IF('Encargos e Benefícios'!C315=0,0,'Encargos e Benefícios'!AC315/'Encargos e Benefícios'!C315)</f>
        <v>0</v>
      </c>
      <c r="AN316" s="119">
        <f>IF('Encargos e Benefícios'!C315=0,0,'Encargos e Benefícios'!AD315/'Encargos e Benefícios'!C315)</f>
        <v>0</v>
      </c>
      <c r="AO316" s="32"/>
      <c r="AP316" s="31"/>
      <c r="AQ316" s="31"/>
      <c r="AR316" s="210"/>
      <c r="AS316" s="32"/>
    </row>
    <row r="317" spans="1:45" ht="12.75" hidden="1" x14ac:dyDescent="0.2">
      <c r="A317" s="48">
        <v>311</v>
      </c>
      <c r="B317" s="12">
        <f>'Encargos e Benefícios'!B316</f>
        <v>0</v>
      </c>
      <c r="C317" s="10">
        <f>'Encargos e Benefícios'!C316</f>
        <v>0</v>
      </c>
      <c r="D317" s="38"/>
      <c r="E317" s="174"/>
      <c r="F317" s="173"/>
      <c r="G317" s="172"/>
      <c r="H317" s="133"/>
      <c r="I317" s="47"/>
      <c r="J317" s="47"/>
      <c r="K317" s="47"/>
      <c r="L317" s="47"/>
      <c r="M317" s="172"/>
      <c r="N317" s="133"/>
      <c r="O317" s="47"/>
      <c r="P317" s="47"/>
      <c r="Q317" s="47"/>
      <c r="R317" s="47"/>
      <c r="S317" s="172"/>
      <c r="T317" s="133"/>
      <c r="U317" s="47"/>
      <c r="V317" s="47"/>
      <c r="W317" s="47"/>
      <c r="X317" s="47"/>
      <c r="Y317" s="172"/>
      <c r="Z317" s="133"/>
      <c r="AA317" s="47"/>
      <c r="AB317" s="47"/>
      <c r="AC317" s="47"/>
      <c r="AD317" s="47"/>
      <c r="AE317" s="172"/>
      <c r="AF317" s="133"/>
      <c r="AG317" s="47"/>
      <c r="AH317" s="47"/>
      <c r="AI317" s="47"/>
      <c r="AJ317" s="136"/>
      <c r="AK317" s="11">
        <f>'Encargos e Benefícios'!D316</f>
        <v>0</v>
      </c>
      <c r="AL317" s="11">
        <f>IF('Encargos e Benefícios'!C316=0,0,'Encargos e Benefícios'!U316/'Encargos e Benefícios'!C316)</f>
        <v>0</v>
      </c>
      <c r="AM317" s="11">
        <f>IF('Encargos e Benefícios'!C316=0,0,'Encargos e Benefícios'!AC316/'Encargos e Benefícios'!C316)</f>
        <v>0</v>
      </c>
      <c r="AN317" s="119">
        <f>IF('Encargos e Benefícios'!C316=0,0,'Encargos e Benefícios'!AD316/'Encargos e Benefícios'!C316)</f>
        <v>0</v>
      </c>
      <c r="AO317" s="32"/>
      <c r="AP317" s="31"/>
      <c r="AQ317" s="31"/>
      <c r="AR317" s="210"/>
      <c r="AS317" s="32"/>
    </row>
    <row r="318" spans="1:45" ht="12.75" hidden="1" x14ac:dyDescent="0.2">
      <c r="A318" s="48">
        <v>312</v>
      </c>
      <c r="B318" s="12">
        <f>'Encargos e Benefícios'!B317</f>
        <v>0</v>
      </c>
      <c r="C318" s="10">
        <f>'Encargos e Benefícios'!C317</f>
        <v>0</v>
      </c>
      <c r="D318" s="38"/>
      <c r="E318" s="174"/>
      <c r="F318" s="173"/>
      <c r="G318" s="172"/>
      <c r="H318" s="133"/>
      <c r="I318" s="47"/>
      <c r="J318" s="47"/>
      <c r="K318" s="47"/>
      <c r="L318" s="47"/>
      <c r="M318" s="172"/>
      <c r="N318" s="133"/>
      <c r="O318" s="47"/>
      <c r="P318" s="47"/>
      <c r="Q318" s="47"/>
      <c r="R318" s="47"/>
      <c r="S318" s="172"/>
      <c r="T318" s="133"/>
      <c r="U318" s="47"/>
      <c r="V318" s="47"/>
      <c r="W318" s="47"/>
      <c r="X318" s="47"/>
      <c r="Y318" s="172"/>
      <c r="Z318" s="133"/>
      <c r="AA318" s="47"/>
      <c r="AB318" s="47"/>
      <c r="AC318" s="47"/>
      <c r="AD318" s="47"/>
      <c r="AE318" s="172"/>
      <c r="AF318" s="133"/>
      <c r="AG318" s="47"/>
      <c r="AH318" s="47"/>
      <c r="AI318" s="47"/>
      <c r="AJ318" s="136"/>
      <c r="AK318" s="11">
        <f>'Encargos e Benefícios'!D317</f>
        <v>0</v>
      </c>
      <c r="AL318" s="11">
        <f>IF('Encargos e Benefícios'!C317=0,0,'Encargos e Benefícios'!U317/'Encargos e Benefícios'!C317)</f>
        <v>0</v>
      </c>
      <c r="AM318" s="11">
        <f>IF('Encargos e Benefícios'!C317=0,0,'Encargos e Benefícios'!AC317/'Encargos e Benefícios'!C317)</f>
        <v>0</v>
      </c>
      <c r="AN318" s="119">
        <f>IF('Encargos e Benefícios'!C317=0,0,'Encargos e Benefícios'!AD317/'Encargos e Benefícios'!C317)</f>
        <v>0</v>
      </c>
      <c r="AO318" s="32"/>
      <c r="AP318" s="31"/>
      <c r="AQ318" s="31"/>
      <c r="AR318" s="210"/>
      <c r="AS318" s="32"/>
    </row>
    <row r="319" spans="1:45" ht="12.75" hidden="1" x14ac:dyDescent="0.2">
      <c r="A319" s="48">
        <v>313</v>
      </c>
      <c r="B319" s="12">
        <f>'Encargos e Benefícios'!B318</f>
        <v>0</v>
      </c>
      <c r="C319" s="10">
        <f>'Encargos e Benefícios'!C318</f>
        <v>0</v>
      </c>
      <c r="D319" s="38"/>
      <c r="E319" s="174"/>
      <c r="F319" s="173"/>
      <c r="G319" s="172"/>
      <c r="H319" s="133"/>
      <c r="I319" s="47"/>
      <c r="J319" s="47"/>
      <c r="K319" s="47"/>
      <c r="L319" s="47"/>
      <c r="M319" s="172"/>
      <c r="N319" s="133"/>
      <c r="O319" s="47"/>
      <c r="P319" s="47"/>
      <c r="Q319" s="47"/>
      <c r="R319" s="47"/>
      <c r="S319" s="172"/>
      <c r="T319" s="133"/>
      <c r="U319" s="47"/>
      <c r="V319" s="47"/>
      <c r="W319" s="47"/>
      <c r="X319" s="47"/>
      <c r="Y319" s="172"/>
      <c r="Z319" s="133"/>
      <c r="AA319" s="47"/>
      <c r="AB319" s="47"/>
      <c r="AC319" s="47"/>
      <c r="AD319" s="47"/>
      <c r="AE319" s="172"/>
      <c r="AF319" s="133"/>
      <c r="AG319" s="47"/>
      <c r="AH319" s="47"/>
      <c r="AI319" s="47"/>
      <c r="AJ319" s="136"/>
      <c r="AK319" s="11">
        <f>'Encargos e Benefícios'!D318</f>
        <v>0</v>
      </c>
      <c r="AL319" s="11">
        <f>IF('Encargos e Benefícios'!C318=0,0,'Encargos e Benefícios'!U318/'Encargos e Benefícios'!C318)</f>
        <v>0</v>
      </c>
      <c r="AM319" s="11">
        <f>IF('Encargos e Benefícios'!C318=0,0,'Encargos e Benefícios'!AC318/'Encargos e Benefícios'!C318)</f>
        <v>0</v>
      </c>
      <c r="AN319" s="119">
        <f>IF('Encargos e Benefícios'!C318=0,0,'Encargos e Benefícios'!AD318/'Encargos e Benefícios'!C318)</f>
        <v>0</v>
      </c>
      <c r="AO319" s="32"/>
      <c r="AP319" s="31"/>
      <c r="AQ319" s="31"/>
      <c r="AR319" s="210"/>
      <c r="AS319" s="32"/>
    </row>
    <row r="320" spans="1:45" ht="12.75" hidden="1" x14ac:dyDescent="0.2">
      <c r="A320" s="48">
        <v>314</v>
      </c>
      <c r="B320" s="12">
        <f>'Encargos e Benefícios'!B319</f>
        <v>0</v>
      </c>
      <c r="C320" s="10">
        <f>'Encargos e Benefícios'!C319</f>
        <v>0</v>
      </c>
      <c r="D320" s="38"/>
      <c r="E320" s="174"/>
      <c r="F320" s="173"/>
      <c r="G320" s="172"/>
      <c r="H320" s="133"/>
      <c r="I320" s="47"/>
      <c r="J320" s="47"/>
      <c r="K320" s="47"/>
      <c r="L320" s="47"/>
      <c r="M320" s="172"/>
      <c r="N320" s="133"/>
      <c r="O320" s="47"/>
      <c r="P320" s="47"/>
      <c r="Q320" s="47"/>
      <c r="R320" s="47"/>
      <c r="S320" s="172"/>
      <c r="T320" s="133"/>
      <c r="U320" s="47"/>
      <c r="V320" s="47"/>
      <c r="W320" s="47"/>
      <c r="X320" s="47"/>
      <c r="Y320" s="172"/>
      <c r="Z320" s="133"/>
      <c r="AA320" s="47"/>
      <c r="AB320" s="47"/>
      <c r="AC320" s="47"/>
      <c r="AD320" s="47"/>
      <c r="AE320" s="172"/>
      <c r="AF320" s="133"/>
      <c r="AG320" s="47"/>
      <c r="AH320" s="47"/>
      <c r="AI320" s="47"/>
      <c r="AJ320" s="136"/>
      <c r="AK320" s="11">
        <f>'Encargos e Benefícios'!D319</f>
        <v>0</v>
      </c>
      <c r="AL320" s="11">
        <f>IF('Encargos e Benefícios'!C319=0,0,'Encargos e Benefícios'!U319/'Encargos e Benefícios'!C319)</f>
        <v>0</v>
      </c>
      <c r="AM320" s="11">
        <f>IF('Encargos e Benefícios'!C319=0,0,'Encargos e Benefícios'!AC319/'Encargos e Benefícios'!C319)</f>
        <v>0</v>
      </c>
      <c r="AN320" s="119">
        <f>IF('Encargos e Benefícios'!C319=0,0,'Encargos e Benefícios'!AD319/'Encargos e Benefícios'!C319)</f>
        <v>0</v>
      </c>
      <c r="AO320" s="32"/>
      <c r="AP320" s="31"/>
      <c r="AQ320" s="31"/>
      <c r="AR320" s="210"/>
      <c r="AS320" s="32"/>
    </row>
    <row r="321" spans="1:45" ht="12.75" hidden="1" x14ac:dyDescent="0.2">
      <c r="A321" s="48">
        <v>315</v>
      </c>
      <c r="B321" s="12">
        <f>'Encargos e Benefícios'!B320</f>
        <v>0</v>
      </c>
      <c r="C321" s="10">
        <f>'Encargos e Benefícios'!C320</f>
        <v>0</v>
      </c>
      <c r="D321" s="38"/>
      <c r="E321" s="174"/>
      <c r="F321" s="173"/>
      <c r="G321" s="172"/>
      <c r="H321" s="133"/>
      <c r="I321" s="47"/>
      <c r="J321" s="47"/>
      <c r="K321" s="47"/>
      <c r="L321" s="47"/>
      <c r="M321" s="172"/>
      <c r="N321" s="133"/>
      <c r="O321" s="47"/>
      <c r="P321" s="47"/>
      <c r="Q321" s="47"/>
      <c r="R321" s="47"/>
      <c r="S321" s="172"/>
      <c r="T321" s="133"/>
      <c r="U321" s="47"/>
      <c r="V321" s="47"/>
      <c r="W321" s="47"/>
      <c r="X321" s="47"/>
      <c r="Y321" s="172"/>
      <c r="Z321" s="133"/>
      <c r="AA321" s="47"/>
      <c r="AB321" s="47"/>
      <c r="AC321" s="47"/>
      <c r="AD321" s="47"/>
      <c r="AE321" s="172"/>
      <c r="AF321" s="133"/>
      <c r="AG321" s="47"/>
      <c r="AH321" s="47"/>
      <c r="AI321" s="47"/>
      <c r="AJ321" s="136"/>
      <c r="AK321" s="11">
        <f>'Encargos e Benefícios'!D320</f>
        <v>0</v>
      </c>
      <c r="AL321" s="11">
        <f>IF('Encargos e Benefícios'!C320=0,0,'Encargos e Benefícios'!U320/'Encargos e Benefícios'!C320)</f>
        <v>0</v>
      </c>
      <c r="AM321" s="11">
        <f>IF('Encargos e Benefícios'!C320=0,0,'Encargos e Benefícios'!AC320/'Encargos e Benefícios'!C320)</f>
        <v>0</v>
      </c>
      <c r="AN321" s="119">
        <f>IF('Encargos e Benefícios'!C320=0,0,'Encargos e Benefícios'!AD320/'Encargos e Benefícios'!C320)</f>
        <v>0</v>
      </c>
      <c r="AO321" s="32"/>
      <c r="AP321" s="31"/>
      <c r="AQ321" s="31"/>
      <c r="AR321" s="210"/>
      <c r="AS321" s="32"/>
    </row>
    <row r="322" spans="1:45" ht="12.75" hidden="1" x14ac:dyDescent="0.2">
      <c r="A322" s="48">
        <v>316</v>
      </c>
      <c r="B322" s="12">
        <f>'Encargos e Benefícios'!B321</f>
        <v>0</v>
      </c>
      <c r="C322" s="10">
        <f>'Encargos e Benefícios'!C321</f>
        <v>0</v>
      </c>
      <c r="D322" s="38"/>
      <c r="E322" s="174"/>
      <c r="F322" s="173"/>
      <c r="G322" s="172"/>
      <c r="H322" s="133"/>
      <c r="I322" s="47"/>
      <c r="J322" s="47"/>
      <c r="K322" s="47"/>
      <c r="L322" s="47"/>
      <c r="M322" s="172"/>
      <c r="N322" s="133"/>
      <c r="O322" s="47"/>
      <c r="P322" s="47"/>
      <c r="Q322" s="47"/>
      <c r="R322" s="47"/>
      <c r="S322" s="172"/>
      <c r="T322" s="133"/>
      <c r="U322" s="47"/>
      <c r="V322" s="47"/>
      <c r="W322" s="47"/>
      <c r="X322" s="47"/>
      <c r="Y322" s="172"/>
      <c r="Z322" s="133"/>
      <c r="AA322" s="47"/>
      <c r="AB322" s="47"/>
      <c r="AC322" s="47"/>
      <c r="AD322" s="47"/>
      <c r="AE322" s="172"/>
      <c r="AF322" s="133"/>
      <c r="AG322" s="47"/>
      <c r="AH322" s="47"/>
      <c r="AI322" s="47"/>
      <c r="AJ322" s="136"/>
      <c r="AK322" s="11">
        <f>'Encargos e Benefícios'!D321</f>
        <v>0</v>
      </c>
      <c r="AL322" s="11">
        <f>IF('Encargos e Benefícios'!C321=0,0,'Encargos e Benefícios'!U321/'Encargos e Benefícios'!C321)</f>
        <v>0</v>
      </c>
      <c r="AM322" s="11">
        <f>IF('Encargos e Benefícios'!C321=0,0,'Encargos e Benefícios'!AC321/'Encargos e Benefícios'!C321)</f>
        <v>0</v>
      </c>
      <c r="AN322" s="119">
        <f>IF('Encargos e Benefícios'!C321=0,0,'Encargos e Benefícios'!AD321/'Encargos e Benefícios'!C321)</f>
        <v>0</v>
      </c>
      <c r="AO322" s="32"/>
      <c r="AP322" s="31"/>
      <c r="AQ322" s="31"/>
      <c r="AR322" s="210"/>
      <c r="AS322" s="32"/>
    </row>
    <row r="323" spans="1:45" ht="12.75" hidden="1" x14ac:dyDescent="0.2">
      <c r="A323" s="48">
        <v>317</v>
      </c>
      <c r="B323" s="12">
        <f>'Encargos e Benefícios'!B322</f>
        <v>0</v>
      </c>
      <c r="C323" s="10">
        <f>'Encargos e Benefícios'!C322</f>
        <v>0</v>
      </c>
      <c r="D323" s="38"/>
      <c r="E323" s="174"/>
      <c r="F323" s="173"/>
      <c r="G323" s="172"/>
      <c r="H323" s="133"/>
      <c r="I323" s="47"/>
      <c r="J323" s="47"/>
      <c r="K323" s="47"/>
      <c r="L323" s="47"/>
      <c r="M323" s="172"/>
      <c r="N323" s="133"/>
      <c r="O323" s="47"/>
      <c r="P323" s="47"/>
      <c r="Q323" s="47"/>
      <c r="R323" s="47"/>
      <c r="S323" s="172"/>
      <c r="T323" s="133"/>
      <c r="U323" s="47"/>
      <c r="V323" s="47"/>
      <c r="W323" s="47"/>
      <c r="X323" s="47"/>
      <c r="Y323" s="172"/>
      <c r="Z323" s="133"/>
      <c r="AA323" s="47"/>
      <c r="AB323" s="47"/>
      <c r="AC323" s="47"/>
      <c r="AD323" s="47"/>
      <c r="AE323" s="172"/>
      <c r="AF323" s="133"/>
      <c r="AG323" s="47"/>
      <c r="AH323" s="47"/>
      <c r="AI323" s="47"/>
      <c r="AJ323" s="136"/>
      <c r="AK323" s="11">
        <f>'Encargos e Benefícios'!D322</f>
        <v>0</v>
      </c>
      <c r="AL323" s="11">
        <f>IF('Encargos e Benefícios'!C322=0,0,'Encargos e Benefícios'!U322/'Encargos e Benefícios'!C322)</f>
        <v>0</v>
      </c>
      <c r="AM323" s="11">
        <f>IF('Encargos e Benefícios'!C322=0,0,'Encargos e Benefícios'!AC322/'Encargos e Benefícios'!C322)</f>
        <v>0</v>
      </c>
      <c r="AN323" s="119">
        <f>IF('Encargos e Benefícios'!C322=0,0,'Encargos e Benefícios'!AD322/'Encargos e Benefícios'!C322)</f>
        <v>0</v>
      </c>
      <c r="AO323" s="32"/>
      <c r="AP323" s="31"/>
      <c r="AQ323" s="31"/>
      <c r="AR323" s="210"/>
      <c r="AS323" s="32"/>
    </row>
    <row r="324" spans="1:45" ht="12.75" hidden="1" x14ac:dyDescent="0.2">
      <c r="A324" s="48">
        <v>318</v>
      </c>
      <c r="B324" s="12">
        <f>'Encargos e Benefícios'!B323</f>
        <v>0</v>
      </c>
      <c r="C324" s="10">
        <f>'Encargos e Benefícios'!C323</f>
        <v>0</v>
      </c>
      <c r="D324" s="38"/>
      <c r="E324" s="174"/>
      <c r="F324" s="173"/>
      <c r="G324" s="172"/>
      <c r="H324" s="133"/>
      <c r="I324" s="47"/>
      <c r="J324" s="47"/>
      <c r="K324" s="47"/>
      <c r="L324" s="47"/>
      <c r="M324" s="172"/>
      <c r="N324" s="133"/>
      <c r="O324" s="47"/>
      <c r="P324" s="47"/>
      <c r="Q324" s="47"/>
      <c r="R324" s="47"/>
      <c r="S324" s="172"/>
      <c r="T324" s="133"/>
      <c r="U324" s="47"/>
      <c r="V324" s="47"/>
      <c r="W324" s="47"/>
      <c r="X324" s="47"/>
      <c r="Y324" s="172"/>
      <c r="Z324" s="133"/>
      <c r="AA324" s="47"/>
      <c r="AB324" s="47"/>
      <c r="AC324" s="47"/>
      <c r="AD324" s="47"/>
      <c r="AE324" s="172"/>
      <c r="AF324" s="133"/>
      <c r="AG324" s="47"/>
      <c r="AH324" s="47"/>
      <c r="AI324" s="47"/>
      <c r="AJ324" s="136"/>
      <c r="AK324" s="11">
        <f>'Encargos e Benefícios'!D323</f>
        <v>0</v>
      </c>
      <c r="AL324" s="11">
        <f>IF('Encargos e Benefícios'!C323=0,0,'Encargos e Benefícios'!U323/'Encargos e Benefícios'!C323)</f>
        <v>0</v>
      </c>
      <c r="AM324" s="11">
        <f>IF('Encargos e Benefícios'!C323=0,0,'Encargos e Benefícios'!AC323/'Encargos e Benefícios'!C323)</f>
        <v>0</v>
      </c>
      <c r="AN324" s="119">
        <f>IF('Encargos e Benefícios'!C323=0,0,'Encargos e Benefícios'!AD323/'Encargos e Benefícios'!C323)</f>
        <v>0</v>
      </c>
      <c r="AO324" s="32"/>
      <c r="AP324" s="31"/>
      <c r="AQ324" s="31"/>
      <c r="AR324" s="210"/>
      <c r="AS324" s="32"/>
    </row>
    <row r="325" spans="1:45" ht="12.75" hidden="1" x14ac:dyDescent="0.2">
      <c r="A325" s="48">
        <v>319</v>
      </c>
      <c r="B325" s="12">
        <f>'Encargos e Benefícios'!B324</f>
        <v>0</v>
      </c>
      <c r="C325" s="10">
        <f>'Encargos e Benefícios'!C324</f>
        <v>0</v>
      </c>
      <c r="D325" s="38"/>
      <c r="E325" s="174"/>
      <c r="F325" s="173"/>
      <c r="G325" s="172"/>
      <c r="H325" s="133"/>
      <c r="I325" s="47"/>
      <c r="J325" s="47"/>
      <c r="K325" s="47"/>
      <c r="L325" s="47"/>
      <c r="M325" s="172"/>
      <c r="N325" s="133"/>
      <c r="O325" s="47"/>
      <c r="P325" s="47"/>
      <c r="Q325" s="47"/>
      <c r="R325" s="47"/>
      <c r="S325" s="172"/>
      <c r="T325" s="133"/>
      <c r="U325" s="47"/>
      <c r="V325" s="47"/>
      <c r="W325" s="47"/>
      <c r="X325" s="47"/>
      <c r="Y325" s="172"/>
      <c r="Z325" s="133"/>
      <c r="AA325" s="47"/>
      <c r="AB325" s="47"/>
      <c r="AC325" s="47"/>
      <c r="AD325" s="47"/>
      <c r="AE325" s="172"/>
      <c r="AF325" s="133"/>
      <c r="AG325" s="47"/>
      <c r="AH325" s="47"/>
      <c r="AI325" s="47"/>
      <c r="AJ325" s="136"/>
      <c r="AK325" s="11">
        <f>'Encargos e Benefícios'!D324</f>
        <v>0</v>
      </c>
      <c r="AL325" s="11">
        <f>IF('Encargos e Benefícios'!C324=0,0,'Encargos e Benefícios'!U324/'Encargos e Benefícios'!C324)</f>
        <v>0</v>
      </c>
      <c r="AM325" s="11">
        <f>IF('Encargos e Benefícios'!C324=0,0,'Encargos e Benefícios'!AC324/'Encargos e Benefícios'!C324)</f>
        <v>0</v>
      </c>
      <c r="AN325" s="119">
        <f>IF('Encargos e Benefícios'!C324=0,0,'Encargos e Benefícios'!AD324/'Encargos e Benefícios'!C324)</f>
        <v>0</v>
      </c>
      <c r="AO325" s="32"/>
      <c r="AP325" s="31"/>
      <c r="AQ325" s="31"/>
      <c r="AR325" s="210"/>
      <c r="AS325" s="32"/>
    </row>
    <row r="326" spans="1:45" ht="12.75" hidden="1" x14ac:dyDescent="0.2">
      <c r="A326" s="48">
        <v>320</v>
      </c>
      <c r="B326" s="12">
        <f>'Encargos e Benefícios'!B325</f>
        <v>0</v>
      </c>
      <c r="C326" s="10">
        <f>'Encargos e Benefícios'!C325</f>
        <v>0</v>
      </c>
      <c r="D326" s="38"/>
      <c r="E326" s="174"/>
      <c r="F326" s="173"/>
      <c r="G326" s="172"/>
      <c r="H326" s="133"/>
      <c r="I326" s="47"/>
      <c r="J326" s="47"/>
      <c r="K326" s="47"/>
      <c r="L326" s="47"/>
      <c r="M326" s="172"/>
      <c r="N326" s="133"/>
      <c r="O326" s="47"/>
      <c r="P326" s="47"/>
      <c r="Q326" s="47"/>
      <c r="R326" s="47"/>
      <c r="S326" s="172"/>
      <c r="T326" s="133"/>
      <c r="U326" s="47"/>
      <c r="V326" s="47"/>
      <c r="W326" s="47"/>
      <c r="X326" s="47"/>
      <c r="Y326" s="172"/>
      <c r="Z326" s="133"/>
      <c r="AA326" s="47"/>
      <c r="AB326" s="47"/>
      <c r="AC326" s="47"/>
      <c r="AD326" s="47"/>
      <c r="AE326" s="172"/>
      <c r="AF326" s="133"/>
      <c r="AG326" s="47"/>
      <c r="AH326" s="47"/>
      <c r="AI326" s="47"/>
      <c r="AJ326" s="136"/>
      <c r="AK326" s="11">
        <f>'Encargos e Benefícios'!D325</f>
        <v>0</v>
      </c>
      <c r="AL326" s="11">
        <f>IF('Encargos e Benefícios'!C325=0,0,'Encargos e Benefícios'!U325/'Encargos e Benefícios'!C325)</f>
        <v>0</v>
      </c>
      <c r="AM326" s="11">
        <f>IF('Encargos e Benefícios'!C325=0,0,'Encargos e Benefícios'!AC325/'Encargos e Benefícios'!C325)</f>
        <v>0</v>
      </c>
      <c r="AN326" s="119">
        <f>IF('Encargos e Benefícios'!C325=0,0,'Encargos e Benefícios'!AD325/'Encargos e Benefícios'!C325)</f>
        <v>0</v>
      </c>
      <c r="AO326" s="32"/>
      <c r="AP326" s="31"/>
      <c r="AQ326" s="31"/>
      <c r="AR326" s="210"/>
      <c r="AS326" s="32"/>
    </row>
    <row r="327" spans="1:45" ht="12.75" hidden="1" x14ac:dyDescent="0.2">
      <c r="A327" s="48">
        <v>321</v>
      </c>
      <c r="B327" s="12">
        <f>'Encargos e Benefícios'!B326</f>
        <v>0</v>
      </c>
      <c r="C327" s="10">
        <f>'Encargos e Benefícios'!C326</f>
        <v>0</v>
      </c>
      <c r="D327" s="38"/>
      <c r="E327" s="174"/>
      <c r="F327" s="173"/>
      <c r="G327" s="172"/>
      <c r="H327" s="133"/>
      <c r="I327" s="47"/>
      <c r="J327" s="47"/>
      <c r="K327" s="47"/>
      <c r="L327" s="47"/>
      <c r="M327" s="172"/>
      <c r="N327" s="133"/>
      <c r="O327" s="47"/>
      <c r="P327" s="47"/>
      <c r="Q327" s="47"/>
      <c r="R327" s="47"/>
      <c r="S327" s="172"/>
      <c r="T327" s="133"/>
      <c r="U327" s="47"/>
      <c r="V327" s="47"/>
      <c r="W327" s="47"/>
      <c r="X327" s="47"/>
      <c r="Y327" s="172"/>
      <c r="Z327" s="133"/>
      <c r="AA327" s="47"/>
      <c r="AB327" s="47"/>
      <c r="AC327" s="47"/>
      <c r="AD327" s="47"/>
      <c r="AE327" s="172"/>
      <c r="AF327" s="133"/>
      <c r="AG327" s="47"/>
      <c r="AH327" s="47"/>
      <c r="AI327" s="47"/>
      <c r="AJ327" s="136"/>
      <c r="AK327" s="11">
        <f>'Encargos e Benefícios'!D326</f>
        <v>0</v>
      </c>
      <c r="AL327" s="11">
        <f>IF('Encargos e Benefícios'!C326=0,0,'Encargos e Benefícios'!U326/'Encargos e Benefícios'!C326)</f>
        <v>0</v>
      </c>
      <c r="AM327" s="11">
        <f>IF('Encargos e Benefícios'!C326=0,0,'Encargos e Benefícios'!AC326/'Encargos e Benefícios'!C326)</f>
        <v>0</v>
      </c>
      <c r="AN327" s="119">
        <f>IF('Encargos e Benefícios'!C326=0,0,'Encargos e Benefícios'!AD326/'Encargos e Benefícios'!C326)</f>
        <v>0</v>
      </c>
      <c r="AO327" s="32"/>
      <c r="AP327" s="31"/>
      <c r="AQ327" s="31"/>
      <c r="AR327" s="210"/>
      <c r="AS327" s="32"/>
    </row>
    <row r="328" spans="1:45" ht="12.75" hidden="1" x14ac:dyDescent="0.2">
      <c r="A328" s="48">
        <v>322</v>
      </c>
      <c r="B328" s="12">
        <f>'Encargos e Benefícios'!B327</f>
        <v>0</v>
      </c>
      <c r="C328" s="10">
        <f>'Encargos e Benefícios'!C327</f>
        <v>0</v>
      </c>
      <c r="D328" s="38"/>
      <c r="E328" s="174"/>
      <c r="F328" s="173"/>
      <c r="G328" s="172"/>
      <c r="H328" s="133"/>
      <c r="I328" s="47"/>
      <c r="J328" s="47"/>
      <c r="K328" s="47"/>
      <c r="L328" s="47"/>
      <c r="M328" s="172"/>
      <c r="N328" s="133"/>
      <c r="O328" s="47"/>
      <c r="P328" s="47"/>
      <c r="Q328" s="47"/>
      <c r="R328" s="47"/>
      <c r="S328" s="172"/>
      <c r="T328" s="133"/>
      <c r="U328" s="47"/>
      <c r="V328" s="47"/>
      <c r="W328" s="47"/>
      <c r="X328" s="47"/>
      <c r="Y328" s="172"/>
      <c r="Z328" s="133"/>
      <c r="AA328" s="47"/>
      <c r="AB328" s="47"/>
      <c r="AC328" s="47"/>
      <c r="AD328" s="47"/>
      <c r="AE328" s="172"/>
      <c r="AF328" s="133"/>
      <c r="AG328" s="47"/>
      <c r="AH328" s="47"/>
      <c r="AI328" s="47"/>
      <c r="AJ328" s="136"/>
      <c r="AK328" s="11">
        <f>'Encargos e Benefícios'!D327</f>
        <v>0</v>
      </c>
      <c r="AL328" s="11">
        <f>IF('Encargos e Benefícios'!C327=0,0,'Encargos e Benefícios'!U327/'Encargos e Benefícios'!C327)</f>
        <v>0</v>
      </c>
      <c r="AM328" s="11">
        <f>IF('Encargos e Benefícios'!C327=0,0,'Encargos e Benefícios'!AC327/'Encargos e Benefícios'!C327)</f>
        <v>0</v>
      </c>
      <c r="AN328" s="119">
        <f>IF('Encargos e Benefícios'!C327=0,0,'Encargos e Benefícios'!AD327/'Encargos e Benefícios'!C327)</f>
        <v>0</v>
      </c>
      <c r="AO328" s="32"/>
      <c r="AP328" s="31"/>
      <c r="AQ328" s="31"/>
      <c r="AR328" s="210"/>
      <c r="AS328" s="32"/>
    </row>
    <row r="329" spans="1:45" ht="12.75" hidden="1" x14ac:dyDescent="0.2">
      <c r="A329" s="48">
        <v>323</v>
      </c>
      <c r="B329" s="12">
        <f>'Encargos e Benefícios'!B328</f>
        <v>0</v>
      </c>
      <c r="C329" s="10">
        <f>'Encargos e Benefícios'!C328</f>
        <v>0</v>
      </c>
      <c r="D329" s="38"/>
      <c r="E329" s="174"/>
      <c r="F329" s="173"/>
      <c r="G329" s="172"/>
      <c r="H329" s="133"/>
      <c r="I329" s="47"/>
      <c r="J329" s="47"/>
      <c r="K329" s="47"/>
      <c r="L329" s="47"/>
      <c r="M329" s="172"/>
      <c r="N329" s="133"/>
      <c r="O329" s="47"/>
      <c r="P329" s="47"/>
      <c r="Q329" s="47"/>
      <c r="R329" s="47"/>
      <c r="S329" s="172"/>
      <c r="T329" s="133"/>
      <c r="U329" s="47"/>
      <c r="V329" s="47"/>
      <c r="W329" s="47"/>
      <c r="X329" s="47"/>
      <c r="Y329" s="172"/>
      <c r="Z329" s="133"/>
      <c r="AA329" s="47"/>
      <c r="AB329" s="47"/>
      <c r="AC329" s="47"/>
      <c r="AD329" s="47"/>
      <c r="AE329" s="172"/>
      <c r="AF329" s="133"/>
      <c r="AG329" s="47"/>
      <c r="AH329" s="47"/>
      <c r="AI329" s="47"/>
      <c r="AJ329" s="136"/>
      <c r="AK329" s="11">
        <f>'Encargos e Benefícios'!D328</f>
        <v>0</v>
      </c>
      <c r="AL329" s="11">
        <f>IF('Encargos e Benefícios'!C328=0,0,'Encargos e Benefícios'!U328/'Encargos e Benefícios'!C328)</f>
        <v>0</v>
      </c>
      <c r="AM329" s="11">
        <f>IF('Encargos e Benefícios'!C328=0,0,'Encargos e Benefícios'!AC328/'Encargos e Benefícios'!C328)</f>
        <v>0</v>
      </c>
      <c r="AN329" s="119">
        <f>IF('Encargos e Benefícios'!C328=0,0,'Encargos e Benefícios'!AD328/'Encargos e Benefícios'!C328)</f>
        <v>0</v>
      </c>
      <c r="AO329" s="32"/>
      <c r="AP329" s="31"/>
      <c r="AQ329" s="31"/>
      <c r="AR329" s="210"/>
      <c r="AS329" s="32"/>
    </row>
    <row r="330" spans="1:45" ht="12.75" hidden="1" x14ac:dyDescent="0.2">
      <c r="A330" s="48">
        <v>324</v>
      </c>
      <c r="B330" s="12">
        <f>'Encargos e Benefícios'!B329</f>
        <v>0</v>
      </c>
      <c r="C330" s="10">
        <f>'Encargos e Benefícios'!C329</f>
        <v>0</v>
      </c>
      <c r="D330" s="38"/>
      <c r="E330" s="174"/>
      <c r="F330" s="173"/>
      <c r="G330" s="172"/>
      <c r="H330" s="133"/>
      <c r="I330" s="47"/>
      <c r="J330" s="47"/>
      <c r="K330" s="47"/>
      <c r="L330" s="47"/>
      <c r="M330" s="172"/>
      <c r="N330" s="133"/>
      <c r="O330" s="47"/>
      <c r="P330" s="47"/>
      <c r="Q330" s="47"/>
      <c r="R330" s="47"/>
      <c r="S330" s="172"/>
      <c r="T330" s="133"/>
      <c r="U330" s="47"/>
      <c r="V330" s="47"/>
      <c r="W330" s="47"/>
      <c r="X330" s="47"/>
      <c r="Y330" s="172"/>
      <c r="Z330" s="133"/>
      <c r="AA330" s="47"/>
      <c r="AB330" s="47"/>
      <c r="AC330" s="47"/>
      <c r="AD330" s="47"/>
      <c r="AE330" s="172"/>
      <c r="AF330" s="133"/>
      <c r="AG330" s="47"/>
      <c r="AH330" s="47"/>
      <c r="AI330" s="47"/>
      <c r="AJ330" s="136"/>
      <c r="AK330" s="11">
        <f>'Encargos e Benefícios'!D329</f>
        <v>0</v>
      </c>
      <c r="AL330" s="11">
        <f>IF('Encargos e Benefícios'!C329=0,0,'Encargos e Benefícios'!U329/'Encargos e Benefícios'!C329)</f>
        <v>0</v>
      </c>
      <c r="AM330" s="11">
        <f>IF('Encargos e Benefícios'!C329=0,0,'Encargos e Benefícios'!AC329/'Encargos e Benefícios'!C329)</f>
        <v>0</v>
      </c>
      <c r="AN330" s="119">
        <f>IF('Encargos e Benefícios'!C329=0,0,'Encargos e Benefícios'!AD329/'Encargos e Benefícios'!C329)</f>
        <v>0</v>
      </c>
      <c r="AO330" s="32"/>
      <c r="AP330" s="31"/>
      <c r="AQ330" s="31"/>
      <c r="AR330" s="210"/>
      <c r="AS330" s="32"/>
    </row>
    <row r="331" spans="1:45" ht="12.75" hidden="1" x14ac:dyDescent="0.2">
      <c r="A331" s="48">
        <v>325</v>
      </c>
      <c r="B331" s="12">
        <f>'Encargos e Benefícios'!B330</f>
        <v>0</v>
      </c>
      <c r="C331" s="10">
        <f>'Encargos e Benefícios'!C330</f>
        <v>0</v>
      </c>
      <c r="D331" s="38"/>
      <c r="E331" s="174"/>
      <c r="F331" s="173"/>
      <c r="G331" s="172"/>
      <c r="H331" s="133"/>
      <c r="I331" s="47"/>
      <c r="J331" s="47"/>
      <c r="K331" s="47"/>
      <c r="L331" s="47"/>
      <c r="M331" s="172"/>
      <c r="N331" s="133"/>
      <c r="O331" s="47"/>
      <c r="P331" s="47"/>
      <c r="Q331" s="47"/>
      <c r="R331" s="47"/>
      <c r="S331" s="172"/>
      <c r="T331" s="133"/>
      <c r="U331" s="47"/>
      <c r="V331" s="47"/>
      <c r="W331" s="47"/>
      <c r="X331" s="47"/>
      <c r="Y331" s="172"/>
      <c r="Z331" s="133"/>
      <c r="AA331" s="47"/>
      <c r="AB331" s="47"/>
      <c r="AC331" s="47"/>
      <c r="AD331" s="47"/>
      <c r="AE331" s="172"/>
      <c r="AF331" s="133"/>
      <c r="AG331" s="47"/>
      <c r="AH331" s="47"/>
      <c r="AI331" s="47"/>
      <c r="AJ331" s="136"/>
      <c r="AK331" s="11">
        <f>'Encargos e Benefícios'!D330</f>
        <v>0</v>
      </c>
      <c r="AL331" s="11">
        <f>IF('Encargos e Benefícios'!C330=0,0,'Encargos e Benefícios'!U330/'Encargos e Benefícios'!C330)</f>
        <v>0</v>
      </c>
      <c r="AM331" s="11">
        <f>IF('Encargos e Benefícios'!C330=0,0,'Encargos e Benefícios'!AC330/'Encargos e Benefícios'!C330)</f>
        <v>0</v>
      </c>
      <c r="AN331" s="119">
        <f>IF('Encargos e Benefícios'!C330=0,0,'Encargos e Benefícios'!AD330/'Encargos e Benefícios'!C330)</f>
        <v>0</v>
      </c>
      <c r="AO331" s="32"/>
      <c r="AP331" s="31"/>
      <c r="AQ331" s="31"/>
      <c r="AR331" s="210"/>
      <c r="AS331" s="32"/>
    </row>
    <row r="332" spans="1:45" ht="12.75" hidden="1" x14ac:dyDescent="0.2">
      <c r="A332" s="48">
        <v>326</v>
      </c>
      <c r="B332" s="12">
        <f>'Encargos e Benefícios'!B331</f>
        <v>0</v>
      </c>
      <c r="C332" s="10">
        <f>'Encargos e Benefícios'!C331</f>
        <v>0</v>
      </c>
      <c r="D332" s="38"/>
      <c r="E332" s="174"/>
      <c r="F332" s="173"/>
      <c r="G332" s="172"/>
      <c r="H332" s="133"/>
      <c r="I332" s="47"/>
      <c r="J332" s="47"/>
      <c r="K332" s="47"/>
      <c r="L332" s="47"/>
      <c r="M332" s="172"/>
      <c r="N332" s="133"/>
      <c r="O332" s="47"/>
      <c r="P332" s="47"/>
      <c r="Q332" s="47"/>
      <c r="R332" s="47"/>
      <c r="S332" s="172"/>
      <c r="T332" s="133"/>
      <c r="U332" s="47"/>
      <c r="V332" s="47"/>
      <c r="W332" s="47"/>
      <c r="X332" s="47"/>
      <c r="Y332" s="172"/>
      <c r="Z332" s="133"/>
      <c r="AA332" s="47"/>
      <c r="AB332" s="47"/>
      <c r="AC332" s="47"/>
      <c r="AD332" s="47"/>
      <c r="AE332" s="172"/>
      <c r="AF332" s="133"/>
      <c r="AG332" s="47"/>
      <c r="AH332" s="47"/>
      <c r="AI332" s="47"/>
      <c r="AJ332" s="136"/>
      <c r="AK332" s="11">
        <f>'Encargos e Benefícios'!D331</f>
        <v>0</v>
      </c>
      <c r="AL332" s="11">
        <f>IF('Encargos e Benefícios'!C331=0,0,'Encargos e Benefícios'!U331/'Encargos e Benefícios'!C331)</f>
        <v>0</v>
      </c>
      <c r="AM332" s="11">
        <f>IF('Encargos e Benefícios'!C331=0,0,'Encargos e Benefícios'!AC331/'Encargos e Benefícios'!C331)</f>
        <v>0</v>
      </c>
      <c r="AN332" s="119">
        <f>IF('Encargos e Benefícios'!C331=0,0,'Encargos e Benefícios'!AD331/'Encargos e Benefícios'!C331)</f>
        <v>0</v>
      </c>
      <c r="AO332" s="32"/>
      <c r="AP332" s="31"/>
      <c r="AQ332" s="31"/>
      <c r="AR332" s="210"/>
      <c r="AS332" s="32"/>
    </row>
    <row r="333" spans="1:45" ht="12.75" hidden="1" x14ac:dyDescent="0.2">
      <c r="A333" s="48">
        <v>327</v>
      </c>
      <c r="B333" s="12">
        <f>'Encargos e Benefícios'!B332</f>
        <v>0</v>
      </c>
      <c r="C333" s="10">
        <f>'Encargos e Benefícios'!C332</f>
        <v>0</v>
      </c>
      <c r="D333" s="38"/>
      <c r="E333" s="174"/>
      <c r="F333" s="173"/>
      <c r="G333" s="172"/>
      <c r="H333" s="133"/>
      <c r="I333" s="47"/>
      <c r="J333" s="47"/>
      <c r="K333" s="47"/>
      <c r="L333" s="47"/>
      <c r="M333" s="172"/>
      <c r="N333" s="133"/>
      <c r="O333" s="47"/>
      <c r="P333" s="47"/>
      <c r="Q333" s="47"/>
      <c r="R333" s="47"/>
      <c r="S333" s="172"/>
      <c r="T333" s="133"/>
      <c r="U333" s="47"/>
      <c r="V333" s="47"/>
      <c r="W333" s="47"/>
      <c r="X333" s="47"/>
      <c r="Y333" s="172"/>
      <c r="Z333" s="133"/>
      <c r="AA333" s="47"/>
      <c r="AB333" s="47"/>
      <c r="AC333" s="47"/>
      <c r="AD333" s="47"/>
      <c r="AE333" s="172"/>
      <c r="AF333" s="133"/>
      <c r="AG333" s="47"/>
      <c r="AH333" s="47"/>
      <c r="AI333" s="47"/>
      <c r="AJ333" s="136"/>
      <c r="AK333" s="11">
        <f>'Encargos e Benefícios'!D332</f>
        <v>0</v>
      </c>
      <c r="AL333" s="11">
        <f>IF('Encargos e Benefícios'!C332=0,0,'Encargos e Benefícios'!U332/'Encargos e Benefícios'!C332)</f>
        <v>0</v>
      </c>
      <c r="AM333" s="11">
        <f>IF('Encargos e Benefícios'!C332=0,0,'Encargos e Benefícios'!AC332/'Encargos e Benefícios'!C332)</f>
        <v>0</v>
      </c>
      <c r="AN333" s="119">
        <f>IF('Encargos e Benefícios'!C332=0,0,'Encargos e Benefícios'!AD332/'Encargos e Benefícios'!C332)</f>
        <v>0</v>
      </c>
      <c r="AO333" s="32"/>
      <c r="AP333" s="31"/>
      <c r="AQ333" s="31"/>
      <c r="AR333" s="210"/>
      <c r="AS333" s="32"/>
    </row>
    <row r="334" spans="1:45" ht="12.75" hidden="1" x14ac:dyDescent="0.2">
      <c r="A334" s="48">
        <v>328</v>
      </c>
      <c r="B334" s="12">
        <f>'Encargos e Benefícios'!B333</f>
        <v>0</v>
      </c>
      <c r="C334" s="10">
        <f>'Encargos e Benefícios'!C333</f>
        <v>0</v>
      </c>
      <c r="D334" s="38"/>
      <c r="E334" s="174"/>
      <c r="F334" s="173"/>
      <c r="G334" s="172"/>
      <c r="H334" s="133"/>
      <c r="I334" s="47"/>
      <c r="J334" s="47"/>
      <c r="K334" s="47"/>
      <c r="L334" s="47"/>
      <c r="M334" s="172"/>
      <c r="N334" s="133"/>
      <c r="O334" s="47"/>
      <c r="P334" s="47"/>
      <c r="Q334" s="47"/>
      <c r="R334" s="47"/>
      <c r="S334" s="172"/>
      <c r="T334" s="133"/>
      <c r="U334" s="47"/>
      <c r="V334" s="47"/>
      <c r="W334" s="47"/>
      <c r="X334" s="47"/>
      <c r="Y334" s="172"/>
      <c r="Z334" s="133"/>
      <c r="AA334" s="47"/>
      <c r="AB334" s="47"/>
      <c r="AC334" s="47"/>
      <c r="AD334" s="47"/>
      <c r="AE334" s="172"/>
      <c r="AF334" s="133"/>
      <c r="AG334" s="47"/>
      <c r="AH334" s="47"/>
      <c r="AI334" s="47"/>
      <c r="AJ334" s="136"/>
      <c r="AK334" s="11">
        <f>'Encargos e Benefícios'!D333</f>
        <v>0</v>
      </c>
      <c r="AL334" s="11">
        <f>IF('Encargos e Benefícios'!C333=0,0,'Encargos e Benefícios'!U333/'Encargos e Benefícios'!C333)</f>
        <v>0</v>
      </c>
      <c r="AM334" s="11">
        <f>IF('Encargos e Benefícios'!C333=0,0,'Encargos e Benefícios'!AC333/'Encargos e Benefícios'!C333)</f>
        <v>0</v>
      </c>
      <c r="AN334" s="119">
        <f>IF('Encargos e Benefícios'!C333=0,0,'Encargos e Benefícios'!AD333/'Encargos e Benefícios'!C333)</f>
        <v>0</v>
      </c>
      <c r="AO334" s="32"/>
      <c r="AP334" s="31"/>
      <c r="AQ334" s="31"/>
      <c r="AR334" s="210"/>
      <c r="AS334" s="32"/>
    </row>
    <row r="335" spans="1:45" ht="12.75" hidden="1" x14ac:dyDescent="0.2">
      <c r="A335" s="48">
        <v>329</v>
      </c>
      <c r="B335" s="12">
        <f>'Encargos e Benefícios'!B334</f>
        <v>0</v>
      </c>
      <c r="C335" s="10">
        <f>'Encargos e Benefícios'!C334</f>
        <v>0</v>
      </c>
      <c r="D335" s="38"/>
      <c r="E335" s="174"/>
      <c r="F335" s="173"/>
      <c r="G335" s="172"/>
      <c r="H335" s="133"/>
      <c r="I335" s="47"/>
      <c r="J335" s="47"/>
      <c r="K335" s="47"/>
      <c r="L335" s="47"/>
      <c r="M335" s="172"/>
      <c r="N335" s="133"/>
      <c r="O335" s="47"/>
      <c r="P335" s="47"/>
      <c r="Q335" s="47"/>
      <c r="R335" s="47"/>
      <c r="S335" s="172"/>
      <c r="T335" s="133"/>
      <c r="U335" s="47"/>
      <c r="V335" s="47"/>
      <c r="W335" s="47"/>
      <c r="X335" s="47"/>
      <c r="Y335" s="172"/>
      <c r="Z335" s="133"/>
      <c r="AA335" s="47"/>
      <c r="AB335" s="47"/>
      <c r="AC335" s="47"/>
      <c r="AD335" s="47"/>
      <c r="AE335" s="172"/>
      <c r="AF335" s="133"/>
      <c r="AG335" s="47"/>
      <c r="AH335" s="47"/>
      <c r="AI335" s="47"/>
      <c r="AJ335" s="136"/>
      <c r="AK335" s="11">
        <f>'Encargos e Benefícios'!D334</f>
        <v>0</v>
      </c>
      <c r="AL335" s="11">
        <f>IF('Encargos e Benefícios'!C334=0,0,'Encargos e Benefícios'!U334/'Encargos e Benefícios'!C334)</f>
        <v>0</v>
      </c>
      <c r="AM335" s="11">
        <f>IF('Encargos e Benefícios'!C334=0,0,'Encargos e Benefícios'!AC334/'Encargos e Benefícios'!C334)</f>
        <v>0</v>
      </c>
      <c r="AN335" s="119">
        <f>IF('Encargos e Benefícios'!C334=0,0,'Encargos e Benefícios'!AD334/'Encargos e Benefícios'!C334)</f>
        <v>0</v>
      </c>
      <c r="AO335" s="32"/>
      <c r="AP335" s="31"/>
      <c r="AQ335" s="31"/>
      <c r="AR335" s="210"/>
      <c r="AS335" s="32"/>
    </row>
    <row r="336" spans="1:45" ht="12.75" hidden="1" x14ac:dyDescent="0.2">
      <c r="A336" s="48">
        <v>330</v>
      </c>
      <c r="B336" s="12">
        <f>'Encargos e Benefícios'!B335</f>
        <v>0</v>
      </c>
      <c r="C336" s="10">
        <f>'Encargos e Benefícios'!C335</f>
        <v>0</v>
      </c>
      <c r="D336" s="38"/>
      <c r="E336" s="174"/>
      <c r="F336" s="173"/>
      <c r="G336" s="172"/>
      <c r="H336" s="133"/>
      <c r="I336" s="47"/>
      <c r="J336" s="47"/>
      <c r="K336" s="47"/>
      <c r="L336" s="47"/>
      <c r="M336" s="172"/>
      <c r="N336" s="133"/>
      <c r="O336" s="47"/>
      <c r="P336" s="47"/>
      <c r="Q336" s="47"/>
      <c r="R336" s="47"/>
      <c r="S336" s="172"/>
      <c r="T336" s="133"/>
      <c r="U336" s="47"/>
      <c r="V336" s="47"/>
      <c r="W336" s="47"/>
      <c r="X336" s="47"/>
      <c r="Y336" s="172"/>
      <c r="Z336" s="133"/>
      <c r="AA336" s="47"/>
      <c r="AB336" s="47"/>
      <c r="AC336" s="47"/>
      <c r="AD336" s="47"/>
      <c r="AE336" s="172"/>
      <c r="AF336" s="133"/>
      <c r="AG336" s="47"/>
      <c r="AH336" s="47"/>
      <c r="AI336" s="47"/>
      <c r="AJ336" s="136"/>
      <c r="AK336" s="11">
        <f>'Encargos e Benefícios'!D335</f>
        <v>0</v>
      </c>
      <c r="AL336" s="11">
        <f>IF('Encargos e Benefícios'!C335=0,0,'Encargos e Benefícios'!U335/'Encargos e Benefícios'!C335)</f>
        <v>0</v>
      </c>
      <c r="AM336" s="11">
        <f>IF('Encargos e Benefícios'!C335=0,0,'Encargos e Benefícios'!AC335/'Encargos e Benefícios'!C335)</f>
        <v>0</v>
      </c>
      <c r="AN336" s="119">
        <f>IF('Encargos e Benefícios'!C335=0,0,'Encargos e Benefícios'!AD335/'Encargos e Benefícios'!C335)</f>
        <v>0</v>
      </c>
      <c r="AO336" s="32"/>
      <c r="AP336" s="31"/>
      <c r="AQ336" s="31"/>
      <c r="AR336" s="210"/>
      <c r="AS336" s="32"/>
    </row>
    <row r="337" spans="1:45" ht="12.75" hidden="1" x14ac:dyDescent="0.2">
      <c r="A337" s="48">
        <v>331</v>
      </c>
      <c r="B337" s="12">
        <f>'Encargos e Benefícios'!B336</f>
        <v>0</v>
      </c>
      <c r="C337" s="10">
        <f>'Encargos e Benefícios'!C336</f>
        <v>0</v>
      </c>
      <c r="D337" s="38"/>
      <c r="E337" s="174"/>
      <c r="F337" s="173"/>
      <c r="G337" s="172"/>
      <c r="H337" s="133"/>
      <c r="I337" s="47"/>
      <c r="J337" s="47"/>
      <c r="K337" s="47"/>
      <c r="L337" s="47"/>
      <c r="M337" s="172"/>
      <c r="N337" s="133"/>
      <c r="O337" s="47"/>
      <c r="P337" s="47"/>
      <c r="Q337" s="47"/>
      <c r="R337" s="47"/>
      <c r="S337" s="172"/>
      <c r="T337" s="133"/>
      <c r="U337" s="47"/>
      <c r="V337" s="47"/>
      <c r="W337" s="47"/>
      <c r="X337" s="47"/>
      <c r="Y337" s="172"/>
      <c r="Z337" s="133"/>
      <c r="AA337" s="47"/>
      <c r="AB337" s="47"/>
      <c r="AC337" s="47"/>
      <c r="AD337" s="47"/>
      <c r="AE337" s="172"/>
      <c r="AF337" s="133"/>
      <c r="AG337" s="47"/>
      <c r="AH337" s="47"/>
      <c r="AI337" s="47"/>
      <c r="AJ337" s="136"/>
      <c r="AK337" s="11">
        <f>'Encargos e Benefícios'!D336</f>
        <v>0</v>
      </c>
      <c r="AL337" s="11">
        <f>IF('Encargos e Benefícios'!C336=0,0,'Encargos e Benefícios'!U336/'Encargos e Benefícios'!C336)</f>
        <v>0</v>
      </c>
      <c r="AM337" s="11">
        <f>IF('Encargos e Benefícios'!C336=0,0,'Encargos e Benefícios'!AC336/'Encargos e Benefícios'!C336)</f>
        <v>0</v>
      </c>
      <c r="AN337" s="119">
        <f>IF('Encargos e Benefícios'!C336=0,0,'Encargos e Benefícios'!AD336/'Encargos e Benefícios'!C336)</f>
        <v>0</v>
      </c>
      <c r="AO337" s="32"/>
      <c r="AP337" s="31"/>
      <c r="AQ337" s="31"/>
      <c r="AR337" s="210"/>
      <c r="AS337" s="32"/>
    </row>
    <row r="338" spans="1:45" ht="12.75" hidden="1" x14ac:dyDescent="0.2">
      <c r="A338" s="48">
        <v>332</v>
      </c>
      <c r="B338" s="12">
        <f>'Encargos e Benefícios'!B337</f>
        <v>0</v>
      </c>
      <c r="C338" s="10">
        <f>'Encargos e Benefícios'!C337</f>
        <v>0</v>
      </c>
      <c r="D338" s="38"/>
      <c r="E338" s="174"/>
      <c r="F338" s="173"/>
      <c r="G338" s="172"/>
      <c r="H338" s="133"/>
      <c r="I338" s="47"/>
      <c r="J338" s="47"/>
      <c r="K338" s="47"/>
      <c r="L338" s="47"/>
      <c r="M338" s="172"/>
      <c r="N338" s="133"/>
      <c r="O338" s="47"/>
      <c r="P338" s="47"/>
      <c r="Q338" s="47"/>
      <c r="R338" s="47"/>
      <c r="S338" s="172"/>
      <c r="T338" s="133"/>
      <c r="U338" s="47"/>
      <c r="V338" s="47"/>
      <c r="W338" s="47"/>
      <c r="X338" s="47"/>
      <c r="Y338" s="172"/>
      <c r="Z338" s="133"/>
      <c r="AA338" s="47"/>
      <c r="AB338" s="47"/>
      <c r="AC338" s="47"/>
      <c r="AD338" s="47"/>
      <c r="AE338" s="172"/>
      <c r="AF338" s="133"/>
      <c r="AG338" s="47"/>
      <c r="AH338" s="47"/>
      <c r="AI338" s="47"/>
      <c r="AJ338" s="136"/>
      <c r="AK338" s="11">
        <f>'Encargos e Benefícios'!D337</f>
        <v>0</v>
      </c>
      <c r="AL338" s="11">
        <f>IF('Encargos e Benefícios'!C337=0,0,'Encargos e Benefícios'!U337/'Encargos e Benefícios'!C337)</f>
        <v>0</v>
      </c>
      <c r="AM338" s="11">
        <f>IF('Encargos e Benefícios'!C337=0,0,'Encargos e Benefícios'!AC337/'Encargos e Benefícios'!C337)</f>
        <v>0</v>
      </c>
      <c r="AN338" s="119">
        <f>IF('Encargos e Benefícios'!C337=0,0,'Encargos e Benefícios'!AD337/'Encargos e Benefícios'!C337)</f>
        <v>0</v>
      </c>
      <c r="AO338" s="32"/>
      <c r="AP338" s="31"/>
      <c r="AQ338" s="31"/>
      <c r="AR338" s="210"/>
      <c r="AS338" s="32"/>
    </row>
    <row r="339" spans="1:45" ht="12.75" hidden="1" x14ac:dyDescent="0.2">
      <c r="A339" s="48">
        <v>333</v>
      </c>
      <c r="B339" s="12">
        <f>'Encargos e Benefícios'!B338</f>
        <v>0</v>
      </c>
      <c r="C339" s="10">
        <f>'Encargos e Benefícios'!C338</f>
        <v>0</v>
      </c>
      <c r="D339" s="38"/>
      <c r="E339" s="174"/>
      <c r="F339" s="173"/>
      <c r="G339" s="172"/>
      <c r="H339" s="133"/>
      <c r="I339" s="47"/>
      <c r="J339" s="47"/>
      <c r="K339" s="47"/>
      <c r="L339" s="47"/>
      <c r="M339" s="172"/>
      <c r="N339" s="133"/>
      <c r="O339" s="47"/>
      <c r="P339" s="47"/>
      <c r="Q339" s="47"/>
      <c r="R339" s="47"/>
      <c r="S339" s="172"/>
      <c r="T339" s="133"/>
      <c r="U339" s="47"/>
      <c r="V339" s="47"/>
      <c r="W339" s="47"/>
      <c r="X339" s="47"/>
      <c r="Y339" s="172"/>
      <c r="Z339" s="133"/>
      <c r="AA339" s="47"/>
      <c r="AB339" s="47"/>
      <c r="AC339" s="47"/>
      <c r="AD339" s="47"/>
      <c r="AE339" s="172"/>
      <c r="AF339" s="133"/>
      <c r="AG339" s="47"/>
      <c r="AH339" s="47"/>
      <c r="AI339" s="47"/>
      <c r="AJ339" s="136"/>
      <c r="AK339" s="11">
        <f>'Encargos e Benefícios'!D338</f>
        <v>0</v>
      </c>
      <c r="AL339" s="11">
        <f>IF('Encargos e Benefícios'!C338=0,0,'Encargos e Benefícios'!U338/'Encargos e Benefícios'!C338)</f>
        <v>0</v>
      </c>
      <c r="AM339" s="11">
        <f>IF('Encargos e Benefícios'!C338=0,0,'Encargos e Benefícios'!AC338/'Encargos e Benefícios'!C338)</f>
        <v>0</v>
      </c>
      <c r="AN339" s="119">
        <f>IF('Encargos e Benefícios'!C338=0,0,'Encargos e Benefícios'!AD338/'Encargos e Benefícios'!C338)</f>
        <v>0</v>
      </c>
      <c r="AO339" s="32"/>
      <c r="AP339" s="31"/>
      <c r="AQ339" s="31"/>
      <c r="AR339" s="210"/>
      <c r="AS339" s="32"/>
    </row>
    <row r="340" spans="1:45" ht="12.75" hidden="1" x14ac:dyDescent="0.2">
      <c r="A340" s="48">
        <v>334</v>
      </c>
      <c r="B340" s="12">
        <f>'Encargos e Benefícios'!B339</f>
        <v>0</v>
      </c>
      <c r="C340" s="10">
        <f>'Encargos e Benefícios'!C339</f>
        <v>0</v>
      </c>
      <c r="D340" s="38"/>
      <c r="E340" s="174"/>
      <c r="F340" s="173"/>
      <c r="G340" s="172"/>
      <c r="H340" s="133"/>
      <c r="I340" s="47"/>
      <c r="J340" s="47"/>
      <c r="K340" s="47"/>
      <c r="L340" s="47"/>
      <c r="M340" s="172"/>
      <c r="N340" s="133"/>
      <c r="O340" s="47"/>
      <c r="P340" s="47"/>
      <c r="Q340" s="47"/>
      <c r="R340" s="47"/>
      <c r="S340" s="172"/>
      <c r="T340" s="133"/>
      <c r="U340" s="47"/>
      <c r="V340" s="47"/>
      <c r="W340" s="47"/>
      <c r="X340" s="47"/>
      <c r="Y340" s="172"/>
      <c r="Z340" s="133"/>
      <c r="AA340" s="47"/>
      <c r="AB340" s="47"/>
      <c r="AC340" s="47"/>
      <c r="AD340" s="47"/>
      <c r="AE340" s="172"/>
      <c r="AF340" s="133"/>
      <c r="AG340" s="47"/>
      <c r="AH340" s="47"/>
      <c r="AI340" s="47"/>
      <c r="AJ340" s="136"/>
      <c r="AK340" s="11">
        <f>'Encargos e Benefícios'!D339</f>
        <v>0</v>
      </c>
      <c r="AL340" s="11">
        <f>IF('Encargos e Benefícios'!C339=0,0,'Encargos e Benefícios'!U339/'Encargos e Benefícios'!C339)</f>
        <v>0</v>
      </c>
      <c r="AM340" s="11">
        <f>IF('Encargos e Benefícios'!C339=0,0,'Encargos e Benefícios'!AC339/'Encargos e Benefícios'!C339)</f>
        <v>0</v>
      </c>
      <c r="AN340" s="119">
        <f>IF('Encargos e Benefícios'!C339=0,0,'Encargos e Benefícios'!AD339/'Encargos e Benefícios'!C339)</f>
        <v>0</v>
      </c>
      <c r="AO340" s="32"/>
      <c r="AP340" s="31"/>
      <c r="AQ340" s="31"/>
      <c r="AR340" s="210"/>
      <c r="AS340" s="32"/>
    </row>
    <row r="341" spans="1:45" ht="12.75" hidden="1" x14ac:dyDescent="0.2">
      <c r="A341" s="48">
        <v>335</v>
      </c>
      <c r="B341" s="12">
        <f>'Encargos e Benefícios'!B340</f>
        <v>0</v>
      </c>
      <c r="C341" s="10">
        <f>'Encargos e Benefícios'!C340</f>
        <v>0</v>
      </c>
      <c r="D341" s="38"/>
      <c r="E341" s="174"/>
      <c r="F341" s="173"/>
      <c r="G341" s="172"/>
      <c r="H341" s="133"/>
      <c r="I341" s="47"/>
      <c r="J341" s="47"/>
      <c r="K341" s="47"/>
      <c r="L341" s="47"/>
      <c r="M341" s="172"/>
      <c r="N341" s="133"/>
      <c r="O341" s="47"/>
      <c r="P341" s="47"/>
      <c r="Q341" s="47"/>
      <c r="R341" s="47"/>
      <c r="S341" s="172"/>
      <c r="T341" s="133"/>
      <c r="U341" s="47"/>
      <c r="V341" s="47"/>
      <c r="W341" s="47"/>
      <c r="X341" s="47"/>
      <c r="Y341" s="172"/>
      <c r="Z341" s="133"/>
      <c r="AA341" s="47"/>
      <c r="AB341" s="47"/>
      <c r="AC341" s="47"/>
      <c r="AD341" s="47"/>
      <c r="AE341" s="172"/>
      <c r="AF341" s="133"/>
      <c r="AG341" s="47"/>
      <c r="AH341" s="47"/>
      <c r="AI341" s="47"/>
      <c r="AJ341" s="136"/>
      <c r="AK341" s="11">
        <f>'Encargos e Benefícios'!D340</f>
        <v>0</v>
      </c>
      <c r="AL341" s="11">
        <f>IF('Encargos e Benefícios'!C340=0,0,'Encargos e Benefícios'!U340/'Encargos e Benefícios'!C340)</f>
        <v>0</v>
      </c>
      <c r="AM341" s="11">
        <f>IF('Encargos e Benefícios'!C340=0,0,'Encargos e Benefícios'!AC340/'Encargos e Benefícios'!C340)</f>
        <v>0</v>
      </c>
      <c r="AN341" s="119">
        <f>IF('Encargos e Benefícios'!C340=0,0,'Encargos e Benefícios'!AD340/'Encargos e Benefícios'!C340)</f>
        <v>0</v>
      </c>
      <c r="AO341" s="32"/>
      <c r="AP341" s="31"/>
      <c r="AQ341" s="31"/>
      <c r="AR341" s="210"/>
      <c r="AS341" s="32"/>
    </row>
    <row r="342" spans="1:45" ht="12.75" hidden="1" x14ac:dyDescent="0.2">
      <c r="A342" s="48">
        <v>336</v>
      </c>
      <c r="B342" s="12">
        <f>'Encargos e Benefícios'!B341</f>
        <v>0</v>
      </c>
      <c r="C342" s="10">
        <f>'Encargos e Benefícios'!C341</f>
        <v>0</v>
      </c>
      <c r="D342" s="38"/>
      <c r="E342" s="174"/>
      <c r="F342" s="173"/>
      <c r="G342" s="172"/>
      <c r="H342" s="133"/>
      <c r="I342" s="47"/>
      <c r="J342" s="47"/>
      <c r="K342" s="47"/>
      <c r="L342" s="47"/>
      <c r="M342" s="172"/>
      <c r="N342" s="133"/>
      <c r="O342" s="47"/>
      <c r="P342" s="47"/>
      <c r="Q342" s="47"/>
      <c r="R342" s="47"/>
      <c r="S342" s="172"/>
      <c r="T342" s="133"/>
      <c r="U342" s="47"/>
      <c r="V342" s="47"/>
      <c r="W342" s="47"/>
      <c r="X342" s="47"/>
      <c r="Y342" s="172"/>
      <c r="Z342" s="133"/>
      <c r="AA342" s="47"/>
      <c r="AB342" s="47"/>
      <c r="AC342" s="47"/>
      <c r="AD342" s="47"/>
      <c r="AE342" s="172"/>
      <c r="AF342" s="133"/>
      <c r="AG342" s="47"/>
      <c r="AH342" s="47"/>
      <c r="AI342" s="47"/>
      <c r="AJ342" s="136"/>
      <c r="AK342" s="11">
        <f>'Encargos e Benefícios'!D341</f>
        <v>0</v>
      </c>
      <c r="AL342" s="11">
        <f>IF('Encargos e Benefícios'!C341=0,0,'Encargos e Benefícios'!U341/'Encargos e Benefícios'!C341)</f>
        <v>0</v>
      </c>
      <c r="AM342" s="11">
        <f>IF('Encargos e Benefícios'!C341=0,0,'Encargos e Benefícios'!AC341/'Encargos e Benefícios'!C341)</f>
        <v>0</v>
      </c>
      <c r="AN342" s="119">
        <f>IF('Encargos e Benefícios'!C341=0,0,'Encargos e Benefícios'!AD341/'Encargos e Benefícios'!C341)</f>
        <v>0</v>
      </c>
      <c r="AO342" s="32"/>
      <c r="AP342" s="31"/>
      <c r="AQ342" s="31"/>
      <c r="AR342" s="210"/>
      <c r="AS342" s="32"/>
    </row>
    <row r="343" spans="1:45" ht="12.75" hidden="1" x14ac:dyDescent="0.2">
      <c r="A343" s="48">
        <v>337</v>
      </c>
      <c r="B343" s="12">
        <f>'Encargos e Benefícios'!B342</f>
        <v>0</v>
      </c>
      <c r="C343" s="10">
        <f>'Encargos e Benefícios'!C342</f>
        <v>0</v>
      </c>
      <c r="D343" s="38"/>
      <c r="E343" s="174"/>
      <c r="F343" s="173"/>
      <c r="G343" s="172"/>
      <c r="H343" s="133"/>
      <c r="I343" s="47"/>
      <c r="J343" s="47"/>
      <c r="K343" s="47"/>
      <c r="L343" s="47"/>
      <c r="M343" s="172"/>
      <c r="N343" s="133"/>
      <c r="O343" s="47"/>
      <c r="P343" s="47"/>
      <c r="Q343" s="47"/>
      <c r="R343" s="47"/>
      <c r="S343" s="172"/>
      <c r="T343" s="133"/>
      <c r="U343" s="47"/>
      <c r="V343" s="47"/>
      <c r="W343" s="47"/>
      <c r="X343" s="47"/>
      <c r="Y343" s="172"/>
      <c r="Z343" s="133"/>
      <c r="AA343" s="47"/>
      <c r="AB343" s="47"/>
      <c r="AC343" s="47"/>
      <c r="AD343" s="47"/>
      <c r="AE343" s="172"/>
      <c r="AF343" s="133"/>
      <c r="AG343" s="47"/>
      <c r="AH343" s="47"/>
      <c r="AI343" s="47"/>
      <c r="AJ343" s="136"/>
      <c r="AK343" s="11">
        <f>'Encargos e Benefícios'!D342</f>
        <v>0</v>
      </c>
      <c r="AL343" s="11">
        <f>IF('Encargos e Benefícios'!C342=0,0,'Encargos e Benefícios'!U342/'Encargos e Benefícios'!C342)</f>
        <v>0</v>
      </c>
      <c r="AM343" s="11">
        <f>IF('Encargos e Benefícios'!C342=0,0,'Encargos e Benefícios'!AC342/'Encargos e Benefícios'!C342)</f>
        <v>0</v>
      </c>
      <c r="AN343" s="119">
        <f>IF('Encargos e Benefícios'!C342=0,0,'Encargos e Benefícios'!AD342/'Encargos e Benefícios'!C342)</f>
        <v>0</v>
      </c>
      <c r="AO343" s="32"/>
      <c r="AP343" s="31"/>
      <c r="AQ343" s="31"/>
      <c r="AR343" s="210"/>
      <c r="AS343" s="32"/>
    </row>
    <row r="344" spans="1:45" ht="12.75" hidden="1" x14ac:dyDescent="0.2">
      <c r="A344" s="48">
        <v>338</v>
      </c>
      <c r="B344" s="12">
        <f>'Encargos e Benefícios'!B343</f>
        <v>0</v>
      </c>
      <c r="C344" s="10">
        <f>'Encargos e Benefícios'!C343</f>
        <v>0</v>
      </c>
      <c r="D344" s="38"/>
      <c r="E344" s="174"/>
      <c r="F344" s="173"/>
      <c r="G344" s="172"/>
      <c r="H344" s="133"/>
      <c r="I344" s="47"/>
      <c r="J344" s="47"/>
      <c r="K344" s="47"/>
      <c r="L344" s="47"/>
      <c r="M344" s="172"/>
      <c r="N344" s="133"/>
      <c r="O344" s="47"/>
      <c r="P344" s="47"/>
      <c r="Q344" s="47"/>
      <c r="R344" s="47"/>
      <c r="S344" s="172"/>
      <c r="T344" s="133"/>
      <c r="U344" s="47"/>
      <c r="V344" s="47"/>
      <c r="W344" s="47"/>
      <c r="X344" s="47"/>
      <c r="Y344" s="172"/>
      <c r="Z344" s="133"/>
      <c r="AA344" s="47"/>
      <c r="AB344" s="47"/>
      <c r="AC344" s="47"/>
      <c r="AD344" s="47"/>
      <c r="AE344" s="172"/>
      <c r="AF344" s="133"/>
      <c r="AG344" s="47"/>
      <c r="AH344" s="47"/>
      <c r="AI344" s="47"/>
      <c r="AJ344" s="136"/>
      <c r="AK344" s="11">
        <f>'Encargos e Benefícios'!D343</f>
        <v>0</v>
      </c>
      <c r="AL344" s="11">
        <f>IF('Encargos e Benefícios'!C343=0,0,'Encargos e Benefícios'!U343/'Encargos e Benefícios'!C343)</f>
        <v>0</v>
      </c>
      <c r="AM344" s="11">
        <f>IF('Encargos e Benefícios'!C343=0,0,'Encargos e Benefícios'!AC343/'Encargos e Benefícios'!C343)</f>
        <v>0</v>
      </c>
      <c r="AN344" s="119">
        <f>IF('Encargos e Benefícios'!C343=0,0,'Encargos e Benefícios'!AD343/'Encargos e Benefícios'!C343)</f>
        <v>0</v>
      </c>
      <c r="AO344" s="32"/>
      <c r="AP344" s="31"/>
      <c r="AQ344" s="31"/>
      <c r="AR344" s="210"/>
      <c r="AS344" s="32"/>
    </row>
    <row r="345" spans="1:45" ht="12.75" hidden="1" x14ac:dyDescent="0.2">
      <c r="A345" s="48">
        <v>339</v>
      </c>
      <c r="B345" s="12">
        <f>'Encargos e Benefícios'!B344</f>
        <v>0</v>
      </c>
      <c r="C345" s="10">
        <f>'Encargos e Benefícios'!C344</f>
        <v>0</v>
      </c>
      <c r="D345" s="38"/>
      <c r="E345" s="174"/>
      <c r="F345" s="173"/>
      <c r="G345" s="172"/>
      <c r="H345" s="133"/>
      <c r="I345" s="47"/>
      <c r="J345" s="47"/>
      <c r="K345" s="47"/>
      <c r="L345" s="47"/>
      <c r="M345" s="172"/>
      <c r="N345" s="133"/>
      <c r="O345" s="47"/>
      <c r="P345" s="47"/>
      <c r="Q345" s="47"/>
      <c r="R345" s="47"/>
      <c r="S345" s="172"/>
      <c r="T345" s="133"/>
      <c r="U345" s="47"/>
      <c r="V345" s="47"/>
      <c r="W345" s="47"/>
      <c r="X345" s="47"/>
      <c r="Y345" s="172"/>
      <c r="Z345" s="133"/>
      <c r="AA345" s="47"/>
      <c r="AB345" s="47"/>
      <c r="AC345" s="47"/>
      <c r="AD345" s="47"/>
      <c r="AE345" s="172"/>
      <c r="AF345" s="133"/>
      <c r="AG345" s="47"/>
      <c r="AH345" s="47"/>
      <c r="AI345" s="47"/>
      <c r="AJ345" s="136"/>
      <c r="AK345" s="11">
        <f>'Encargos e Benefícios'!D344</f>
        <v>0</v>
      </c>
      <c r="AL345" s="11">
        <f>IF('Encargos e Benefícios'!C344=0,0,'Encargos e Benefícios'!U344/'Encargos e Benefícios'!C344)</f>
        <v>0</v>
      </c>
      <c r="AM345" s="11">
        <f>IF('Encargos e Benefícios'!C344=0,0,'Encargos e Benefícios'!AC344/'Encargos e Benefícios'!C344)</f>
        <v>0</v>
      </c>
      <c r="AN345" s="119">
        <f>IF('Encargos e Benefícios'!C344=0,0,'Encargos e Benefícios'!AD344/'Encargos e Benefícios'!C344)</f>
        <v>0</v>
      </c>
      <c r="AO345" s="32"/>
      <c r="AP345" s="31"/>
      <c r="AQ345" s="31"/>
      <c r="AR345" s="210"/>
      <c r="AS345" s="32"/>
    </row>
    <row r="346" spans="1:45" ht="12.75" hidden="1" x14ac:dyDescent="0.2">
      <c r="A346" s="48">
        <v>340</v>
      </c>
      <c r="B346" s="12">
        <f>'Encargos e Benefícios'!B345</f>
        <v>0</v>
      </c>
      <c r="C346" s="10">
        <f>'Encargos e Benefícios'!C345</f>
        <v>0</v>
      </c>
      <c r="D346" s="38"/>
      <c r="E346" s="174"/>
      <c r="F346" s="173"/>
      <c r="G346" s="172"/>
      <c r="H346" s="133"/>
      <c r="I346" s="47"/>
      <c r="J346" s="47"/>
      <c r="K346" s="47"/>
      <c r="L346" s="47"/>
      <c r="M346" s="172"/>
      <c r="N346" s="133"/>
      <c r="O346" s="47"/>
      <c r="P346" s="47"/>
      <c r="Q346" s="47"/>
      <c r="R346" s="47"/>
      <c r="S346" s="172"/>
      <c r="T346" s="133"/>
      <c r="U346" s="47"/>
      <c r="V346" s="47"/>
      <c r="W346" s="47"/>
      <c r="X346" s="47"/>
      <c r="Y346" s="172"/>
      <c r="Z346" s="133"/>
      <c r="AA346" s="47"/>
      <c r="AB346" s="47"/>
      <c r="AC346" s="47"/>
      <c r="AD346" s="47"/>
      <c r="AE346" s="172"/>
      <c r="AF346" s="133"/>
      <c r="AG346" s="47"/>
      <c r="AH346" s="47"/>
      <c r="AI346" s="47"/>
      <c r="AJ346" s="136"/>
      <c r="AK346" s="11">
        <f>'Encargos e Benefícios'!D345</f>
        <v>0</v>
      </c>
      <c r="AL346" s="11">
        <f>IF('Encargos e Benefícios'!C345=0,0,'Encargos e Benefícios'!U345/'Encargos e Benefícios'!C345)</f>
        <v>0</v>
      </c>
      <c r="AM346" s="11">
        <f>IF('Encargos e Benefícios'!C345=0,0,'Encargos e Benefícios'!AC345/'Encargos e Benefícios'!C345)</f>
        <v>0</v>
      </c>
      <c r="AN346" s="119">
        <f>IF('Encargos e Benefícios'!C345=0,0,'Encargos e Benefícios'!AD345/'Encargos e Benefícios'!C345)</f>
        <v>0</v>
      </c>
      <c r="AO346" s="32"/>
      <c r="AP346" s="31"/>
      <c r="AQ346" s="31"/>
      <c r="AR346" s="210"/>
      <c r="AS346" s="32"/>
    </row>
    <row r="347" spans="1:45" ht="12.75" hidden="1" x14ac:dyDescent="0.2">
      <c r="A347" s="48">
        <v>341</v>
      </c>
      <c r="B347" s="12">
        <f>'Encargos e Benefícios'!B346</f>
        <v>0</v>
      </c>
      <c r="C347" s="10">
        <f>'Encargos e Benefícios'!C346</f>
        <v>0</v>
      </c>
      <c r="D347" s="38"/>
      <c r="E347" s="174"/>
      <c r="F347" s="173"/>
      <c r="G347" s="172"/>
      <c r="H347" s="133"/>
      <c r="I347" s="47"/>
      <c r="J347" s="47"/>
      <c r="K347" s="47"/>
      <c r="L347" s="47"/>
      <c r="M347" s="172"/>
      <c r="N347" s="133"/>
      <c r="O347" s="47"/>
      <c r="P347" s="47"/>
      <c r="Q347" s="47"/>
      <c r="R347" s="47"/>
      <c r="S347" s="172"/>
      <c r="T347" s="133"/>
      <c r="U347" s="47"/>
      <c r="V347" s="47"/>
      <c r="W347" s="47"/>
      <c r="X347" s="47"/>
      <c r="Y347" s="172"/>
      <c r="Z347" s="133"/>
      <c r="AA347" s="47"/>
      <c r="AB347" s="47"/>
      <c r="AC347" s="47"/>
      <c r="AD347" s="47"/>
      <c r="AE347" s="172"/>
      <c r="AF347" s="133"/>
      <c r="AG347" s="47"/>
      <c r="AH347" s="47"/>
      <c r="AI347" s="47"/>
      <c r="AJ347" s="136"/>
      <c r="AK347" s="11">
        <f>'Encargos e Benefícios'!D346</f>
        <v>0</v>
      </c>
      <c r="AL347" s="11">
        <f>IF('Encargos e Benefícios'!C346=0,0,'Encargos e Benefícios'!U346/'Encargos e Benefícios'!C346)</f>
        <v>0</v>
      </c>
      <c r="AM347" s="11">
        <f>IF('Encargos e Benefícios'!C346=0,0,'Encargos e Benefícios'!AC346/'Encargos e Benefícios'!C346)</f>
        <v>0</v>
      </c>
      <c r="AN347" s="119">
        <f>IF('Encargos e Benefícios'!C346=0,0,'Encargos e Benefícios'!AD346/'Encargos e Benefícios'!C346)</f>
        <v>0</v>
      </c>
      <c r="AO347" s="32"/>
      <c r="AP347" s="31"/>
      <c r="AQ347" s="31"/>
      <c r="AR347" s="210"/>
      <c r="AS347" s="32"/>
    </row>
    <row r="348" spans="1:45" ht="12.75" hidden="1" x14ac:dyDescent="0.2">
      <c r="A348" s="48">
        <v>342</v>
      </c>
      <c r="B348" s="12">
        <f>'Encargos e Benefícios'!B347</f>
        <v>0</v>
      </c>
      <c r="C348" s="10">
        <f>'Encargos e Benefícios'!C347</f>
        <v>0</v>
      </c>
      <c r="D348" s="38"/>
      <c r="E348" s="174"/>
      <c r="F348" s="173"/>
      <c r="G348" s="172"/>
      <c r="H348" s="133"/>
      <c r="I348" s="47"/>
      <c r="J348" s="47"/>
      <c r="K348" s="47"/>
      <c r="L348" s="47"/>
      <c r="M348" s="172"/>
      <c r="N348" s="133"/>
      <c r="O348" s="47"/>
      <c r="P348" s="47"/>
      <c r="Q348" s="47"/>
      <c r="R348" s="47"/>
      <c r="S348" s="172"/>
      <c r="T348" s="133"/>
      <c r="U348" s="47"/>
      <c r="V348" s="47"/>
      <c r="W348" s="47"/>
      <c r="X348" s="47"/>
      <c r="Y348" s="172"/>
      <c r="Z348" s="133"/>
      <c r="AA348" s="47"/>
      <c r="AB348" s="47"/>
      <c r="AC348" s="47"/>
      <c r="AD348" s="47"/>
      <c r="AE348" s="172"/>
      <c r="AF348" s="133"/>
      <c r="AG348" s="47"/>
      <c r="AH348" s="47"/>
      <c r="AI348" s="47"/>
      <c r="AJ348" s="136"/>
      <c r="AK348" s="11">
        <f>'Encargos e Benefícios'!D347</f>
        <v>0</v>
      </c>
      <c r="AL348" s="11">
        <f>IF('Encargos e Benefícios'!C347=0,0,'Encargos e Benefícios'!U347/'Encargos e Benefícios'!C347)</f>
        <v>0</v>
      </c>
      <c r="AM348" s="11">
        <f>IF('Encargos e Benefícios'!C347=0,0,'Encargos e Benefícios'!AC347/'Encargos e Benefícios'!C347)</f>
        <v>0</v>
      </c>
      <c r="AN348" s="119">
        <f>IF('Encargos e Benefícios'!C347=0,0,'Encargos e Benefícios'!AD347/'Encargos e Benefícios'!C347)</f>
        <v>0</v>
      </c>
      <c r="AO348" s="32"/>
      <c r="AP348" s="31"/>
      <c r="AQ348" s="31"/>
      <c r="AR348" s="210"/>
      <c r="AS348" s="32"/>
    </row>
    <row r="349" spans="1:45" ht="12.75" hidden="1" x14ac:dyDescent="0.2">
      <c r="A349" s="48">
        <v>343</v>
      </c>
      <c r="B349" s="12">
        <f>'Encargos e Benefícios'!B348</f>
        <v>0</v>
      </c>
      <c r="C349" s="10">
        <f>'Encargos e Benefícios'!C348</f>
        <v>0</v>
      </c>
      <c r="D349" s="38"/>
      <c r="E349" s="174"/>
      <c r="F349" s="173"/>
      <c r="G349" s="172"/>
      <c r="H349" s="133"/>
      <c r="I349" s="47"/>
      <c r="J349" s="47"/>
      <c r="K349" s="47"/>
      <c r="L349" s="47"/>
      <c r="M349" s="172"/>
      <c r="N349" s="133"/>
      <c r="O349" s="47"/>
      <c r="P349" s="47"/>
      <c r="Q349" s="47"/>
      <c r="R349" s="47"/>
      <c r="S349" s="172"/>
      <c r="T349" s="133"/>
      <c r="U349" s="47"/>
      <c r="V349" s="47"/>
      <c r="W349" s="47"/>
      <c r="X349" s="47"/>
      <c r="Y349" s="172"/>
      <c r="Z349" s="133"/>
      <c r="AA349" s="47"/>
      <c r="AB349" s="47"/>
      <c r="AC349" s="47"/>
      <c r="AD349" s="47"/>
      <c r="AE349" s="172"/>
      <c r="AF349" s="133"/>
      <c r="AG349" s="47"/>
      <c r="AH349" s="47"/>
      <c r="AI349" s="47"/>
      <c r="AJ349" s="136"/>
      <c r="AK349" s="11">
        <f>'Encargos e Benefícios'!D348</f>
        <v>0</v>
      </c>
      <c r="AL349" s="11">
        <f>IF('Encargos e Benefícios'!C348=0,0,'Encargos e Benefícios'!U348/'Encargos e Benefícios'!C348)</f>
        <v>0</v>
      </c>
      <c r="AM349" s="11">
        <f>IF('Encargos e Benefícios'!C348=0,0,'Encargos e Benefícios'!AC348/'Encargos e Benefícios'!C348)</f>
        <v>0</v>
      </c>
      <c r="AN349" s="119">
        <f>IF('Encargos e Benefícios'!C348=0,0,'Encargos e Benefícios'!AD348/'Encargos e Benefícios'!C348)</f>
        <v>0</v>
      </c>
      <c r="AO349" s="32"/>
      <c r="AP349" s="31"/>
      <c r="AQ349" s="31"/>
      <c r="AR349" s="210"/>
      <c r="AS349" s="32"/>
    </row>
    <row r="350" spans="1:45" ht="12.75" hidden="1" x14ac:dyDescent="0.2">
      <c r="A350" s="48">
        <v>344</v>
      </c>
      <c r="B350" s="12">
        <f>'Encargos e Benefícios'!B349</f>
        <v>0</v>
      </c>
      <c r="C350" s="10">
        <f>'Encargos e Benefícios'!C349</f>
        <v>0</v>
      </c>
      <c r="D350" s="38"/>
      <c r="E350" s="174"/>
      <c r="F350" s="173"/>
      <c r="G350" s="172"/>
      <c r="H350" s="133"/>
      <c r="I350" s="47"/>
      <c r="J350" s="47"/>
      <c r="K350" s="47"/>
      <c r="L350" s="47"/>
      <c r="M350" s="172"/>
      <c r="N350" s="133"/>
      <c r="O350" s="47"/>
      <c r="P350" s="47"/>
      <c r="Q350" s="47"/>
      <c r="R350" s="47"/>
      <c r="S350" s="172"/>
      <c r="T350" s="133"/>
      <c r="U350" s="47"/>
      <c r="V350" s="47"/>
      <c r="W350" s="47"/>
      <c r="X350" s="47"/>
      <c r="Y350" s="172"/>
      <c r="Z350" s="133"/>
      <c r="AA350" s="47"/>
      <c r="AB350" s="47"/>
      <c r="AC350" s="47"/>
      <c r="AD350" s="47"/>
      <c r="AE350" s="172"/>
      <c r="AF350" s="133"/>
      <c r="AG350" s="47"/>
      <c r="AH350" s="47"/>
      <c r="AI350" s="47"/>
      <c r="AJ350" s="136"/>
      <c r="AK350" s="11">
        <f>'Encargos e Benefícios'!D349</f>
        <v>0</v>
      </c>
      <c r="AL350" s="11">
        <f>IF('Encargos e Benefícios'!C349=0,0,'Encargos e Benefícios'!U349/'Encargos e Benefícios'!C349)</f>
        <v>0</v>
      </c>
      <c r="AM350" s="11">
        <f>IF('Encargos e Benefícios'!C349=0,0,'Encargos e Benefícios'!AC349/'Encargos e Benefícios'!C349)</f>
        <v>0</v>
      </c>
      <c r="AN350" s="119">
        <f>IF('Encargos e Benefícios'!C349=0,0,'Encargos e Benefícios'!AD349/'Encargos e Benefícios'!C349)</f>
        <v>0</v>
      </c>
      <c r="AO350" s="32"/>
      <c r="AP350" s="31"/>
      <c r="AQ350" s="31"/>
      <c r="AR350" s="210"/>
      <c r="AS350" s="32"/>
    </row>
    <row r="351" spans="1:45" ht="12.75" hidden="1" x14ac:dyDescent="0.2">
      <c r="A351" s="48">
        <v>345</v>
      </c>
      <c r="B351" s="12">
        <f>'Encargos e Benefícios'!B350</f>
        <v>0</v>
      </c>
      <c r="C351" s="10">
        <f>'Encargos e Benefícios'!C350</f>
        <v>0</v>
      </c>
      <c r="D351" s="38"/>
      <c r="E351" s="174"/>
      <c r="F351" s="173"/>
      <c r="G351" s="172"/>
      <c r="H351" s="133"/>
      <c r="I351" s="47"/>
      <c r="J351" s="47"/>
      <c r="K351" s="47"/>
      <c r="L351" s="47"/>
      <c r="M351" s="172"/>
      <c r="N351" s="133"/>
      <c r="O351" s="47"/>
      <c r="P351" s="47"/>
      <c r="Q351" s="47"/>
      <c r="R351" s="47"/>
      <c r="S351" s="172"/>
      <c r="T351" s="133"/>
      <c r="U351" s="47"/>
      <c r="V351" s="47"/>
      <c r="W351" s="47"/>
      <c r="X351" s="47"/>
      <c r="Y351" s="172"/>
      <c r="Z351" s="133"/>
      <c r="AA351" s="47"/>
      <c r="AB351" s="47"/>
      <c r="AC351" s="47"/>
      <c r="AD351" s="47"/>
      <c r="AE351" s="172"/>
      <c r="AF351" s="133"/>
      <c r="AG351" s="47"/>
      <c r="AH351" s="47"/>
      <c r="AI351" s="47"/>
      <c r="AJ351" s="136"/>
      <c r="AK351" s="11">
        <f>'Encargos e Benefícios'!D350</f>
        <v>0</v>
      </c>
      <c r="AL351" s="11">
        <f>IF('Encargos e Benefícios'!C350=0,0,'Encargos e Benefícios'!U350/'Encargos e Benefícios'!C350)</f>
        <v>0</v>
      </c>
      <c r="AM351" s="11">
        <f>IF('Encargos e Benefícios'!C350=0,0,'Encargos e Benefícios'!AC350/'Encargos e Benefícios'!C350)</f>
        <v>0</v>
      </c>
      <c r="AN351" s="119">
        <f>IF('Encargos e Benefícios'!C350=0,0,'Encargos e Benefícios'!AD350/'Encargos e Benefícios'!C350)</f>
        <v>0</v>
      </c>
      <c r="AO351" s="32"/>
      <c r="AP351" s="31"/>
      <c r="AQ351" s="31"/>
      <c r="AR351" s="210"/>
      <c r="AS351" s="32"/>
    </row>
    <row r="352" spans="1:45" ht="12.75" hidden="1" x14ac:dyDescent="0.2">
      <c r="A352" s="48">
        <v>346</v>
      </c>
      <c r="B352" s="12">
        <f>'Encargos e Benefícios'!B351</f>
        <v>0</v>
      </c>
      <c r="C352" s="10">
        <f>'Encargos e Benefícios'!C351</f>
        <v>0</v>
      </c>
      <c r="D352" s="38"/>
      <c r="E352" s="174"/>
      <c r="F352" s="173"/>
      <c r="G352" s="172"/>
      <c r="H352" s="133"/>
      <c r="I352" s="47"/>
      <c r="J352" s="47"/>
      <c r="K352" s="47"/>
      <c r="L352" s="47"/>
      <c r="M352" s="172"/>
      <c r="N352" s="133"/>
      <c r="O352" s="47"/>
      <c r="P352" s="47"/>
      <c r="Q352" s="47"/>
      <c r="R352" s="47"/>
      <c r="S352" s="172"/>
      <c r="T352" s="133"/>
      <c r="U352" s="47"/>
      <c r="V352" s="47"/>
      <c r="W352" s="47"/>
      <c r="X352" s="47"/>
      <c r="Y352" s="172"/>
      <c r="Z352" s="133"/>
      <c r="AA352" s="47"/>
      <c r="AB352" s="47"/>
      <c r="AC352" s="47"/>
      <c r="AD352" s="47"/>
      <c r="AE352" s="172"/>
      <c r="AF352" s="133"/>
      <c r="AG352" s="47"/>
      <c r="AH352" s="47"/>
      <c r="AI352" s="47"/>
      <c r="AJ352" s="136"/>
      <c r="AK352" s="11">
        <f>'Encargos e Benefícios'!D351</f>
        <v>0</v>
      </c>
      <c r="AL352" s="11">
        <f>IF('Encargos e Benefícios'!C351=0,0,'Encargos e Benefícios'!U351/'Encargos e Benefícios'!C351)</f>
        <v>0</v>
      </c>
      <c r="AM352" s="11">
        <f>IF('Encargos e Benefícios'!C351=0,0,'Encargos e Benefícios'!AC351/'Encargos e Benefícios'!C351)</f>
        <v>0</v>
      </c>
      <c r="AN352" s="119">
        <f>IF('Encargos e Benefícios'!C351=0,0,'Encargos e Benefícios'!AD351/'Encargos e Benefícios'!C351)</f>
        <v>0</v>
      </c>
      <c r="AO352" s="32"/>
      <c r="AP352" s="31"/>
      <c r="AQ352" s="31"/>
      <c r="AR352" s="210"/>
      <c r="AS352" s="32"/>
    </row>
    <row r="353" spans="1:45" ht="12.75" hidden="1" x14ac:dyDescent="0.2">
      <c r="A353" s="48">
        <v>347</v>
      </c>
      <c r="B353" s="12">
        <f>'Encargos e Benefícios'!B352</f>
        <v>0</v>
      </c>
      <c r="C353" s="10">
        <f>'Encargos e Benefícios'!C352</f>
        <v>0</v>
      </c>
      <c r="D353" s="38"/>
      <c r="E353" s="174"/>
      <c r="F353" s="173"/>
      <c r="G353" s="172"/>
      <c r="H353" s="133"/>
      <c r="I353" s="47"/>
      <c r="J353" s="47"/>
      <c r="K353" s="47"/>
      <c r="L353" s="47"/>
      <c r="M353" s="172"/>
      <c r="N353" s="133"/>
      <c r="O353" s="47"/>
      <c r="P353" s="47"/>
      <c r="Q353" s="47"/>
      <c r="R353" s="47"/>
      <c r="S353" s="172"/>
      <c r="T353" s="133"/>
      <c r="U353" s="47"/>
      <c r="V353" s="47"/>
      <c r="W353" s="47"/>
      <c r="X353" s="47"/>
      <c r="Y353" s="172"/>
      <c r="Z353" s="133"/>
      <c r="AA353" s="47"/>
      <c r="AB353" s="47"/>
      <c r="AC353" s="47"/>
      <c r="AD353" s="47"/>
      <c r="AE353" s="172"/>
      <c r="AF353" s="133"/>
      <c r="AG353" s="47"/>
      <c r="AH353" s="47"/>
      <c r="AI353" s="47"/>
      <c r="AJ353" s="136"/>
      <c r="AK353" s="11">
        <f>'Encargos e Benefícios'!D352</f>
        <v>0</v>
      </c>
      <c r="AL353" s="11">
        <f>IF('Encargos e Benefícios'!C352=0,0,'Encargos e Benefícios'!U352/'Encargos e Benefícios'!C352)</f>
        <v>0</v>
      </c>
      <c r="AM353" s="11">
        <f>IF('Encargos e Benefícios'!C352=0,0,'Encargos e Benefícios'!AC352/'Encargos e Benefícios'!C352)</f>
        <v>0</v>
      </c>
      <c r="AN353" s="119">
        <f>IF('Encargos e Benefícios'!C352=0,0,'Encargos e Benefícios'!AD352/'Encargos e Benefícios'!C352)</f>
        <v>0</v>
      </c>
      <c r="AO353" s="32"/>
      <c r="AP353" s="31"/>
      <c r="AQ353" s="31"/>
      <c r="AR353" s="210"/>
      <c r="AS353" s="32"/>
    </row>
    <row r="354" spans="1:45" ht="12.75" hidden="1" x14ac:dyDescent="0.2">
      <c r="A354" s="48">
        <v>348</v>
      </c>
      <c r="B354" s="12">
        <f>'Encargos e Benefícios'!B353</f>
        <v>0</v>
      </c>
      <c r="C354" s="10">
        <f>'Encargos e Benefícios'!C353</f>
        <v>0</v>
      </c>
      <c r="D354" s="38"/>
      <c r="E354" s="174"/>
      <c r="F354" s="173"/>
      <c r="G354" s="172"/>
      <c r="H354" s="133"/>
      <c r="I354" s="47"/>
      <c r="J354" s="47"/>
      <c r="K354" s="47"/>
      <c r="L354" s="47"/>
      <c r="M354" s="172"/>
      <c r="N354" s="133"/>
      <c r="O354" s="47"/>
      <c r="P354" s="47"/>
      <c r="Q354" s="47"/>
      <c r="R354" s="47"/>
      <c r="S354" s="172"/>
      <c r="T354" s="133"/>
      <c r="U354" s="47"/>
      <c r="V354" s="47"/>
      <c r="W354" s="47"/>
      <c r="X354" s="47"/>
      <c r="Y354" s="172"/>
      <c r="Z354" s="133"/>
      <c r="AA354" s="47"/>
      <c r="AB354" s="47"/>
      <c r="AC354" s="47"/>
      <c r="AD354" s="47"/>
      <c r="AE354" s="172"/>
      <c r="AF354" s="133"/>
      <c r="AG354" s="47"/>
      <c r="AH354" s="47"/>
      <c r="AI354" s="47"/>
      <c r="AJ354" s="136"/>
      <c r="AK354" s="11">
        <f>'Encargos e Benefícios'!D353</f>
        <v>0</v>
      </c>
      <c r="AL354" s="11">
        <f>IF('Encargos e Benefícios'!C353=0,0,'Encargos e Benefícios'!U353/'Encargos e Benefícios'!C353)</f>
        <v>0</v>
      </c>
      <c r="AM354" s="11">
        <f>IF('Encargos e Benefícios'!C353=0,0,'Encargos e Benefícios'!AC353/'Encargos e Benefícios'!C353)</f>
        <v>0</v>
      </c>
      <c r="AN354" s="119">
        <f>IF('Encargos e Benefícios'!C353=0,0,'Encargos e Benefícios'!AD353/'Encargos e Benefícios'!C353)</f>
        <v>0</v>
      </c>
      <c r="AO354" s="32"/>
      <c r="AP354" s="31"/>
      <c r="AQ354" s="31"/>
      <c r="AR354" s="210"/>
      <c r="AS354" s="32"/>
    </row>
    <row r="355" spans="1:45" ht="12.75" hidden="1" x14ac:dyDescent="0.2">
      <c r="A355" s="48">
        <v>349</v>
      </c>
      <c r="B355" s="12">
        <f>'Encargos e Benefícios'!B354</f>
        <v>0</v>
      </c>
      <c r="C355" s="10">
        <f>'Encargos e Benefícios'!C354</f>
        <v>0</v>
      </c>
      <c r="D355" s="38"/>
      <c r="E355" s="174"/>
      <c r="F355" s="173"/>
      <c r="G355" s="172"/>
      <c r="H355" s="133"/>
      <c r="I355" s="47"/>
      <c r="J355" s="47"/>
      <c r="K355" s="47"/>
      <c r="L355" s="47"/>
      <c r="M355" s="172"/>
      <c r="N355" s="133"/>
      <c r="O355" s="47"/>
      <c r="P355" s="47"/>
      <c r="Q355" s="47"/>
      <c r="R355" s="47"/>
      <c r="S355" s="172"/>
      <c r="T355" s="133"/>
      <c r="U355" s="47"/>
      <c r="V355" s="47"/>
      <c r="W355" s="47"/>
      <c r="X355" s="47"/>
      <c r="Y355" s="172"/>
      <c r="Z355" s="133"/>
      <c r="AA355" s="47"/>
      <c r="AB355" s="47"/>
      <c r="AC355" s="47"/>
      <c r="AD355" s="47"/>
      <c r="AE355" s="172"/>
      <c r="AF355" s="133"/>
      <c r="AG355" s="47"/>
      <c r="AH355" s="47"/>
      <c r="AI355" s="47"/>
      <c r="AJ355" s="136"/>
      <c r="AK355" s="11">
        <f>'Encargos e Benefícios'!D354</f>
        <v>0</v>
      </c>
      <c r="AL355" s="11">
        <f>IF('Encargos e Benefícios'!C354=0,0,'Encargos e Benefícios'!U354/'Encargos e Benefícios'!C354)</f>
        <v>0</v>
      </c>
      <c r="AM355" s="11">
        <f>IF('Encargos e Benefícios'!C354=0,0,'Encargos e Benefícios'!AC354/'Encargos e Benefícios'!C354)</f>
        <v>0</v>
      </c>
      <c r="AN355" s="119">
        <f>IF('Encargos e Benefícios'!C354=0,0,'Encargos e Benefícios'!AD354/'Encargos e Benefícios'!C354)</f>
        <v>0</v>
      </c>
      <c r="AO355" s="32"/>
      <c r="AP355" s="31"/>
      <c r="AQ355" s="31"/>
      <c r="AR355" s="210"/>
      <c r="AS355" s="32"/>
    </row>
    <row r="356" spans="1:45" ht="12.75" hidden="1" x14ac:dyDescent="0.2">
      <c r="A356" s="48">
        <v>350</v>
      </c>
      <c r="B356" s="12">
        <f>'Encargos e Benefícios'!B355</f>
        <v>0</v>
      </c>
      <c r="C356" s="10">
        <f>'Encargos e Benefícios'!C355</f>
        <v>0</v>
      </c>
      <c r="D356" s="38"/>
      <c r="E356" s="174"/>
      <c r="F356" s="173"/>
      <c r="G356" s="172"/>
      <c r="H356" s="133"/>
      <c r="I356" s="47"/>
      <c r="J356" s="47"/>
      <c r="K356" s="47"/>
      <c r="L356" s="47"/>
      <c r="M356" s="172"/>
      <c r="N356" s="133"/>
      <c r="O356" s="47"/>
      <c r="P356" s="47"/>
      <c r="Q356" s="47"/>
      <c r="R356" s="47"/>
      <c r="S356" s="172"/>
      <c r="T356" s="133"/>
      <c r="U356" s="47"/>
      <c r="V356" s="47"/>
      <c r="W356" s="47"/>
      <c r="X356" s="47"/>
      <c r="Y356" s="172"/>
      <c r="Z356" s="133"/>
      <c r="AA356" s="47"/>
      <c r="AB356" s="47"/>
      <c r="AC356" s="47"/>
      <c r="AD356" s="47"/>
      <c r="AE356" s="172"/>
      <c r="AF356" s="133"/>
      <c r="AG356" s="47"/>
      <c r="AH356" s="47"/>
      <c r="AI356" s="47"/>
      <c r="AJ356" s="136"/>
      <c r="AK356" s="11">
        <f>'Encargos e Benefícios'!D355</f>
        <v>0</v>
      </c>
      <c r="AL356" s="11">
        <f>IF('Encargos e Benefícios'!C355=0,0,'Encargos e Benefícios'!U355/'Encargos e Benefícios'!C355)</f>
        <v>0</v>
      </c>
      <c r="AM356" s="11">
        <f>IF('Encargos e Benefícios'!C355=0,0,'Encargos e Benefícios'!AC355/'Encargos e Benefícios'!C355)</f>
        <v>0</v>
      </c>
      <c r="AN356" s="119">
        <f>IF('Encargos e Benefícios'!C355=0,0,'Encargos e Benefícios'!AD355/'Encargos e Benefícios'!C355)</f>
        <v>0</v>
      </c>
      <c r="AO356" s="32"/>
      <c r="AP356" s="31"/>
      <c r="AQ356" s="31"/>
      <c r="AR356" s="210"/>
      <c r="AS356" s="32"/>
    </row>
    <row r="357" spans="1:45" ht="12.75" hidden="1" x14ac:dyDescent="0.2">
      <c r="A357" s="48">
        <v>351</v>
      </c>
      <c r="B357" s="12">
        <f>'Encargos e Benefícios'!B356</f>
        <v>0</v>
      </c>
      <c r="C357" s="10">
        <f>'Encargos e Benefícios'!C356</f>
        <v>0</v>
      </c>
      <c r="D357" s="38"/>
      <c r="E357" s="174"/>
      <c r="F357" s="173"/>
      <c r="G357" s="172"/>
      <c r="H357" s="133"/>
      <c r="I357" s="47"/>
      <c r="J357" s="47"/>
      <c r="K357" s="47"/>
      <c r="L357" s="47"/>
      <c r="M357" s="172"/>
      <c r="N357" s="133"/>
      <c r="O357" s="47"/>
      <c r="P357" s="47"/>
      <c r="Q357" s="47"/>
      <c r="R357" s="47"/>
      <c r="S357" s="172"/>
      <c r="T357" s="133"/>
      <c r="U357" s="47"/>
      <c r="V357" s="47"/>
      <c r="W357" s="47"/>
      <c r="X357" s="47"/>
      <c r="Y357" s="172"/>
      <c r="Z357" s="133"/>
      <c r="AA357" s="47"/>
      <c r="AB357" s="47"/>
      <c r="AC357" s="47"/>
      <c r="AD357" s="47"/>
      <c r="AE357" s="172"/>
      <c r="AF357" s="133"/>
      <c r="AG357" s="47"/>
      <c r="AH357" s="47"/>
      <c r="AI357" s="47"/>
      <c r="AJ357" s="136"/>
      <c r="AK357" s="11">
        <f>'Encargos e Benefícios'!D356</f>
        <v>0</v>
      </c>
      <c r="AL357" s="11">
        <f>IF('Encargos e Benefícios'!C356=0,0,'Encargos e Benefícios'!U356/'Encargos e Benefícios'!C356)</f>
        <v>0</v>
      </c>
      <c r="AM357" s="11">
        <f>IF('Encargos e Benefícios'!C356=0,0,'Encargos e Benefícios'!AC356/'Encargos e Benefícios'!C356)</f>
        <v>0</v>
      </c>
      <c r="AN357" s="119">
        <f>IF('Encargos e Benefícios'!C356=0,0,'Encargos e Benefícios'!AD356/'Encargos e Benefícios'!C356)</f>
        <v>0</v>
      </c>
      <c r="AO357" s="32"/>
      <c r="AP357" s="31"/>
      <c r="AQ357" s="31"/>
      <c r="AR357" s="210"/>
      <c r="AS357" s="32"/>
    </row>
    <row r="358" spans="1:45" ht="12.75" hidden="1" x14ac:dyDescent="0.2">
      <c r="A358" s="48">
        <v>352</v>
      </c>
      <c r="B358" s="12">
        <f>'Encargos e Benefícios'!B357</f>
        <v>0</v>
      </c>
      <c r="C358" s="10">
        <f>'Encargos e Benefícios'!C357</f>
        <v>0</v>
      </c>
      <c r="D358" s="38"/>
      <c r="E358" s="174"/>
      <c r="F358" s="173"/>
      <c r="G358" s="172"/>
      <c r="H358" s="133"/>
      <c r="I358" s="47"/>
      <c r="J358" s="47"/>
      <c r="K358" s="47"/>
      <c r="L358" s="47"/>
      <c r="M358" s="172"/>
      <c r="N358" s="133"/>
      <c r="O358" s="47"/>
      <c r="P358" s="47"/>
      <c r="Q358" s="47"/>
      <c r="R358" s="47"/>
      <c r="S358" s="172"/>
      <c r="T358" s="133"/>
      <c r="U358" s="47"/>
      <c r="V358" s="47"/>
      <c r="W358" s="47"/>
      <c r="X358" s="47"/>
      <c r="Y358" s="172"/>
      <c r="Z358" s="133"/>
      <c r="AA358" s="47"/>
      <c r="AB358" s="47"/>
      <c r="AC358" s="47"/>
      <c r="AD358" s="47"/>
      <c r="AE358" s="172"/>
      <c r="AF358" s="133"/>
      <c r="AG358" s="47"/>
      <c r="AH358" s="47"/>
      <c r="AI358" s="47"/>
      <c r="AJ358" s="136"/>
      <c r="AK358" s="11">
        <f>'Encargos e Benefícios'!D357</f>
        <v>0</v>
      </c>
      <c r="AL358" s="11">
        <f>IF('Encargos e Benefícios'!C357=0,0,'Encargos e Benefícios'!U357/'Encargos e Benefícios'!C357)</f>
        <v>0</v>
      </c>
      <c r="AM358" s="11">
        <f>IF('Encargos e Benefícios'!C357=0,0,'Encargos e Benefícios'!AC357/'Encargos e Benefícios'!C357)</f>
        <v>0</v>
      </c>
      <c r="AN358" s="119">
        <f>IF('Encargos e Benefícios'!C357=0,0,'Encargos e Benefícios'!AD357/'Encargos e Benefícios'!C357)</f>
        <v>0</v>
      </c>
      <c r="AO358" s="32"/>
      <c r="AP358" s="31"/>
      <c r="AQ358" s="31"/>
      <c r="AR358" s="210"/>
      <c r="AS358" s="32"/>
    </row>
    <row r="359" spans="1:45" ht="12.75" hidden="1" x14ac:dyDescent="0.2">
      <c r="A359" s="48">
        <v>353</v>
      </c>
      <c r="B359" s="12">
        <f>'Encargos e Benefícios'!B358</f>
        <v>0</v>
      </c>
      <c r="C359" s="10">
        <f>'Encargos e Benefícios'!C358</f>
        <v>0</v>
      </c>
      <c r="D359" s="38"/>
      <c r="E359" s="174"/>
      <c r="F359" s="173"/>
      <c r="G359" s="172"/>
      <c r="H359" s="133"/>
      <c r="I359" s="47"/>
      <c r="J359" s="47"/>
      <c r="K359" s="47"/>
      <c r="L359" s="47"/>
      <c r="M359" s="172"/>
      <c r="N359" s="133"/>
      <c r="O359" s="47"/>
      <c r="P359" s="47"/>
      <c r="Q359" s="47"/>
      <c r="R359" s="47"/>
      <c r="S359" s="172"/>
      <c r="T359" s="133"/>
      <c r="U359" s="47"/>
      <c r="V359" s="47"/>
      <c r="W359" s="47"/>
      <c r="X359" s="47"/>
      <c r="Y359" s="172"/>
      <c r="Z359" s="133"/>
      <c r="AA359" s="47"/>
      <c r="AB359" s="47"/>
      <c r="AC359" s="47"/>
      <c r="AD359" s="47"/>
      <c r="AE359" s="172"/>
      <c r="AF359" s="133"/>
      <c r="AG359" s="47"/>
      <c r="AH359" s="47"/>
      <c r="AI359" s="47"/>
      <c r="AJ359" s="136"/>
      <c r="AK359" s="11">
        <f>'Encargos e Benefícios'!D358</f>
        <v>0</v>
      </c>
      <c r="AL359" s="11">
        <f>IF('Encargos e Benefícios'!C358=0,0,'Encargos e Benefícios'!U358/'Encargos e Benefícios'!C358)</f>
        <v>0</v>
      </c>
      <c r="AM359" s="11">
        <f>IF('Encargos e Benefícios'!C358=0,0,'Encargos e Benefícios'!AC358/'Encargos e Benefícios'!C358)</f>
        <v>0</v>
      </c>
      <c r="AN359" s="119">
        <f>IF('Encargos e Benefícios'!C358=0,0,'Encargos e Benefícios'!AD358/'Encargos e Benefícios'!C358)</f>
        <v>0</v>
      </c>
      <c r="AO359" s="32"/>
      <c r="AP359" s="31"/>
      <c r="AQ359" s="31"/>
      <c r="AR359" s="210"/>
      <c r="AS359" s="32"/>
    </row>
    <row r="360" spans="1:45" ht="12.75" hidden="1" x14ac:dyDescent="0.2">
      <c r="A360" s="48">
        <v>354</v>
      </c>
      <c r="B360" s="12">
        <f>'Encargos e Benefícios'!B359</f>
        <v>0</v>
      </c>
      <c r="C360" s="10">
        <f>'Encargos e Benefícios'!C359</f>
        <v>0</v>
      </c>
      <c r="D360" s="38"/>
      <c r="E360" s="174"/>
      <c r="F360" s="173"/>
      <c r="G360" s="172"/>
      <c r="H360" s="133"/>
      <c r="I360" s="47"/>
      <c r="J360" s="47"/>
      <c r="K360" s="47"/>
      <c r="L360" s="47"/>
      <c r="M360" s="172"/>
      <c r="N360" s="133"/>
      <c r="O360" s="47"/>
      <c r="P360" s="47"/>
      <c r="Q360" s="47"/>
      <c r="R360" s="47"/>
      <c r="S360" s="172"/>
      <c r="T360" s="133"/>
      <c r="U360" s="47"/>
      <c r="V360" s="47"/>
      <c r="W360" s="47"/>
      <c r="X360" s="47"/>
      <c r="Y360" s="172"/>
      <c r="Z360" s="133"/>
      <c r="AA360" s="47"/>
      <c r="AB360" s="47"/>
      <c r="AC360" s="47"/>
      <c r="AD360" s="47"/>
      <c r="AE360" s="172"/>
      <c r="AF360" s="133"/>
      <c r="AG360" s="47"/>
      <c r="AH360" s="47"/>
      <c r="AI360" s="47"/>
      <c r="AJ360" s="136"/>
      <c r="AK360" s="11">
        <f>'Encargos e Benefícios'!D359</f>
        <v>0</v>
      </c>
      <c r="AL360" s="11">
        <f>IF('Encargos e Benefícios'!C359=0,0,'Encargos e Benefícios'!U359/'Encargos e Benefícios'!C359)</f>
        <v>0</v>
      </c>
      <c r="AM360" s="11">
        <f>IF('Encargos e Benefícios'!C359=0,0,'Encargos e Benefícios'!AC359/'Encargos e Benefícios'!C359)</f>
        <v>0</v>
      </c>
      <c r="AN360" s="119">
        <f>IF('Encargos e Benefícios'!C359=0,0,'Encargos e Benefícios'!AD359/'Encargos e Benefícios'!C359)</f>
        <v>0</v>
      </c>
      <c r="AO360" s="32"/>
      <c r="AP360" s="31"/>
      <c r="AQ360" s="31"/>
      <c r="AR360" s="210"/>
      <c r="AS360" s="32"/>
    </row>
    <row r="361" spans="1:45" ht="12.75" hidden="1" x14ac:dyDescent="0.2">
      <c r="A361" s="48">
        <v>355</v>
      </c>
      <c r="B361" s="12">
        <f>'Encargos e Benefícios'!B360</f>
        <v>0</v>
      </c>
      <c r="C361" s="10">
        <f>'Encargos e Benefícios'!C360</f>
        <v>0</v>
      </c>
      <c r="D361" s="38"/>
      <c r="E361" s="174"/>
      <c r="F361" s="173"/>
      <c r="G361" s="172"/>
      <c r="H361" s="133"/>
      <c r="I361" s="47"/>
      <c r="J361" s="47"/>
      <c r="K361" s="47"/>
      <c r="L361" s="47"/>
      <c r="M361" s="172"/>
      <c r="N361" s="133"/>
      <c r="O361" s="47"/>
      <c r="P361" s="47"/>
      <c r="Q361" s="47"/>
      <c r="R361" s="47"/>
      <c r="S361" s="172"/>
      <c r="T361" s="133"/>
      <c r="U361" s="47"/>
      <c r="V361" s="47"/>
      <c r="W361" s="47"/>
      <c r="X361" s="47"/>
      <c r="Y361" s="172"/>
      <c r="Z361" s="133"/>
      <c r="AA361" s="47"/>
      <c r="AB361" s="47"/>
      <c r="AC361" s="47"/>
      <c r="AD361" s="47"/>
      <c r="AE361" s="172"/>
      <c r="AF361" s="133"/>
      <c r="AG361" s="47"/>
      <c r="AH361" s="47"/>
      <c r="AI361" s="47"/>
      <c r="AJ361" s="136"/>
      <c r="AK361" s="11">
        <f>'Encargos e Benefícios'!D360</f>
        <v>0</v>
      </c>
      <c r="AL361" s="11">
        <f>IF('Encargos e Benefícios'!C360=0,0,'Encargos e Benefícios'!U360/'Encargos e Benefícios'!C360)</f>
        <v>0</v>
      </c>
      <c r="AM361" s="11">
        <f>IF('Encargos e Benefícios'!C360=0,0,'Encargos e Benefícios'!AC360/'Encargos e Benefícios'!C360)</f>
        <v>0</v>
      </c>
      <c r="AN361" s="119">
        <f>IF('Encargos e Benefícios'!C360=0,0,'Encargos e Benefícios'!AD360/'Encargos e Benefícios'!C360)</f>
        <v>0</v>
      </c>
      <c r="AO361" s="32"/>
      <c r="AP361" s="31"/>
      <c r="AQ361" s="31"/>
      <c r="AR361" s="210"/>
      <c r="AS361" s="32"/>
    </row>
    <row r="362" spans="1:45" ht="12.75" hidden="1" x14ac:dyDescent="0.2">
      <c r="A362" s="48">
        <v>356</v>
      </c>
      <c r="B362" s="12">
        <f>'Encargos e Benefícios'!B361</f>
        <v>0</v>
      </c>
      <c r="C362" s="10">
        <f>'Encargos e Benefícios'!C361</f>
        <v>0</v>
      </c>
      <c r="D362" s="38"/>
      <c r="E362" s="174"/>
      <c r="F362" s="173"/>
      <c r="G362" s="172"/>
      <c r="H362" s="133"/>
      <c r="I362" s="47"/>
      <c r="J362" s="47"/>
      <c r="K362" s="47"/>
      <c r="L362" s="47"/>
      <c r="M362" s="172"/>
      <c r="N362" s="133"/>
      <c r="O362" s="47"/>
      <c r="P362" s="47"/>
      <c r="Q362" s="47"/>
      <c r="R362" s="47"/>
      <c r="S362" s="172"/>
      <c r="T362" s="133"/>
      <c r="U362" s="47"/>
      <c r="V362" s="47"/>
      <c r="W362" s="47"/>
      <c r="X362" s="47"/>
      <c r="Y362" s="172"/>
      <c r="Z362" s="133"/>
      <c r="AA362" s="47"/>
      <c r="AB362" s="47"/>
      <c r="AC362" s="47"/>
      <c r="AD362" s="47"/>
      <c r="AE362" s="172"/>
      <c r="AF362" s="133"/>
      <c r="AG362" s="47"/>
      <c r="AH362" s="47"/>
      <c r="AI362" s="47"/>
      <c r="AJ362" s="136"/>
      <c r="AK362" s="11">
        <f>'Encargos e Benefícios'!D361</f>
        <v>0</v>
      </c>
      <c r="AL362" s="11">
        <f>IF('Encargos e Benefícios'!C361=0,0,'Encargos e Benefícios'!U361/'Encargos e Benefícios'!C361)</f>
        <v>0</v>
      </c>
      <c r="AM362" s="11">
        <f>IF('Encargos e Benefícios'!C361=0,0,'Encargos e Benefícios'!AC361/'Encargos e Benefícios'!C361)</f>
        <v>0</v>
      </c>
      <c r="AN362" s="119">
        <f>IF('Encargos e Benefícios'!C361=0,0,'Encargos e Benefícios'!AD361/'Encargos e Benefícios'!C361)</f>
        <v>0</v>
      </c>
      <c r="AO362" s="32"/>
      <c r="AP362" s="31"/>
      <c r="AQ362" s="31"/>
      <c r="AR362" s="210"/>
      <c r="AS362" s="32"/>
    </row>
    <row r="363" spans="1:45" ht="12.75" hidden="1" x14ac:dyDescent="0.2">
      <c r="A363" s="48">
        <v>357</v>
      </c>
      <c r="B363" s="12">
        <f>'Encargos e Benefícios'!B362</f>
        <v>0</v>
      </c>
      <c r="C363" s="10">
        <f>'Encargos e Benefícios'!C362</f>
        <v>0</v>
      </c>
      <c r="D363" s="38"/>
      <c r="E363" s="174"/>
      <c r="F363" s="173"/>
      <c r="G363" s="172"/>
      <c r="H363" s="133"/>
      <c r="I363" s="47"/>
      <c r="J363" s="47"/>
      <c r="K363" s="47"/>
      <c r="L363" s="47"/>
      <c r="M363" s="172"/>
      <c r="N363" s="133"/>
      <c r="O363" s="47"/>
      <c r="P363" s="47"/>
      <c r="Q363" s="47"/>
      <c r="R363" s="47"/>
      <c r="S363" s="172"/>
      <c r="T363" s="133"/>
      <c r="U363" s="47"/>
      <c r="V363" s="47"/>
      <c r="W363" s="47"/>
      <c r="X363" s="47"/>
      <c r="Y363" s="172"/>
      <c r="Z363" s="133"/>
      <c r="AA363" s="47"/>
      <c r="AB363" s="47"/>
      <c r="AC363" s="47"/>
      <c r="AD363" s="47"/>
      <c r="AE363" s="172"/>
      <c r="AF363" s="133"/>
      <c r="AG363" s="47"/>
      <c r="AH363" s="47"/>
      <c r="AI363" s="47"/>
      <c r="AJ363" s="136"/>
      <c r="AK363" s="11">
        <f>'Encargos e Benefícios'!D362</f>
        <v>0</v>
      </c>
      <c r="AL363" s="11">
        <f>IF('Encargos e Benefícios'!C362=0,0,'Encargos e Benefícios'!U362/'Encargos e Benefícios'!C362)</f>
        <v>0</v>
      </c>
      <c r="AM363" s="11">
        <f>IF('Encargos e Benefícios'!C362=0,0,'Encargos e Benefícios'!AC362/'Encargos e Benefícios'!C362)</f>
        <v>0</v>
      </c>
      <c r="AN363" s="119">
        <f>IF('Encargos e Benefícios'!C362=0,0,'Encargos e Benefícios'!AD362/'Encargos e Benefícios'!C362)</f>
        <v>0</v>
      </c>
      <c r="AO363" s="32"/>
      <c r="AP363" s="31"/>
      <c r="AQ363" s="31"/>
      <c r="AR363" s="210"/>
      <c r="AS363" s="32"/>
    </row>
    <row r="364" spans="1:45" ht="12.75" hidden="1" x14ac:dyDescent="0.2">
      <c r="A364" s="48">
        <v>358</v>
      </c>
      <c r="B364" s="12">
        <f>'Encargos e Benefícios'!B363</f>
        <v>0</v>
      </c>
      <c r="C364" s="10">
        <f>'Encargos e Benefícios'!C363</f>
        <v>0</v>
      </c>
      <c r="D364" s="38"/>
      <c r="E364" s="174"/>
      <c r="F364" s="173"/>
      <c r="G364" s="172"/>
      <c r="H364" s="133"/>
      <c r="I364" s="47"/>
      <c r="J364" s="47"/>
      <c r="K364" s="47"/>
      <c r="L364" s="47"/>
      <c r="M364" s="172"/>
      <c r="N364" s="133"/>
      <c r="O364" s="47"/>
      <c r="P364" s="47"/>
      <c r="Q364" s="47"/>
      <c r="R364" s="47"/>
      <c r="S364" s="172"/>
      <c r="T364" s="133"/>
      <c r="U364" s="47"/>
      <c r="V364" s="47"/>
      <c r="W364" s="47"/>
      <c r="X364" s="47"/>
      <c r="Y364" s="172"/>
      <c r="Z364" s="133"/>
      <c r="AA364" s="47"/>
      <c r="AB364" s="47"/>
      <c r="AC364" s="47"/>
      <c r="AD364" s="47"/>
      <c r="AE364" s="172"/>
      <c r="AF364" s="133"/>
      <c r="AG364" s="47"/>
      <c r="AH364" s="47"/>
      <c r="AI364" s="47"/>
      <c r="AJ364" s="136"/>
      <c r="AK364" s="11">
        <f>'Encargos e Benefícios'!D363</f>
        <v>0</v>
      </c>
      <c r="AL364" s="11">
        <f>IF('Encargos e Benefícios'!C363=0,0,'Encargos e Benefícios'!U363/'Encargos e Benefícios'!C363)</f>
        <v>0</v>
      </c>
      <c r="AM364" s="11">
        <f>IF('Encargos e Benefícios'!C363=0,0,'Encargos e Benefícios'!AC363/'Encargos e Benefícios'!C363)</f>
        <v>0</v>
      </c>
      <c r="AN364" s="119">
        <f>IF('Encargos e Benefícios'!C363=0,0,'Encargos e Benefícios'!AD363/'Encargos e Benefícios'!C363)</f>
        <v>0</v>
      </c>
      <c r="AO364" s="32"/>
      <c r="AP364" s="31"/>
      <c r="AQ364" s="31"/>
      <c r="AR364" s="210"/>
      <c r="AS364" s="32"/>
    </row>
    <row r="365" spans="1:45" ht="12.75" hidden="1" x14ac:dyDescent="0.2">
      <c r="A365" s="48">
        <v>359</v>
      </c>
      <c r="B365" s="12">
        <f>'Encargos e Benefícios'!B364</f>
        <v>0</v>
      </c>
      <c r="C365" s="10">
        <f>'Encargos e Benefícios'!C364</f>
        <v>0</v>
      </c>
      <c r="D365" s="38"/>
      <c r="E365" s="174"/>
      <c r="F365" s="173"/>
      <c r="G365" s="172"/>
      <c r="H365" s="133"/>
      <c r="I365" s="47"/>
      <c r="J365" s="47"/>
      <c r="K365" s="47"/>
      <c r="L365" s="47"/>
      <c r="M365" s="172"/>
      <c r="N365" s="133"/>
      <c r="O365" s="47"/>
      <c r="P365" s="47"/>
      <c r="Q365" s="47"/>
      <c r="R365" s="47"/>
      <c r="S365" s="172"/>
      <c r="T365" s="133"/>
      <c r="U365" s="47"/>
      <c r="V365" s="47"/>
      <c r="W365" s="47"/>
      <c r="X365" s="47"/>
      <c r="Y365" s="172"/>
      <c r="Z365" s="133"/>
      <c r="AA365" s="47"/>
      <c r="AB365" s="47"/>
      <c r="AC365" s="47"/>
      <c r="AD365" s="47"/>
      <c r="AE365" s="172"/>
      <c r="AF365" s="133"/>
      <c r="AG365" s="47"/>
      <c r="AH365" s="47"/>
      <c r="AI365" s="47"/>
      <c r="AJ365" s="136"/>
      <c r="AK365" s="11">
        <f>'Encargos e Benefícios'!D364</f>
        <v>0</v>
      </c>
      <c r="AL365" s="11">
        <f>IF('Encargos e Benefícios'!C364=0,0,'Encargos e Benefícios'!U364/'Encargos e Benefícios'!C364)</f>
        <v>0</v>
      </c>
      <c r="AM365" s="11">
        <f>IF('Encargos e Benefícios'!C364=0,0,'Encargos e Benefícios'!AC364/'Encargos e Benefícios'!C364)</f>
        <v>0</v>
      </c>
      <c r="AN365" s="119">
        <f>IF('Encargos e Benefícios'!C364=0,0,'Encargos e Benefícios'!AD364/'Encargos e Benefícios'!C364)</f>
        <v>0</v>
      </c>
      <c r="AO365" s="32"/>
      <c r="AP365" s="31"/>
      <c r="AQ365" s="31"/>
      <c r="AR365" s="210"/>
      <c r="AS365" s="32"/>
    </row>
    <row r="366" spans="1:45" ht="12.75" hidden="1" x14ac:dyDescent="0.2">
      <c r="A366" s="48">
        <v>360</v>
      </c>
      <c r="B366" s="12">
        <f>'Encargos e Benefícios'!B365</f>
        <v>0</v>
      </c>
      <c r="C366" s="10">
        <f>'Encargos e Benefícios'!C365</f>
        <v>0</v>
      </c>
      <c r="D366" s="38"/>
      <c r="E366" s="174"/>
      <c r="F366" s="173"/>
      <c r="G366" s="172"/>
      <c r="H366" s="133"/>
      <c r="I366" s="47"/>
      <c r="J366" s="47"/>
      <c r="K366" s="47"/>
      <c r="L366" s="47"/>
      <c r="M366" s="172"/>
      <c r="N366" s="133"/>
      <c r="O366" s="47"/>
      <c r="P366" s="47"/>
      <c r="Q366" s="47"/>
      <c r="R366" s="47"/>
      <c r="S366" s="172"/>
      <c r="T366" s="133"/>
      <c r="U366" s="47"/>
      <c r="V366" s="47"/>
      <c r="W366" s="47"/>
      <c r="X366" s="47"/>
      <c r="Y366" s="172"/>
      <c r="Z366" s="133"/>
      <c r="AA366" s="47"/>
      <c r="AB366" s="47"/>
      <c r="AC366" s="47"/>
      <c r="AD366" s="47"/>
      <c r="AE366" s="172"/>
      <c r="AF366" s="133"/>
      <c r="AG366" s="47"/>
      <c r="AH366" s="47"/>
      <c r="AI366" s="47"/>
      <c r="AJ366" s="136"/>
      <c r="AK366" s="11">
        <f>'Encargos e Benefícios'!D365</f>
        <v>0</v>
      </c>
      <c r="AL366" s="11">
        <f>IF('Encargos e Benefícios'!C365=0,0,'Encargos e Benefícios'!U365/'Encargos e Benefícios'!C365)</f>
        <v>0</v>
      </c>
      <c r="AM366" s="11">
        <f>IF('Encargos e Benefícios'!C365=0,0,'Encargos e Benefícios'!AC365/'Encargos e Benefícios'!C365)</f>
        <v>0</v>
      </c>
      <c r="AN366" s="119">
        <f>IF('Encargos e Benefícios'!C365=0,0,'Encargos e Benefícios'!AD365/'Encargos e Benefícios'!C365)</f>
        <v>0</v>
      </c>
      <c r="AO366" s="32"/>
      <c r="AP366" s="31"/>
      <c r="AQ366" s="31"/>
      <c r="AR366" s="210"/>
      <c r="AS366" s="32"/>
    </row>
    <row r="367" spans="1:45" ht="12.75" hidden="1" x14ac:dyDescent="0.2">
      <c r="A367" s="48">
        <v>361</v>
      </c>
      <c r="B367" s="12">
        <f>'Encargos e Benefícios'!B366</f>
        <v>0</v>
      </c>
      <c r="C367" s="10">
        <f>'Encargos e Benefícios'!C366</f>
        <v>0</v>
      </c>
      <c r="D367" s="38"/>
      <c r="E367" s="174"/>
      <c r="F367" s="173"/>
      <c r="G367" s="172"/>
      <c r="H367" s="133"/>
      <c r="I367" s="47"/>
      <c r="J367" s="47"/>
      <c r="K367" s="47"/>
      <c r="L367" s="47"/>
      <c r="M367" s="172"/>
      <c r="N367" s="133"/>
      <c r="O367" s="47"/>
      <c r="P367" s="47"/>
      <c r="Q367" s="47"/>
      <c r="R367" s="47"/>
      <c r="S367" s="172"/>
      <c r="T367" s="133"/>
      <c r="U367" s="47"/>
      <c r="V367" s="47"/>
      <c r="W367" s="47"/>
      <c r="X367" s="47"/>
      <c r="Y367" s="172"/>
      <c r="Z367" s="133"/>
      <c r="AA367" s="47"/>
      <c r="AB367" s="47"/>
      <c r="AC367" s="47"/>
      <c r="AD367" s="47"/>
      <c r="AE367" s="172"/>
      <c r="AF367" s="133"/>
      <c r="AG367" s="47"/>
      <c r="AH367" s="47"/>
      <c r="AI367" s="47"/>
      <c r="AJ367" s="136"/>
      <c r="AK367" s="11">
        <f>'Encargos e Benefícios'!D366</f>
        <v>0</v>
      </c>
      <c r="AL367" s="11">
        <f>IF('Encargos e Benefícios'!C366=0,0,'Encargos e Benefícios'!U366/'Encargos e Benefícios'!C366)</f>
        <v>0</v>
      </c>
      <c r="AM367" s="11">
        <f>IF('Encargos e Benefícios'!C366=0,0,'Encargos e Benefícios'!AC366/'Encargos e Benefícios'!C366)</f>
        <v>0</v>
      </c>
      <c r="AN367" s="119">
        <f>IF('Encargos e Benefícios'!C366=0,0,'Encargos e Benefícios'!AD366/'Encargos e Benefícios'!C366)</f>
        <v>0</v>
      </c>
      <c r="AO367" s="32"/>
      <c r="AP367" s="31"/>
      <c r="AQ367" s="31"/>
      <c r="AR367" s="210"/>
      <c r="AS367" s="32"/>
    </row>
    <row r="368" spans="1:45" ht="12.75" hidden="1" x14ac:dyDescent="0.2">
      <c r="A368" s="48">
        <v>362</v>
      </c>
      <c r="B368" s="12">
        <f>'Encargos e Benefícios'!B367</f>
        <v>0</v>
      </c>
      <c r="C368" s="10">
        <f>'Encargos e Benefícios'!C367</f>
        <v>0</v>
      </c>
      <c r="D368" s="38"/>
      <c r="E368" s="174"/>
      <c r="F368" s="173"/>
      <c r="G368" s="172"/>
      <c r="H368" s="133"/>
      <c r="I368" s="47"/>
      <c r="J368" s="47"/>
      <c r="K368" s="47"/>
      <c r="L368" s="47"/>
      <c r="M368" s="172"/>
      <c r="N368" s="133"/>
      <c r="O368" s="47"/>
      <c r="P368" s="47"/>
      <c r="Q368" s="47"/>
      <c r="R368" s="47"/>
      <c r="S368" s="172"/>
      <c r="T368" s="133"/>
      <c r="U368" s="47"/>
      <c r="V368" s="47"/>
      <c r="W368" s="47"/>
      <c r="X368" s="47"/>
      <c r="Y368" s="172"/>
      <c r="Z368" s="133"/>
      <c r="AA368" s="47"/>
      <c r="AB368" s="47"/>
      <c r="AC368" s="47"/>
      <c r="AD368" s="47"/>
      <c r="AE368" s="172"/>
      <c r="AF368" s="133"/>
      <c r="AG368" s="47"/>
      <c r="AH368" s="47"/>
      <c r="AI368" s="47"/>
      <c r="AJ368" s="136"/>
      <c r="AK368" s="11">
        <f>'Encargos e Benefícios'!D367</f>
        <v>0</v>
      </c>
      <c r="AL368" s="11">
        <f>IF('Encargos e Benefícios'!C367=0,0,'Encargos e Benefícios'!U367/'Encargos e Benefícios'!C367)</f>
        <v>0</v>
      </c>
      <c r="AM368" s="11">
        <f>IF('Encargos e Benefícios'!C367=0,0,'Encargos e Benefícios'!AC367/'Encargos e Benefícios'!C367)</f>
        <v>0</v>
      </c>
      <c r="AN368" s="119">
        <f>IF('Encargos e Benefícios'!C367=0,0,'Encargos e Benefícios'!AD367/'Encargos e Benefícios'!C367)</f>
        <v>0</v>
      </c>
      <c r="AO368" s="32"/>
      <c r="AP368" s="31"/>
      <c r="AQ368" s="31"/>
      <c r="AR368" s="210"/>
      <c r="AS368" s="32"/>
    </row>
    <row r="369" spans="1:45" ht="12.75" hidden="1" x14ac:dyDescent="0.2">
      <c r="A369" s="48">
        <v>363</v>
      </c>
      <c r="B369" s="12">
        <f>'Encargos e Benefícios'!B368</f>
        <v>0</v>
      </c>
      <c r="C369" s="10">
        <f>'Encargos e Benefícios'!C368</f>
        <v>0</v>
      </c>
      <c r="D369" s="38"/>
      <c r="E369" s="174"/>
      <c r="F369" s="173"/>
      <c r="G369" s="172"/>
      <c r="H369" s="133"/>
      <c r="I369" s="47"/>
      <c r="J369" s="47"/>
      <c r="K369" s="47"/>
      <c r="L369" s="47"/>
      <c r="M369" s="172"/>
      <c r="N369" s="133"/>
      <c r="O369" s="47"/>
      <c r="P369" s="47"/>
      <c r="Q369" s="47"/>
      <c r="R369" s="47"/>
      <c r="S369" s="172"/>
      <c r="T369" s="133"/>
      <c r="U369" s="47"/>
      <c r="V369" s="47"/>
      <c r="W369" s="47"/>
      <c r="X369" s="47"/>
      <c r="Y369" s="172"/>
      <c r="Z369" s="133"/>
      <c r="AA369" s="47"/>
      <c r="AB369" s="47"/>
      <c r="AC369" s="47"/>
      <c r="AD369" s="47"/>
      <c r="AE369" s="172"/>
      <c r="AF369" s="133"/>
      <c r="AG369" s="47"/>
      <c r="AH369" s="47"/>
      <c r="AI369" s="47"/>
      <c r="AJ369" s="136"/>
      <c r="AK369" s="11">
        <f>'Encargos e Benefícios'!D368</f>
        <v>0</v>
      </c>
      <c r="AL369" s="11">
        <f>IF('Encargos e Benefícios'!C368=0,0,'Encargos e Benefícios'!U368/'Encargos e Benefícios'!C368)</f>
        <v>0</v>
      </c>
      <c r="AM369" s="11">
        <f>IF('Encargos e Benefícios'!C368=0,0,'Encargos e Benefícios'!AC368/'Encargos e Benefícios'!C368)</f>
        <v>0</v>
      </c>
      <c r="AN369" s="119">
        <f>IF('Encargos e Benefícios'!C368=0,0,'Encargos e Benefícios'!AD368/'Encargos e Benefícios'!C368)</f>
        <v>0</v>
      </c>
      <c r="AO369" s="32"/>
      <c r="AP369" s="31"/>
      <c r="AQ369" s="31"/>
      <c r="AR369" s="210"/>
      <c r="AS369" s="32"/>
    </row>
    <row r="370" spans="1:45" ht="12.75" hidden="1" x14ac:dyDescent="0.2">
      <c r="A370" s="48">
        <v>364</v>
      </c>
      <c r="B370" s="12">
        <f>'Encargos e Benefícios'!B369</f>
        <v>0</v>
      </c>
      <c r="C370" s="10">
        <f>'Encargos e Benefícios'!C369</f>
        <v>0</v>
      </c>
      <c r="D370" s="38"/>
      <c r="E370" s="174"/>
      <c r="F370" s="173"/>
      <c r="G370" s="172"/>
      <c r="H370" s="133"/>
      <c r="I370" s="47"/>
      <c r="J370" s="47"/>
      <c r="K370" s="47"/>
      <c r="L370" s="47"/>
      <c r="M370" s="172"/>
      <c r="N370" s="133"/>
      <c r="O370" s="47"/>
      <c r="P370" s="47"/>
      <c r="Q370" s="47"/>
      <c r="R370" s="47"/>
      <c r="S370" s="172"/>
      <c r="T370" s="133"/>
      <c r="U370" s="47"/>
      <c r="V370" s="47"/>
      <c r="W370" s="47"/>
      <c r="X370" s="47"/>
      <c r="Y370" s="172"/>
      <c r="Z370" s="133"/>
      <c r="AA370" s="47"/>
      <c r="AB370" s="47"/>
      <c r="AC370" s="47"/>
      <c r="AD370" s="47"/>
      <c r="AE370" s="172"/>
      <c r="AF370" s="133"/>
      <c r="AG370" s="47"/>
      <c r="AH370" s="47"/>
      <c r="AI370" s="47"/>
      <c r="AJ370" s="136"/>
      <c r="AK370" s="11">
        <f>'Encargos e Benefícios'!D369</f>
        <v>0</v>
      </c>
      <c r="AL370" s="11">
        <f>IF('Encargos e Benefícios'!C369=0,0,'Encargos e Benefícios'!U369/'Encargos e Benefícios'!C369)</f>
        <v>0</v>
      </c>
      <c r="AM370" s="11">
        <f>IF('Encargos e Benefícios'!C369=0,0,'Encargos e Benefícios'!AC369/'Encargos e Benefícios'!C369)</f>
        <v>0</v>
      </c>
      <c r="AN370" s="119">
        <f>IF('Encargos e Benefícios'!C369=0,0,'Encargos e Benefícios'!AD369/'Encargos e Benefícios'!C369)</f>
        <v>0</v>
      </c>
      <c r="AO370" s="32"/>
      <c r="AP370" s="31"/>
      <c r="AQ370" s="31"/>
      <c r="AR370" s="210"/>
      <c r="AS370" s="32"/>
    </row>
    <row r="371" spans="1:45" ht="12.75" hidden="1" x14ac:dyDescent="0.2">
      <c r="A371" s="48">
        <v>365</v>
      </c>
      <c r="B371" s="12">
        <f>'Encargos e Benefícios'!B370</f>
        <v>0</v>
      </c>
      <c r="C371" s="10">
        <f>'Encargos e Benefícios'!C370</f>
        <v>0</v>
      </c>
      <c r="D371" s="38"/>
      <c r="E371" s="174"/>
      <c r="F371" s="173"/>
      <c r="G371" s="172"/>
      <c r="H371" s="133"/>
      <c r="I371" s="47"/>
      <c r="J371" s="47"/>
      <c r="K371" s="47"/>
      <c r="L371" s="47"/>
      <c r="M371" s="172"/>
      <c r="N371" s="133"/>
      <c r="O371" s="47"/>
      <c r="P371" s="47"/>
      <c r="Q371" s="47"/>
      <c r="R371" s="47"/>
      <c r="S371" s="172"/>
      <c r="T371" s="133"/>
      <c r="U371" s="47"/>
      <c r="V371" s="47"/>
      <c r="W371" s="47"/>
      <c r="X371" s="47"/>
      <c r="Y371" s="172"/>
      <c r="Z371" s="133"/>
      <c r="AA371" s="47"/>
      <c r="AB371" s="47"/>
      <c r="AC371" s="47"/>
      <c r="AD371" s="47"/>
      <c r="AE371" s="172"/>
      <c r="AF371" s="133"/>
      <c r="AG371" s="47"/>
      <c r="AH371" s="47"/>
      <c r="AI371" s="47"/>
      <c r="AJ371" s="136"/>
      <c r="AK371" s="11">
        <f>'Encargos e Benefícios'!D370</f>
        <v>0</v>
      </c>
      <c r="AL371" s="11">
        <f>IF('Encargos e Benefícios'!C370=0,0,'Encargos e Benefícios'!U370/'Encargos e Benefícios'!C370)</f>
        <v>0</v>
      </c>
      <c r="AM371" s="11">
        <f>IF('Encargos e Benefícios'!C370=0,0,'Encargos e Benefícios'!AC370/'Encargos e Benefícios'!C370)</f>
        <v>0</v>
      </c>
      <c r="AN371" s="119">
        <f>IF('Encargos e Benefícios'!C370=0,0,'Encargos e Benefícios'!AD370/'Encargos e Benefícios'!C370)</f>
        <v>0</v>
      </c>
      <c r="AO371" s="32"/>
      <c r="AP371" s="31"/>
      <c r="AQ371" s="31"/>
      <c r="AR371" s="210"/>
      <c r="AS371" s="32"/>
    </row>
    <row r="372" spans="1:45" ht="12.75" hidden="1" x14ac:dyDescent="0.2">
      <c r="A372" s="48">
        <v>366</v>
      </c>
      <c r="B372" s="12">
        <f>'Encargos e Benefícios'!B371</f>
        <v>0</v>
      </c>
      <c r="C372" s="10">
        <f>'Encargos e Benefícios'!C371</f>
        <v>0</v>
      </c>
      <c r="D372" s="38"/>
      <c r="E372" s="174"/>
      <c r="F372" s="173"/>
      <c r="G372" s="172"/>
      <c r="H372" s="133"/>
      <c r="I372" s="47"/>
      <c r="J372" s="47"/>
      <c r="K372" s="47"/>
      <c r="L372" s="47"/>
      <c r="M372" s="172"/>
      <c r="N372" s="133"/>
      <c r="O372" s="47"/>
      <c r="P372" s="47"/>
      <c r="Q372" s="47"/>
      <c r="R372" s="47"/>
      <c r="S372" s="172"/>
      <c r="T372" s="133"/>
      <c r="U372" s="47"/>
      <c r="V372" s="47"/>
      <c r="W372" s="47"/>
      <c r="X372" s="47"/>
      <c r="Y372" s="172"/>
      <c r="Z372" s="133"/>
      <c r="AA372" s="47"/>
      <c r="AB372" s="47"/>
      <c r="AC372" s="47"/>
      <c r="AD372" s="47"/>
      <c r="AE372" s="172"/>
      <c r="AF372" s="133"/>
      <c r="AG372" s="47"/>
      <c r="AH372" s="47"/>
      <c r="AI372" s="47"/>
      <c r="AJ372" s="136"/>
      <c r="AK372" s="11">
        <f>'Encargos e Benefícios'!D371</f>
        <v>0</v>
      </c>
      <c r="AL372" s="11">
        <f>IF('Encargos e Benefícios'!C371=0,0,'Encargos e Benefícios'!U371/'Encargos e Benefícios'!C371)</f>
        <v>0</v>
      </c>
      <c r="AM372" s="11">
        <f>IF('Encargos e Benefícios'!C371=0,0,'Encargos e Benefícios'!AC371/'Encargos e Benefícios'!C371)</f>
        <v>0</v>
      </c>
      <c r="AN372" s="119">
        <f>IF('Encargos e Benefícios'!C371=0,0,'Encargos e Benefícios'!AD371/'Encargos e Benefícios'!C371)</f>
        <v>0</v>
      </c>
      <c r="AO372" s="32"/>
      <c r="AP372" s="31"/>
      <c r="AQ372" s="31"/>
      <c r="AR372" s="210"/>
      <c r="AS372" s="32"/>
    </row>
    <row r="373" spans="1:45" ht="12.75" hidden="1" x14ac:dyDescent="0.2">
      <c r="A373" s="48">
        <v>367</v>
      </c>
      <c r="B373" s="12">
        <f>'Encargos e Benefícios'!B372</f>
        <v>0</v>
      </c>
      <c r="C373" s="10">
        <f>'Encargos e Benefícios'!C372</f>
        <v>0</v>
      </c>
      <c r="D373" s="38"/>
      <c r="E373" s="174"/>
      <c r="F373" s="173"/>
      <c r="G373" s="172"/>
      <c r="H373" s="133"/>
      <c r="I373" s="47"/>
      <c r="J373" s="47"/>
      <c r="K373" s="47"/>
      <c r="L373" s="47"/>
      <c r="M373" s="172"/>
      <c r="N373" s="133"/>
      <c r="O373" s="47"/>
      <c r="P373" s="47"/>
      <c r="Q373" s="47"/>
      <c r="R373" s="47"/>
      <c r="S373" s="172"/>
      <c r="T373" s="133"/>
      <c r="U373" s="47"/>
      <c r="V373" s="47"/>
      <c r="W373" s="47"/>
      <c r="X373" s="47"/>
      <c r="Y373" s="172"/>
      <c r="Z373" s="133"/>
      <c r="AA373" s="47"/>
      <c r="AB373" s="47"/>
      <c r="AC373" s="47"/>
      <c r="AD373" s="47"/>
      <c r="AE373" s="172"/>
      <c r="AF373" s="133"/>
      <c r="AG373" s="47"/>
      <c r="AH373" s="47"/>
      <c r="AI373" s="47"/>
      <c r="AJ373" s="136"/>
      <c r="AK373" s="11">
        <f>'Encargos e Benefícios'!D372</f>
        <v>0</v>
      </c>
      <c r="AL373" s="11">
        <f>IF('Encargos e Benefícios'!C372=0,0,'Encargos e Benefícios'!U372/'Encargos e Benefícios'!C372)</f>
        <v>0</v>
      </c>
      <c r="AM373" s="11">
        <f>IF('Encargos e Benefícios'!C372=0,0,'Encargos e Benefícios'!AC372/'Encargos e Benefícios'!C372)</f>
        <v>0</v>
      </c>
      <c r="AN373" s="119">
        <f>IF('Encargos e Benefícios'!C372=0,0,'Encargos e Benefícios'!AD372/'Encargos e Benefícios'!C372)</f>
        <v>0</v>
      </c>
      <c r="AO373" s="32"/>
      <c r="AP373" s="31"/>
      <c r="AQ373" s="31"/>
      <c r="AR373" s="210"/>
      <c r="AS373" s="32"/>
    </row>
    <row r="374" spans="1:45" ht="12.75" hidden="1" x14ac:dyDescent="0.2">
      <c r="A374" s="48">
        <v>368</v>
      </c>
      <c r="B374" s="12">
        <f>'Encargos e Benefícios'!B373</f>
        <v>0</v>
      </c>
      <c r="C374" s="10">
        <f>'Encargos e Benefícios'!C373</f>
        <v>0</v>
      </c>
      <c r="D374" s="38"/>
      <c r="E374" s="174"/>
      <c r="F374" s="173"/>
      <c r="G374" s="172"/>
      <c r="H374" s="133"/>
      <c r="I374" s="47"/>
      <c r="J374" s="47"/>
      <c r="K374" s="47"/>
      <c r="L374" s="47"/>
      <c r="M374" s="172"/>
      <c r="N374" s="133"/>
      <c r="O374" s="47"/>
      <c r="P374" s="47"/>
      <c r="Q374" s="47"/>
      <c r="R374" s="47"/>
      <c r="S374" s="172"/>
      <c r="T374" s="133"/>
      <c r="U374" s="47"/>
      <c r="V374" s="47"/>
      <c r="W374" s="47"/>
      <c r="X374" s="47"/>
      <c r="Y374" s="172"/>
      <c r="Z374" s="133"/>
      <c r="AA374" s="47"/>
      <c r="AB374" s="47"/>
      <c r="AC374" s="47"/>
      <c r="AD374" s="47"/>
      <c r="AE374" s="172"/>
      <c r="AF374" s="133"/>
      <c r="AG374" s="47"/>
      <c r="AH374" s="47"/>
      <c r="AI374" s="47"/>
      <c r="AJ374" s="136"/>
      <c r="AK374" s="11">
        <f>'Encargos e Benefícios'!D373</f>
        <v>0</v>
      </c>
      <c r="AL374" s="11">
        <f>IF('Encargos e Benefícios'!C373=0,0,'Encargos e Benefícios'!U373/'Encargos e Benefícios'!C373)</f>
        <v>0</v>
      </c>
      <c r="AM374" s="11">
        <f>IF('Encargos e Benefícios'!C373=0,0,'Encargos e Benefícios'!AC373/'Encargos e Benefícios'!C373)</f>
        <v>0</v>
      </c>
      <c r="AN374" s="119">
        <f>IF('Encargos e Benefícios'!C373=0,0,'Encargos e Benefícios'!AD373/'Encargos e Benefícios'!C373)</f>
        <v>0</v>
      </c>
      <c r="AO374" s="32"/>
      <c r="AP374" s="31"/>
      <c r="AQ374" s="31"/>
      <c r="AR374" s="210"/>
      <c r="AS374" s="32"/>
    </row>
    <row r="375" spans="1:45" ht="12.75" hidden="1" x14ac:dyDescent="0.2">
      <c r="A375" s="48">
        <v>369</v>
      </c>
      <c r="B375" s="12">
        <f>'Encargos e Benefícios'!B374</f>
        <v>0</v>
      </c>
      <c r="C375" s="10">
        <f>'Encargos e Benefícios'!C374</f>
        <v>0</v>
      </c>
      <c r="D375" s="38"/>
      <c r="E375" s="174"/>
      <c r="F375" s="173"/>
      <c r="G375" s="172"/>
      <c r="H375" s="133"/>
      <c r="I375" s="47"/>
      <c r="J375" s="47"/>
      <c r="K375" s="47"/>
      <c r="L375" s="47"/>
      <c r="M375" s="172"/>
      <c r="N375" s="133"/>
      <c r="O375" s="47"/>
      <c r="P375" s="47"/>
      <c r="Q375" s="47"/>
      <c r="R375" s="47"/>
      <c r="S375" s="172"/>
      <c r="T375" s="133"/>
      <c r="U375" s="47"/>
      <c r="V375" s="47"/>
      <c r="W375" s="47"/>
      <c r="X375" s="47"/>
      <c r="Y375" s="172"/>
      <c r="Z375" s="133"/>
      <c r="AA375" s="47"/>
      <c r="AB375" s="47"/>
      <c r="AC375" s="47"/>
      <c r="AD375" s="47"/>
      <c r="AE375" s="172"/>
      <c r="AF375" s="133"/>
      <c r="AG375" s="47"/>
      <c r="AH375" s="47"/>
      <c r="AI375" s="47"/>
      <c r="AJ375" s="136"/>
      <c r="AK375" s="11">
        <f>'Encargos e Benefícios'!D374</f>
        <v>0</v>
      </c>
      <c r="AL375" s="11">
        <f>IF('Encargos e Benefícios'!C374=0,0,'Encargos e Benefícios'!U374/'Encargos e Benefícios'!C374)</f>
        <v>0</v>
      </c>
      <c r="AM375" s="11">
        <f>IF('Encargos e Benefícios'!C374=0,0,'Encargos e Benefícios'!AC374/'Encargos e Benefícios'!C374)</f>
        <v>0</v>
      </c>
      <c r="AN375" s="119">
        <f>IF('Encargos e Benefícios'!C374=0,0,'Encargos e Benefícios'!AD374/'Encargos e Benefícios'!C374)</f>
        <v>0</v>
      </c>
      <c r="AO375" s="32"/>
      <c r="AP375" s="31"/>
      <c r="AQ375" s="31"/>
      <c r="AR375" s="210"/>
      <c r="AS375" s="32"/>
    </row>
    <row r="376" spans="1:45" ht="12.75" hidden="1" x14ac:dyDescent="0.2">
      <c r="A376" s="48">
        <v>370</v>
      </c>
      <c r="B376" s="12">
        <f>'Encargos e Benefícios'!B375</f>
        <v>0</v>
      </c>
      <c r="C376" s="10">
        <f>'Encargos e Benefícios'!C375</f>
        <v>0</v>
      </c>
      <c r="D376" s="38"/>
      <c r="E376" s="174"/>
      <c r="F376" s="173"/>
      <c r="G376" s="172"/>
      <c r="H376" s="133"/>
      <c r="I376" s="47"/>
      <c r="J376" s="47"/>
      <c r="K376" s="47"/>
      <c r="L376" s="47"/>
      <c r="M376" s="172"/>
      <c r="N376" s="133"/>
      <c r="O376" s="47"/>
      <c r="P376" s="47"/>
      <c r="Q376" s="47"/>
      <c r="R376" s="47"/>
      <c r="S376" s="172"/>
      <c r="T376" s="133"/>
      <c r="U376" s="47"/>
      <c r="V376" s="47"/>
      <c r="W376" s="47"/>
      <c r="X376" s="47"/>
      <c r="Y376" s="172"/>
      <c r="Z376" s="133"/>
      <c r="AA376" s="47"/>
      <c r="AB376" s="47"/>
      <c r="AC376" s="47"/>
      <c r="AD376" s="47"/>
      <c r="AE376" s="172"/>
      <c r="AF376" s="133"/>
      <c r="AG376" s="47"/>
      <c r="AH376" s="47"/>
      <c r="AI376" s="47"/>
      <c r="AJ376" s="136"/>
      <c r="AK376" s="11">
        <f>'Encargos e Benefícios'!D375</f>
        <v>0</v>
      </c>
      <c r="AL376" s="11">
        <f>IF('Encargos e Benefícios'!C375=0,0,'Encargos e Benefícios'!U375/'Encargos e Benefícios'!C375)</f>
        <v>0</v>
      </c>
      <c r="AM376" s="11">
        <f>IF('Encargos e Benefícios'!C375=0,0,'Encargos e Benefícios'!AC375/'Encargos e Benefícios'!C375)</f>
        <v>0</v>
      </c>
      <c r="AN376" s="119">
        <f>IF('Encargos e Benefícios'!C375=0,0,'Encargos e Benefícios'!AD375/'Encargos e Benefícios'!C375)</f>
        <v>0</v>
      </c>
      <c r="AO376" s="32"/>
      <c r="AP376" s="31"/>
      <c r="AQ376" s="31"/>
      <c r="AR376" s="210"/>
      <c r="AS376" s="32"/>
    </row>
    <row r="377" spans="1:45" ht="12.75" hidden="1" x14ac:dyDescent="0.2">
      <c r="A377" s="48">
        <v>371</v>
      </c>
      <c r="B377" s="12">
        <f>'Encargos e Benefícios'!B376</f>
        <v>0</v>
      </c>
      <c r="C377" s="10">
        <f>'Encargos e Benefícios'!C376</f>
        <v>0</v>
      </c>
      <c r="D377" s="38"/>
      <c r="E377" s="174"/>
      <c r="F377" s="173"/>
      <c r="G377" s="172"/>
      <c r="H377" s="133"/>
      <c r="I377" s="47"/>
      <c r="J377" s="47"/>
      <c r="K377" s="47"/>
      <c r="L377" s="47"/>
      <c r="M377" s="172"/>
      <c r="N377" s="133"/>
      <c r="O377" s="47"/>
      <c r="P377" s="47"/>
      <c r="Q377" s="47"/>
      <c r="R377" s="47"/>
      <c r="S377" s="172"/>
      <c r="T377" s="133"/>
      <c r="U377" s="47"/>
      <c r="V377" s="47"/>
      <c r="W377" s="47"/>
      <c r="X377" s="47"/>
      <c r="Y377" s="172"/>
      <c r="Z377" s="133"/>
      <c r="AA377" s="47"/>
      <c r="AB377" s="47"/>
      <c r="AC377" s="47"/>
      <c r="AD377" s="47"/>
      <c r="AE377" s="172"/>
      <c r="AF377" s="133"/>
      <c r="AG377" s="47"/>
      <c r="AH377" s="47"/>
      <c r="AI377" s="47"/>
      <c r="AJ377" s="136"/>
      <c r="AK377" s="11">
        <f>'Encargos e Benefícios'!D376</f>
        <v>0</v>
      </c>
      <c r="AL377" s="11">
        <f>IF('Encargos e Benefícios'!C376=0,0,'Encargos e Benefícios'!U376/'Encargos e Benefícios'!C376)</f>
        <v>0</v>
      </c>
      <c r="AM377" s="11">
        <f>IF('Encargos e Benefícios'!C376=0,0,'Encargos e Benefícios'!AC376/'Encargos e Benefícios'!C376)</f>
        <v>0</v>
      </c>
      <c r="AN377" s="119">
        <f>IF('Encargos e Benefícios'!C376=0,0,'Encargos e Benefícios'!AD376/'Encargos e Benefícios'!C376)</f>
        <v>0</v>
      </c>
      <c r="AO377" s="32"/>
      <c r="AP377" s="31"/>
      <c r="AQ377" s="31"/>
      <c r="AR377" s="210"/>
      <c r="AS377" s="32"/>
    </row>
    <row r="378" spans="1:45" ht="12.75" hidden="1" x14ac:dyDescent="0.2">
      <c r="A378" s="48">
        <v>372</v>
      </c>
      <c r="B378" s="12">
        <f>'Encargos e Benefícios'!B377</f>
        <v>0</v>
      </c>
      <c r="C378" s="10">
        <f>'Encargos e Benefícios'!C377</f>
        <v>0</v>
      </c>
      <c r="D378" s="38"/>
      <c r="E378" s="174"/>
      <c r="F378" s="173"/>
      <c r="G378" s="172"/>
      <c r="H378" s="133"/>
      <c r="I378" s="47"/>
      <c r="J378" s="47"/>
      <c r="K378" s="47"/>
      <c r="L378" s="47"/>
      <c r="M378" s="172"/>
      <c r="N378" s="133"/>
      <c r="O378" s="47"/>
      <c r="P378" s="47"/>
      <c r="Q378" s="47"/>
      <c r="R378" s="47"/>
      <c r="S378" s="172"/>
      <c r="T378" s="133"/>
      <c r="U378" s="47"/>
      <c r="V378" s="47"/>
      <c r="W378" s="47"/>
      <c r="X378" s="47"/>
      <c r="Y378" s="172"/>
      <c r="Z378" s="133"/>
      <c r="AA378" s="47"/>
      <c r="AB378" s="47"/>
      <c r="AC378" s="47"/>
      <c r="AD378" s="47"/>
      <c r="AE378" s="172"/>
      <c r="AF378" s="133"/>
      <c r="AG378" s="47"/>
      <c r="AH378" s="47"/>
      <c r="AI378" s="47"/>
      <c r="AJ378" s="136"/>
      <c r="AK378" s="11">
        <f>'Encargos e Benefícios'!D377</f>
        <v>0</v>
      </c>
      <c r="AL378" s="11">
        <f>IF('Encargos e Benefícios'!C377=0,0,'Encargos e Benefícios'!U377/'Encargos e Benefícios'!C377)</f>
        <v>0</v>
      </c>
      <c r="AM378" s="11">
        <f>IF('Encargos e Benefícios'!C377=0,0,'Encargos e Benefícios'!AC377/'Encargos e Benefícios'!C377)</f>
        <v>0</v>
      </c>
      <c r="AN378" s="119">
        <f>IF('Encargos e Benefícios'!C377=0,0,'Encargos e Benefícios'!AD377/'Encargos e Benefícios'!C377)</f>
        <v>0</v>
      </c>
      <c r="AO378" s="32"/>
      <c r="AP378" s="31"/>
      <c r="AQ378" s="31"/>
      <c r="AR378" s="210"/>
      <c r="AS378" s="32"/>
    </row>
    <row r="379" spans="1:45" ht="12.75" hidden="1" x14ac:dyDescent="0.2">
      <c r="A379" s="48">
        <v>373</v>
      </c>
      <c r="B379" s="12">
        <f>'Encargos e Benefícios'!B378</f>
        <v>0</v>
      </c>
      <c r="C379" s="10">
        <f>'Encargos e Benefícios'!C378</f>
        <v>0</v>
      </c>
      <c r="D379" s="38"/>
      <c r="E379" s="174"/>
      <c r="F379" s="173"/>
      <c r="G379" s="172"/>
      <c r="H379" s="133"/>
      <c r="I379" s="47"/>
      <c r="J379" s="47"/>
      <c r="K379" s="47"/>
      <c r="L379" s="47"/>
      <c r="M379" s="172"/>
      <c r="N379" s="133"/>
      <c r="O379" s="47"/>
      <c r="P379" s="47"/>
      <c r="Q379" s="47"/>
      <c r="R379" s="47"/>
      <c r="S379" s="172"/>
      <c r="T379" s="133"/>
      <c r="U379" s="47"/>
      <c r="V379" s="47"/>
      <c r="W379" s="47"/>
      <c r="X379" s="47"/>
      <c r="Y379" s="172"/>
      <c r="Z379" s="133"/>
      <c r="AA379" s="47"/>
      <c r="AB379" s="47"/>
      <c r="AC379" s="47"/>
      <c r="AD379" s="47"/>
      <c r="AE379" s="172"/>
      <c r="AF379" s="133"/>
      <c r="AG379" s="47"/>
      <c r="AH379" s="47"/>
      <c r="AI379" s="47"/>
      <c r="AJ379" s="136"/>
      <c r="AK379" s="11">
        <f>'Encargos e Benefícios'!D378</f>
        <v>0</v>
      </c>
      <c r="AL379" s="11">
        <f>IF('Encargos e Benefícios'!C378=0,0,'Encargos e Benefícios'!U378/'Encargos e Benefícios'!C378)</f>
        <v>0</v>
      </c>
      <c r="AM379" s="11">
        <f>IF('Encargos e Benefícios'!C378=0,0,'Encargos e Benefícios'!AC378/'Encargos e Benefícios'!C378)</f>
        <v>0</v>
      </c>
      <c r="AN379" s="119">
        <f>IF('Encargos e Benefícios'!C378=0,0,'Encargos e Benefícios'!AD378/'Encargos e Benefícios'!C378)</f>
        <v>0</v>
      </c>
      <c r="AO379" s="32"/>
      <c r="AP379" s="31"/>
      <c r="AQ379" s="31"/>
      <c r="AR379" s="210"/>
      <c r="AS379" s="32"/>
    </row>
    <row r="380" spans="1:45" ht="12.75" hidden="1" x14ac:dyDescent="0.2">
      <c r="A380" s="48">
        <v>374</v>
      </c>
      <c r="B380" s="12">
        <f>'Encargos e Benefícios'!B379</f>
        <v>0</v>
      </c>
      <c r="C380" s="10">
        <f>'Encargos e Benefícios'!C379</f>
        <v>0</v>
      </c>
      <c r="D380" s="38"/>
      <c r="E380" s="174"/>
      <c r="F380" s="173"/>
      <c r="G380" s="172"/>
      <c r="H380" s="133"/>
      <c r="I380" s="47"/>
      <c r="J380" s="47"/>
      <c r="K380" s="47"/>
      <c r="L380" s="47"/>
      <c r="M380" s="172"/>
      <c r="N380" s="133"/>
      <c r="O380" s="47"/>
      <c r="P380" s="47"/>
      <c r="Q380" s="47"/>
      <c r="R380" s="47"/>
      <c r="S380" s="172"/>
      <c r="T380" s="133"/>
      <c r="U380" s="47"/>
      <c r="V380" s="47"/>
      <c r="W380" s="47"/>
      <c r="X380" s="47"/>
      <c r="Y380" s="172"/>
      <c r="Z380" s="133"/>
      <c r="AA380" s="47"/>
      <c r="AB380" s="47"/>
      <c r="AC380" s="47"/>
      <c r="AD380" s="47"/>
      <c r="AE380" s="172"/>
      <c r="AF380" s="133"/>
      <c r="AG380" s="47"/>
      <c r="AH380" s="47"/>
      <c r="AI380" s="47"/>
      <c r="AJ380" s="136"/>
      <c r="AK380" s="11">
        <f>'Encargos e Benefícios'!D379</f>
        <v>0</v>
      </c>
      <c r="AL380" s="11">
        <f>IF('Encargos e Benefícios'!C379=0,0,'Encargos e Benefícios'!U379/'Encargos e Benefícios'!C379)</f>
        <v>0</v>
      </c>
      <c r="AM380" s="11">
        <f>IF('Encargos e Benefícios'!C379=0,0,'Encargos e Benefícios'!AC379/'Encargos e Benefícios'!C379)</f>
        <v>0</v>
      </c>
      <c r="AN380" s="119">
        <f>IF('Encargos e Benefícios'!C379=0,0,'Encargos e Benefícios'!AD379/'Encargos e Benefícios'!C379)</f>
        <v>0</v>
      </c>
      <c r="AO380" s="32"/>
      <c r="AP380" s="31"/>
      <c r="AQ380" s="31"/>
      <c r="AR380" s="210"/>
      <c r="AS380" s="32"/>
    </row>
    <row r="381" spans="1:45" ht="12.75" hidden="1" x14ac:dyDescent="0.2">
      <c r="A381" s="48">
        <v>375</v>
      </c>
      <c r="B381" s="12">
        <f>'Encargos e Benefícios'!B380</f>
        <v>0</v>
      </c>
      <c r="C381" s="10">
        <f>'Encargos e Benefícios'!C380</f>
        <v>0</v>
      </c>
      <c r="D381" s="38"/>
      <c r="E381" s="174"/>
      <c r="F381" s="173"/>
      <c r="G381" s="172"/>
      <c r="H381" s="133"/>
      <c r="I381" s="47"/>
      <c r="J381" s="47"/>
      <c r="K381" s="47"/>
      <c r="L381" s="47"/>
      <c r="M381" s="172"/>
      <c r="N381" s="133"/>
      <c r="O381" s="47"/>
      <c r="P381" s="47"/>
      <c r="Q381" s="47"/>
      <c r="R381" s="47"/>
      <c r="S381" s="172"/>
      <c r="T381" s="133"/>
      <c r="U381" s="47"/>
      <c r="V381" s="47"/>
      <c r="W381" s="47"/>
      <c r="X381" s="47"/>
      <c r="Y381" s="172"/>
      <c r="Z381" s="133"/>
      <c r="AA381" s="47"/>
      <c r="AB381" s="47"/>
      <c r="AC381" s="47"/>
      <c r="AD381" s="47"/>
      <c r="AE381" s="172"/>
      <c r="AF381" s="133"/>
      <c r="AG381" s="47"/>
      <c r="AH381" s="47"/>
      <c r="AI381" s="47"/>
      <c r="AJ381" s="136"/>
      <c r="AK381" s="11">
        <f>'Encargos e Benefícios'!D380</f>
        <v>0</v>
      </c>
      <c r="AL381" s="11">
        <f>IF('Encargos e Benefícios'!C380=0,0,'Encargos e Benefícios'!U380/'Encargos e Benefícios'!C380)</f>
        <v>0</v>
      </c>
      <c r="AM381" s="11">
        <f>IF('Encargos e Benefícios'!C380=0,0,'Encargos e Benefícios'!AC380/'Encargos e Benefícios'!C380)</f>
        <v>0</v>
      </c>
      <c r="AN381" s="119">
        <f>IF('Encargos e Benefícios'!C380=0,0,'Encargos e Benefícios'!AD380/'Encargos e Benefícios'!C380)</f>
        <v>0</v>
      </c>
      <c r="AO381" s="32"/>
      <c r="AP381" s="31"/>
      <c r="AQ381" s="31"/>
      <c r="AR381" s="210"/>
      <c r="AS381" s="32"/>
    </row>
    <row r="382" spans="1:45" ht="12.75" hidden="1" x14ac:dyDescent="0.2">
      <c r="A382" s="48">
        <v>376</v>
      </c>
      <c r="B382" s="12">
        <f>'Encargos e Benefícios'!B381</f>
        <v>0</v>
      </c>
      <c r="C382" s="10">
        <f>'Encargos e Benefícios'!C381</f>
        <v>0</v>
      </c>
      <c r="D382" s="38"/>
      <c r="E382" s="174"/>
      <c r="F382" s="173"/>
      <c r="G382" s="172"/>
      <c r="H382" s="133"/>
      <c r="I382" s="47"/>
      <c r="J382" s="47"/>
      <c r="K382" s="47"/>
      <c r="L382" s="47"/>
      <c r="M382" s="172"/>
      <c r="N382" s="133"/>
      <c r="O382" s="47"/>
      <c r="P382" s="47"/>
      <c r="Q382" s="47"/>
      <c r="R382" s="47"/>
      <c r="S382" s="172"/>
      <c r="T382" s="133"/>
      <c r="U382" s="47"/>
      <c r="V382" s="47"/>
      <c r="W382" s="47"/>
      <c r="X382" s="47"/>
      <c r="Y382" s="172"/>
      <c r="Z382" s="133"/>
      <c r="AA382" s="47"/>
      <c r="AB382" s="47"/>
      <c r="AC382" s="47"/>
      <c r="AD382" s="47"/>
      <c r="AE382" s="172"/>
      <c r="AF382" s="133"/>
      <c r="AG382" s="47"/>
      <c r="AH382" s="47"/>
      <c r="AI382" s="47"/>
      <c r="AJ382" s="136"/>
      <c r="AK382" s="11">
        <f>'Encargos e Benefícios'!D381</f>
        <v>0</v>
      </c>
      <c r="AL382" s="11">
        <f>IF('Encargos e Benefícios'!C381=0,0,'Encargos e Benefícios'!U381/'Encargos e Benefícios'!C381)</f>
        <v>0</v>
      </c>
      <c r="AM382" s="11">
        <f>IF('Encargos e Benefícios'!C381=0,0,'Encargos e Benefícios'!AC381/'Encargos e Benefícios'!C381)</f>
        <v>0</v>
      </c>
      <c r="AN382" s="119">
        <f>IF('Encargos e Benefícios'!C381=0,0,'Encargos e Benefícios'!AD381/'Encargos e Benefícios'!C381)</f>
        <v>0</v>
      </c>
      <c r="AO382" s="32"/>
      <c r="AP382" s="31"/>
      <c r="AQ382" s="31"/>
      <c r="AR382" s="210"/>
      <c r="AS382" s="32"/>
    </row>
    <row r="383" spans="1:45" ht="12.75" hidden="1" x14ac:dyDescent="0.2">
      <c r="A383" s="48">
        <v>377</v>
      </c>
      <c r="B383" s="12">
        <f>'Encargos e Benefícios'!B382</f>
        <v>0</v>
      </c>
      <c r="C383" s="10">
        <f>'Encargos e Benefícios'!C382</f>
        <v>0</v>
      </c>
      <c r="D383" s="38"/>
      <c r="E383" s="174"/>
      <c r="F383" s="173"/>
      <c r="G383" s="172"/>
      <c r="H383" s="133"/>
      <c r="I383" s="47"/>
      <c r="J383" s="47"/>
      <c r="K383" s="47"/>
      <c r="L383" s="47"/>
      <c r="M383" s="172"/>
      <c r="N383" s="133"/>
      <c r="O383" s="47"/>
      <c r="P383" s="47"/>
      <c r="Q383" s="47"/>
      <c r="R383" s="47"/>
      <c r="S383" s="172"/>
      <c r="T383" s="133"/>
      <c r="U383" s="47"/>
      <c r="V383" s="47"/>
      <c r="W383" s="47"/>
      <c r="X383" s="47"/>
      <c r="Y383" s="172"/>
      <c r="Z383" s="133"/>
      <c r="AA383" s="47"/>
      <c r="AB383" s="47"/>
      <c r="AC383" s="47"/>
      <c r="AD383" s="47"/>
      <c r="AE383" s="172"/>
      <c r="AF383" s="133"/>
      <c r="AG383" s="47"/>
      <c r="AH383" s="47"/>
      <c r="AI383" s="47"/>
      <c r="AJ383" s="136"/>
      <c r="AK383" s="11">
        <f>'Encargos e Benefícios'!D382</f>
        <v>0</v>
      </c>
      <c r="AL383" s="11">
        <f>IF('Encargos e Benefícios'!C382=0,0,'Encargos e Benefícios'!U382/'Encargos e Benefícios'!C382)</f>
        <v>0</v>
      </c>
      <c r="AM383" s="11">
        <f>IF('Encargos e Benefícios'!C382=0,0,'Encargos e Benefícios'!AC382/'Encargos e Benefícios'!C382)</f>
        <v>0</v>
      </c>
      <c r="AN383" s="119">
        <f>IF('Encargos e Benefícios'!C382=0,0,'Encargos e Benefícios'!AD382/'Encargos e Benefícios'!C382)</f>
        <v>0</v>
      </c>
      <c r="AO383" s="32"/>
      <c r="AP383" s="31"/>
      <c r="AQ383" s="31"/>
      <c r="AR383" s="210"/>
      <c r="AS383" s="32"/>
    </row>
    <row r="384" spans="1:45" ht="12.75" hidden="1" x14ac:dyDescent="0.2">
      <c r="A384" s="48">
        <v>378</v>
      </c>
      <c r="B384" s="12">
        <f>'Encargos e Benefícios'!B383</f>
        <v>0</v>
      </c>
      <c r="C384" s="10">
        <f>'Encargos e Benefícios'!C383</f>
        <v>0</v>
      </c>
      <c r="D384" s="38"/>
      <c r="E384" s="174"/>
      <c r="F384" s="173"/>
      <c r="G384" s="172"/>
      <c r="H384" s="133"/>
      <c r="I384" s="47"/>
      <c r="J384" s="47"/>
      <c r="K384" s="47"/>
      <c r="L384" s="47"/>
      <c r="M384" s="172"/>
      <c r="N384" s="133"/>
      <c r="O384" s="47"/>
      <c r="P384" s="47"/>
      <c r="Q384" s="47"/>
      <c r="R384" s="47"/>
      <c r="S384" s="172"/>
      <c r="T384" s="133"/>
      <c r="U384" s="47"/>
      <c r="V384" s="47"/>
      <c r="W384" s="47"/>
      <c r="X384" s="47"/>
      <c r="Y384" s="172"/>
      <c r="Z384" s="133"/>
      <c r="AA384" s="47"/>
      <c r="AB384" s="47"/>
      <c r="AC384" s="47"/>
      <c r="AD384" s="47"/>
      <c r="AE384" s="172"/>
      <c r="AF384" s="133"/>
      <c r="AG384" s="47"/>
      <c r="AH384" s="47"/>
      <c r="AI384" s="47"/>
      <c r="AJ384" s="136"/>
      <c r="AK384" s="11">
        <f>'Encargos e Benefícios'!D383</f>
        <v>0</v>
      </c>
      <c r="AL384" s="11">
        <f>IF('Encargos e Benefícios'!C383=0,0,'Encargos e Benefícios'!U383/'Encargos e Benefícios'!C383)</f>
        <v>0</v>
      </c>
      <c r="AM384" s="11">
        <f>IF('Encargos e Benefícios'!C383=0,0,'Encargos e Benefícios'!AC383/'Encargos e Benefícios'!C383)</f>
        <v>0</v>
      </c>
      <c r="AN384" s="119">
        <f>IF('Encargos e Benefícios'!C383=0,0,'Encargos e Benefícios'!AD383/'Encargos e Benefícios'!C383)</f>
        <v>0</v>
      </c>
      <c r="AO384" s="32"/>
      <c r="AP384" s="31"/>
      <c r="AQ384" s="31"/>
      <c r="AR384" s="210"/>
      <c r="AS384" s="32"/>
    </row>
    <row r="385" spans="1:45" ht="12.75" hidden="1" x14ac:dyDescent="0.2">
      <c r="A385" s="48">
        <v>379</v>
      </c>
      <c r="B385" s="12">
        <f>'Encargos e Benefícios'!B384</f>
        <v>0</v>
      </c>
      <c r="C385" s="10">
        <f>'Encargos e Benefícios'!C384</f>
        <v>0</v>
      </c>
      <c r="D385" s="38"/>
      <c r="E385" s="174"/>
      <c r="F385" s="173"/>
      <c r="G385" s="172"/>
      <c r="H385" s="133"/>
      <c r="I385" s="47"/>
      <c r="J385" s="47"/>
      <c r="K385" s="47"/>
      <c r="L385" s="47"/>
      <c r="M385" s="172"/>
      <c r="N385" s="133"/>
      <c r="O385" s="47"/>
      <c r="P385" s="47"/>
      <c r="Q385" s="47"/>
      <c r="R385" s="47"/>
      <c r="S385" s="172"/>
      <c r="T385" s="133"/>
      <c r="U385" s="47"/>
      <c r="V385" s="47"/>
      <c r="W385" s="47"/>
      <c r="X385" s="47"/>
      <c r="Y385" s="172"/>
      <c r="Z385" s="133"/>
      <c r="AA385" s="47"/>
      <c r="AB385" s="47"/>
      <c r="AC385" s="47"/>
      <c r="AD385" s="47"/>
      <c r="AE385" s="172"/>
      <c r="AF385" s="133"/>
      <c r="AG385" s="47"/>
      <c r="AH385" s="47"/>
      <c r="AI385" s="47"/>
      <c r="AJ385" s="136"/>
      <c r="AK385" s="11">
        <f>'Encargos e Benefícios'!D384</f>
        <v>0</v>
      </c>
      <c r="AL385" s="11">
        <f>IF('Encargos e Benefícios'!C384=0,0,'Encargos e Benefícios'!U384/'Encargos e Benefícios'!C384)</f>
        <v>0</v>
      </c>
      <c r="AM385" s="11">
        <f>IF('Encargos e Benefícios'!C384=0,0,'Encargos e Benefícios'!AC384/'Encargos e Benefícios'!C384)</f>
        <v>0</v>
      </c>
      <c r="AN385" s="119">
        <f>IF('Encargos e Benefícios'!C384=0,0,'Encargos e Benefícios'!AD384/'Encargos e Benefícios'!C384)</f>
        <v>0</v>
      </c>
      <c r="AO385" s="32"/>
      <c r="AP385" s="31"/>
      <c r="AQ385" s="31"/>
      <c r="AR385" s="210"/>
      <c r="AS385" s="32"/>
    </row>
    <row r="386" spans="1:45" ht="12.75" hidden="1" x14ac:dyDescent="0.2">
      <c r="A386" s="48">
        <v>380</v>
      </c>
      <c r="B386" s="12">
        <f>'Encargos e Benefícios'!B385</f>
        <v>0</v>
      </c>
      <c r="C386" s="10">
        <f>'Encargos e Benefícios'!C385</f>
        <v>0</v>
      </c>
      <c r="D386" s="38"/>
      <c r="E386" s="174"/>
      <c r="F386" s="173"/>
      <c r="G386" s="172"/>
      <c r="H386" s="133"/>
      <c r="I386" s="47"/>
      <c r="J386" s="47"/>
      <c r="K386" s="47"/>
      <c r="L386" s="47"/>
      <c r="M386" s="172"/>
      <c r="N386" s="133"/>
      <c r="O386" s="47"/>
      <c r="P386" s="47"/>
      <c r="Q386" s="47"/>
      <c r="R386" s="47"/>
      <c r="S386" s="172"/>
      <c r="T386" s="133"/>
      <c r="U386" s="47"/>
      <c r="V386" s="47"/>
      <c r="W386" s="47"/>
      <c r="X386" s="47"/>
      <c r="Y386" s="172"/>
      <c r="Z386" s="133"/>
      <c r="AA386" s="47"/>
      <c r="AB386" s="47"/>
      <c r="AC386" s="47"/>
      <c r="AD386" s="47"/>
      <c r="AE386" s="172"/>
      <c r="AF386" s="133"/>
      <c r="AG386" s="47"/>
      <c r="AH386" s="47"/>
      <c r="AI386" s="47"/>
      <c r="AJ386" s="136"/>
      <c r="AK386" s="11">
        <f>'Encargos e Benefícios'!D385</f>
        <v>0</v>
      </c>
      <c r="AL386" s="11">
        <f>IF('Encargos e Benefícios'!C385=0,0,'Encargos e Benefícios'!U385/'Encargos e Benefícios'!C385)</f>
        <v>0</v>
      </c>
      <c r="AM386" s="11">
        <f>IF('Encargos e Benefícios'!C385=0,0,'Encargos e Benefícios'!AC385/'Encargos e Benefícios'!C385)</f>
        <v>0</v>
      </c>
      <c r="AN386" s="119">
        <f>IF('Encargos e Benefícios'!C385=0,0,'Encargos e Benefícios'!AD385/'Encargos e Benefícios'!C385)</f>
        <v>0</v>
      </c>
      <c r="AO386" s="32"/>
      <c r="AP386" s="31"/>
      <c r="AQ386" s="31"/>
      <c r="AR386" s="210"/>
      <c r="AS386" s="32"/>
    </row>
    <row r="387" spans="1:45" ht="12.75" hidden="1" x14ac:dyDescent="0.2">
      <c r="A387" s="48">
        <v>381</v>
      </c>
      <c r="B387" s="12">
        <f>'Encargos e Benefícios'!B386</f>
        <v>0</v>
      </c>
      <c r="C387" s="10">
        <f>'Encargos e Benefícios'!C386</f>
        <v>0</v>
      </c>
      <c r="D387" s="38"/>
      <c r="E387" s="174"/>
      <c r="F387" s="173"/>
      <c r="G387" s="172"/>
      <c r="H387" s="133"/>
      <c r="I387" s="47"/>
      <c r="J387" s="47"/>
      <c r="K387" s="47"/>
      <c r="L387" s="47"/>
      <c r="M387" s="172"/>
      <c r="N387" s="133"/>
      <c r="O387" s="47"/>
      <c r="P387" s="47"/>
      <c r="Q387" s="47"/>
      <c r="R387" s="47"/>
      <c r="S387" s="172"/>
      <c r="T387" s="133"/>
      <c r="U387" s="47"/>
      <c r="V387" s="47"/>
      <c r="W387" s="47"/>
      <c r="X387" s="47"/>
      <c r="Y387" s="172"/>
      <c r="Z387" s="133"/>
      <c r="AA387" s="47"/>
      <c r="AB387" s="47"/>
      <c r="AC387" s="47"/>
      <c r="AD387" s="47"/>
      <c r="AE387" s="172"/>
      <c r="AF387" s="133"/>
      <c r="AG387" s="47"/>
      <c r="AH387" s="47"/>
      <c r="AI387" s="47"/>
      <c r="AJ387" s="136"/>
      <c r="AK387" s="11">
        <f>'Encargos e Benefícios'!D386</f>
        <v>0</v>
      </c>
      <c r="AL387" s="11">
        <f>IF('Encargos e Benefícios'!C386=0,0,'Encargos e Benefícios'!U386/'Encargos e Benefícios'!C386)</f>
        <v>0</v>
      </c>
      <c r="AM387" s="11">
        <f>IF('Encargos e Benefícios'!C386=0,0,'Encargos e Benefícios'!AC386/'Encargos e Benefícios'!C386)</f>
        <v>0</v>
      </c>
      <c r="AN387" s="119">
        <f>IF('Encargos e Benefícios'!C386=0,0,'Encargos e Benefícios'!AD386/'Encargos e Benefícios'!C386)</f>
        <v>0</v>
      </c>
      <c r="AO387" s="32"/>
      <c r="AP387" s="31"/>
      <c r="AQ387" s="31"/>
      <c r="AR387" s="210"/>
      <c r="AS387" s="32"/>
    </row>
    <row r="388" spans="1:45" ht="12.75" hidden="1" x14ac:dyDescent="0.2">
      <c r="A388" s="48">
        <v>382</v>
      </c>
      <c r="B388" s="12">
        <f>'Encargos e Benefícios'!B387</f>
        <v>0</v>
      </c>
      <c r="C388" s="10">
        <f>'Encargos e Benefícios'!C387</f>
        <v>0</v>
      </c>
      <c r="D388" s="38"/>
      <c r="E388" s="174"/>
      <c r="F388" s="173"/>
      <c r="G388" s="172"/>
      <c r="H388" s="133"/>
      <c r="I388" s="47"/>
      <c r="J388" s="47"/>
      <c r="K388" s="47"/>
      <c r="L388" s="47"/>
      <c r="M388" s="172"/>
      <c r="N388" s="133"/>
      <c r="O388" s="47"/>
      <c r="P388" s="47"/>
      <c r="Q388" s="47"/>
      <c r="R388" s="47"/>
      <c r="S388" s="172"/>
      <c r="T388" s="133"/>
      <c r="U388" s="47"/>
      <c r="V388" s="47"/>
      <c r="W388" s="47"/>
      <c r="X388" s="47"/>
      <c r="Y388" s="172"/>
      <c r="Z388" s="133"/>
      <c r="AA388" s="47"/>
      <c r="AB388" s="47"/>
      <c r="AC388" s="47"/>
      <c r="AD388" s="47"/>
      <c r="AE388" s="172"/>
      <c r="AF388" s="133"/>
      <c r="AG388" s="47"/>
      <c r="AH388" s="47"/>
      <c r="AI388" s="47"/>
      <c r="AJ388" s="136"/>
      <c r="AK388" s="11">
        <f>'Encargos e Benefícios'!D387</f>
        <v>0</v>
      </c>
      <c r="AL388" s="11">
        <f>IF('Encargos e Benefícios'!C387=0,0,'Encargos e Benefícios'!U387/'Encargos e Benefícios'!C387)</f>
        <v>0</v>
      </c>
      <c r="AM388" s="11">
        <f>IF('Encargos e Benefícios'!C387=0,0,'Encargos e Benefícios'!AC387/'Encargos e Benefícios'!C387)</f>
        <v>0</v>
      </c>
      <c r="AN388" s="119">
        <f>IF('Encargos e Benefícios'!C387=0,0,'Encargos e Benefícios'!AD387/'Encargos e Benefícios'!C387)</f>
        <v>0</v>
      </c>
      <c r="AO388" s="32"/>
      <c r="AP388" s="31"/>
      <c r="AQ388" s="31"/>
      <c r="AR388" s="210"/>
      <c r="AS388" s="32"/>
    </row>
    <row r="389" spans="1:45" ht="12.75" hidden="1" x14ac:dyDescent="0.2">
      <c r="A389" s="48">
        <v>383</v>
      </c>
      <c r="B389" s="12">
        <f>'Encargos e Benefícios'!B388</f>
        <v>0</v>
      </c>
      <c r="C389" s="10">
        <f>'Encargos e Benefícios'!C388</f>
        <v>0</v>
      </c>
      <c r="D389" s="38"/>
      <c r="E389" s="174"/>
      <c r="F389" s="173"/>
      <c r="G389" s="172"/>
      <c r="H389" s="133"/>
      <c r="I389" s="47"/>
      <c r="J389" s="47"/>
      <c r="K389" s="47"/>
      <c r="L389" s="47"/>
      <c r="M389" s="172"/>
      <c r="N389" s="133"/>
      <c r="O389" s="47"/>
      <c r="P389" s="47"/>
      <c r="Q389" s="47"/>
      <c r="R389" s="47"/>
      <c r="S389" s="172"/>
      <c r="T389" s="133"/>
      <c r="U389" s="47"/>
      <c r="V389" s="47"/>
      <c r="W389" s="47"/>
      <c r="X389" s="47"/>
      <c r="Y389" s="172"/>
      <c r="Z389" s="133"/>
      <c r="AA389" s="47"/>
      <c r="AB389" s="47"/>
      <c r="AC389" s="47"/>
      <c r="AD389" s="47"/>
      <c r="AE389" s="172"/>
      <c r="AF389" s="133"/>
      <c r="AG389" s="47"/>
      <c r="AH389" s="47"/>
      <c r="AI389" s="47"/>
      <c r="AJ389" s="136"/>
      <c r="AK389" s="11">
        <f>'Encargos e Benefícios'!D388</f>
        <v>0</v>
      </c>
      <c r="AL389" s="11">
        <f>IF('Encargos e Benefícios'!C388=0,0,'Encargos e Benefícios'!U388/'Encargos e Benefícios'!C388)</f>
        <v>0</v>
      </c>
      <c r="AM389" s="11">
        <f>IF('Encargos e Benefícios'!C388=0,0,'Encargos e Benefícios'!AC388/'Encargos e Benefícios'!C388)</f>
        <v>0</v>
      </c>
      <c r="AN389" s="119">
        <f>IF('Encargos e Benefícios'!C388=0,0,'Encargos e Benefícios'!AD388/'Encargos e Benefícios'!C388)</f>
        <v>0</v>
      </c>
      <c r="AO389" s="32"/>
      <c r="AP389" s="31"/>
      <c r="AQ389" s="31"/>
      <c r="AR389" s="210"/>
      <c r="AS389" s="32"/>
    </row>
    <row r="390" spans="1:45" ht="12.75" hidden="1" x14ac:dyDescent="0.2">
      <c r="A390" s="48">
        <v>384</v>
      </c>
      <c r="B390" s="12">
        <f>'Encargos e Benefícios'!B389</f>
        <v>0</v>
      </c>
      <c r="C390" s="10">
        <f>'Encargos e Benefícios'!C389</f>
        <v>0</v>
      </c>
      <c r="D390" s="38"/>
      <c r="E390" s="174"/>
      <c r="F390" s="173"/>
      <c r="G390" s="172"/>
      <c r="H390" s="133"/>
      <c r="I390" s="47"/>
      <c r="J390" s="47"/>
      <c r="K390" s="47"/>
      <c r="L390" s="47"/>
      <c r="M390" s="172"/>
      <c r="N390" s="133"/>
      <c r="O390" s="47"/>
      <c r="P390" s="47"/>
      <c r="Q390" s="47"/>
      <c r="R390" s="47"/>
      <c r="S390" s="172"/>
      <c r="T390" s="133"/>
      <c r="U390" s="47"/>
      <c r="V390" s="47"/>
      <c r="W390" s="47"/>
      <c r="X390" s="47"/>
      <c r="Y390" s="172"/>
      <c r="Z390" s="133"/>
      <c r="AA390" s="47"/>
      <c r="AB390" s="47"/>
      <c r="AC390" s="47"/>
      <c r="AD390" s="47"/>
      <c r="AE390" s="172"/>
      <c r="AF390" s="133"/>
      <c r="AG390" s="47"/>
      <c r="AH390" s="47"/>
      <c r="AI390" s="47"/>
      <c r="AJ390" s="136"/>
      <c r="AK390" s="11">
        <f>'Encargos e Benefícios'!D389</f>
        <v>0</v>
      </c>
      <c r="AL390" s="11">
        <f>IF('Encargos e Benefícios'!C389=0,0,'Encargos e Benefícios'!U389/'Encargos e Benefícios'!C389)</f>
        <v>0</v>
      </c>
      <c r="AM390" s="11">
        <f>IF('Encargos e Benefícios'!C389=0,0,'Encargos e Benefícios'!AC389/'Encargos e Benefícios'!C389)</f>
        <v>0</v>
      </c>
      <c r="AN390" s="119">
        <f>IF('Encargos e Benefícios'!C389=0,0,'Encargos e Benefícios'!AD389/'Encargos e Benefícios'!C389)</f>
        <v>0</v>
      </c>
      <c r="AO390" s="32"/>
      <c r="AP390" s="31"/>
      <c r="AQ390" s="31"/>
      <c r="AR390" s="210"/>
      <c r="AS390" s="32"/>
    </row>
    <row r="391" spans="1:45" ht="12.75" hidden="1" x14ac:dyDescent="0.2">
      <c r="A391" s="48">
        <v>385</v>
      </c>
      <c r="B391" s="12">
        <f>'Encargos e Benefícios'!B390</f>
        <v>0</v>
      </c>
      <c r="C391" s="10">
        <f>'Encargos e Benefícios'!C390</f>
        <v>0</v>
      </c>
      <c r="D391" s="38"/>
      <c r="E391" s="174"/>
      <c r="F391" s="173"/>
      <c r="G391" s="172"/>
      <c r="H391" s="133"/>
      <c r="I391" s="47"/>
      <c r="J391" s="47"/>
      <c r="K391" s="47"/>
      <c r="L391" s="47"/>
      <c r="M391" s="172"/>
      <c r="N391" s="133"/>
      <c r="O391" s="47"/>
      <c r="P391" s="47"/>
      <c r="Q391" s="47"/>
      <c r="R391" s="47"/>
      <c r="S391" s="172"/>
      <c r="T391" s="133"/>
      <c r="U391" s="47"/>
      <c r="V391" s="47"/>
      <c r="W391" s="47"/>
      <c r="X391" s="47"/>
      <c r="Y391" s="172"/>
      <c r="Z391" s="133"/>
      <c r="AA391" s="47"/>
      <c r="AB391" s="47"/>
      <c r="AC391" s="47"/>
      <c r="AD391" s="47"/>
      <c r="AE391" s="172"/>
      <c r="AF391" s="133"/>
      <c r="AG391" s="47"/>
      <c r="AH391" s="47"/>
      <c r="AI391" s="47"/>
      <c r="AJ391" s="136"/>
      <c r="AK391" s="11">
        <f>'Encargos e Benefícios'!D390</f>
        <v>0</v>
      </c>
      <c r="AL391" s="11">
        <f>IF('Encargos e Benefícios'!C390=0,0,'Encargos e Benefícios'!U390/'Encargos e Benefícios'!C390)</f>
        <v>0</v>
      </c>
      <c r="AM391" s="11">
        <f>IF('Encargos e Benefícios'!C390=0,0,'Encargos e Benefícios'!AC390/'Encargos e Benefícios'!C390)</f>
        <v>0</v>
      </c>
      <c r="AN391" s="119">
        <f>IF('Encargos e Benefícios'!C390=0,0,'Encargos e Benefícios'!AD390/'Encargos e Benefícios'!C390)</f>
        <v>0</v>
      </c>
      <c r="AO391" s="32"/>
      <c r="AP391" s="31"/>
      <c r="AQ391" s="31"/>
      <c r="AR391" s="210"/>
      <c r="AS391" s="32"/>
    </row>
    <row r="392" spans="1:45" ht="12.75" hidden="1" x14ac:dyDescent="0.2">
      <c r="A392" s="48">
        <v>386</v>
      </c>
      <c r="B392" s="12">
        <f>'Encargos e Benefícios'!B391</f>
        <v>0</v>
      </c>
      <c r="C392" s="10">
        <f>'Encargos e Benefícios'!C391</f>
        <v>0</v>
      </c>
      <c r="D392" s="38"/>
      <c r="E392" s="174"/>
      <c r="F392" s="173"/>
      <c r="G392" s="172"/>
      <c r="H392" s="133"/>
      <c r="I392" s="47"/>
      <c r="J392" s="47"/>
      <c r="K392" s="47"/>
      <c r="L392" s="47"/>
      <c r="M392" s="172"/>
      <c r="N392" s="133"/>
      <c r="O392" s="47"/>
      <c r="P392" s="47"/>
      <c r="Q392" s="47"/>
      <c r="R392" s="47"/>
      <c r="S392" s="172"/>
      <c r="T392" s="133"/>
      <c r="U392" s="47"/>
      <c r="V392" s="47"/>
      <c r="W392" s="47"/>
      <c r="X392" s="47"/>
      <c r="Y392" s="172"/>
      <c r="Z392" s="133"/>
      <c r="AA392" s="47"/>
      <c r="AB392" s="47"/>
      <c r="AC392" s="47"/>
      <c r="AD392" s="47"/>
      <c r="AE392" s="172"/>
      <c r="AF392" s="133"/>
      <c r="AG392" s="47"/>
      <c r="AH392" s="47"/>
      <c r="AI392" s="47"/>
      <c r="AJ392" s="136"/>
      <c r="AK392" s="11">
        <f>'Encargos e Benefícios'!D391</f>
        <v>0</v>
      </c>
      <c r="AL392" s="11">
        <f>IF('Encargos e Benefícios'!C391=0,0,'Encargos e Benefícios'!U391/'Encargos e Benefícios'!C391)</f>
        <v>0</v>
      </c>
      <c r="AM392" s="11">
        <f>IF('Encargos e Benefícios'!C391=0,0,'Encargos e Benefícios'!AC391/'Encargos e Benefícios'!C391)</f>
        <v>0</v>
      </c>
      <c r="AN392" s="119">
        <f>IF('Encargos e Benefícios'!C391=0,0,'Encargos e Benefícios'!AD391/'Encargos e Benefícios'!C391)</f>
        <v>0</v>
      </c>
      <c r="AO392" s="32"/>
      <c r="AP392" s="31"/>
      <c r="AQ392" s="31"/>
      <c r="AR392" s="210"/>
      <c r="AS392" s="32"/>
    </row>
    <row r="393" spans="1:45" ht="12.75" hidden="1" x14ac:dyDescent="0.2">
      <c r="A393" s="48">
        <v>387</v>
      </c>
      <c r="B393" s="12">
        <f>'Encargos e Benefícios'!B392</f>
        <v>0</v>
      </c>
      <c r="C393" s="10">
        <f>'Encargos e Benefícios'!C392</f>
        <v>0</v>
      </c>
      <c r="D393" s="38"/>
      <c r="E393" s="174"/>
      <c r="F393" s="173"/>
      <c r="G393" s="172"/>
      <c r="H393" s="133"/>
      <c r="I393" s="47"/>
      <c r="J393" s="47"/>
      <c r="K393" s="47"/>
      <c r="L393" s="47"/>
      <c r="M393" s="172"/>
      <c r="N393" s="133"/>
      <c r="O393" s="47"/>
      <c r="P393" s="47"/>
      <c r="Q393" s="47"/>
      <c r="R393" s="47"/>
      <c r="S393" s="172"/>
      <c r="T393" s="133"/>
      <c r="U393" s="47"/>
      <c r="V393" s="47"/>
      <c r="W393" s="47"/>
      <c r="X393" s="47"/>
      <c r="Y393" s="172"/>
      <c r="Z393" s="133"/>
      <c r="AA393" s="47"/>
      <c r="AB393" s="47"/>
      <c r="AC393" s="47"/>
      <c r="AD393" s="47"/>
      <c r="AE393" s="172"/>
      <c r="AF393" s="133"/>
      <c r="AG393" s="47"/>
      <c r="AH393" s="47"/>
      <c r="AI393" s="47"/>
      <c r="AJ393" s="136"/>
      <c r="AK393" s="11">
        <f>'Encargos e Benefícios'!D392</f>
        <v>0</v>
      </c>
      <c r="AL393" s="11">
        <f>IF('Encargos e Benefícios'!C392=0,0,'Encargos e Benefícios'!U392/'Encargos e Benefícios'!C392)</f>
        <v>0</v>
      </c>
      <c r="AM393" s="11">
        <f>IF('Encargos e Benefícios'!C392=0,0,'Encargos e Benefícios'!AC392/'Encargos e Benefícios'!C392)</f>
        <v>0</v>
      </c>
      <c r="AN393" s="119">
        <f>IF('Encargos e Benefícios'!C392=0,0,'Encargos e Benefícios'!AD392/'Encargos e Benefícios'!C392)</f>
        <v>0</v>
      </c>
      <c r="AO393" s="32"/>
      <c r="AP393" s="31"/>
      <c r="AQ393" s="31"/>
      <c r="AR393" s="210"/>
      <c r="AS393" s="32"/>
    </row>
    <row r="394" spans="1:45" ht="12.75" hidden="1" x14ac:dyDescent="0.2">
      <c r="A394" s="48">
        <v>388</v>
      </c>
      <c r="B394" s="12">
        <f>'Encargos e Benefícios'!B393</f>
        <v>0</v>
      </c>
      <c r="C394" s="10">
        <f>'Encargos e Benefícios'!C393</f>
        <v>0</v>
      </c>
      <c r="D394" s="38"/>
      <c r="E394" s="174"/>
      <c r="F394" s="173"/>
      <c r="G394" s="172"/>
      <c r="H394" s="133"/>
      <c r="I394" s="47"/>
      <c r="J394" s="47"/>
      <c r="K394" s="47"/>
      <c r="L394" s="47"/>
      <c r="M394" s="172"/>
      <c r="N394" s="133"/>
      <c r="O394" s="47"/>
      <c r="P394" s="47"/>
      <c r="Q394" s="47"/>
      <c r="R394" s="47"/>
      <c r="S394" s="172"/>
      <c r="T394" s="133"/>
      <c r="U394" s="47"/>
      <c r="V394" s="47"/>
      <c r="W394" s="47"/>
      <c r="X394" s="47"/>
      <c r="Y394" s="172"/>
      <c r="Z394" s="133"/>
      <c r="AA394" s="47"/>
      <c r="AB394" s="47"/>
      <c r="AC394" s="47"/>
      <c r="AD394" s="47"/>
      <c r="AE394" s="172"/>
      <c r="AF394" s="133"/>
      <c r="AG394" s="47"/>
      <c r="AH394" s="47"/>
      <c r="AI394" s="47"/>
      <c r="AJ394" s="136"/>
      <c r="AK394" s="11">
        <f>'Encargos e Benefícios'!D393</f>
        <v>0</v>
      </c>
      <c r="AL394" s="11">
        <f>IF('Encargos e Benefícios'!C393=0,0,'Encargos e Benefícios'!U393/'Encargos e Benefícios'!C393)</f>
        <v>0</v>
      </c>
      <c r="AM394" s="11">
        <f>IF('Encargos e Benefícios'!C393=0,0,'Encargos e Benefícios'!AC393/'Encargos e Benefícios'!C393)</f>
        <v>0</v>
      </c>
      <c r="AN394" s="119">
        <f>IF('Encargos e Benefícios'!C393=0,0,'Encargos e Benefícios'!AD393/'Encargos e Benefícios'!C393)</f>
        <v>0</v>
      </c>
      <c r="AO394" s="32"/>
      <c r="AP394" s="31"/>
      <c r="AQ394" s="31"/>
      <c r="AR394" s="210"/>
      <c r="AS394" s="32"/>
    </row>
    <row r="395" spans="1:45" ht="12.75" hidden="1" x14ac:dyDescent="0.2">
      <c r="A395" s="48">
        <v>389</v>
      </c>
      <c r="B395" s="12">
        <f>'Encargos e Benefícios'!B394</f>
        <v>0</v>
      </c>
      <c r="C395" s="10">
        <f>'Encargos e Benefícios'!C394</f>
        <v>0</v>
      </c>
      <c r="D395" s="38"/>
      <c r="E395" s="174"/>
      <c r="F395" s="173"/>
      <c r="G395" s="172"/>
      <c r="H395" s="133"/>
      <c r="I395" s="47"/>
      <c r="J395" s="47"/>
      <c r="K395" s="47"/>
      <c r="L395" s="47"/>
      <c r="M395" s="172"/>
      <c r="N395" s="133"/>
      <c r="O395" s="47"/>
      <c r="P395" s="47"/>
      <c r="Q395" s="47"/>
      <c r="R395" s="47"/>
      <c r="S395" s="172"/>
      <c r="T395" s="133"/>
      <c r="U395" s="47"/>
      <c r="V395" s="47"/>
      <c r="W395" s="47"/>
      <c r="X395" s="47"/>
      <c r="Y395" s="172"/>
      <c r="Z395" s="133"/>
      <c r="AA395" s="47"/>
      <c r="AB395" s="47"/>
      <c r="AC395" s="47"/>
      <c r="AD395" s="47"/>
      <c r="AE395" s="172"/>
      <c r="AF395" s="133"/>
      <c r="AG395" s="47"/>
      <c r="AH395" s="47"/>
      <c r="AI395" s="47"/>
      <c r="AJ395" s="136"/>
      <c r="AK395" s="11">
        <f>'Encargos e Benefícios'!D394</f>
        <v>0</v>
      </c>
      <c r="AL395" s="11">
        <f>IF('Encargos e Benefícios'!C394=0,0,'Encargos e Benefícios'!U394/'Encargos e Benefícios'!C394)</f>
        <v>0</v>
      </c>
      <c r="AM395" s="11">
        <f>IF('Encargos e Benefícios'!C394=0,0,'Encargos e Benefícios'!AC394/'Encargos e Benefícios'!C394)</f>
        <v>0</v>
      </c>
      <c r="AN395" s="119">
        <f>IF('Encargos e Benefícios'!C394=0,0,'Encargos e Benefícios'!AD394/'Encargos e Benefícios'!C394)</f>
        <v>0</v>
      </c>
      <c r="AO395" s="32"/>
      <c r="AP395" s="31"/>
      <c r="AQ395" s="31"/>
      <c r="AR395" s="210"/>
      <c r="AS395" s="32"/>
    </row>
    <row r="396" spans="1:45" ht="12.75" hidden="1" x14ac:dyDescent="0.2">
      <c r="A396" s="48">
        <v>390</v>
      </c>
      <c r="B396" s="12">
        <f>'Encargos e Benefícios'!B395</f>
        <v>0</v>
      </c>
      <c r="C396" s="10">
        <f>'Encargos e Benefícios'!C395</f>
        <v>0</v>
      </c>
      <c r="D396" s="38"/>
      <c r="E396" s="174"/>
      <c r="F396" s="173"/>
      <c r="G396" s="172"/>
      <c r="H396" s="133"/>
      <c r="I396" s="47"/>
      <c r="J396" s="47"/>
      <c r="K396" s="47"/>
      <c r="L396" s="47"/>
      <c r="M396" s="172"/>
      <c r="N396" s="133"/>
      <c r="O396" s="47"/>
      <c r="P396" s="47"/>
      <c r="Q396" s="47"/>
      <c r="R396" s="47"/>
      <c r="S396" s="172"/>
      <c r="T396" s="133"/>
      <c r="U396" s="47"/>
      <c r="V396" s="47"/>
      <c r="W396" s="47"/>
      <c r="X396" s="47"/>
      <c r="Y396" s="172"/>
      <c r="Z396" s="133"/>
      <c r="AA396" s="47"/>
      <c r="AB396" s="47"/>
      <c r="AC396" s="47"/>
      <c r="AD396" s="47"/>
      <c r="AE396" s="172"/>
      <c r="AF396" s="133"/>
      <c r="AG396" s="47"/>
      <c r="AH396" s="47"/>
      <c r="AI396" s="47"/>
      <c r="AJ396" s="136"/>
      <c r="AK396" s="11">
        <f>'Encargos e Benefícios'!D395</f>
        <v>0</v>
      </c>
      <c r="AL396" s="11">
        <f>IF('Encargos e Benefícios'!C395=0,0,'Encargos e Benefícios'!U395/'Encargos e Benefícios'!C395)</f>
        <v>0</v>
      </c>
      <c r="AM396" s="11">
        <f>IF('Encargos e Benefícios'!C395=0,0,'Encargos e Benefícios'!AC395/'Encargos e Benefícios'!C395)</f>
        <v>0</v>
      </c>
      <c r="AN396" s="119">
        <f>IF('Encargos e Benefícios'!C395=0,0,'Encargos e Benefícios'!AD395/'Encargos e Benefícios'!C395)</f>
        <v>0</v>
      </c>
      <c r="AO396" s="32"/>
      <c r="AP396" s="31"/>
      <c r="AQ396" s="31"/>
      <c r="AR396" s="210"/>
      <c r="AS396" s="32"/>
    </row>
    <row r="397" spans="1:45" ht="12.75" hidden="1" x14ac:dyDescent="0.2">
      <c r="A397" s="48">
        <v>391</v>
      </c>
      <c r="B397" s="12">
        <f>'Encargos e Benefícios'!B396</f>
        <v>0</v>
      </c>
      <c r="C397" s="10">
        <f>'Encargos e Benefícios'!C396</f>
        <v>0</v>
      </c>
      <c r="D397" s="38"/>
      <c r="E397" s="174"/>
      <c r="F397" s="173"/>
      <c r="G397" s="172"/>
      <c r="H397" s="133"/>
      <c r="I397" s="47"/>
      <c r="J397" s="47"/>
      <c r="K397" s="47"/>
      <c r="L397" s="47"/>
      <c r="M397" s="172"/>
      <c r="N397" s="133"/>
      <c r="O397" s="47"/>
      <c r="P397" s="47"/>
      <c r="Q397" s="47"/>
      <c r="R397" s="47"/>
      <c r="S397" s="172"/>
      <c r="T397" s="133"/>
      <c r="U397" s="47"/>
      <c r="V397" s="47"/>
      <c r="W397" s="47"/>
      <c r="X397" s="47"/>
      <c r="Y397" s="172"/>
      <c r="Z397" s="133"/>
      <c r="AA397" s="47"/>
      <c r="AB397" s="47"/>
      <c r="AC397" s="47"/>
      <c r="AD397" s="47"/>
      <c r="AE397" s="172"/>
      <c r="AF397" s="133"/>
      <c r="AG397" s="47"/>
      <c r="AH397" s="47"/>
      <c r="AI397" s="47"/>
      <c r="AJ397" s="136"/>
      <c r="AK397" s="11">
        <f>'Encargos e Benefícios'!D396</f>
        <v>0</v>
      </c>
      <c r="AL397" s="11">
        <f>IF('Encargos e Benefícios'!C396=0,0,'Encargos e Benefícios'!U396/'Encargos e Benefícios'!C396)</f>
        <v>0</v>
      </c>
      <c r="AM397" s="11">
        <f>IF('Encargos e Benefícios'!C396=0,0,'Encargos e Benefícios'!AC396/'Encargos e Benefícios'!C396)</f>
        <v>0</v>
      </c>
      <c r="AN397" s="119">
        <f>IF('Encargos e Benefícios'!C396=0,0,'Encargos e Benefícios'!AD396/'Encargos e Benefícios'!C396)</f>
        <v>0</v>
      </c>
      <c r="AO397" s="32"/>
      <c r="AP397" s="31"/>
      <c r="AQ397" s="31"/>
      <c r="AR397" s="210"/>
      <c r="AS397" s="32"/>
    </row>
    <row r="398" spans="1:45" ht="12.75" hidden="1" x14ac:dyDescent="0.2">
      <c r="A398" s="48">
        <v>392</v>
      </c>
      <c r="B398" s="12">
        <f>'Encargos e Benefícios'!B397</f>
        <v>0</v>
      </c>
      <c r="C398" s="10">
        <f>'Encargos e Benefícios'!C397</f>
        <v>0</v>
      </c>
      <c r="D398" s="38"/>
      <c r="E398" s="174"/>
      <c r="F398" s="173"/>
      <c r="G398" s="172"/>
      <c r="H398" s="133"/>
      <c r="I398" s="47"/>
      <c r="J398" s="47"/>
      <c r="K398" s="47"/>
      <c r="L398" s="47"/>
      <c r="M398" s="172"/>
      <c r="N398" s="133"/>
      <c r="O398" s="47"/>
      <c r="P398" s="47"/>
      <c r="Q398" s="47"/>
      <c r="R398" s="47"/>
      <c r="S398" s="172"/>
      <c r="T398" s="133"/>
      <c r="U398" s="47"/>
      <c r="V398" s="47"/>
      <c r="W398" s="47"/>
      <c r="X398" s="47"/>
      <c r="Y398" s="172"/>
      <c r="Z398" s="133"/>
      <c r="AA398" s="47"/>
      <c r="AB398" s="47"/>
      <c r="AC398" s="47"/>
      <c r="AD398" s="47"/>
      <c r="AE398" s="172"/>
      <c r="AF398" s="133"/>
      <c r="AG398" s="47"/>
      <c r="AH398" s="47"/>
      <c r="AI398" s="47"/>
      <c r="AJ398" s="136"/>
      <c r="AK398" s="11">
        <f>'Encargos e Benefícios'!D397</f>
        <v>0</v>
      </c>
      <c r="AL398" s="11">
        <f>IF('Encargos e Benefícios'!C397=0,0,'Encargos e Benefícios'!U397/'Encargos e Benefícios'!C397)</f>
        <v>0</v>
      </c>
      <c r="AM398" s="11">
        <f>IF('Encargos e Benefícios'!C397=0,0,'Encargos e Benefícios'!AC397/'Encargos e Benefícios'!C397)</f>
        <v>0</v>
      </c>
      <c r="AN398" s="119">
        <f>IF('Encargos e Benefícios'!C397=0,0,'Encargos e Benefícios'!AD397/'Encargos e Benefícios'!C397)</f>
        <v>0</v>
      </c>
      <c r="AO398" s="32"/>
      <c r="AP398" s="31"/>
      <c r="AQ398" s="31"/>
      <c r="AR398" s="210"/>
      <c r="AS398" s="32"/>
    </row>
    <row r="399" spans="1:45" ht="12.75" hidden="1" x14ac:dyDescent="0.2">
      <c r="A399" s="48">
        <v>393</v>
      </c>
      <c r="B399" s="12">
        <f>'Encargos e Benefícios'!B398</f>
        <v>0</v>
      </c>
      <c r="C399" s="10">
        <f>'Encargos e Benefícios'!C398</f>
        <v>0</v>
      </c>
      <c r="D399" s="38"/>
      <c r="E399" s="174"/>
      <c r="F399" s="173"/>
      <c r="G399" s="172"/>
      <c r="H399" s="133"/>
      <c r="I399" s="47"/>
      <c r="J399" s="47"/>
      <c r="K399" s="47"/>
      <c r="L399" s="47"/>
      <c r="M399" s="172"/>
      <c r="N399" s="133"/>
      <c r="O399" s="47"/>
      <c r="P399" s="47"/>
      <c r="Q399" s="47"/>
      <c r="R399" s="47"/>
      <c r="S399" s="172"/>
      <c r="T399" s="133"/>
      <c r="U399" s="47"/>
      <c r="V399" s="47"/>
      <c r="W399" s="47"/>
      <c r="X399" s="47"/>
      <c r="Y399" s="172"/>
      <c r="Z399" s="133"/>
      <c r="AA399" s="47"/>
      <c r="AB399" s="47"/>
      <c r="AC399" s="47"/>
      <c r="AD399" s="47"/>
      <c r="AE399" s="172"/>
      <c r="AF399" s="133"/>
      <c r="AG399" s="47"/>
      <c r="AH399" s="47"/>
      <c r="AI399" s="47"/>
      <c r="AJ399" s="136"/>
      <c r="AK399" s="11">
        <f>'Encargos e Benefícios'!D398</f>
        <v>0</v>
      </c>
      <c r="AL399" s="11">
        <f>IF('Encargos e Benefícios'!C398=0,0,'Encargos e Benefícios'!U398/'Encargos e Benefícios'!C398)</f>
        <v>0</v>
      </c>
      <c r="AM399" s="11">
        <f>IF('Encargos e Benefícios'!C398=0,0,'Encargos e Benefícios'!AC398/'Encargos e Benefícios'!C398)</f>
        <v>0</v>
      </c>
      <c r="AN399" s="119">
        <f>IF('Encargos e Benefícios'!C398=0,0,'Encargos e Benefícios'!AD398/'Encargos e Benefícios'!C398)</f>
        <v>0</v>
      </c>
      <c r="AO399" s="32"/>
      <c r="AP399" s="31"/>
      <c r="AQ399" s="31"/>
      <c r="AR399" s="210"/>
      <c r="AS399" s="32"/>
    </row>
    <row r="400" spans="1:45" ht="12.75" hidden="1" x14ac:dyDescent="0.2">
      <c r="A400" s="48">
        <v>394</v>
      </c>
      <c r="B400" s="12">
        <f>'Encargos e Benefícios'!B399</f>
        <v>0</v>
      </c>
      <c r="C400" s="10">
        <f>'Encargos e Benefícios'!C399</f>
        <v>0</v>
      </c>
      <c r="D400" s="38"/>
      <c r="E400" s="174"/>
      <c r="F400" s="173"/>
      <c r="G400" s="172"/>
      <c r="H400" s="133"/>
      <c r="I400" s="47"/>
      <c r="J400" s="47"/>
      <c r="K400" s="47"/>
      <c r="L400" s="47"/>
      <c r="M400" s="172"/>
      <c r="N400" s="133"/>
      <c r="O400" s="47"/>
      <c r="P400" s="47"/>
      <c r="Q400" s="47"/>
      <c r="R400" s="47"/>
      <c r="S400" s="172"/>
      <c r="T400" s="133"/>
      <c r="U400" s="47"/>
      <c r="V400" s="47"/>
      <c r="W400" s="47"/>
      <c r="X400" s="47"/>
      <c r="Y400" s="172"/>
      <c r="Z400" s="133"/>
      <c r="AA400" s="47"/>
      <c r="AB400" s="47"/>
      <c r="AC400" s="47"/>
      <c r="AD400" s="47"/>
      <c r="AE400" s="172"/>
      <c r="AF400" s="133"/>
      <c r="AG400" s="47"/>
      <c r="AH400" s="47"/>
      <c r="AI400" s="47"/>
      <c r="AJ400" s="136"/>
      <c r="AK400" s="11">
        <f>'Encargos e Benefícios'!D399</f>
        <v>0</v>
      </c>
      <c r="AL400" s="11">
        <f>IF('Encargos e Benefícios'!C399=0,0,'Encargos e Benefícios'!U399/'Encargos e Benefícios'!C399)</f>
        <v>0</v>
      </c>
      <c r="AM400" s="11">
        <f>IF('Encargos e Benefícios'!C399=0,0,'Encargos e Benefícios'!AC399/'Encargos e Benefícios'!C399)</f>
        <v>0</v>
      </c>
      <c r="AN400" s="119">
        <f>IF('Encargos e Benefícios'!C399=0,0,'Encargos e Benefícios'!AD399/'Encargos e Benefícios'!C399)</f>
        <v>0</v>
      </c>
      <c r="AO400" s="32"/>
      <c r="AP400" s="31"/>
      <c r="AQ400" s="31"/>
      <c r="AR400" s="210"/>
      <c r="AS400" s="32"/>
    </row>
    <row r="401" spans="1:45" ht="12.75" hidden="1" x14ac:dyDescent="0.2">
      <c r="A401" s="48">
        <v>395</v>
      </c>
      <c r="B401" s="12">
        <f>'Encargos e Benefícios'!B400</f>
        <v>0</v>
      </c>
      <c r="C401" s="10">
        <f>'Encargos e Benefícios'!C400</f>
        <v>0</v>
      </c>
      <c r="D401" s="38"/>
      <c r="E401" s="174"/>
      <c r="F401" s="173"/>
      <c r="G401" s="172"/>
      <c r="H401" s="133"/>
      <c r="I401" s="47"/>
      <c r="J401" s="47"/>
      <c r="K401" s="47"/>
      <c r="L401" s="47"/>
      <c r="M401" s="172"/>
      <c r="N401" s="133"/>
      <c r="O401" s="47"/>
      <c r="P401" s="47"/>
      <c r="Q401" s="47"/>
      <c r="R401" s="47"/>
      <c r="S401" s="172"/>
      <c r="T401" s="133"/>
      <c r="U401" s="47"/>
      <c r="V401" s="47"/>
      <c r="W401" s="47"/>
      <c r="X401" s="47"/>
      <c r="Y401" s="172"/>
      <c r="Z401" s="133"/>
      <c r="AA401" s="47"/>
      <c r="AB401" s="47"/>
      <c r="AC401" s="47"/>
      <c r="AD401" s="47"/>
      <c r="AE401" s="172"/>
      <c r="AF401" s="133"/>
      <c r="AG401" s="47"/>
      <c r="AH401" s="47"/>
      <c r="AI401" s="47"/>
      <c r="AJ401" s="136"/>
      <c r="AK401" s="11">
        <f>'Encargos e Benefícios'!D400</f>
        <v>0</v>
      </c>
      <c r="AL401" s="11">
        <f>IF('Encargos e Benefícios'!C400=0,0,'Encargos e Benefícios'!U400/'Encargos e Benefícios'!C400)</f>
        <v>0</v>
      </c>
      <c r="AM401" s="11">
        <f>IF('Encargos e Benefícios'!C400=0,0,'Encargos e Benefícios'!AC400/'Encargos e Benefícios'!C400)</f>
        <v>0</v>
      </c>
      <c r="AN401" s="119">
        <f>IF('Encargos e Benefícios'!C400=0,0,'Encargos e Benefícios'!AD400/'Encargos e Benefícios'!C400)</f>
        <v>0</v>
      </c>
      <c r="AO401" s="32"/>
      <c r="AP401" s="31"/>
      <c r="AQ401" s="31"/>
      <c r="AR401" s="210"/>
      <c r="AS401" s="32"/>
    </row>
    <row r="402" spans="1:45" ht="12.75" hidden="1" x14ac:dyDescent="0.2">
      <c r="A402" s="48">
        <v>396</v>
      </c>
      <c r="B402" s="12">
        <f>'Encargos e Benefícios'!B401</f>
        <v>0</v>
      </c>
      <c r="C402" s="10">
        <f>'Encargos e Benefícios'!C401</f>
        <v>0</v>
      </c>
      <c r="D402" s="38"/>
      <c r="E402" s="174"/>
      <c r="F402" s="173"/>
      <c r="G402" s="172"/>
      <c r="H402" s="133"/>
      <c r="I402" s="47"/>
      <c r="J402" s="47"/>
      <c r="K402" s="47"/>
      <c r="L402" s="47"/>
      <c r="M402" s="172"/>
      <c r="N402" s="133"/>
      <c r="O402" s="47"/>
      <c r="P402" s="47"/>
      <c r="Q402" s="47"/>
      <c r="R402" s="47"/>
      <c r="S402" s="172"/>
      <c r="T402" s="133"/>
      <c r="U402" s="47"/>
      <c r="V402" s="47"/>
      <c r="W402" s="47"/>
      <c r="X402" s="47"/>
      <c r="Y402" s="172"/>
      <c r="Z402" s="133"/>
      <c r="AA402" s="47"/>
      <c r="AB402" s="47"/>
      <c r="AC402" s="47"/>
      <c r="AD402" s="47"/>
      <c r="AE402" s="172"/>
      <c r="AF402" s="133"/>
      <c r="AG402" s="47"/>
      <c r="AH402" s="47"/>
      <c r="AI402" s="47"/>
      <c r="AJ402" s="136"/>
      <c r="AK402" s="11">
        <f>'Encargos e Benefícios'!D401</f>
        <v>0</v>
      </c>
      <c r="AL402" s="11">
        <f>IF('Encargos e Benefícios'!C401=0,0,'Encargos e Benefícios'!U401/'Encargos e Benefícios'!C401)</f>
        <v>0</v>
      </c>
      <c r="AM402" s="11">
        <f>IF('Encargos e Benefícios'!C401=0,0,'Encargos e Benefícios'!AC401/'Encargos e Benefícios'!C401)</f>
        <v>0</v>
      </c>
      <c r="AN402" s="119">
        <f>IF('Encargos e Benefícios'!C401=0,0,'Encargos e Benefícios'!AD401/'Encargos e Benefícios'!C401)</f>
        <v>0</v>
      </c>
      <c r="AO402" s="32"/>
      <c r="AP402" s="31"/>
      <c r="AQ402" s="31"/>
      <c r="AR402" s="210"/>
      <c r="AS402" s="32"/>
    </row>
    <row r="403" spans="1:45" ht="12.75" hidden="1" x14ac:dyDescent="0.2">
      <c r="A403" s="48">
        <v>397</v>
      </c>
      <c r="B403" s="12">
        <f>'Encargos e Benefícios'!B402</f>
        <v>0</v>
      </c>
      <c r="C403" s="10">
        <f>'Encargos e Benefícios'!C402</f>
        <v>0</v>
      </c>
      <c r="D403" s="38"/>
      <c r="E403" s="174"/>
      <c r="F403" s="173"/>
      <c r="G403" s="172"/>
      <c r="H403" s="133"/>
      <c r="I403" s="47"/>
      <c r="J403" s="47"/>
      <c r="K403" s="47"/>
      <c r="L403" s="47"/>
      <c r="M403" s="172"/>
      <c r="N403" s="133"/>
      <c r="O403" s="47"/>
      <c r="P403" s="47"/>
      <c r="Q403" s="47"/>
      <c r="R403" s="47"/>
      <c r="S403" s="172"/>
      <c r="T403" s="133"/>
      <c r="U403" s="47"/>
      <c r="V403" s="47"/>
      <c r="W403" s="47"/>
      <c r="X403" s="47"/>
      <c r="Y403" s="172"/>
      <c r="Z403" s="133"/>
      <c r="AA403" s="47"/>
      <c r="AB403" s="47"/>
      <c r="AC403" s="47"/>
      <c r="AD403" s="47"/>
      <c r="AE403" s="172"/>
      <c r="AF403" s="133"/>
      <c r="AG403" s="47"/>
      <c r="AH403" s="47"/>
      <c r="AI403" s="47"/>
      <c r="AJ403" s="136"/>
      <c r="AK403" s="11">
        <f>'Encargos e Benefícios'!D402</f>
        <v>0</v>
      </c>
      <c r="AL403" s="11">
        <f>IF('Encargos e Benefícios'!C402=0,0,'Encargos e Benefícios'!U402/'Encargos e Benefícios'!C402)</f>
        <v>0</v>
      </c>
      <c r="AM403" s="11">
        <f>IF('Encargos e Benefícios'!C402=0,0,'Encargos e Benefícios'!AC402/'Encargos e Benefícios'!C402)</f>
        <v>0</v>
      </c>
      <c r="AN403" s="119">
        <f>IF('Encargos e Benefícios'!C402=0,0,'Encargos e Benefícios'!AD402/'Encargos e Benefícios'!C402)</f>
        <v>0</v>
      </c>
      <c r="AO403" s="32"/>
      <c r="AP403" s="31"/>
      <c r="AQ403" s="31"/>
      <c r="AR403" s="210"/>
      <c r="AS403" s="32"/>
    </row>
    <row r="404" spans="1:45" ht="12.75" hidden="1" x14ac:dyDescent="0.2">
      <c r="A404" s="48">
        <v>398</v>
      </c>
      <c r="B404" s="12">
        <f>'Encargos e Benefícios'!B403</f>
        <v>0</v>
      </c>
      <c r="C404" s="10">
        <f>'Encargos e Benefícios'!C403</f>
        <v>0</v>
      </c>
      <c r="D404" s="38"/>
      <c r="E404" s="174"/>
      <c r="F404" s="173"/>
      <c r="G404" s="172"/>
      <c r="H404" s="133"/>
      <c r="I404" s="47"/>
      <c r="J404" s="47"/>
      <c r="K404" s="47"/>
      <c r="L404" s="47"/>
      <c r="M404" s="172"/>
      <c r="N404" s="133"/>
      <c r="O404" s="47"/>
      <c r="P404" s="47"/>
      <c r="Q404" s="47"/>
      <c r="R404" s="47"/>
      <c r="S404" s="172"/>
      <c r="T404" s="133"/>
      <c r="U404" s="47"/>
      <c r="V404" s="47"/>
      <c r="W404" s="47"/>
      <c r="X404" s="47"/>
      <c r="Y404" s="172"/>
      <c r="Z404" s="133"/>
      <c r="AA404" s="47"/>
      <c r="AB404" s="47"/>
      <c r="AC404" s="47"/>
      <c r="AD404" s="47"/>
      <c r="AE404" s="172"/>
      <c r="AF404" s="133"/>
      <c r="AG404" s="47"/>
      <c r="AH404" s="47"/>
      <c r="AI404" s="47"/>
      <c r="AJ404" s="136"/>
      <c r="AK404" s="11">
        <f>'Encargos e Benefícios'!D403</f>
        <v>0</v>
      </c>
      <c r="AL404" s="11">
        <f>IF('Encargos e Benefícios'!C403=0,0,'Encargos e Benefícios'!U403/'Encargos e Benefícios'!C403)</f>
        <v>0</v>
      </c>
      <c r="AM404" s="11">
        <f>IF('Encargos e Benefícios'!C403=0,0,'Encargos e Benefícios'!AC403/'Encargos e Benefícios'!C403)</f>
        <v>0</v>
      </c>
      <c r="AN404" s="119">
        <f>IF('Encargos e Benefícios'!C403=0,0,'Encargos e Benefícios'!AD403/'Encargos e Benefícios'!C403)</f>
        <v>0</v>
      </c>
      <c r="AO404" s="32"/>
      <c r="AP404" s="31"/>
      <c r="AQ404" s="31"/>
      <c r="AR404" s="210"/>
      <c r="AS404" s="32"/>
    </row>
    <row r="405" spans="1:45" ht="12.75" hidden="1" x14ac:dyDescent="0.2">
      <c r="A405" s="48">
        <v>399</v>
      </c>
      <c r="B405" s="12">
        <f>'Encargos e Benefícios'!B404</f>
        <v>0</v>
      </c>
      <c r="C405" s="10">
        <f>'Encargos e Benefícios'!C404</f>
        <v>0</v>
      </c>
      <c r="D405" s="38"/>
      <c r="E405" s="174"/>
      <c r="F405" s="173"/>
      <c r="G405" s="172"/>
      <c r="H405" s="133"/>
      <c r="I405" s="47"/>
      <c r="J405" s="47"/>
      <c r="K405" s="47"/>
      <c r="L405" s="47"/>
      <c r="M405" s="172"/>
      <c r="N405" s="133"/>
      <c r="O405" s="47"/>
      <c r="P405" s="47"/>
      <c r="Q405" s="47"/>
      <c r="R405" s="47"/>
      <c r="S405" s="172"/>
      <c r="T405" s="133"/>
      <c r="U405" s="47"/>
      <c r="V405" s="47"/>
      <c r="W405" s="47"/>
      <c r="X405" s="47"/>
      <c r="Y405" s="172"/>
      <c r="Z405" s="133"/>
      <c r="AA405" s="47"/>
      <c r="AB405" s="47"/>
      <c r="AC405" s="47"/>
      <c r="AD405" s="47"/>
      <c r="AE405" s="172"/>
      <c r="AF405" s="133"/>
      <c r="AG405" s="47"/>
      <c r="AH405" s="47"/>
      <c r="AI405" s="47"/>
      <c r="AJ405" s="136"/>
      <c r="AK405" s="11">
        <f>'Encargos e Benefícios'!D404</f>
        <v>0</v>
      </c>
      <c r="AL405" s="11">
        <f>IF('Encargos e Benefícios'!C404=0,0,'Encargos e Benefícios'!U404/'Encargos e Benefícios'!C404)</f>
        <v>0</v>
      </c>
      <c r="AM405" s="11">
        <f>IF('Encargos e Benefícios'!C404=0,0,'Encargos e Benefícios'!AC404/'Encargos e Benefícios'!C404)</f>
        <v>0</v>
      </c>
      <c r="AN405" s="119">
        <f>IF('Encargos e Benefícios'!C404=0,0,'Encargos e Benefícios'!AD404/'Encargos e Benefícios'!C404)</f>
        <v>0</v>
      </c>
      <c r="AO405" s="32"/>
      <c r="AP405" s="31"/>
      <c r="AQ405" s="31"/>
      <c r="AR405" s="210"/>
      <c r="AS405" s="32"/>
    </row>
    <row r="406" spans="1:45" ht="12.75" hidden="1" x14ac:dyDescent="0.2">
      <c r="A406" s="48">
        <v>400</v>
      </c>
      <c r="B406" s="12">
        <f>'Encargos e Benefícios'!B405</f>
        <v>0</v>
      </c>
      <c r="C406" s="10">
        <f>'Encargos e Benefícios'!C405</f>
        <v>0</v>
      </c>
      <c r="D406" s="38"/>
      <c r="E406" s="174"/>
      <c r="F406" s="173"/>
      <c r="G406" s="172"/>
      <c r="H406" s="133"/>
      <c r="I406" s="47"/>
      <c r="J406" s="47"/>
      <c r="K406" s="47"/>
      <c r="L406" s="47"/>
      <c r="M406" s="172"/>
      <c r="N406" s="133"/>
      <c r="O406" s="47"/>
      <c r="P406" s="47"/>
      <c r="Q406" s="47"/>
      <c r="R406" s="47"/>
      <c r="S406" s="172"/>
      <c r="T406" s="133"/>
      <c r="U406" s="47"/>
      <c r="V406" s="47"/>
      <c r="W406" s="47"/>
      <c r="X406" s="47"/>
      <c r="Y406" s="172"/>
      <c r="Z406" s="133"/>
      <c r="AA406" s="47"/>
      <c r="AB406" s="47"/>
      <c r="AC406" s="47"/>
      <c r="AD406" s="47"/>
      <c r="AE406" s="172"/>
      <c r="AF406" s="133"/>
      <c r="AG406" s="47"/>
      <c r="AH406" s="47"/>
      <c r="AI406" s="47"/>
      <c r="AJ406" s="136"/>
      <c r="AK406" s="11">
        <f>'Encargos e Benefícios'!D405</f>
        <v>0</v>
      </c>
      <c r="AL406" s="11">
        <f>IF('Encargos e Benefícios'!C405=0,0,'Encargos e Benefícios'!U405/'Encargos e Benefícios'!C405)</f>
        <v>0</v>
      </c>
      <c r="AM406" s="11">
        <f>IF('Encargos e Benefícios'!C405=0,0,'Encargos e Benefícios'!AC405/'Encargos e Benefícios'!C405)</f>
        <v>0</v>
      </c>
      <c r="AN406" s="119">
        <f>IF('Encargos e Benefícios'!C405=0,0,'Encargos e Benefícios'!AD405/'Encargos e Benefícios'!C405)</f>
        <v>0</v>
      </c>
      <c r="AO406" s="32"/>
      <c r="AP406" s="31"/>
      <c r="AQ406" s="31"/>
      <c r="AR406" s="210"/>
      <c r="AS406" s="32"/>
    </row>
    <row r="407" spans="1:45" ht="12.75" hidden="1" x14ac:dyDescent="0.2">
      <c r="A407" s="48">
        <v>401</v>
      </c>
      <c r="B407" s="12">
        <f>'Encargos e Benefícios'!B406</f>
        <v>0</v>
      </c>
      <c r="C407" s="10">
        <f>'Encargos e Benefícios'!C406</f>
        <v>0</v>
      </c>
      <c r="D407" s="38"/>
      <c r="E407" s="174"/>
      <c r="F407" s="173"/>
      <c r="G407" s="172"/>
      <c r="H407" s="133"/>
      <c r="I407" s="47"/>
      <c r="J407" s="47"/>
      <c r="K407" s="47"/>
      <c r="L407" s="47"/>
      <c r="M407" s="172"/>
      <c r="N407" s="133"/>
      <c r="O407" s="47"/>
      <c r="P407" s="47"/>
      <c r="Q407" s="47"/>
      <c r="R407" s="47"/>
      <c r="S407" s="172"/>
      <c r="T407" s="133"/>
      <c r="U407" s="47"/>
      <c r="V407" s="47"/>
      <c r="W407" s="47"/>
      <c r="X407" s="47"/>
      <c r="Y407" s="172"/>
      <c r="Z407" s="133"/>
      <c r="AA407" s="47"/>
      <c r="AB407" s="47"/>
      <c r="AC407" s="47"/>
      <c r="AD407" s="47"/>
      <c r="AE407" s="172"/>
      <c r="AF407" s="133"/>
      <c r="AG407" s="47"/>
      <c r="AH407" s="47"/>
      <c r="AI407" s="47"/>
      <c r="AJ407" s="136"/>
      <c r="AK407" s="11">
        <f>'Encargos e Benefícios'!D406</f>
        <v>0</v>
      </c>
      <c r="AL407" s="11">
        <f>IF('Encargos e Benefícios'!C406=0,0,'Encargos e Benefícios'!U406/'Encargos e Benefícios'!C406)</f>
        <v>0</v>
      </c>
      <c r="AM407" s="11">
        <f>IF('Encargos e Benefícios'!C406=0,0,'Encargos e Benefícios'!AC406/'Encargos e Benefícios'!C406)</f>
        <v>0</v>
      </c>
      <c r="AN407" s="119">
        <f>IF('Encargos e Benefícios'!C406=0,0,'Encargos e Benefícios'!AD406/'Encargos e Benefícios'!C406)</f>
        <v>0</v>
      </c>
      <c r="AO407" s="32"/>
      <c r="AP407" s="31"/>
      <c r="AQ407" s="31"/>
      <c r="AR407" s="210"/>
      <c r="AS407" s="32"/>
    </row>
    <row r="408" spans="1:45" ht="12.75" hidden="1" x14ac:dyDescent="0.2">
      <c r="A408" s="48">
        <v>402</v>
      </c>
      <c r="B408" s="12">
        <f>'Encargos e Benefícios'!B407</f>
        <v>0</v>
      </c>
      <c r="C408" s="10">
        <f>'Encargos e Benefícios'!C407</f>
        <v>0</v>
      </c>
      <c r="D408" s="38"/>
      <c r="E408" s="174"/>
      <c r="F408" s="173"/>
      <c r="G408" s="172"/>
      <c r="H408" s="133"/>
      <c r="I408" s="47"/>
      <c r="J408" s="47"/>
      <c r="K408" s="47"/>
      <c r="L408" s="47"/>
      <c r="M408" s="172"/>
      <c r="N408" s="133"/>
      <c r="O408" s="47"/>
      <c r="P408" s="47"/>
      <c r="Q408" s="47"/>
      <c r="R408" s="47"/>
      <c r="S408" s="172"/>
      <c r="T408" s="133"/>
      <c r="U408" s="47"/>
      <c r="V408" s="47"/>
      <c r="W408" s="47"/>
      <c r="X408" s="47"/>
      <c r="Y408" s="172"/>
      <c r="Z408" s="133"/>
      <c r="AA408" s="47"/>
      <c r="AB408" s="47"/>
      <c r="AC408" s="47"/>
      <c r="AD408" s="47"/>
      <c r="AE408" s="172"/>
      <c r="AF408" s="133"/>
      <c r="AG408" s="47"/>
      <c r="AH408" s="47"/>
      <c r="AI408" s="47"/>
      <c r="AJ408" s="136"/>
      <c r="AK408" s="11">
        <f>'Encargos e Benefícios'!D407</f>
        <v>0</v>
      </c>
      <c r="AL408" s="11">
        <f>IF('Encargos e Benefícios'!C407=0,0,'Encargos e Benefícios'!U407/'Encargos e Benefícios'!C407)</f>
        <v>0</v>
      </c>
      <c r="AM408" s="11">
        <f>IF('Encargos e Benefícios'!C407=0,0,'Encargos e Benefícios'!AC407/'Encargos e Benefícios'!C407)</f>
        <v>0</v>
      </c>
      <c r="AN408" s="119">
        <f>IF('Encargos e Benefícios'!C407=0,0,'Encargos e Benefícios'!AD407/'Encargos e Benefícios'!C407)</f>
        <v>0</v>
      </c>
      <c r="AO408" s="32"/>
      <c r="AP408" s="31"/>
      <c r="AQ408" s="31"/>
      <c r="AR408" s="210"/>
      <c r="AS408" s="32"/>
    </row>
    <row r="409" spans="1:45" ht="12.75" hidden="1" x14ac:dyDescent="0.2">
      <c r="A409" s="48">
        <v>403</v>
      </c>
      <c r="B409" s="12">
        <f>'Encargos e Benefícios'!B408</f>
        <v>0</v>
      </c>
      <c r="C409" s="10">
        <f>'Encargos e Benefícios'!C408</f>
        <v>0</v>
      </c>
      <c r="D409" s="38"/>
      <c r="E409" s="174"/>
      <c r="F409" s="173"/>
      <c r="G409" s="172"/>
      <c r="H409" s="133"/>
      <c r="I409" s="47"/>
      <c r="J409" s="47"/>
      <c r="K409" s="47"/>
      <c r="L409" s="47"/>
      <c r="M409" s="172"/>
      <c r="N409" s="133"/>
      <c r="O409" s="47"/>
      <c r="P409" s="47"/>
      <c r="Q409" s="47"/>
      <c r="R409" s="47"/>
      <c r="S409" s="172"/>
      <c r="T409" s="133"/>
      <c r="U409" s="47"/>
      <c r="V409" s="47"/>
      <c r="W409" s="47"/>
      <c r="X409" s="47"/>
      <c r="Y409" s="172"/>
      <c r="Z409" s="133"/>
      <c r="AA409" s="47"/>
      <c r="AB409" s="47"/>
      <c r="AC409" s="47"/>
      <c r="AD409" s="47"/>
      <c r="AE409" s="172"/>
      <c r="AF409" s="133"/>
      <c r="AG409" s="47"/>
      <c r="AH409" s="47"/>
      <c r="AI409" s="47"/>
      <c r="AJ409" s="136"/>
      <c r="AK409" s="11">
        <f>'Encargos e Benefícios'!D408</f>
        <v>0</v>
      </c>
      <c r="AL409" s="11">
        <f>IF('Encargos e Benefícios'!C408=0,0,'Encargos e Benefícios'!U408/'Encargos e Benefícios'!C408)</f>
        <v>0</v>
      </c>
      <c r="AM409" s="11">
        <f>IF('Encargos e Benefícios'!C408=0,0,'Encargos e Benefícios'!AC408/'Encargos e Benefícios'!C408)</f>
        <v>0</v>
      </c>
      <c r="AN409" s="119">
        <f>IF('Encargos e Benefícios'!C408=0,0,'Encargos e Benefícios'!AD408/'Encargos e Benefícios'!C408)</f>
        <v>0</v>
      </c>
      <c r="AO409" s="32"/>
      <c r="AP409" s="31"/>
      <c r="AQ409" s="31"/>
      <c r="AR409" s="210"/>
      <c r="AS409" s="32"/>
    </row>
    <row r="410" spans="1:45" ht="12.75" hidden="1" x14ac:dyDescent="0.2">
      <c r="A410" s="48">
        <v>404</v>
      </c>
      <c r="B410" s="12">
        <f>'Encargos e Benefícios'!B409</f>
        <v>0</v>
      </c>
      <c r="C410" s="10">
        <f>'Encargos e Benefícios'!C409</f>
        <v>0</v>
      </c>
      <c r="D410" s="38"/>
      <c r="E410" s="174"/>
      <c r="F410" s="173"/>
      <c r="G410" s="172"/>
      <c r="H410" s="133"/>
      <c r="I410" s="47"/>
      <c r="J410" s="47"/>
      <c r="K410" s="47"/>
      <c r="L410" s="47"/>
      <c r="M410" s="172"/>
      <c r="N410" s="133"/>
      <c r="O410" s="47"/>
      <c r="P410" s="47"/>
      <c r="Q410" s="47"/>
      <c r="R410" s="47"/>
      <c r="S410" s="172"/>
      <c r="T410" s="133"/>
      <c r="U410" s="47"/>
      <c r="V410" s="47"/>
      <c r="W410" s="47"/>
      <c r="X410" s="47"/>
      <c r="Y410" s="172"/>
      <c r="Z410" s="133"/>
      <c r="AA410" s="47"/>
      <c r="AB410" s="47"/>
      <c r="AC410" s="47"/>
      <c r="AD410" s="47"/>
      <c r="AE410" s="172"/>
      <c r="AF410" s="133"/>
      <c r="AG410" s="47"/>
      <c r="AH410" s="47"/>
      <c r="AI410" s="47"/>
      <c r="AJ410" s="136"/>
      <c r="AK410" s="11">
        <f>'Encargos e Benefícios'!D409</f>
        <v>0</v>
      </c>
      <c r="AL410" s="11">
        <f>IF('Encargos e Benefícios'!C409=0,0,'Encargos e Benefícios'!U409/'Encargos e Benefícios'!C409)</f>
        <v>0</v>
      </c>
      <c r="AM410" s="11">
        <f>IF('Encargos e Benefícios'!C409=0,0,'Encargos e Benefícios'!AC409/'Encargos e Benefícios'!C409)</f>
        <v>0</v>
      </c>
      <c r="AN410" s="119">
        <f>IF('Encargos e Benefícios'!C409=0,0,'Encargos e Benefícios'!AD409/'Encargos e Benefícios'!C409)</f>
        <v>0</v>
      </c>
      <c r="AO410" s="32"/>
      <c r="AP410" s="31"/>
      <c r="AQ410" s="31"/>
      <c r="AR410" s="210"/>
      <c r="AS410" s="32"/>
    </row>
    <row r="411" spans="1:45" ht="12.75" hidden="1" x14ac:dyDescent="0.2">
      <c r="A411" s="48">
        <v>405</v>
      </c>
      <c r="B411" s="12">
        <f>'Encargos e Benefícios'!B410</f>
        <v>0</v>
      </c>
      <c r="C411" s="10">
        <f>'Encargos e Benefícios'!C410</f>
        <v>0</v>
      </c>
      <c r="D411" s="38"/>
      <c r="E411" s="174"/>
      <c r="F411" s="173"/>
      <c r="G411" s="172"/>
      <c r="H411" s="133"/>
      <c r="I411" s="47"/>
      <c r="J411" s="47"/>
      <c r="K411" s="47"/>
      <c r="L411" s="47"/>
      <c r="M411" s="172"/>
      <c r="N411" s="133"/>
      <c r="O411" s="47"/>
      <c r="P411" s="47"/>
      <c r="Q411" s="47"/>
      <c r="R411" s="47"/>
      <c r="S411" s="172"/>
      <c r="T411" s="133"/>
      <c r="U411" s="47"/>
      <c r="V411" s="47"/>
      <c r="W411" s="47"/>
      <c r="X411" s="47"/>
      <c r="Y411" s="172"/>
      <c r="Z411" s="133"/>
      <c r="AA411" s="47"/>
      <c r="AB411" s="47"/>
      <c r="AC411" s="47"/>
      <c r="AD411" s="47"/>
      <c r="AE411" s="172"/>
      <c r="AF411" s="133"/>
      <c r="AG411" s="47"/>
      <c r="AH411" s="47"/>
      <c r="AI411" s="47"/>
      <c r="AJ411" s="136"/>
      <c r="AK411" s="11">
        <f>'Encargos e Benefícios'!D410</f>
        <v>0</v>
      </c>
      <c r="AL411" s="11">
        <f>IF('Encargos e Benefícios'!C410=0,0,'Encargos e Benefícios'!U410/'Encargos e Benefícios'!C410)</f>
        <v>0</v>
      </c>
      <c r="AM411" s="11">
        <f>IF('Encargos e Benefícios'!C410=0,0,'Encargos e Benefícios'!AC410/'Encargos e Benefícios'!C410)</f>
        <v>0</v>
      </c>
      <c r="AN411" s="119">
        <f>IF('Encargos e Benefícios'!C410=0,0,'Encargos e Benefícios'!AD410/'Encargos e Benefícios'!C410)</f>
        <v>0</v>
      </c>
      <c r="AO411" s="32"/>
      <c r="AP411" s="31"/>
      <c r="AQ411" s="31"/>
      <c r="AR411" s="210"/>
      <c r="AS411" s="32"/>
    </row>
    <row r="412" spans="1:45" ht="12.75" hidden="1" x14ac:dyDescent="0.2">
      <c r="A412" s="48">
        <v>406</v>
      </c>
      <c r="B412" s="12">
        <f>'Encargos e Benefícios'!B411</f>
        <v>0</v>
      </c>
      <c r="C412" s="10">
        <f>'Encargos e Benefícios'!C411</f>
        <v>0</v>
      </c>
      <c r="D412" s="38"/>
      <c r="E412" s="174"/>
      <c r="F412" s="173"/>
      <c r="G412" s="172"/>
      <c r="H412" s="133"/>
      <c r="I412" s="47"/>
      <c r="J412" s="47"/>
      <c r="K412" s="47"/>
      <c r="L412" s="47"/>
      <c r="M412" s="172"/>
      <c r="N412" s="133"/>
      <c r="O412" s="47"/>
      <c r="P412" s="47"/>
      <c r="Q412" s="47"/>
      <c r="R412" s="47"/>
      <c r="S412" s="172"/>
      <c r="T412" s="133"/>
      <c r="U412" s="47"/>
      <c r="V412" s="47"/>
      <c r="W412" s="47"/>
      <c r="X412" s="47"/>
      <c r="Y412" s="172"/>
      <c r="Z412" s="133"/>
      <c r="AA412" s="47"/>
      <c r="AB412" s="47"/>
      <c r="AC412" s="47"/>
      <c r="AD412" s="47"/>
      <c r="AE412" s="172"/>
      <c r="AF412" s="133"/>
      <c r="AG412" s="47"/>
      <c r="AH412" s="47"/>
      <c r="AI412" s="47"/>
      <c r="AJ412" s="136"/>
      <c r="AK412" s="11">
        <f>'Encargos e Benefícios'!D411</f>
        <v>0</v>
      </c>
      <c r="AL412" s="11">
        <f>IF('Encargos e Benefícios'!C411=0,0,'Encargos e Benefícios'!U411/'Encargos e Benefícios'!C411)</f>
        <v>0</v>
      </c>
      <c r="AM412" s="11">
        <f>IF('Encargos e Benefícios'!C411=0,0,'Encargos e Benefícios'!AC411/'Encargos e Benefícios'!C411)</f>
        <v>0</v>
      </c>
      <c r="AN412" s="119">
        <f>IF('Encargos e Benefícios'!C411=0,0,'Encargos e Benefícios'!AD411/'Encargos e Benefícios'!C411)</f>
        <v>0</v>
      </c>
      <c r="AO412" s="32"/>
      <c r="AP412" s="31"/>
      <c r="AQ412" s="31"/>
      <c r="AR412" s="210"/>
      <c r="AS412" s="32"/>
    </row>
    <row r="413" spans="1:45" ht="12.75" hidden="1" x14ac:dyDescent="0.2">
      <c r="A413" s="48">
        <v>407</v>
      </c>
      <c r="B413" s="12">
        <f>'Encargos e Benefícios'!B412</f>
        <v>0</v>
      </c>
      <c r="C413" s="10">
        <f>'Encargos e Benefícios'!C412</f>
        <v>0</v>
      </c>
      <c r="D413" s="38"/>
      <c r="E413" s="174"/>
      <c r="F413" s="173"/>
      <c r="G413" s="172"/>
      <c r="H413" s="133"/>
      <c r="I413" s="47"/>
      <c r="J413" s="47"/>
      <c r="K413" s="47"/>
      <c r="L413" s="47"/>
      <c r="M413" s="172"/>
      <c r="N413" s="133"/>
      <c r="O413" s="47"/>
      <c r="P413" s="47"/>
      <c r="Q413" s="47"/>
      <c r="R413" s="47"/>
      <c r="S413" s="172"/>
      <c r="T413" s="133"/>
      <c r="U413" s="47"/>
      <c r="V413" s="47"/>
      <c r="W413" s="47"/>
      <c r="X413" s="47"/>
      <c r="Y413" s="172"/>
      <c r="Z413" s="133"/>
      <c r="AA413" s="47"/>
      <c r="AB413" s="47"/>
      <c r="AC413" s="47"/>
      <c r="AD413" s="47"/>
      <c r="AE413" s="172"/>
      <c r="AF413" s="133"/>
      <c r="AG413" s="47"/>
      <c r="AH413" s="47"/>
      <c r="AI413" s="47"/>
      <c r="AJ413" s="136"/>
      <c r="AK413" s="11">
        <f>'Encargos e Benefícios'!D412</f>
        <v>0</v>
      </c>
      <c r="AL413" s="11">
        <f>IF('Encargos e Benefícios'!C412=0,0,'Encargos e Benefícios'!U412/'Encargos e Benefícios'!C412)</f>
        <v>0</v>
      </c>
      <c r="AM413" s="11">
        <f>IF('Encargos e Benefícios'!C412=0,0,'Encargos e Benefícios'!AC412/'Encargos e Benefícios'!C412)</f>
        <v>0</v>
      </c>
      <c r="AN413" s="119">
        <f>IF('Encargos e Benefícios'!C412=0,0,'Encargos e Benefícios'!AD412/'Encargos e Benefícios'!C412)</f>
        <v>0</v>
      </c>
      <c r="AO413" s="32"/>
      <c r="AP413" s="31"/>
      <c r="AQ413" s="31"/>
      <c r="AR413" s="210"/>
      <c r="AS413" s="32"/>
    </row>
    <row r="414" spans="1:45" ht="12.75" hidden="1" x14ac:dyDescent="0.2">
      <c r="A414" s="48">
        <v>408</v>
      </c>
      <c r="B414" s="12">
        <f>'Encargos e Benefícios'!B413</f>
        <v>0</v>
      </c>
      <c r="C414" s="10">
        <f>'Encargos e Benefícios'!C413</f>
        <v>0</v>
      </c>
      <c r="D414" s="38"/>
      <c r="E414" s="174"/>
      <c r="F414" s="173"/>
      <c r="G414" s="172"/>
      <c r="H414" s="133"/>
      <c r="I414" s="47"/>
      <c r="J414" s="47"/>
      <c r="K414" s="47"/>
      <c r="L414" s="47"/>
      <c r="M414" s="172"/>
      <c r="N414" s="133"/>
      <c r="O414" s="47"/>
      <c r="P414" s="47"/>
      <c r="Q414" s="47"/>
      <c r="R414" s="47"/>
      <c r="S414" s="172"/>
      <c r="T414" s="133"/>
      <c r="U414" s="47"/>
      <c r="V414" s="47"/>
      <c r="W414" s="47"/>
      <c r="X414" s="47"/>
      <c r="Y414" s="172"/>
      <c r="Z414" s="133"/>
      <c r="AA414" s="47"/>
      <c r="AB414" s="47"/>
      <c r="AC414" s="47"/>
      <c r="AD414" s="47"/>
      <c r="AE414" s="172"/>
      <c r="AF414" s="133"/>
      <c r="AG414" s="47"/>
      <c r="AH414" s="47"/>
      <c r="AI414" s="47"/>
      <c r="AJ414" s="136"/>
      <c r="AK414" s="11">
        <f>'Encargos e Benefícios'!D413</f>
        <v>0</v>
      </c>
      <c r="AL414" s="11">
        <f>IF('Encargos e Benefícios'!C413=0,0,'Encargos e Benefícios'!U413/'Encargos e Benefícios'!C413)</f>
        <v>0</v>
      </c>
      <c r="AM414" s="11">
        <f>IF('Encargos e Benefícios'!C413=0,0,'Encargos e Benefícios'!AC413/'Encargos e Benefícios'!C413)</f>
        <v>0</v>
      </c>
      <c r="AN414" s="119">
        <f>IF('Encargos e Benefícios'!C413=0,0,'Encargos e Benefícios'!AD413/'Encargos e Benefícios'!C413)</f>
        <v>0</v>
      </c>
      <c r="AO414" s="32"/>
      <c r="AP414" s="31"/>
      <c r="AQ414" s="31"/>
      <c r="AR414" s="210"/>
      <c r="AS414" s="32"/>
    </row>
    <row r="415" spans="1:45" ht="12.75" hidden="1" x14ac:dyDescent="0.2">
      <c r="A415" s="48">
        <v>409</v>
      </c>
      <c r="B415" s="12">
        <f>'Encargos e Benefícios'!B414</f>
        <v>0</v>
      </c>
      <c r="C415" s="10">
        <f>'Encargos e Benefícios'!C414</f>
        <v>0</v>
      </c>
      <c r="D415" s="38"/>
      <c r="E415" s="174"/>
      <c r="F415" s="173"/>
      <c r="G415" s="172"/>
      <c r="H415" s="133"/>
      <c r="I415" s="47"/>
      <c r="J415" s="47"/>
      <c r="K415" s="47"/>
      <c r="L415" s="47"/>
      <c r="M415" s="172"/>
      <c r="N415" s="133"/>
      <c r="O415" s="47"/>
      <c r="P415" s="47"/>
      <c r="Q415" s="47"/>
      <c r="R415" s="47"/>
      <c r="S415" s="172"/>
      <c r="T415" s="133"/>
      <c r="U415" s="47"/>
      <c r="V415" s="47"/>
      <c r="W415" s="47"/>
      <c r="X415" s="47"/>
      <c r="Y415" s="172"/>
      <c r="Z415" s="133"/>
      <c r="AA415" s="47"/>
      <c r="AB415" s="47"/>
      <c r="AC415" s="47"/>
      <c r="AD415" s="47"/>
      <c r="AE415" s="172"/>
      <c r="AF415" s="133"/>
      <c r="AG415" s="47"/>
      <c r="AH415" s="47"/>
      <c r="AI415" s="47"/>
      <c r="AJ415" s="136"/>
      <c r="AK415" s="11">
        <f>'Encargos e Benefícios'!D414</f>
        <v>0</v>
      </c>
      <c r="AL415" s="11">
        <f>IF('Encargos e Benefícios'!C414=0,0,'Encargos e Benefícios'!U414/'Encargos e Benefícios'!C414)</f>
        <v>0</v>
      </c>
      <c r="AM415" s="11">
        <f>IF('Encargos e Benefícios'!C414=0,0,'Encargos e Benefícios'!AC414/'Encargos e Benefícios'!C414)</f>
        <v>0</v>
      </c>
      <c r="AN415" s="119">
        <f>IF('Encargos e Benefícios'!C414=0,0,'Encargos e Benefícios'!AD414/'Encargos e Benefícios'!C414)</f>
        <v>0</v>
      </c>
      <c r="AO415" s="32"/>
      <c r="AP415" s="31"/>
      <c r="AQ415" s="31"/>
      <c r="AR415" s="210"/>
      <c r="AS415" s="32"/>
    </row>
    <row r="416" spans="1:45" ht="12.75" hidden="1" x14ac:dyDescent="0.2">
      <c r="A416" s="48">
        <v>410</v>
      </c>
      <c r="B416" s="12">
        <f>'Encargos e Benefícios'!B415</f>
        <v>0</v>
      </c>
      <c r="C416" s="10">
        <f>'Encargos e Benefícios'!C415</f>
        <v>0</v>
      </c>
      <c r="D416" s="38"/>
      <c r="E416" s="174"/>
      <c r="F416" s="173"/>
      <c r="G416" s="172"/>
      <c r="H416" s="133"/>
      <c r="I416" s="47"/>
      <c r="J416" s="47"/>
      <c r="K416" s="47"/>
      <c r="L416" s="47"/>
      <c r="M416" s="172"/>
      <c r="N416" s="133"/>
      <c r="O416" s="47"/>
      <c r="P416" s="47"/>
      <c r="Q416" s="47"/>
      <c r="R416" s="47"/>
      <c r="S416" s="172"/>
      <c r="T416" s="133"/>
      <c r="U416" s="47"/>
      <c r="V416" s="47"/>
      <c r="W416" s="47"/>
      <c r="X416" s="47"/>
      <c r="Y416" s="172"/>
      <c r="Z416" s="133"/>
      <c r="AA416" s="47"/>
      <c r="AB416" s="47"/>
      <c r="AC416" s="47"/>
      <c r="AD416" s="47"/>
      <c r="AE416" s="172"/>
      <c r="AF416" s="133"/>
      <c r="AG416" s="47"/>
      <c r="AH416" s="47"/>
      <c r="AI416" s="47"/>
      <c r="AJ416" s="136"/>
      <c r="AK416" s="11">
        <f>'Encargos e Benefícios'!D415</f>
        <v>0</v>
      </c>
      <c r="AL416" s="11">
        <f>IF('Encargos e Benefícios'!C415=0,0,'Encargos e Benefícios'!U415/'Encargos e Benefícios'!C415)</f>
        <v>0</v>
      </c>
      <c r="AM416" s="11">
        <f>IF('Encargos e Benefícios'!C415=0,0,'Encargos e Benefícios'!AC415/'Encargos e Benefícios'!C415)</f>
        <v>0</v>
      </c>
      <c r="AN416" s="119">
        <f>IF('Encargos e Benefícios'!C415=0,0,'Encargos e Benefícios'!AD415/'Encargos e Benefícios'!C415)</f>
        <v>0</v>
      </c>
      <c r="AO416" s="32"/>
      <c r="AP416" s="31"/>
      <c r="AQ416" s="31"/>
      <c r="AR416" s="210"/>
      <c r="AS416" s="32"/>
    </row>
    <row r="417" spans="1:45" ht="12.75" hidden="1" x14ac:dyDescent="0.2">
      <c r="A417" s="48">
        <v>411</v>
      </c>
      <c r="B417" s="12">
        <f>'Encargos e Benefícios'!B416</f>
        <v>0</v>
      </c>
      <c r="C417" s="10">
        <f>'Encargos e Benefícios'!C416</f>
        <v>0</v>
      </c>
      <c r="D417" s="38"/>
      <c r="E417" s="174"/>
      <c r="F417" s="173"/>
      <c r="G417" s="172"/>
      <c r="H417" s="133"/>
      <c r="I417" s="47"/>
      <c r="J417" s="47"/>
      <c r="K417" s="47"/>
      <c r="L417" s="47"/>
      <c r="M417" s="172"/>
      <c r="N417" s="133"/>
      <c r="O417" s="47"/>
      <c r="P417" s="47"/>
      <c r="Q417" s="47"/>
      <c r="R417" s="47"/>
      <c r="S417" s="172"/>
      <c r="T417" s="133"/>
      <c r="U417" s="47"/>
      <c r="V417" s="47"/>
      <c r="W417" s="47"/>
      <c r="X417" s="47"/>
      <c r="Y417" s="172"/>
      <c r="Z417" s="133"/>
      <c r="AA417" s="47"/>
      <c r="AB417" s="47"/>
      <c r="AC417" s="47"/>
      <c r="AD417" s="47"/>
      <c r="AE417" s="172"/>
      <c r="AF417" s="133"/>
      <c r="AG417" s="47"/>
      <c r="AH417" s="47"/>
      <c r="AI417" s="47"/>
      <c r="AJ417" s="136"/>
      <c r="AK417" s="11">
        <f>'Encargos e Benefícios'!D416</f>
        <v>0</v>
      </c>
      <c r="AL417" s="11">
        <f>IF('Encargos e Benefícios'!C416=0,0,'Encargos e Benefícios'!U416/'Encargos e Benefícios'!C416)</f>
        <v>0</v>
      </c>
      <c r="AM417" s="11">
        <f>IF('Encargos e Benefícios'!C416=0,0,'Encargos e Benefícios'!AC416/'Encargos e Benefícios'!C416)</f>
        <v>0</v>
      </c>
      <c r="AN417" s="119">
        <f>IF('Encargos e Benefícios'!C416=0,0,'Encargos e Benefícios'!AD416/'Encargos e Benefícios'!C416)</f>
        <v>0</v>
      </c>
      <c r="AO417" s="32"/>
      <c r="AP417" s="31"/>
      <c r="AQ417" s="31"/>
      <c r="AR417" s="210"/>
      <c r="AS417" s="32"/>
    </row>
    <row r="418" spans="1:45" ht="12.75" hidden="1" x14ac:dyDescent="0.2">
      <c r="A418" s="48">
        <v>412</v>
      </c>
      <c r="B418" s="12">
        <f>'Encargos e Benefícios'!B417</f>
        <v>0</v>
      </c>
      <c r="C418" s="10">
        <f>'Encargos e Benefícios'!C417</f>
        <v>0</v>
      </c>
      <c r="D418" s="38"/>
      <c r="E418" s="174"/>
      <c r="F418" s="173"/>
      <c r="G418" s="172"/>
      <c r="H418" s="133"/>
      <c r="I418" s="47"/>
      <c r="J418" s="47"/>
      <c r="K418" s="47"/>
      <c r="L418" s="47"/>
      <c r="M418" s="172"/>
      <c r="N418" s="133"/>
      <c r="O418" s="47"/>
      <c r="P418" s="47"/>
      <c r="Q418" s="47"/>
      <c r="R418" s="47"/>
      <c r="S418" s="172"/>
      <c r="T418" s="133"/>
      <c r="U418" s="47"/>
      <c r="V418" s="47"/>
      <c r="W418" s="47"/>
      <c r="X418" s="47"/>
      <c r="Y418" s="172"/>
      <c r="Z418" s="133"/>
      <c r="AA418" s="47"/>
      <c r="AB418" s="47"/>
      <c r="AC418" s="47"/>
      <c r="AD418" s="47"/>
      <c r="AE418" s="172"/>
      <c r="AF418" s="133"/>
      <c r="AG418" s="47"/>
      <c r="AH418" s="47"/>
      <c r="AI418" s="47"/>
      <c r="AJ418" s="136"/>
      <c r="AK418" s="11">
        <f>'Encargos e Benefícios'!D417</f>
        <v>0</v>
      </c>
      <c r="AL418" s="11">
        <f>IF('Encargos e Benefícios'!C417=0,0,'Encargos e Benefícios'!U417/'Encargos e Benefícios'!C417)</f>
        <v>0</v>
      </c>
      <c r="AM418" s="11">
        <f>IF('Encargos e Benefícios'!C417=0,0,'Encargos e Benefícios'!AC417/'Encargos e Benefícios'!C417)</f>
        <v>0</v>
      </c>
      <c r="AN418" s="119">
        <f>IF('Encargos e Benefícios'!C417=0,0,'Encargos e Benefícios'!AD417/'Encargos e Benefícios'!C417)</f>
        <v>0</v>
      </c>
      <c r="AO418" s="32"/>
      <c r="AP418" s="31"/>
      <c r="AQ418" s="31"/>
      <c r="AR418" s="210"/>
      <c r="AS418" s="32"/>
    </row>
    <row r="419" spans="1:45" ht="12.75" hidden="1" x14ac:dyDescent="0.2">
      <c r="A419" s="48">
        <v>413</v>
      </c>
      <c r="B419" s="12">
        <f>'Encargos e Benefícios'!B418</f>
        <v>0</v>
      </c>
      <c r="C419" s="10">
        <f>'Encargos e Benefícios'!C418</f>
        <v>0</v>
      </c>
      <c r="D419" s="38"/>
      <c r="E419" s="174"/>
      <c r="F419" s="173"/>
      <c r="G419" s="172"/>
      <c r="H419" s="133"/>
      <c r="I419" s="47"/>
      <c r="J419" s="47"/>
      <c r="K419" s="47"/>
      <c r="L419" s="47"/>
      <c r="M419" s="172"/>
      <c r="N419" s="133"/>
      <c r="O419" s="47"/>
      <c r="P419" s="47"/>
      <c r="Q419" s="47"/>
      <c r="R419" s="47"/>
      <c r="S419" s="172"/>
      <c r="T419" s="133"/>
      <c r="U419" s="47"/>
      <c r="V419" s="47"/>
      <c r="W419" s="47"/>
      <c r="X419" s="47"/>
      <c r="Y419" s="172"/>
      <c r="Z419" s="133"/>
      <c r="AA419" s="47"/>
      <c r="AB419" s="47"/>
      <c r="AC419" s="47"/>
      <c r="AD419" s="47"/>
      <c r="AE419" s="172"/>
      <c r="AF419" s="133"/>
      <c r="AG419" s="47"/>
      <c r="AH419" s="47"/>
      <c r="AI419" s="47"/>
      <c r="AJ419" s="136"/>
      <c r="AK419" s="11">
        <f>'Encargos e Benefícios'!D418</f>
        <v>0</v>
      </c>
      <c r="AL419" s="11">
        <f>IF('Encargos e Benefícios'!C418=0,0,'Encargos e Benefícios'!U418/'Encargos e Benefícios'!C418)</f>
        <v>0</v>
      </c>
      <c r="AM419" s="11">
        <f>IF('Encargos e Benefícios'!C418=0,0,'Encargos e Benefícios'!AC418/'Encargos e Benefícios'!C418)</f>
        <v>0</v>
      </c>
      <c r="AN419" s="119">
        <f>IF('Encargos e Benefícios'!C418=0,0,'Encargos e Benefícios'!AD418/'Encargos e Benefícios'!C418)</f>
        <v>0</v>
      </c>
      <c r="AO419" s="32"/>
      <c r="AP419" s="31"/>
      <c r="AQ419" s="31"/>
      <c r="AR419" s="210"/>
      <c r="AS419" s="32"/>
    </row>
    <row r="420" spans="1:45" ht="12.75" hidden="1" x14ac:dyDescent="0.2">
      <c r="A420" s="48">
        <v>414</v>
      </c>
      <c r="B420" s="12">
        <f>'Encargos e Benefícios'!B419</f>
        <v>0</v>
      </c>
      <c r="C420" s="10">
        <f>'Encargos e Benefícios'!C419</f>
        <v>0</v>
      </c>
      <c r="D420" s="38"/>
      <c r="E420" s="174"/>
      <c r="F420" s="173"/>
      <c r="G420" s="172"/>
      <c r="H420" s="133"/>
      <c r="I420" s="47"/>
      <c r="J420" s="47"/>
      <c r="K420" s="47"/>
      <c r="L420" s="47"/>
      <c r="M420" s="172"/>
      <c r="N420" s="133"/>
      <c r="O420" s="47"/>
      <c r="P420" s="47"/>
      <c r="Q420" s="47"/>
      <c r="R420" s="47"/>
      <c r="S420" s="172"/>
      <c r="T420" s="133"/>
      <c r="U420" s="47"/>
      <c r="V420" s="47"/>
      <c r="W420" s="47"/>
      <c r="X420" s="47"/>
      <c r="Y420" s="172"/>
      <c r="Z420" s="133"/>
      <c r="AA420" s="47"/>
      <c r="AB420" s="47"/>
      <c r="AC420" s="47"/>
      <c r="AD420" s="47"/>
      <c r="AE420" s="172"/>
      <c r="AF420" s="133"/>
      <c r="AG420" s="47"/>
      <c r="AH420" s="47"/>
      <c r="AI420" s="47"/>
      <c r="AJ420" s="136"/>
      <c r="AK420" s="11">
        <f>'Encargos e Benefícios'!D419</f>
        <v>0</v>
      </c>
      <c r="AL420" s="11">
        <f>IF('Encargos e Benefícios'!C419=0,0,'Encargos e Benefícios'!U419/'Encargos e Benefícios'!C419)</f>
        <v>0</v>
      </c>
      <c r="AM420" s="11">
        <f>IF('Encargos e Benefícios'!C419=0,0,'Encargos e Benefícios'!AC419/'Encargos e Benefícios'!C419)</f>
        <v>0</v>
      </c>
      <c r="AN420" s="119">
        <f>IF('Encargos e Benefícios'!C419=0,0,'Encargos e Benefícios'!AD419/'Encargos e Benefícios'!C419)</f>
        <v>0</v>
      </c>
      <c r="AO420" s="32"/>
      <c r="AP420" s="31"/>
      <c r="AQ420" s="31"/>
      <c r="AR420" s="210"/>
      <c r="AS420" s="32"/>
    </row>
    <row r="421" spans="1:45" ht="12.75" hidden="1" x14ac:dyDescent="0.2">
      <c r="A421" s="48">
        <v>415</v>
      </c>
      <c r="B421" s="12">
        <f>'Encargos e Benefícios'!B420</f>
        <v>0</v>
      </c>
      <c r="C421" s="10">
        <f>'Encargos e Benefícios'!C420</f>
        <v>0</v>
      </c>
      <c r="D421" s="38"/>
      <c r="E421" s="174"/>
      <c r="F421" s="173"/>
      <c r="G421" s="172"/>
      <c r="H421" s="133"/>
      <c r="I421" s="47"/>
      <c r="J421" s="47"/>
      <c r="K421" s="47"/>
      <c r="L421" s="47"/>
      <c r="M421" s="172"/>
      <c r="N421" s="133"/>
      <c r="O421" s="47"/>
      <c r="P421" s="47"/>
      <c r="Q421" s="47"/>
      <c r="R421" s="47"/>
      <c r="S421" s="172"/>
      <c r="T421" s="133"/>
      <c r="U421" s="47"/>
      <c r="V421" s="47"/>
      <c r="W421" s="47"/>
      <c r="X421" s="47"/>
      <c r="Y421" s="172"/>
      <c r="Z421" s="133"/>
      <c r="AA421" s="47"/>
      <c r="AB421" s="47"/>
      <c r="AC421" s="47"/>
      <c r="AD421" s="47"/>
      <c r="AE421" s="172"/>
      <c r="AF421" s="133"/>
      <c r="AG421" s="47"/>
      <c r="AH421" s="47"/>
      <c r="AI421" s="47"/>
      <c r="AJ421" s="136"/>
      <c r="AK421" s="11">
        <f>'Encargos e Benefícios'!D420</f>
        <v>0</v>
      </c>
      <c r="AL421" s="11">
        <f>IF('Encargos e Benefícios'!C420=0,0,'Encargos e Benefícios'!U420/'Encargos e Benefícios'!C420)</f>
        <v>0</v>
      </c>
      <c r="AM421" s="11">
        <f>IF('Encargos e Benefícios'!C420=0,0,'Encargos e Benefícios'!AC420/'Encargos e Benefícios'!C420)</f>
        <v>0</v>
      </c>
      <c r="AN421" s="119">
        <f>IF('Encargos e Benefícios'!C420=0,0,'Encargos e Benefícios'!AD420/'Encargos e Benefícios'!C420)</f>
        <v>0</v>
      </c>
      <c r="AO421" s="32"/>
      <c r="AP421" s="31"/>
      <c r="AQ421" s="31"/>
      <c r="AR421" s="210"/>
      <c r="AS421" s="32"/>
    </row>
    <row r="422" spans="1:45" ht="12.75" hidden="1" x14ac:dyDescent="0.2">
      <c r="A422" s="48">
        <v>416</v>
      </c>
      <c r="B422" s="12">
        <f>'Encargos e Benefícios'!B421</f>
        <v>0</v>
      </c>
      <c r="C422" s="10">
        <f>'Encargos e Benefícios'!C421</f>
        <v>0</v>
      </c>
      <c r="D422" s="38"/>
      <c r="E422" s="174"/>
      <c r="F422" s="173"/>
      <c r="G422" s="172"/>
      <c r="H422" s="133"/>
      <c r="I422" s="47"/>
      <c r="J422" s="47"/>
      <c r="K422" s="47"/>
      <c r="L422" s="47"/>
      <c r="M422" s="172"/>
      <c r="N422" s="133"/>
      <c r="O422" s="47"/>
      <c r="P422" s="47"/>
      <c r="Q422" s="47"/>
      <c r="R422" s="47"/>
      <c r="S422" s="172"/>
      <c r="T422" s="133"/>
      <c r="U422" s="47"/>
      <c r="V422" s="47"/>
      <c r="W422" s="47"/>
      <c r="X422" s="47"/>
      <c r="Y422" s="172"/>
      <c r="Z422" s="133"/>
      <c r="AA422" s="47"/>
      <c r="AB422" s="47"/>
      <c r="AC422" s="47"/>
      <c r="AD422" s="47"/>
      <c r="AE422" s="172"/>
      <c r="AF422" s="133"/>
      <c r="AG422" s="47"/>
      <c r="AH422" s="47"/>
      <c r="AI422" s="47"/>
      <c r="AJ422" s="136"/>
      <c r="AK422" s="11">
        <f>'Encargos e Benefícios'!D421</f>
        <v>0</v>
      </c>
      <c r="AL422" s="11">
        <f>IF('Encargos e Benefícios'!C421=0,0,'Encargos e Benefícios'!U421/'Encargos e Benefícios'!C421)</f>
        <v>0</v>
      </c>
      <c r="AM422" s="11">
        <f>IF('Encargos e Benefícios'!C421=0,0,'Encargos e Benefícios'!AC421/'Encargos e Benefícios'!C421)</f>
        <v>0</v>
      </c>
      <c r="AN422" s="119">
        <f>IF('Encargos e Benefícios'!C421=0,0,'Encargos e Benefícios'!AD421/'Encargos e Benefícios'!C421)</f>
        <v>0</v>
      </c>
      <c r="AO422" s="32"/>
      <c r="AP422" s="31"/>
      <c r="AQ422" s="31"/>
      <c r="AR422" s="210"/>
      <c r="AS422" s="32"/>
    </row>
    <row r="423" spans="1:45" ht="12.75" hidden="1" x14ac:dyDescent="0.2">
      <c r="A423" s="48">
        <v>417</v>
      </c>
      <c r="B423" s="12">
        <f>'Encargos e Benefícios'!B422</f>
        <v>0</v>
      </c>
      <c r="C423" s="10">
        <f>'Encargos e Benefícios'!C422</f>
        <v>0</v>
      </c>
      <c r="D423" s="38"/>
      <c r="E423" s="174"/>
      <c r="F423" s="173"/>
      <c r="G423" s="172"/>
      <c r="H423" s="133"/>
      <c r="I423" s="47"/>
      <c r="J423" s="47"/>
      <c r="K423" s="47"/>
      <c r="L423" s="47"/>
      <c r="M423" s="172"/>
      <c r="N423" s="133"/>
      <c r="O423" s="47"/>
      <c r="P423" s="47"/>
      <c r="Q423" s="47"/>
      <c r="R423" s="47"/>
      <c r="S423" s="172"/>
      <c r="T423" s="133"/>
      <c r="U423" s="47"/>
      <c r="V423" s="47"/>
      <c r="W423" s="47"/>
      <c r="X423" s="47"/>
      <c r="Y423" s="172"/>
      <c r="Z423" s="133"/>
      <c r="AA423" s="47"/>
      <c r="AB423" s="47"/>
      <c r="AC423" s="47"/>
      <c r="AD423" s="47"/>
      <c r="AE423" s="172"/>
      <c r="AF423" s="133"/>
      <c r="AG423" s="47"/>
      <c r="AH423" s="47"/>
      <c r="AI423" s="47"/>
      <c r="AJ423" s="136"/>
      <c r="AK423" s="11">
        <f>'Encargos e Benefícios'!D422</f>
        <v>0</v>
      </c>
      <c r="AL423" s="11">
        <f>IF('Encargos e Benefícios'!C422=0,0,'Encargos e Benefícios'!U422/'Encargos e Benefícios'!C422)</f>
        <v>0</v>
      </c>
      <c r="AM423" s="11">
        <f>IF('Encargos e Benefícios'!C422=0,0,'Encargos e Benefícios'!AC422/'Encargos e Benefícios'!C422)</f>
        <v>0</v>
      </c>
      <c r="AN423" s="119">
        <f>IF('Encargos e Benefícios'!C422=0,0,'Encargos e Benefícios'!AD422/'Encargos e Benefícios'!C422)</f>
        <v>0</v>
      </c>
      <c r="AO423" s="32"/>
      <c r="AP423" s="31"/>
      <c r="AQ423" s="31"/>
      <c r="AR423" s="210"/>
      <c r="AS423" s="32"/>
    </row>
    <row r="424" spans="1:45" ht="12.75" hidden="1" x14ac:dyDescent="0.2">
      <c r="A424" s="48">
        <v>418</v>
      </c>
      <c r="B424" s="12">
        <f>'Encargos e Benefícios'!B423</f>
        <v>0</v>
      </c>
      <c r="C424" s="10">
        <f>'Encargos e Benefícios'!C423</f>
        <v>0</v>
      </c>
      <c r="D424" s="38"/>
      <c r="E424" s="174"/>
      <c r="F424" s="173"/>
      <c r="G424" s="172"/>
      <c r="H424" s="133"/>
      <c r="I424" s="47"/>
      <c r="J424" s="47"/>
      <c r="K424" s="47"/>
      <c r="L424" s="47"/>
      <c r="M424" s="172"/>
      <c r="N424" s="133"/>
      <c r="O424" s="47"/>
      <c r="P424" s="47"/>
      <c r="Q424" s="47"/>
      <c r="R424" s="47"/>
      <c r="S424" s="172"/>
      <c r="T424" s="133"/>
      <c r="U424" s="47"/>
      <c r="V424" s="47"/>
      <c r="W424" s="47"/>
      <c r="X424" s="47"/>
      <c r="Y424" s="172"/>
      <c r="Z424" s="133"/>
      <c r="AA424" s="47"/>
      <c r="AB424" s="47"/>
      <c r="AC424" s="47"/>
      <c r="AD424" s="47"/>
      <c r="AE424" s="172"/>
      <c r="AF424" s="133"/>
      <c r="AG424" s="47"/>
      <c r="AH424" s="47"/>
      <c r="AI424" s="47"/>
      <c r="AJ424" s="136"/>
      <c r="AK424" s="11">
        <f>'Encargos e Benefícios'!D423</f>
        <v>0</v>
      </c>
      <c r="AL424" s="11">
        <f>IF('Encargos e Benefícios'!C423=0,0,'Encargos e Benefícios'!U423/'Encargos e Benefícios'!C423)</f>
        <v>0</v>
      </c>
      <c r="AM424" s="11">
        <f>IF('Encargos e Benefícios'!C423=0,0,'Encargos e Benefícios'!AC423/'Encargos e Benefícios'!C423)</f>
        <v>0</v>
      </c>
      <c r="AN424" s="119">
        <f>IF('Encargos e Benefícios'!C423=0,0,'Encargos e Benefícios'!AD423/'Encargos e Benefícios'!C423)</f>
        <v>0</v>
      </c>
      <c r="AO424" s="32"/>
      <c r="AP424" s="31"/>
      <c r="AQ424" s="31"/>
      <c r="AR424" s="210"/>
      <c r="AS424" s="32"/>
    </row>
    <row r="425" spans="1:45" ht="12.75" hidden="1" x14ac:dyDescent="0.2">
      <c r="A425" s="48">
        <v>419</v>
      </c>
      <c r="B425" s="12">
        <f>'Encargos e Benefícios'!B424</f>
        <v>0</v>
      </c>
      <c r="C425" s="10">
        <f>'Encargos e Benefícios'!C424</f>
        <v>0</v>
      </c>
      <c r="D425" s="38"/>
      <c r="E425" s="174"/>
      <c r="F425" s="173"/>
      <c r="G425" s="172"/>
      <c r="H425" s="133"/>
      <c r="I425" s="47"/>
      <c r="J425" s="47"/>
      <c r="K425" s="47"/>
      <c r="L425" s="47"/>
      <c r="M425" s="172"/>
      <c r="N425" s="133"/>
      <c r="O425" s="47"/>
      <c r="P425" s="47"/>
      <c r="Q425" s="47"/>
      <c r="R425" s="47"/>
      <c r="S425" s="172"/>
      <c r="T425" s="133"/>
      <c r="U425" s="47"/>
      <c r="V425" s="47"/>
      <c r="W425" s="47"/>
      <c r="X425" s="47"/>
      <c r="Y425" s="172"/>
      <c r="Z425" s="133"/>
      <c r="AA425" s="47"/>
      <c r="AB425" s="47"/>
      <c r="AC425" s="47"/>
      <c r="AD425" s="47"/>
      <c r="AE425" s="172"/>
      <c r="AF425" s="133"/>
      <c r="AG425" s="47"/>
      <c r="AH425" s="47"/>
      <c r="AI425" s="47"/>
      <c r="AJ425" s="136"/>
      <c r="AK425" s="11">
        <f>'Encargos e Benefícios'!D424</f>
        <v>0</v>
      </c>
      <c r="AL425" s="11">
        <f>IF('Encargos e Benefícios'!C424=0,0,'Encargos e Benefícios'!U424/'Encargos e Benefícios'!C424)</f>
        <v>0</v>
      </c>
      <c r="AM425" s="11">
        <f>IF('Encargos e Benefícios'!C424=0,0,'Encargos e Benefícios'!AC424/'Encargos e Benefícios'!C424)</f>
        <v>0</v>
      </c>
      <c r="AN425" s="119">
        <f>IF('Encargos e Benefícios'!C424=0,0,'Encargos e Benefícios'!AD424/'Encargos e Benefícios'!C424)</f>
        <v>0</v>
      </c>
      <c r="AO425" s="32"/>
      <c r="AP425" s="31"/>
      <c r="AQ425" s="31"/>
      <c r="AR425" s="210"/>
      <c r="AS425" s="32"/>
    </row>
    <row r="426" spans="1:45" ht="12.75" hidden="1" x14ac:dyDescent="0.2">
      <c r="A426" s="48">
        <v>420</v>
      </c>
      <c r="B426" s="12">
        <f>'Encargos e Benefícios'!B425</f>
        <v>0</v>
      </c>
      <c r="C426" s="10">
        <f>'Encargos e Benefícios'!C425</f>
        <v>0</v>
      </c>
      <c r="D426" s="38"/>
      <c r="E426" s="174"/>
      <c r="F426" s="173"/>
      <c r="G426" s="172"/>
      <c r="H426" s="133"/>
      <c r="I426" s="47"/>
      <c r="J426" s="47"/>
      <c r="K426" s="47"/>
      <c r="L426" s="47"/>
      <c r="M426" s="172"/>
      <c r="N426" s="133"/>
      <c r="O426" s="47"/>
      <c r="P426" s="47"/>
      <c r="Q426" s="47"/>
      <c r="R426" s="47"/>
      <c r="S426" s="172"/>
      <c r="T426" s="133"/>
      <c r="U426" s="47"/>
      <c r="V426" s="47"/>
      <c r="W426" s="47"/>
      <c r="X426" s="47"/>
      <c r="Y426" s="172"/>
      <c r="Z426" s="133"/>
      <c r="AA426" s="47"/>
      <c r="AB426" s="47"/>
      <c r="AC426" s="47"/>
      <c r="AD426" s="47"/>
      <c r="AE426" s="172"/>
      <c r="AF426" s="133"/>
      <c r="AG426" s="47"/>
      <c r="AH426" s="47"/>
      <c r="AI426" s="47"/>
      <c r="AJ426" s="136"/>
      <c r="AK426" s="11">
        <f>'Encargos e Benefícios'!D425</f>
        <v>0</v>
      </c>
      <c r="AL426" s="11">
        <f>IF('Encargos e Benefícios'!C425=0,0,'Encargos e Benefícios'!U425/'Encargos e Benefícios'!C425)</f>
        <v>0</v>
      </c>
      <c r="AM426" s="11">
        <f>IF('Encargos e Benefícios'!C425=0,0,'Encargos e Benefícios'!AC425/'Encargos e Benefícios'!C425)</f>
        <v>0</v>
      </c>
      <c r="AN426" s="119">
        <f>IF('Encargos e Benefícios'!C425=0,0,'Encargos e Benefícios'!AD425/'Encargos e Benefícios'!C425)</f>
        <v>0</v>
      </c>
      <c r="AO426" s="32"/>
      <c r="AP426" s="31"/>
      <c r="AQ426" s="31"/>
      <c r="AR426" s="210"/>
      <c r="AS426" s="32"/>
    </row>
    <row r="427" spans="1:45" ht="12.75" hidden="1" x14ac:dyDescent="0.2">
      <c r="A427" s="48">
        <v>421</v>
      </c>
      <c r="B427" s="12">
        <f>'Encargos e Benefícios'!B426</f>
        <v>0</v>
      </c>
      <c r="C427" s="10">
        <f>'Encargos e Benefícios'!C426</f>
        <v>0</v>
      </c>
      <c r="D427" s="38"/>
      <c r="E427" s="174"/>
      <c r="F427" s="173"/>
      <c r="G427" s="172"/>
      <c r="H427" s="133"/>
      <c r="I427" s="47"/>
      <c r="J427" s="47"/>
      <c r="K427" s="47"/>
      <c r="L427" s="47"/>
      <c r="M427" s="172"/>
      <c r="N427" s="133"/>
      <c r="O427" s="47"/>
      <c r="P427" s="47"/>
      <c r="Q427" s="47"/>
      <c r="R427" s="47"/>
      <c r="S427" s="172"/>
      <c r="T427" s="133"/>
      <c r="U427" s="47"/>
      <c r="V427" s="47"/>
      <c r="W427" s="47"/>
      <c r="X427" s="47"/>
      <c r="Y427" s="172"/>
      <c r="Z427" s="133"/>
      <c r="AA427" s="47"/>
      <c r="AB427" s="47"/>
      <c r="AC427" s="47"/>
      <c r="AD427" s="47"/>
      <c r="AE427" s="172"/>
      <c r="AF427" s="133"/>
      <c r="AG427" s="47"/>
      <c r="AH427" s="47"/>
      <c r="AI427" s="47"/>
      <c r="AJ427" s="136"/>
      <c r="AK427" s="11">
        <f>'Encargos e Benefícios'!D426</f>
        <v>0</v>
      </c>
      <c r="AL427" s="11">
        <f>IF('Encargos e Benefícios'!C426=0,0,'Encargos e Benefícios'!U426/'Encargos e Benefícios'!C426)</f>
        <v>0</v>
      </c>
      <c r="AM427" s="11">
        <f>IF('Encargos e Benefícios'!C426=0,0,'Encargos e Benefícios'!AC426/'Encargos e Benefícios'!C426)</f>
        <v>0</v>
      </c>
      <c r="AN427" s="119">
        <f>IF('Encargos e Benefícios'!C426=0,0,'Encargos e Benefícios'!AD426/'Encargos e Benefícios'!C426)</f>
        <v>0</v>
      </c>
      <c r="AO427" s="32"/>
      <c r="AP427" s="31"/>
      <c r="AQ427" s="31"/>
      <c r="AR427" s="210"/>
      <c r="AS427" s="32"/>
    </row>
    <row r="428" spans="1:45" ht="12.75" hidden="1" x14ac:dyDescent="0.2">
      <c r="A428" s="48">
        <v>422</v>
      </c>
      <c r="B428" s="12">
        <f>'Encargos e Benefícios'!B427</f>
        <v>0</v>
      </c>
      <c r="C428" s="10">
        <f>'Encargos e Benefícios'!C427</f>
        <v>0</v>
      </c>
      <c r="D428" s="38"/>
      <c r="E428" s="174"/>
      <c r="F428" s="173"/>
      <c r="G428" s="172"/>
      <c r="H428" s="133"/>
      <c r="I428" s="47"/>
      <c r="J428" s="47"/>
      <c r="K428" s="47"/>
      <c r="L428" s="47"/>
      <c r="M428" s="172"/>
      <c r="N428" s="133"/>
      <c r="O428" s="47"/>
      <c r="P428" s="47"/>
      <c r="Q428" s="47"/>
      <c r="R428" s="47"/>
      <c r="S428" s="172"/>
      <c r="T428" s="133"/>
      <c r="U428" s="47"/>
      <c r="V428" s="47"/>
      <c r="W428" s="47"/>
      <c r="X428" s="47"/>
      <c r="Y428" s="172"/>
      <c r="Z428" s="133"/>
      <c r="AA428" s="47"/>
      <c r="AB428" s="47"/>
      <c r="AC428" s="47"/>
      <c r="AD428" s="47"/>
      <c r="AE428" s="172"/>
      <c r="AF428" s="133"/>
      <c r="AG428" s="47"/>
      <c r="AH428" s="47"/>
      <c r="AI428" s="47"/>
      <c r="AJ428" s="136"/>
      <c r="AK428" s="11">
        <f>'Encargos e Benefícios'!D427</f>
        <v>0</v>
      </c>
      <c r="AL428" s="11">
        <f>IF('Encargos e Benefícios'!C427=0,0,'Encargos e Benefícios'!U427/'Encargos e Benefícios'!C427)</f>
        <v>0</v>
      </c>
      <c r="AM428" s="11">
        <f>IF('Encargos e Benefícios'!C427=0,0,'Encargos e Benefícios'!AC427/'Encargos e Benefícios'!C427)</f>
        <v>0</v>
      </c>
      <c r="AN428" s="119">
        <f>IF('Encargos e Benefícios'!C427=0,0,'Encargos e Benefícios'!AD427/'Encargos e Benefícios'!C427)</f>
        <v>0</v>
      </c>
      <c r="AO428" s="32"/>
      <c r="AP428" s="31"/>
      <c r="AQ428" s="31"/>
      <c r="AR428" s="210"/>
      <c r="AS428" s="32"/>
    </row>
    <row r="429" spans="1:45" ht="12.75" hidden="1" x14ac:dyDescent="0.2">
      <c r="A429" s="48">
        <v>423</v>
      </c>
      <c r="B429" s="12">
        <f>'Encargos e Benefícios'!B428</f>
        <v>0</v>
      </c>
      <c r="C429" s="10">
        <f>'Encargos e Benefícios'!C428</f>
        <v>0</v>
      </c>
      <c r="D429" s="38"/>
      <c r="E429" s="174"/>
      <c r="F429" s="173"/>
      <c r="G429" s="172"/>
      <c r="H429" s="133"/>
      <c r="I429" s="47"/>
      <c r="J429" s="47"/>
      <c r="K429" s="47"/>
      <c r="L429" s="47"/>
      <c r="M429" s="172"/>
      <c r="N429" s="133"/>
      <c r="O429" s="47"/>
      <c r="P429" s="47"/>
      <c r="Q429" s="47"/>
      <c r="R429" s="47"/>
      <c r="S429" s="172"/>
      <c r="T429" s="133"/>
      <c r="U429" s="47"/>
      <c r="V429" s="47"/>
      <c r="W429" s="47"/>
      <c r="X429" s="47"/>
      <c r="Y429" s="172"/>
      <c r="Z429" s="133"/>
      <c r="AA429" s="47"/>
      <c r="AB429" s="47"/>
      <c r="AC429" s="47"/>
      <c r="AD429" s="47"/>
      <c r="AE429" s="172"/>
      <c r="AF429" s="133"/>
      <c r="AG429" s="47"/>
      <c r="AH429" s="47"/>
      <c r="AI429" s="47"/>
      <c r="AJ429" s="136"/>
      <c r="AK429" s="11">
        <f>'Encargos e Benefícios'!D428</f>
        <v>0</v>
      </c>
      <c r="AL429" s="11">
        <f>IF('Encargos e Benefícios'!C428=0,0,'Encargos e Benefícios'!U428/'Encargos e Benefícios'!C428)</f>
        <v>0</v>
      </c>
      <c r="AM429" s="11">
        <f>IF('Encargos e Benefícios'!C428=0,0,'Encargos e Benefícios'!AC428/'Encargos e Benefícios'!C428)</f>
        <v>0</v>
      </c>
      <c r="AN429" s="119">
        <f>IF('Encargos e Benefícios'!C428=0,0,'Encargos e Benefícios'!AD428/'Encargos e Benefícios'!C428)</f>
        <v>0</v>
      </c>
      <c r="AO429" s="32"/>
      <c r="AP429" s="31"/>
      <c r="AQ429" s="31"/>
      <c r="AR429" s="210"/>
      <c r="AS429" s="32"/>
    </row>
    <row r="430" spans="1:45" ht="12.75" hidden="1" x14ac:dyDescent="0.2">
      <c r="A430" s="48">
        <v>424</v>
      </c>
      <c r="B430" s="12">
        <f>'Encargos e Benefícios'!B429</f>
        <v>0</v>
      </c>
      <c r="C430" s="10">
        <f>'Encargos e Benefícios'!C429</f>
        <v>0</v>
      </c>
      <c r="D430" s="38"/>
      <c r="E430" s="174"/>
      <c r="F430" s="173"/>
      <c r="G430" s="172"/>
      <c r="H430" s="133"/>
      <c r="I430" s="47"/>
      <c r="J430" s="47"/>
      <c r="K430" s="47"/>
      <c r="L430" s="47"/>
      <c r="M430" s="172"/>
      <c r="N430" s="133"/>
      <c r="O430" s="47"/>
      <c r="P430" s="47"/>
      <c r="Q430" s="47"/>
      <c r="R430" s="47"/>
      <c r="S430" s="172"/>
      <c r="T430" s="133"/>
      <c r="U430" s="47"/>
      <c r="V430" s="47"/>
      <c r="W430" s="47"/>
      <c r="X430" s="47"/>
      <c r="Y430" s="172"/>
      <c r="Z430" s="133"/>
      <c r="AA430" s="47"/>
      <c r="AB430" s="47"/>
      <c r="AC430" s="47"/>
      <c r="AD430" s="47"/>
      <c r="AE430" s="172"/>
      <c r="AF430" s="133"/>
      <c r="AG430" s="47"/>
      <c r="AH430" s="47"/>
      <c r="AI430" s="47"/>
      <c r="AJ430" s="136"/>
      <c r="AK430" s="11">
        <f>'Encargos e Benefícios'!D429</f>
        <v>0</v>
      </c>
      <c r="AL430" s="11">
        <f>IF('Encargos e Benefícios'!C429=0,0,'Encargos e Benefícios'!U429/'Encargos e Benefícios'!C429)</f>
        <v>0</v>
      </c>
      <c r="AM430" s="11">
        <f>IF('Encargos e Benefícios'!C429=0,0,'Encargos e Benefícios'!AC429/'Encargos e Benefícios'!C429)</f>
        <v>0</v>
      </c>
      <c r="AN430" s="119">
        <f>IF('Encargos e Benefícios'!C429=0,0,'Encargos e Benefícios'!AD429/'Encargos e Benefícios'!C429)</f>
        <v>0</v>
      </c>
      <c r="AO430" s="32"/>
      <c r="AP430" s="31"/>
      <c r="AQ430" s="31"/>
      <c r="AR430" s="210"/>
      <c r="AS430" s="32"/>
    </row>
    <row r="431" spans="1:45" ht="12.75" hidden="1" x14ac:dyDescent="0.2">
      <c r="A431" s="48">
        <v>425</v>
      </c>
      <c r="B431" s="12">
        <f>'Encargos e Benefícios'!B430</f>
        <v>0</v>
      </c>
      <c r="C431" s="10">
        <f>'Encargos e Benefícios'!C430</f>
        <v>0</v>
      </c>
      <c r="D431" s="38"/>
      <c r="E431" s="174"/>
      <c r="F431" s="173"/>
      <c r="G431" s="172"/>
      <c r="H431" s="133"/>
      <c r="I431" s="47"/>
      <c r="J431" s="47"/>
      <c r="K431" s="47"/>
      <c r="L431" s="47"/>
      <c r="M431" s="172"/>
      <c r="N431" s="133"/>
      <c r="O431" s="47"/>
      <c r="P431" s="47"/>
      <c r="Q431" s="47"/>
      <c r="R431" s="47"/>
      <c r="S431" s="172"/>
      <c r="T431" s="133"/>
      <c r="U431" s="47"/>
      <c r="V431" s="47"/>
      <c r="W431" s="47"/>
      <c r="X431" s="47"/>
      <c r="Y431" s="172"/>
      <c r="Z431" s="133"/>
      <c r="AA431" s="47"/>
      <c r="AB431" s="47"/>
      <c r="AC431" s="47"/>
      <c r="AD431" s="47"/>
      <c r="AE431" s="172"/>
      <c r="AF431" s="133"/>
      <c r="AG431" s="47"/>
      <c r="AH431" s="47"/>
      <c r="AI431" s="47"/>
      <c r="AJ431" s="136"/>
      <c r="AK431" s="11">
        <f>'Encargos e Benefícios'!D430</f>
        <v>0</v>
      </c>
      <c r="AL431" s="11">
        <f>IF('Encargos e Benefícios'!C430=0,0,'Encargos e Benefícios'!U430/'Encargos e Benefícios'!C430)</f>
        <v>0</v>
      </c>
      <c r="AM431" s="11">
        <f>IF('Encargos e Benefícios'!C430=0,0,'Encargos e Benefícios'!AC430/'Encargos e Benefícios'!C430)</f>
        <v>0</v>
      </c>
      <c r="AN431" s="119">
        <f>IF('Encargos e Benefícios'!C430=0,0,'Encargos e Benefícios'!AD430/'Encargos e Benefícios'!C430)</f>
        <v>0</v>
      </c>
      <c r="AO431" s="32"/>
      <c r="AP431" s="31"/>
      <c r="AQ431" s="31"/>
      <c r="AR431" s="210"/>
      <c r="AS431" s="32"/>
    </row>
    <row r="432" spans="1:45" ht="12.75" hidden="1" x14ac:dyDescent="0.2">
      <c r="A432" s="48">
        <v>426</v>
      </c>
      <c r="B432" s="12">
        <f>'Encargos e Benefícios'!B431</f>
        <v>0</v>
      </c>
      <c r="C432" s="10">
        <f>'Encargos e Benefícios'!C431</f>
        <v>0</v>
      </c>
      <c r="D432" s="38"/>
      <c r="E432" s="174"/>
      <c r="F432" s="173"/>
      <c r="G432" s="172"/>
      <c r="H432" s="133"/>
      <c r="I432" s="47"/>
      <c r="J432" s="47"/>
      <c r="K432" s="47"/>
      <c r="L432" s="47"/>
      <c r="M432" s="172"/>
      <c r="N432" s="133"/>
      <c r="O432" s="47"/>
      <c r="P432" s="47"/>
      <c r="Q432" s="47"/>
      <c r="R432" s="47"/>
      <c r="S432" s="172"/>
      <c r="T432" s="133"/>
      <c r="U432" s="47"/>
      <c r="V432" s="47"/>
      <c r="W432" s="47"/>
      <c r="X432" s="47"/>
      <c r="Y432" s="172"/>
      <c r="Z432" s="133"/>
      <c r="AA432" s="47"/>
      <c r="AB432" s="47"/>
      <c r="AC432" s="47"/>
      <c r="AD432" s="47"/>
      <c r="AE432" s="172"/>
      <c r="AF432" s="133"/>
      <c r="AG432" s="47"/>
      <c r="AH432" s="47"/>
      <c r="AI432" s="47"/>
      <c r="AJ432" s="136"/>
      <c r="AK432" s="11">
        <f>'Encargos e Benefícios'!D431</f>
        <v>0</v>
      </c>
      <c r="AL432" s="11">
        <f>IF('Encargos e Benefícios'!C431=0,0,'Encargos e Benefícios'!U431/'Encargos e Benefícios'!C431)</f>
        <v>0</v>
      </c>
      <c r="AM432" s="11">
        <f>IF('Encargos e Benefícios'!C431=0,0,'Encargos e Benefícios'!AC431/'Encargos e Benefícios'!C431)</f>
        <v>0</v>
      </c>
      <c r="AN432" s="119">
        <f>IF('Encargos e Benefícios'!C431=0,0,'Encargos e Benefícios'!AD431/'Encargos e Benefícios'!C431)</f>
        <v>0</v>
      </c>
      <c r="AO432" s="32"/>
      <c r="AP432" s="31"/>
      <c r="AQ432" s="31"/>
      <c r="AR432" s="210"/>
      <c r="AS432" s="32"/>
    </row>
    <row r="433" spans="1:45" ht="12.75" hidden="1" x14ac:dyDescent="0.2">
      <c r="A433" s="48">
        <v>427</v>
      </c>
      <c r="B433" s="12">
        <f>'Encargos e Benefícios'!B432</f>
        <v>0</v>
      </c>
      <c r="C433" s="10">
        <f>'Encargos e Benefícios'!C432</f>
        <v>0</v>
      </c>
      <c r="D433" s="38"/>
      <c r="E433" s="174"/>
      <c r="F433" s="173"/>
      <c r="G433" s="172"/>
      <c r="H433" s="133"/>
      <c r="I433" s="47"/>
      <c r="J433" s="47"/>
      <c r="K433" s="47"/>
      <c r="L433" s="47"/>
      <c r="M433" s="172"/>
      <c r="N433" s="133"/>
      <c r="O433" s="47"/>
      <c r="P433" s="47"/>
      <c r="Q433" s="47"/>
      <c r="R433" s="47"/>
      <c r="S433" s="172"/>
      <c r="T433" s="133"/>
      <c r="U433" s="47"/>
      <c r="V433" s="47"/>
      <c r="W433" s="47"/>
      <c r="X433" s="47"/>
      <c r="Y433" s="172"/>
      <c r="Z433" s="133"/>
      <c r="AA433" s="47"/>
      <c r="AB433" s="47"/>
      <c r="AC433" s="47"/>
      <c r="AD433" s="47"/>
      <c r="AE433" s="172"/>
      <c r="AF433" s="133"/>
      <c r="AG433" s="47"/>
      <c r="AH433" s="47"/>
      <c r="AI433" s="47"/>
      <c r="AJ433" s="136"/>
      <c r="AK433" s="11">
        <f>'Encargos e Benefícios'!D432</f>
        <v>0</v>
      </c>
      <c r="AL433" s="11">
        <f>IF('Encargos e Benefícios'!C432=0,0,'Encargos e Benefícios'!U432/'Encargos e Benefícios'!C432)</f>
        <v>0</v>
      </c>
      <c r="AM433" s="11">
        <f>IF('Encargos e Benefícios'!C432=0,0,'Encargos e Benefícios'!AC432/'Encargos e Benefícios'!C432)</f>
        <v>0</v>
      </c>
      <c r="AN433" s="119">
        <f>IF('Encargos e Benefícios'!C432=0,0,'Encargos e Benefícios'!AD432/'Encargos e Benefícios'!C432)</f>
        <v>0</v>
      </c>
      <c r="AO433" s="32"/>
      <c r="AP433" s="31"/>
      <c r="AQ433" s="31"/>
      <c r="AR433" s="210"/>
      <c r="AS433" s="32"/>
    </row>
    <row r="434" spans="1:45" ht="12.75" hidden="1" x14ac:dyDescent="0.2">
      <c r="A434" s="48">
        <v>428</v>
      </c>
      <c r="B434" s="12">
        <f>'Encargos e Benefícios'!B433</f>
        <v>0</v>
      </c>
      <c r="C434" s="10">
        <f>'Encargos e Benefícios'!C433</f>
        <v>0</v>
      </c>
      <c r="D434" s="38"/>
      <c r="E434" s="174"/>
      <c r="F434" s="173"/>
      <c r="G434" s="172"/>
      <c r="H434" s="133"/>
      <c r="I434" s="47"/>
      <c r="J434" s="47"/>
      <c r="K434" s="47"/>
      <c r="L434" s="47"/>
      <c r="M434" s="172"/>
      <c r="N434" s="133"/>
      <c r="O434" s="47"/>
      <c r="P434" s="47"/>
      <c r="Q434" s="47"/>
      <c r="R434" s="47"/>
      <c r="S434" s="172"/>
      <c r="T434" s="133"/>
      <c r="U434" s="47"/>
      <c r="V434" s="47"/>
      <c r="W434" s="47"/>
      <c r="X434" s="47"/>
      <c r="Y434" s="172"/>
      <c r="Z434" s="133"/>
      <c r="AA434" s="47"/>
      <c r="AB434" s="47"/>
      <c r="AC434" s="47"/>
      <c r="AD434" s="47"/>
      <c r="AE434" s="172"/>
      <c r="AF434" s="133"/>
      <c r="AG434" s="47"/>
      <c r="AH434" s="47"/>
      <c r="AI434" s="47"/>
      <c r="AJ434" s="136"/>
      <c r="AK434" s="11">
        <f>'Encargos e Benefícios'!D433</f>
        <v>0</v>
      </c>
      <c r="AL434" s="11">
        <f>IF('Encargos e Benefícios'!C433=0,0,'Encargos e Benefícios'!U433/'Encargos e Benefícios'!C433)</f>
        <v>0</v>
      </c>
      <c r="AM434" s="11">
        <f>IF('Encargos e Benefícios'!C433=0,0,'Encargos e Benefícios'!AC433/'Encargos e Benefícios'!C433)</f>
        <v>0</v>
      </c>
      <c r="AN434" s="119">
        <f>IF('Encargos e Benefícios'!C433=0,0,'Encargos e Benefícios'!AD433/'Encargos e Benefícios'!C433)</f>
        <v>0</v>
      </c>
      <c r="AO434" s="32"/>
      <c r="AP434" s="31"/>
      <c r="AQ434" s="31"/>
      <c r="AR434" s="210"/>
      <c r="AS434" s="32"/>
    </row>
    <row r="435" spans="1:45" ht="12.75" hidden="1" x14ac:dyDescent="0.2">
      <c r="A435" s="48">
        <v>429</v>
      </c>
      <c r="B435" s="12">
        <f>'Encargos e Benefícios'!B434</f>
        <v>0</v>
      </c>
      <c r="C435" s="10">
        <f>'Encargos e Benefícios'!C434</f>
        <v>0</v>
      </c>
      <c r="D435" s="38"/>
      <c r="E435" s="174"/>
      <c r="F435" s="173"/>
      <c r="G435" s="172"/>
      <c r="H435" s="133"/>
      <c r="I435" s="47"/>
      <c r="J435" s="47"/>
      <c r="K435" s="47"/>
      <c r="L435" s="47"/>
      <c r="M435" s="172"/>
      <c r="N435" s="133"/>
      <c r="O435" s="47"/>
      <c r="P435" s="47"/>
      <c r="Q435" s="47"/>
      <c r="R435" s="47"/>
      <c r="S435" s="172"/>
      <c r="T435" s="133"/>
      <c r="U435" s="47"/>
      <c r="V435" s="47"/>
      <c r="W435" s="47"/>
      <c r="X435" s="47"/>
      <c r="Y435" s="172"/>
      <c r="Z435" s="133"/>
      <c r="AA435" s="47"/>
      <c r="AB435" s="47"/>
      <c r="AC435" s="47"/>
      <c r="AD435" s="47"/>
      <c r="AE435" s="172"/>
      <c r="AF435" s="133"/>
      <c r="AG435" s="47"/>
      <c r="AH435" s="47"/>
      <c r="AI435" s="47"/>
      <c r="AJ435" s="136"/>
      <c r="AK435" s="11">
        <f>'Encargos e Benefícios'!D434</f>
        <v>0</v>
      </c>
      <c r="AL435" s="11">
        <f>IF('Encargos e Benefícios'!C434=0,0,'Encargos e Benefícios'!U434/'Encargos e Benefícios'!C434)</f>
        <v>0</v>
      </c>
      <c r="AM435" s="11">
        <f>IF('Encargos e Benefícios'!C434=0,0,'Encargos e Benefícios'!AC434/'Encargos e Benefícios'!C434)</f>
        <v>0</v>
      </c>
      <c r="AN435" s="119">
        <f>IF('Encargos e Benefícios'!C434=0,0,'Encargos e Benefícios'!AD434/'Encargos e Benefícios'!C434)</f>
        <v>0</v>
      </c>
      <c r="AO435" s="32"/>
      <c r="AP435" s="31"/>
      <c r="AQ435" s="31"/>
      <c r="AR435" s="210"/>
      <c r="AS435" s="32"/>
    </row>
    <row r="436" spans="1:45" ht="12.75" hidden="1" x14ac:dyDescent="0.2">
      <c r="A436" s="48">
        <v>430</v>
      </c>
      <c r="B436" s="12">
        <f>'Encargos e Benefícios'!B435</f>
        <v>0</v>
      </c>
      <c r="C436" s="10">
        <f>'Encargos e Benefícios'!C435</f>
        <v>0</v>
      </c>
      <c r="D436" s="38"/>
      <c r="E436" s="174"/>
      <c r="F436" s="173"/>
      <c r="G436" s="172"/>
      <c r="H436" s="133"/>
      <c r="I436" s="47"/>
      <c r="J436" s="47"/>
      <c r="K436" s="47"/>
      <c r="L436" s="47"/>
      <c r="M436" s="172"/>
      <c r="N436" s="133"/>
      <c r="O436" s="47"/>
      <c r="P436" s="47"/>
      <c r="Q436" s="47"/>
      <c r="R436" s="47"/>
      <c r="S436" s="172"/>
      <c r="T436" s="133"/>
      <c r="U436" s="47"/>
      <c r="V436" s="47"/>
      <c r="W436" s="47"/>
      <c r="X436" s="47"/>
      <c r="Y436" s="172"/>
      <c r="Z436" s="133"/>
      <c r="AA436" s="47"/>
      <c r="AB436" s="47"/>
      <c r="AC436" s="47"/>
      <c r="AD436" s="47"/>
      <c r="AE436" s="172"/>
      <c r="AF436" s="133"/>
      <c r="AG436" s="47"/>
      <c r="AH436" s="47"/>
      <c r="AI436" s="47"/>
      <c r="AJ436" s="136"/>
      <c r="AK436" s="11">
        <f>'Encargos e Benefícios'!D435</f>
        <v>0</v>
      </c>
      <c r="AL436" s="11">
        <f>IF('Encargos e Benefícios'!C435=0,0,'Encargos e Benefícios'!U435/'Encargos e Benefícios'!C435)</f>
        <v>0</v>
      </c>
      <c r="AM436" s="11">
        <f>IF('Encargos e Benefícios'!C435=0,0,'Encargos e Benefícios'!AC435/'Encargos e Benefícios'!C435)</f>
        <v>0</v>
      </c>
      <c r="AN436" s="119">
        <f>IF('Encargos e Benefícios'!C435=0,0,'Encargos e Benefícios'!AD435/'Encargos e Benefícios'!C435)</f>
        <v>0</v>
      </c>
      <c r="AO436" s="32"/>
      <c r="AP436" s="31"/>
      <c r="AQ436" s="31"/>
      <c r="AR436" s="210"/>
      <c r="AS436" s="32"/>
    </row>
    <row r="437" spans="1:45" ht="12.75" hidden="1" x14ac:dyDescent="0.2">
      <c r="A437" s="48">
        <v>431</v>
      </c>
      <c r="B437" s="12">
        <f>'Encargos e Benefícios'!B436</f>
        <v>0</v>
      </c>
      <c r="C437" s="10">
        <f>'Encargos e Benefícios'!C436</f>
        <v>0</v>
      </c>
      <c r="D437" s="38"/>
      <c r="E437" s="174"/>
      <c r="F437" s="173"/>
      <c r="G437" s="172"/>
      <c r="H437" s="133"/>
      <c r="I437" s="47"/>
      <c r="J437" s="47"/>
      <c r="K437" s="47"/>
      <c r="L437" s="47"/>
      <c r="M437" s="172"/>
      <c r="N437" s="133"/>
      <c r="O437" s="47"/>
      <c r="P437" s="47"/>
      <c r="Q437" s="47"/>
      <c r="R437" s="47"/>
      <c r="S437" s="172"/>
      <c r="T437" s="133"/>
      <c r="U437" s="47"/>
      <c r="V437" s="47"/>
      <c r="W437" s="47"/>
      <c r="X437" s="47"/>
      <c r="Y437" s="172"/>
      <c r="Z437" s="133"/>
      <c r="AA437" s="47"/>
      <c r="AB437" s="47"/>
      <c r="AC437" s="47"/>
      <c r="AD437" s="47"/>
      <c r="AE437" s="172"/>
      <c r="AF437" s="133"/>
      <c r="AG437" s="47"/>
      <c r="AH437" s="47"/>
      <c r="AI437" s="47"/>
      <c r="AJ437" s="136"/>
      <c r="AK437" s="11">
        <f>'Encargos e Benefícios'!D436</f>
        <v>0</v>
      </c>
      <c r="AL437" s="11">
        <f>IF('Encargos e Benefícios'!C436=0,0,'Encargos e Benefícios'!U436/'Encargos e Benefícios'!C436)</f>
        <v>0</v>
      </c>
      <c r="AM437" s="11">
        <f>IF('Encargos e Benefícios'!C436=0,0,'Encargos e Benefícios'!AC436/'Encargos e Benefícios'!C436)</f>
        <v>0</v>
      </c>
      <c r="AN437" s="119">
        <f>IF('Encargos e Benefícios'!C436=0,0,'Encargos e Benefícios'!AD436/'Encargos e Benefícios'!C436)</f>
        <v>0</v>
      </c>
      <c r="AO437" s="32"/>
      <c r="AP437" s="31"/>
      <c r="AQ437" s="31"/>
      <c r="AR437" s="210"/>
      <c r="AS437" s="32"/>
    </row>
    <row r="438" spans="1:45" ht="12.75" hidden="1" x14ac:dyDescent="0.2">
      <c r="A438" s="48">
        <v>432</v>
      </c>
      <c r="B438" s="12">
        <f>'Encargos e Benefícios'!B437</f>
        <v>0</v>
      </c>
      <c r="C438" s="10">
        <f>'Encargos e Benefícios'!C437</f>
        <v>0</v>
      </c>
      <c r="D438" s="38"/>
      <c r="E438" s="174"/>
      <c r="F438" s="173"/>
      <c r="G438" s="172"/>
      <c r="H438" s="133"/>
      <c r="I438" s="47"/>
      <c r="J438" s="47"/>
      <c r="K438" s="47"/>
      <c r="L438" s="47"/>
      <c r="M438" s="172"/>
      <c r="N438" s="133"/>
      <c r="O438" s="47"/>
      <c r="P438" s="47"/>
      <c r="Q438" s="47"/>
      <c r="R438" s="47"/>
      <c r="S438" s="172"/>
      <c r="T438" s="133"/>
      <c r="U438" s="47"/>
      <c r="V438" s="47"/>
      <c r="W438" s="47"/>
      <c r="X438" s="47"/>
      <c r="Y438" s="172"/>
      <c r="Z438" s="133"/>
      <c r="AA438" s="47"/>
      <c r="AB438" s="47"/>
      <c r="AC438" s="47"/>
      <c r="AD438" s="47"/>
      <c r="AE438" s="172"/>
      <c r="AF438" s="133"/>
      <c r="AG438" s="47"/>
      <c r="AH438" s="47"/>
      <c r="AI438" s="47"/>
      <c r="AJ438" s="136"/>
      <c r="AK438" s="11">
        <f>'Encargos e Benefícios'!D437</f>
        <v>0</v>
      </c>
      <c r="AL438" s="11">
        <f>IF('Encargos e Benefícios'!C437=0,0,'Encargos e Benefícios'!U437/'Encargos e Benefícios'!C437)</f>
        <v>0</v>
      </c>
      <c r="AM438" s="11">
        <f>IF('Encargos e Benefícios'!C437=0,0,'Encargos e Benefícios'!AC437/'Encargos e Benefícios'!C437)</f>
        <v>0</v>
      </c>
      <c r="AN438" s="119">
        <f>IF('Encargos e Benefícios'!C437=0,0,'Encargos e Benefícios'!AD437/'Encargos e Benefícios'!C437)</f>
        <v>0</v>
      </c>
      <c r="AO438" s="32"/>
      <c r="AP438" s="31"/>
      <c r="AQ438" s="31"/>
      <c r="AR438" s="210"/>
      <c r="AS438" s="32"/>
    </row>
    <row r="439" spans="1:45" ht="12.75" hidden="1" x14ac:dyDescent="0.2">
      <c r="A439" s="48">
        <v>433</v>
      </c>
      <c r="B439" s="12">
        <f>'Encargos e Benefícios'!B438</f>
        <v>0</v>
      </c>
      <c r="C439" s="10">
        <f>'Encargos e Benefícios'!C438</f>
        <v>0</v>
      </c>
      <c r="D439" s="38"/>
      <c r="E439" s="174"/>
      <c r="F439" s="173"/>
      <c r="G439" s="172"/>
      <c r="H439" s="133"/>
      <c r="I439" s="47"/>
      <c r="J439" s="47"/>
      <c r="K439" s="47"/>
      <c r="L439" s="47"/>
      <c r="M439" s="172"/>
      <c r="N439" s="133"/>
      <c r="O439" s="47"/>
      <c r="P439" s="47"/>
      <c r="Q439" s="47"/>
      <c r="R439" s="47"/>
      <c r="S439" s="172"/>
      <c r="T439" s="133"/>
      <c r="U439" s="47"/>
      <c r="V439" s="47"/>
      <c r="W439" s="47"/>
      <c r="X439" s="47"/>
      <c r="Y439" s="172"/>
      <c r="Z439" s="133"/>
      <c r="AA439" s="47"/>
      <c r="AB439" s="47"/>
      <c r="AC439" s="47"/>
      <c r="AD439" s="47"/>
      <c r="AE439" s="172"/>
      <c r="AF439" s="133"/>
      <c r="AG439" s="47"/>
      <c r="AH439" s="47"/>
      <c r="AI439" s="47"/>
      <c r="AJ439" s="136"/>
      <c r="AK439" s="11">
        <f>'Encargos e Benefícios'!D438</f>
        <v>0</v>
      </c>
      <c r="AL439" s="11">
        <f>IF('Encargos e Benefícios'!C438=0,0,'Encargos e Benefícios'!U438/'Encargos e Benefícios'!C438)</f>
        <v>0</v>
      </c>
      <c r="AM439" s="11">
        <f>IF('Encargos e Benefícios'!C438=0,0,'Encargos e Benefícios'!AC438/'Encargos e Benefícios'!C438)</f>
        <v>0</v>
      </c>
      <c r="AN439" s="119">
        <f>IF('Encargos e Benefícios'!C438=0,0,'Encargos e Benefícios'!AD438/'Encargos e Benefícios'!C438)</f>
        <v>0</v>
      </c>
      <c r="AO439" s="32"/>
      <c r="AP439" s="31"/>
      <c r="AQ439" s="31"/>
      <c r="AR439" s="210"/>
      <c r="AS439" s="32"/>
    </row>
    <row r="440" spans="1:45" ht="12.75" hidden="1" x14ac:dyDescent="0.2">
      <c r="A440" s="48">
        <v>434</v>
      </c>
      <c r="B440" s="12">
        <f>'Encargos e Benefícios'!B439</f>
        <v>0</v>
      </c>
      <c r="C440" s="10">
        <f>'Encargos e Benefícios'!C439</f>
        <v>0</v>
      </c>
      <c r="D440" s="38"/>
      <c r="E440" s="174"/>
      <c r="F440" s="173"/>
      <c r="G440" s="172"/>
      <c r="H440" s="133"/>
      <c r="I440" s="47"/>
      <c r="J440" s="47"/>
      <c r="K440" s="47"/>
      <c r="L440" s="47"/>
      <c r="M440" s="172"/>
      <c r="N440" s="133"/>
      <c r="O440" s="47"/>
      <c r="P440" s="47"/>
      <c r="Q440" s="47"/>
      <c r="R440" s="47"/>
      <c r="S440" s="172"/>
      <c r="T440" s="133"/>
      <c r="U440" s="47"/>
      <c r="V440" s="47"/>
      <c r="W440" s="47"/>
      <c r="X440" s="47"/>
      <c r="Y440" s="172"/>
      <c r="Z440" s="133"/>
      <c r="AA440" s="47"/>
      <c r="AB440" s="47"/>
      <c r="AC440" s="47"/>
      <c r="AD440" s="47"/>
      <c r="AE440" s="172"/>
      <c r="AF440" s="133"/>
      <c r="AG440" s="47"/>
      <c r="AH440" s="47"/>
      <c r="AI440" s="47"/>
      <c r="AJ440" s="136"/>
      <c r="AK440" s="11">
        <f>'Encargos e Benefícios'!D439</f>
        <v>0</v>
      </c>
      <c r="AL440" s="11">
        <f>IF('Encargos e Benefícios'!C439=0,0,'Encargos e Benefícios'!U439/'Encargos e Benefícios'!C439)</f>
        <v>0</v>
      </c>
      <c r="AM440" s="11">
        <f>IF('Encargos e Benefícios'!C439=0,0,'Encargos e Benefícios'!AC439/'Encargos e Benefícios'!C439)</f>
        <v>0</v>
      </c>
      <c r="AN440" s="119">
        <f>IF('Encargos e Benefícios'!C439=0,0,'Encargos e Benefícios'!AD439/'Encargos e Benefícios'!C439)</f>
        <v>0</v>
      </c>
      <c r="AO440" s="32"/>
      <c r="AP440" s="31"/>
      <c r="AQ440" s="31"/>
      <c r="AR440" s="210"/>
      <c r="AS440" s="32"/>
    </row>
    <row r="441" spans="1:45" ht="12.75" hidden="1" x14ac:dyDescent="0.2">
      <c r="A441" s="48">
        <v>435</v>
      </c>
      <c r="B441" s="12">
        <f>'Encargos e Benefícios'!B440</f>
        <v>0</v>
      </c>
      <c r="C441" s="10">
        <f>'Encargos e Benefícios'!C440</f>
        <v>0</v>
      </c>
      <c r="D441" s="38"/>
      <c r="E441" s="174"/>
      <c r="F441" s="173"/>
      <c r="G441" s="172"/>
      <c r="H441" s="133"/>
      <c r="I441" s="47"/>
      <c r="J441" s="47"/>
      <c r="K441" s="47"/>
      <c r="L441" s="47"/>
      <c r="M441" s="172"/>
      <c r="N441" s="133"/>
      <c r="O441" s="47"/>
      <c r="P441" s="47"/>
      <c r="Q441" s="47"/>
      <c r="R441" s="47"/>
      <c r="S441" s="172"/>
      <c r="T441" s="133"/>
      <c r="U441" s="47"/>
      <c r="V441" s="47"/>
      <c r="W441" s="47"/>
      <c r="X441" s="47"/>
      <c r="Y441" s="172"/>
      <c r="Z441" s="133"/>
      <c r="AA441" s="47"/>
      <c r="AB441" s="47"/>
      <c r="AC441" s="47"/>
      <c r="AD441" s="47"/>
      <c r="AE441" s="172"/>
      <c r="AF441" s="133"/>
      <c r="AG441" s="47"/>
      <c r="AH441" s="47"/>
      <c r="AI441" s="47"/>
      <c r="AJ441" s="136"/>
      <c r="AK441" s="11">
        <f>'Encargos e Benefícios'!D440</f>
        <v>0</v>
      </c>
      <c r="AL441" s="11">
        <f>IF('Encargos e Benefícios'!C440=0,0,'Encargos e Benefícios'!U440/'Encargos e Benefícios'!C440)</f>
        <v>0</v>
      </c>
      <c r="AM441" s="11">
        <f>IF('Encargos e Benefícios'!C440=0,0,'Encargos e Benefícios'!AC440/'Encargos e Benefícios'!C440)</f>
        <v>0</v>
      </c>
      <c r="AN441" s="119">
        <f>IF('Encargos e Benefícios'!C440=0,0,'Encargos e Benefícios'!AD440/'Encargos e Benefícios'!C440)</f>
        <v>0</v>
      </c>
      <c r="AO441" s="32"/>
      <c r="AP441" s="31"/>
      <c r="AQ441" s="31"/>
      <c r="AR441" s="210"/>
      <c r="AS441" s="32"/>
    </row>
    <row r="442" spans="1:45" ht="12.75" hidden="1" x14ac:dyDescent="0.2">
      <c r="A442" s="48">
        <v>436</v>
      </c>
      <c r="B442" s="12">
        <f>'Encargos e Benefícios'!B441</f>
        <v>0</v>
      </c>
      <c r="C442" s="10">
        <f>'Encargos e Benefícios'!C441</f>
        <v>0</v>
      </c>
      <c r="D442" s="38"/>
      <c r="E442" s="174"/>
      <c r="F442" s="173"/>
      <c r="G442" s="172"/>
      <c r="H442" s="133"/>
      <c r="I442" s="47"/>
      <c r="J442" s="47"/>
      <c r="K442" s="47"/>
      <c r="L442" s="47"/>
      <c r="M442" s="172"/>
      <c r="N442" s="133"/>
      <c r="O442" s="47"/>
      <c r="P442" s="47"/>
      <c r="Q442" s="47"/>
      <c r="R442" s="47"/>
      <c r="S442" s="172"/>
      <c r="T442" s="133"/>
      <c r="U442" s="47"/>
      <c r="V442" s="47"/>
      <c r="W442" s="47"/>
      <c r="X442" s="47"/>
      <c r="Y442" s="172"/>
      <c r="Z442" s="133"/>
      <c r="AA442" s="47"/>
      <c r="AB442" s="47"/>
      <c r="AC442" s="47"/>
      <c r="AD442" s="47"/>
      <c r="AE442" s="172"/>
      <c r="AF442" s="133"/>
      <c r="AG442" s="47"/>
      <c r="AH442" s="47"/>
      <c r="AI442" s="47"/>
      <c r="AJ442" s="136"/>
      <c r="AK442" s="11">
        <f>'Encargos e Benefícios'!D441</f>
        <v>0</v>
      </c>
      <c r="AL442" s="11">
        <f>IF('Encargos e Benefícios'!C441=0,0,'Encargos e Benefícios'!U441/'Encargos e Benefícios'!C441)</f>
        <v>0</v>
      </c>
      <c r="AM442" s="11">
        <f>IF('Encargos e Benefícios'!C441=0,0,'Encargos e Benefícios'!AC441/'Encargos e Benefícios'!C441)</f>
        <v>0</v>
      </c>
      <c r="AN442" s="119">
        <f>IF('Encargos e Benefícios'!C441=0,0,'Encargos e Benefícios'!AD441/'Encargos e Benefícios'!C441)</f>
        <v>0</v>
      </c>
      <c r="AO442" s="32"/>
      <c r="AP442" s="31"/>
      <c r="AQ442" s="31"/>
      <c r="AR442" s="210"/>
      <c r="AS442" s="32"/>
    </row>
    <row r="443" spans="1:45" ht="12.75" hidden="1" x14ac:dyDescent="0.2">
      <c r="A443" s="48">
        <v>437</v>
      </c>
      <c r="B443" s="12">
        <f>'Encargos e Benefícios'!B442</f>
        <v>0</v>
      </c>
      <c r="C443" s="10">
        <f>'Encargos e Benefícios'!C442</f>
        <v>0</v>
      </c>
      <c r="D443" s="38"/>
      <c r="E443" s="174"/>
      <c r="F443" s="173"/>
      <c r="G443" s="172"/>
      <c r="H443" s="133"/>
      <c r="I443" s="47"/>
      <c r="J443" s="47"/>
      <c r="K443" s="47"/>
      <c r="L443" s="47"/>
      <c r="M443" s="172"/>
      <c r="N443" s="133"/>
      <c r="O443" s="47"/>
      <c r="P443" s="47"/>
      <c r="Q443" s="47"/>
      <c r="R443" s="47"/>
      <c r="S443" s="172"/>
      <c r="T443" s="133"/>
      <c r="U443" s="47"/>
      <c r="V443" s="47"/>
      <c r="W443" s="47"/>
      <c r="X443" s="47"/>
      <c r="Y443" s="172"/>
      <c r="Z443" s="133"/>
      <c r="AA443" s="47"/>
      <c r="AB443" s="47"/>
      <c r="AC443" s="47"/>
      <c r="AD443" s="47"/>
      <c r="AE443" s="172"/>
      <c r="AF443" s="133"/>
      <c r="AG443" s="47"/>
      <c r="AH443" s="47"/>
      <c r="AI443" s="47"/>
      <c r="AJ443" s="136"/>
      <c r="AK443" s="11">
        <f>'Encargos e Benefícios'!D442</f>
        <v>0</v>
      </c>
      <c r="AL443" s="11">
        <f>IF('Encargos e Benefícios'!C442=0,0,'Encargos e Benefícios'!U442/'Encargos e Benefícios'!C442)</f>
        <v>0</v>
      </c>
      <c r="AM443" s="11">
        <f>IF('Encargos e Benefícios'!C442=0,0,'Encargos e Benefícios'!AC442/'Encargos e Benefícios'!C442)</f>
        <v>0</v>
      </c>
      <c r="AN443" s="119">
        <f>IF('Encargos e Benefícios'!C442=0,0,'Encargos e Benefícios'!AD442/'Encargos e Benefícios'!C442)</f>
        <v>0</v>
      </c>
      <c r="AO443" s="32"/>
      <c r="AP443" s="31"/>
      <c r="AQ443" s="31"/>
      <c r="AR443" s="210"/>
      <c r="AS443" s="32"/>
    </row>
    <row r="444" spans="1:45" ht="12.75" hidden="1" x14ac:dyDescent="0.2">
      <c r="A444" s="48">
        <v>438</v>
      </c>
      <c r="B444" s="12">
        <f>'Encargos e Benefícios'!B443</f>
        <v>0</v>
      </c>
      <c r="C444" s="10">
        <f>'Encargos e Benefícios'!C443</f>
        <v>0</v>
      </c>
      <c r="D444" s="38"/>
      <c r="E444" s="174"/>
      <c r="F444" s="173"/>
      <c r="G444" s="172"/>
      <c r="H444" s="133"/>
      <c r="I444" s="47"/>
      <c r="J444" s="47"/>
      <c r="K444" s="47"/>
      <c r="L444" s="47"/>
      <c r="M444" s="172"/>
      <c r="N444" s="133"/>
      <c r="O444" s="47"/>
      <c r="P444" s="47"/>
      <c r="Q444" s="47"/>
      <c r="R444" s="47"/>
      <c r="S444" s="172"/>
      <c r="T444" s="133"/>
      <c r="U444" s="47"/>
      <c r="V444" s="47"/>
      <c r="W444" s="47"/>
      <c r="X444" s="47"/>
      <c r="Y444" s="172"/>
      <c r="Z444" s="133"/>
      <c r="AA444" s="47"/>
      <c r="AB444" s="47"/>
      <c r="AC444" s="47"/>
      <c r="AD444" s="47"/>
      <c r="AE444" s="172"/>
      <c r="AF444" s="133"/>
      <c r="AG444" s="47"/>
      <c r="AH444" s="47"/>
      <c r="AI444" s="47"/>
      <c r="AJ444" s="136"/>
      <c r="AK444" s="11">
        <f>'Encargos e Benefícios'!D443</f>
        <v>0</v>
      </c>
      <c r="AL444" s="11">
        <f>IF('Encargos e Benefícios'!C443=0,0,'Encargos e Benefícios'!U443/'Encargos e Benefícios'!C443)</f>
        <v>0</v>
      </c>
      <c r="AM444" s="11">
        <f>IF('Encargos e Benefícios'!C443=0,0,'Encargos e Benefícios'!AC443/'Encargos e Benefícios'!C443)</f>
        <v>0</v>
      </c>
      <c r="AN444" s="119">
        <f>IF('Encargos e Benefícios'!C443=0,0,'Encargos e Benefícios'!AD443/'Encargos e Benefícios'!C443)</f>
        <v>0</v>
      </c>
      <c r="AO444" s="32"/>
      <c r="AP444" s="31"/>
      <c r="AQ444" s="31"/>
      <c r="AR444" s="210"/>
      <c r="AS444" s="32"/>
    </row>
    <row r="445" spans="1:45" ht="12.75" hidden="1" x14ac:dyDescent="0.2">
      <c r="A445" s="48">
        <v>439</v>
      </c>
      <c r="B445" s="12">
        <f>'Encargos e Benefícios'!B444</f>
        <v>0</v>
      </c>
      <c r="C445" s="10">
        <f>'Encargos e Benefícios'!C444</f>
        <v>0</v>
      </c>
      <c r="D445" s="38"/>
      <c r="E445" s="174"/>
      <c r="F445" s="173"/>
      <c r="G445" s="172"/>
      <c r="H445" s="133"/>
      <c r="I445" s="47"/>
      <c r="J445" s="47"/>
      <c r="K445" s="47"/>
      <c r="L445" s="47"/>
      <c r="M445" s="172"/>
      <c r="N445" s="133"/>
      <c r="O445" s="47"/>
      <c r="P445" s="47"/>
      <c r="Q445" s="47"/>
      <c r="R445" s="47"/>
      <c r="S445" s="172"/>
      <c r="T445" s="133"/>
      <c r="U445" s="47"/>
      <c r="V445" s="47"/>
      <c r="W445" s="47"/>
      <c r="X445" s="47"/>
      <c r="Y445" s="172"/>
      <c r="Z445" s="133"/>
      <c r="AA445" s="47"/>
      <c r="AB445" s="47"/>
      <c r="AC445" s="47"/>
      <c r="AD445" s="47"/>
      <c r="AE445" s="172"/>
      <c r="AF445" s="133"/>
      <c r="AG445" s="47"/>
      <c r="AH445" s="47"/>
      <c r="AI445" s="47"/>
      <c r="AJ445" s="136"/>
      <c r="AK445" s="11">
        <f>'Encargos e Benefícios'!D444</f>
        <v>0</v>
      </c>
      <c r="AL445" s="11">
        <f>IF('Encargos e Benefícios'!C444=0,0,'Encargos e Benefícios'!U444/'Encargos e Benefícios'!C444)</f>
        <v>0</v>
      </c>
      <c r="AM445" s="11">
        <f>IF('Encargos e Benefícios'!C444=0,0,'Encargos e Benefícios'!AC444/'Encargos e Benefícios'!C444)</f>
        <v>0</v>
      </c>
      <c r="AN445" s="119">
        <f>IF('Encargos e Benefícios'!C444=0,0,'Encargos e Benefícios'!AD444/'Encargos e Benefícios'!C444)</f>
        <v>0</v>
      </c>
      <c r="AO445" s="32"/>
      <c r="AP445" s="31"/>
      <c r="AQ445" s="31"/>
      <c r="AR445" s="210"/>
      <c r="AS445" s="32"/>
    </row>
    <row r="446" spans="1:45" ht="12.75" hidden="1" x14ac:dyDescent="0.2">
      <c r="A446" s="48">
        <v>440</v>
      </c>
      <c r="B446" s="12">
        <f>'Encargos e Benefícios'!B445</f>
        <v>0</v>
      </c>
      <c r="C446" s="10">
        <f>'Encargos e Benefícios'!C445</f>
        <v>0</v>
      </c>
      <c r="D446" s="38"/>
      <c r="E446" s="174"/>
      <c r="F446" s="173"/>
      <c r="G446" s="172"/>
      <c r="H446" s="133"/>
      <c r="I446" s="47"/>
      <c r="J446" s="47"/>
      <c r="K446" s="47"/>
      <c r="L446" s="47"/>
      <c r="M446" s="172"/>
      <c r="N446" s="133"/>
      <c r="O446" s="47"/>
      <c r="P446" s="47"/>
      <c r="Q446" s="47"/>
      <c r="R446" s="47"/>
      <c r="S446" s="172"/>
      <c r="T446" s="133"/>
      <c r="U446" s="47"/>
      <c r="V446" s="47"/>
      <c r="W446" s="47"/>
      <c r="X446" s="47"/>
      <c r="Y446" s="172"/>
      <c r="Z446" s="133"/>
      <c r="AA446" s="47"/>
      <c r="AB446" s="47"/>
      <c r="AC446" s="47"/>
      <c r="AD446" s="47"/>
      <c r="AE446" s="172"/>
      <c r="AF446" s="133"/>
      <c r="AG446" s="47"/>
      <c r="AH446" s="47"/>
      <c r="AI446" s="47"/>
      <c r="AJ446" s="136"/>
      <c r="AK446" s="11">
        <f>'Encargos e Benefícios'!D445</f>
        <v>0</v>
      </c>
      <c r="AL446" s="11">
        <f>IF('Encargos e Benefícios'!C445=0,0,'Encargos e Benefícios'!U445/'Encargos e Benefícios'!C445)</f>
        <v>0</v>
      </c>
      <c r="AM446" s="11">
        <f>IF('Encargos e Benefícios'!C445=0,0,'Encargos e Benefícios'!AC445/'Encargos e Benefícios'!C445)</f>
        <v>0</v>
      </c>
      <c r="AN446" s="119">
        <f>IF('Encargos e Benefícios'!C445=0,0,'Encargos e Benefícios'!AD445/'Encargos e Benefícios'!C445)</f>
        <v>0</v>
      </c>
      <c r="AO446" s="32"/>
      <c r="AP446" s="31"/>
      <c r="AQ446" s="31"/>
      <c r="AR446" s="210"/>
      <c r="AS446" s="32"/>
    </row>
    <row r="447" spans="1:45" ht="12.75" hidden="1" x14ac:dyDescent="0.2">
      <c r="A447" s="48">
        <v>441</v>
      </c>
      <c r="B447" s="12">
        <f>'Encargos e Benefícios'!B446</f>
        <v>0</v>
      </c>
      <c r="C447" s="10">
        <f>'Encargos e Benefícios'!C446</f>
        <v>0</v>
      </c>
      <c r="D447" s="38"/>
      <c r="E447" s="174"/>
      <c r="F447" s="173"/>
      <c r="G447" s="172"/>
      <c r="H447" s="133"/>
      <c r="I447" s="47"/>
      <c r="J447" s="47"/>
      <c r="K447" s="47"/>
      <c r="L447" s="47"/>
      <c r="M447" s="172"/>
      <c r="N447" s="133"/>
      <c r="O447" s="47"/>
      <c r="P447" s="47"/>
      <c r="Q447" s="47"/>
      <c r="R447" s="47"/>
      <c r="S447" s="172"/>
      <c r="T447" s="133"/>
      <c r="U447" s="47"/>
      <c r="V447" s="47"/>
      <c r="W447" s="47"/>
      <c r="X447" s="47"/>
      <c r="Y447" s="172"/>
      <c r="Z447" s="133"/>
      <c r="AA447" s="47"/>
      <c r="AB447" s="47"/>
      <c r="AC447" s="47"/>
      <c r="AD447" s="47"/>
      <c r="AE447" s="172"/>
      <c r="AF447" s="133"/>
      <c r="AG447" s="47"/>
      <c r="AH447" s="47"/>
      <c r="AI447" s="47"/>
      <c r="AJ447" s="136"/>
      <c r="AK447" s="11">
        <f>'Encargos e Benefícios'!D446</f>
        <v>0</v>
      </c>
      <c r="AL447" s="11">
        <f>IF('Encargos e Benefícios'!C446=0,0,'Encargos e Benefícios'!U446/'Encargos e Benefícios'!C446)</f>
        <v>0</v>
      </c>
      <c r="AM447" s="11">
        <f>IF('Encargos e Benefícios'!C446=0,0,'Encargos e Benefícios'!AC446/'Encargos e Benefícios'!C446)</f>
        <v>0</v>
      </c>
      <c r="AN447" s="119">
        <f>IF('Encargos e Benefícios'!C446=0,0,'Encargos e Benefícios'!AD446/'Encargos e Benefícios'!C446)</f>
        <v>0</v>
      </c>
      <c r="AO447" s="32"/>
      <c r="AP447" s="31"/>
      <c r="AQ447" s="31"/>
      <c r="AR447" s="210"/>
      <c r="AS447" s="32"/>
    </row>
    <row r="448" spans="1:45" ht="12.75" hidden="1" x14ac:dyDescent="0.2">
      <c r="A448" s="48">
        <v>442</v>
      </c>
      <c r="B448" s="12">
        <f>'Encargos e Benefícios'!B447</f>
        <v>0</v>
      </c>
      <c r="C448" s="10">
        <f>'Encargos e Benefícios'!C447</f>
        <v>0</v>
      </c>
      <c r="D448" s="38"/>
      <c r="E448" s="174"/>
      <c r="F448" s="173"/>
      <c r="G448" s="172"/>
      <c r="H448" s="133"/>
      <c r="I448" s="47"/>
      <c r="J448" s="47"/>
      <c r="K448" s="47"/>
      <c r="L448" s="47"/>
      <c r="M448" s="172"/>
      <c r="N448" s="133"/>
      <c r="O448" s="47"/>
      <c r="P448" s="47"/>
      <c r="Q448" s="47"/>
      <c r="R448" s="47"/>
      <c r="S448" s="172"/>
      <c r="T448" s="133"/>
      <c r="U448" s="47"/>
      <c r="V448" s="47"/>
      <c r="W448" s="47"/>
      <c r="X448" s="47"/>
      <c r="Y448" s="172"/>
      <c r="Z448" s="133"/>
      <c r="AA448" s="47"/>
      <c r="AB448" s="47"/>
      <c r="AC448" s="47"/>
      <c r="AD448" s="47"/>
      <c r="AE448" s="172"/>
      <c r="AF448" s="133"/>
      <c r="AG448" s="47"/>
      <c r="AH448" s="47"/>
      <c r="AI448" s="47"/>
      <c r="AJ448" s="136"/>
      <c r="AK448" s="11">
        <f>'Encargos e Benefícios'!D447</f>
        <v>0</v>
      </c>
      <c r="AL448" s="11">
        <f>IF('Encargos e Benefícios'!C447=0,0,'Encargos e Benefícios'!U447/'Encargos e Benefícios'!C447)</f>
        <v>0</v>
      </c>
      <c r="AM448" s="11">
        <f>IF('Encargos e Benefícios'!C447=0,0,'Encargos e Benefícios'!AC447/'Encargos e Benefícios'!C447)</f>
        <v>0</v>
      </c>
      <c r="AN448" s="119">
        <f>IF('Encargos e Benefícios'!C447=0,0,'Encargos e Benefícios'!AD447/'Encargos e Benefícios'!C447)</f>
        <v>0</v>
      </c>
      <c r="AO448" s="32"/>
      <c r="AP448" s="31"/>
      <c r="AQ448" s="31"/>
      <c r="AR448" s="210"/>
      <c r="AS448" s="32"/>
    </row>
    <row r="449" spans="1:45" ht="12.75" hidden="1" x14ac:dyDescent="0.2">
      <c r="A449" s="48">
        <v>443</v>
      </c>
      <c r="B449" s="12">
        <f>'Encargos e Benefícios'!B448</f>
        <v>0</v>
      </c>
      <c r="C449" s="10">
        <f>'Encargos e Benefícios'!C448</f>
        <v>0</v>
      </c>
      <c r="D449" s="38"/>
      <c r="E449" s="174"/>
      <c r="F449" s="173"/>
      <c r="G449" s="172"/>
      <c r="H449" s="133"/>
      <c r="I449" s="47"/>
      <c r="J449" s="47"/>
      <c r="K449" s="47"/>
      <c r="L449" s="47"/>
      <c r="M449" s="172"/>
      <c r="N449" s="133"/>
      <c r="O449" s="47"/>
      <c r="P449" s="47"/>
      <c r="Q449" s="47"/>
      <c r="R449" s="47"/>
      <c r="S449" s="172"/>
      <c r="T449" s="133"/>
      <c r="U449" s="47"/>
      <c r="V449" s="47"/>
      <c r="W449" s="47"/>
      <c r="X449" s="47"/>
      <c r="Y449" s="172"/>
      <c r="Z449" s="133"/>
      <c r="AA449" s="47"/>
      <c r="AB449" s="47"/>
      <c r="AC449" s="47"/>
      <c r="AD449" s="47"/>
      <c r="AE449" s="172"/>
      <c r="AF449" s="133"/>
      <c r="AG449" s="47"/>
      <c r="AH449" s="47"/>
      <c r="AI449" s="47"/>
      <c r="AJ449" s="136"/>
      <c r="AK449" s="11">
        <f>'Encargos e Benefícios'!D448</f>
        <v>0</v>
      </c>
      <c r="AL449" s="11">
        <f>IF('Encargos e Benefícios'!C448=0,0,'Encargos e Benefícios'!U448/'Encargos e Benefícios'!C448)</f>
        <v>0</v>
      </c>
      <c r="AM449" s="11">
        <f>IF('Encargos e Benefícios'!C448=0,0,'Encargos e Benefícios'!AC448/'Encargos e Benefícios'!C448)</f>
        <v>0</v>
      </c>
      <c r="AN449" s="119">
        <f>IF('Encargos e Benefícios'!C448=0,0,'Encargos e Benefícios'!AD448/'Encargos e Benefícios'!C448)</f>
        <v>0</v>
      </c>
      <c r="AO449" s="32"/>
      <c r="AP449" s="31"/>
      <c r="AQ449" s="31"/>
      <c r="AR449" s="210"/>
      <c r="AS449" s="32"/>
    </row>
    <row r="450" spans="1:45" ht="12.75" hidden="1" x14ac:dyDescent="0.2">
      <c r="A450" s="48">
        <v>444</v>
      </c>
      <c r="B450" s="12">
        <f>'Encargos e Benefícios'!B449</f>
        <v>0</v>
      </c>
      <c r="C450" s="10">
        <f>'Encargos e Benefícios'!C449</f>
        <v>0</v>
      </c>
      <c r="D450" s="38"/>
      <c r="E450" s="174"/>
      <c r="F450" s="173"/>
      <c r="G450" s="172"/>
      <c r="H450" s="133"/>
      <c r="I450" s="47"/>
      <c r="J450" s="47"/>
      <c r="K450" s="47"/>
      <c r="L450" s="47"/>
      <c r="M450" s="172"/>
      <c r="N450" s="133"/>
      <c r="O450" s="47"/>
      <c r="P450" s="47"/>
      <c r="Q450" s="47"/>
      <c r="R450" s="47"/>
      <c r="S450" s="172"/>
      <c r="T450" s="133"/>
      <c r="U450" s="47"/>
      <c r="V450" s="47"/>
      <c r="W450" s="47"/>
      <c r="X450" s="47"/>
      <c r="Y450" s="172"/>
      <c r="Z450" s="133"/>
      <c r="AA450" s="47"/>
      <c r="AB450" s="47"/>
      <c r="AC450" s="47"/>
      <c r="AD450" s="47"/>
      <c r="AE450" s="172"/>
      <c r="AF450" s="133"/>
      <c r="AG450" s="47"/>
      <c r="AH450" s="47"/>
      <c r="AI450" s="47"/>
      <c r="AJ450" s="136"/>
      <c r="AK450" s="11">
        <f>'Encargos e Benefícios'!D449</f>
        <v>0</v>
      </c>
      <c r="AL450" s="11">
        <f>IF('Encargos e Benefícios'!C449=0,0,'Encargos e Benefícios'!U449/'Encargos e Benefícios'!C449)</f>
        <v>0</v>
      </c>
      <c r="AM450" s="11">
        <f>IF('Encargos e Benefícios'!C449=0,0,'Encargos e Benefícios'!AC449/'Encargos e Benefícios'!C449)</f>
        <v>0</v>
      </c>
      <c r="AN450" s="119">
        <f>IF('Encargos e Benefícios'!C449=0,0,'Encargos e Benefícios'!AD449/'Encargos e Benefícios'!C449)</f>
        <v>0</v>
      </c>
      <c r="AO450" s="32"/>
      <c r="AP450" s="31"/>
      <c r="AQ450" s="31"/>
      <c r="AR450" s="210"/>
      <c r="AS450" s="32"/>
    </row>
    <row r="451" spans="1:45" ht="12.75" hidden="1" x14ac:dyDescent="0.2">
      <c r="A451" s="48">
        <v>445</v>
      </c>
      <c r="B451" s="12">
        <f>'Encargos e Benefícios'!B450</f>
        <v>0</v>
      </c>
      <c r="C451" s="10">
        <f>'Encargos e Benefícios'!C450</f>
        <v>0</v>
      </c>
      <c r="D451" s="38"/>
      <c r="E451" s="174"/>
      <c r="F451" s="173"/>
      <c r="G451" s="172"/>
      <c r="H451" s="133"/>
      <c r="I451" s="47"/>
      <c r="J451" s="47"/>
      <c r="K451" s="47"/>
      <c r="L451" s="47"/>
      <c r="M451" s="172"/>
      <c r="N451" s="133"/>
      <c r="O451" s="47"/>
      <c r="P451" s="47"/>
      <c r="Q451" s="47"/>
      <c r="R451" s="47"/>
      <c r="S451" s="172"/>
      <c r="T451" s="133"/>
      <c r="U451" s="47"/>
      <c r="V451" s="47"/>
      <c r="W451" s="47"/>
      <c r="X451" s="47"/>
      <c r="Y451" s="172"/>
      <c r="Z451" s="133"/>
      <c r="AA451" s="47"/>
      <c r="AB451" s="47"/>
      <c r="AC451" s="47"/>
      <c r="AD451" s="47"/>
      <c r="AE451" s="172"/>
      <c r="AF451" s="133"/>
      <c r="AG451" s="47"/>
      <c r="AH451" s="47"/>
      <c r="AI451" s="47"/>
      <c r="AJ451" s="136"/>
      <c r="AK451" s="11">
        <f>'Encargos e Benefícios'!D450</f>
        <v>0</v>
      </c>
      <c r="AL451" s="11">
        <f>IF('Encargos e Benefícios'!C450=0,0,'Encargos e Benefícios'!U450/'Encargos e Benefícios'!C450)</f>
        <v>0</v>
      </c>
      <c r="AM451" s="11">
        <f>IF('Encargos e Benefícios'!C450=0,0,'Encargos e Benefícios'!AC450/'Encargos e Benefícios'!C450)</f>
        <v>0</v>
      </c>
      <c r="AN451" s="119">
        <f>IF('Encargos e Benefícios'!C450=0,0,'Encargos e Benefícios'!AD450/'Encargos e Benefícios'!C450)</f>
        <v>0</v>
      </c>
      <c r="AO451" s="32"/>
      <c r="AP451" s="31"/>
      <c r="AQ451" s="31"/>
      <c r="AR451" s="210"/>
      <c r="AS451" s="32"/>
    </row>
    <row r="452" spans="1:45" ht="12.75" hidden="1" x14ac:dyDescent="0.2">
      <c r="A452" s="48">
        <v>446</v>
      </c>
      <c r="B452" s="12">
        <f>'Encargos e Benefícios'!B451</f>
        <v>0</v>
      </c>
      <c r="C452" s="10">
        <f>'Encargos e Benefícios'!C451</f>
        <v>0</v>
      </c>
      <c r="D452" s="38"/>
      <c r="E452" s="174"/>
      <c r="F452" s="173"/>
      <c r="G452" s="172"/>
      <c r="H452" s="133"/>
      <c r="I452" s="47"/>
      <c r="J452" s="47"/>
      <c r="K452" s="47"/>
      <c r="L452" s="47"/>
      <c r="M452" s="172"/>
      <c r="N452" s="133"/>
      <c r="O452" s="47"/>
      <c r="P452" s="47"/>
      <c r="Q452" s="47"/>
      <c r="R452" s="47"/>
      <c r="S452" s="172"/>
      <c r="T452" s="133"/>
      <c r="U452" s="47"/>
      <c r="V452" s="47"/>
      <c r="W452" s="47"/>
      <c r="X452" s="47"/>
      <c r="Y452" s="172"/>
      <c r="Z452" s="133"/>
      <c r="AA452" s="47"/>
      <c r="AB452" s="47"/>
      <c r="AC452" s="47"/>
      <c r="AD452" s="47"/>
      <c r="AE452" s="172"/>
      <c r="AF452" s="133"/>
      <c r="AG452" s="47"/>
      <c r="AH452" s="47"/>
      <c r="AI452" s="47"/>
      <c r="AJ452" s="136"/>
      <c r="AK452" s="11">
        <f>'Encargos e Benefícios'!D451</f>
        <v>0</v>
      </c>
      <c r="AL452" s="11">
        <f>IF('Encargos e Benefícios'!C451=0,0,'Encargos e Benefícios'!U451/'Encargos e Benefícios'!C451)</f>
        <v>0</v>
      </c>
      <c r="AM452" s="11">
        <f>IF('Encargos e Benefícios'!C451=0,0,'Encargos e Benefícios'!AC451/'Encargos e Benefícios'!C451)</f>
        <v>0</v>
      </c>
      <c r="AN452" s="119">
        <f>IF('Encargos e Benefícios'!C451=0,0,'Encargos e Benefícios'!AD451/'Encargos e Benefícios'!C451)</f>
        <v>0</v>
      </c>
      <c r="AO452" s="32"/>
      <c r="AP452" s="31"/>
      <c r="AQ452" s="31"/>
      <c r="AR452" s="210"/>
      <c r="AS452" s="32"/>
    </row>
    <row r="453" spans="1:45" ht="12.75" hidden="1" x14ac:dyDescent="0.2">
      <c r="A453" s="48">
        <v>447</v>
      </c>
      <c r="B453" s="12">
        <f>'Encargos e Benefícios'!B452</f>
        <v>0</v>
      </c>
      <c r="C453" s="10">
        <f>'Encargos e Benefícios'!C452</f>
        <v>0</v>
      </c>
      <c r="D453" s="38"/>
      <c r="E453" s="174"/>
      <c r="F453" s="173"/>
      <c r="G453" s="172"/>
      <c r="H453" s="133"/>
      <c r="I453" s="47"/>
      <c r="J453" s="47"/>
      <c r="K453" s="47"/>
      <c r="L453" s="47"/>
      <c r="M453" s="172"/>
      <c r="N453" s="133"/>
      <c r="O453" s="47"/>
      <c r="P453" s="47"/>
      <c r="Q453" s="47"/>
      <c r="R453" s="47"/>
      <c r="S453" s="172"/>
      <c r="T453" s="133"/>
      <c r="U453" s="47"/>
      <c r="V453" s="47"/>
      <c r="W453" s="47"/>
      <c r="X453" s="47"/>
      <c r="Y453" s="172"/>
      <c r="Z453" s="133"/>
      <c r="AA453" s="47"/>
      <c r="AB453" s="47"/>
      <c r="AC453" s="47"/>
      <c r="AD453" s="47"/>
      <c r="AE453" s="172"/>
      <c r="AF453" s="133"/>
      <c r="AG453" s="47"/>
      <c r="AH453" s="47"/>
      <c r="AI453" s="47"/>
      <c r="AJ453" s="136"/>
      <c r="AK453" s="11">
        <f>'Encargos e Benefícios'!D452</f>
        <v>0</v>
      </c>
      <c r="AL453" s="11">
        <f>IF('Encargos e Benefícios'!C452=0,0,'Encargos e Benefícios'!U452/'Encargos e Benefícios'!C452)</f>
        <v>0</v>
      </c>
      <c r="AM453" s="11">
        <f>IF('Encargos e Benefícios'!C452=0,0,'Encargos e Benefícios'!AC452/'Encargos e Benefícios'!C452)</f>
        <v>0</v>
      </c>
      <c r="AN453" s="119">
        <f>IF('Encargos e Benefícios'!C452=0,0,'Encargos e Benefícios'!AD452/'Encargos e Benefícios'!C452)</f>
        <v>0</v>
      </c>
      <c r="AO453" s="32"/>
      <c r="AP453" s="31"/>
      <c r="AQ453" s="31"/>
      <c r="AR453" s="210"/>
      <c r="AS453" s="32"/>
    </row>
    <row r="454" spans="1:45" ht="12.75" hidden="1" x14ac:dyDescent="0.2">
      <c r="A454" s="48">
        <v>448</v>
      </c>
      <c r="B454" s="12">
        <f>'Encargos e Benefícios'!B453</f>
        <v>0</v>
      </c>
      <c r="C454" s="10">
        <f>'Encargos e Benefícios'!C453</f>
        <v>0</v>
      </c>
      <c r="D454" s="38"/>
      <c r="E454" s="174"/>
      <c r="F454" s="173"/>
      <c r="G454" s="172"/>
      <c r="H454" s="133"/>
      <c r="I454" s="47"/>
      <c r="J454" s="47"/>
      <c r="K454" s="47"/>
      <c r="L454" s="47"/>
      <c r="M454" s="172"/>
      <c r="N454" s="133"/>
      <c r="O454" s="47"/>
      <c r="P454" s="47"/>
      <c r="Q454" s="47"/>
      <c r="R454" s="47"/>
      <c r="S454" s="172"/>
      <c r="T454" s="133"/>
      <c r="U454" s="47"/>
      <c r="V454" s="47"/>
      <c r="W454" s="47"/>
      <c r="X454" s="47"/>
      <c r="Y454" s="172"/>
      <c r="Z454" s="133"/>
      <c r="AA454" s="47"/>
      <c r="AB454" s="47"/>
      <c r="AC454" s="47"/>
      <c r="AD454" s="47"/>
      <c r="AE454" s="172"/>
      <c r="AF454" s="133"/>
      <c r="AG454" s="47"/>
      <c r="AH454" s="47"/>
      <c r="AI454" s="47"/>
      <c r="AJ454" s="136"/>
      <c r="AK454" s="11">
        <f>'Encargos e Benefícios'!D453</f>
        <v>0</v>
      </c>
      <c r="AL454" s="11">
        <f>IF('Encargos e Benefícios'!C453=0,0,'Encargos e Benefícios'!U453/'Encargos e Benefícios'!C453)</f>
        <v>0</v>
      </c>
      <c r="AM454" s="11">
        <f>IF('Encargos e Benefícios'!C453=0,0,'Encargos e Benefícios'!AC453/'Encargos e Benefícios'!C453)</f>
        <v>0</v>
      </c>
      <c r="AN454" s="119">
        <f>IF('Encargos e Benefícios'!C453=0,0,'Encargos e Benefícios'!AD453/'Encargos e Benefícios'!C453)</f>
        <v>0</v>
      </c>
      <c r="AO454" s="32"/>
      <c r="AP454" s="31"/>
      <c r="AQ454" s="31"/>
      <c r="AR454" s="210"/>
      <c r="AS454" s="32"/>
    </row>
    <row r="455" spans="1:45" ht="12.75" hidden="1" x14ac:dyDescent="0.2">
      <c r="A455" s="48">
        <v>449</v>
      </c>
      <c r="B455" s="12">
        <f>'Encargos e Benefícios'!B454</f>
        <v>0</v>
      </c>
      <c r="C455" s="10">
        <f>'Encargos e Benefícios'!C454</f>
        <v>0</v>
      </c>
      <c r="D455" s="38"/>
      <c r="E455" s="174"/>
      <c r="F455" s="173"/>
      <c r="G455" s="172"/>
      <c r="H455" s="133"/>
      <c r="I455" s="47"/>
      <c r="J455" s="47"/>
      <c r="K455" s="47"/>
      <c r="L455" s="47"/>
      <c r="M455" s="172"/>
      <c r="N455" s="133"/>
      <c r="O455" s="47"/>
      <c r="P455" s="47"/>
      <c r="Q455" s="47"/>
      <c r="R455" s="47"/>
      <c r="S455" s="172"/>
      <c r="T455" s="133"/>
      <c r="U455" s="47"/>
      <c r="V455" s="47"/>
      <c r="W455" s="47"/>
      <c r="X455" s="47"/>
      <c r="Y455" s="172"/>
      <c r="Z455" s="133"/>
      <c r="AA455" s="47"/>
      <c r="AB455" s="47"/>
      <c r="AC455" s="47"/>
      <c r="AD455" s="47"/>
      <c r="AE455" s="172"/>
      <c r="AF455" s="133"/>
      <c r="AG455" s="47"/>
      <c r="AH455" s="47"/>
      <c r="AI455" s="47"/>
      <c r="AJ455" s="136"/>
      <c r="AK455" s="11">
        <f>'Encargos e Benefícios'!D454</f>
        <v>0</v>
      </c>
      <c r="AL455" s="11">
        <f>IF('Encargos e Benefícios'!C454=0,0,'Encargos e Benefícios'!U454/'Encargos e Benefícios'!C454)</f>
        <v>0</v>
      </c>
      <c r="AM455" s="11">
        <f>IF('Encargos e Benefícios'!C454=0,0,'Encargos e Benefícios'!AC454/'Encargos e Benefícios'!C454)</f>
        <v>0</v>
      </c>
      <c r="AN455" s="119">
        <f>IF('Encargos e Benefícios'!C454=0,0,'Encargos e Benefícios'!AD454/'Encargos e Benefícios'!C454)</f>
        <v>0</v>
      </c>
      <c r="AO455" s="32"/>
      <c r="AP455" s="31"/>
      <c r="AQ455" s="31"/>
      <c r="AR455" s="210"/>
      <c r="AS455" s="32"/>
    </row>
    <row r="456" spans="1:45" ht="12.75" hidden="1" x14ac:dyDescent="0.2">
      <c r="A456" s="48">
        <v>450</v>
      </c>
      <c r="B456" s="12">
        <f>'Encargos e Benefícios'!B455</f>
        <v>0</v>
      </c>
      <c r="C456" s="10">
        <f>'Encargos e Benefícios'!C455</f>
        <v>0</v>
      </c>
      <c r="D456" s="38"/>
      <c r="E456" s="174"/>
      <c r="F456" s="173"/>
      <c r="G456" s="172"/>
      <c r="H456" s="133"/>
      <c r="I456" s="47"/>
      <c r="J456" s="47"/>
      <c r="K456" s="47"/>
      <c r="L456" s="47"/>
      <c r="M456" s="172"/>
      <c r="N456" s="133"/>
      <c r="O456" s="47"/>
      <c r="P456" s="47"/>
      <c r="Q456" s="47"/>
      <c r="R456" s="47"/>
      <c r="S456" s="172"/>
      <c r="T456" s="133"/>
      <c r="U456" s="47"/>
      <c r="V456" s="47"/>
      <c r="W456" s="47"/>
      <c r="X456" s="47"/>
      <c r="Y456" s="172"/>
      <c r="Z456" s="133"/>
      <c r="AA456" s="47"/>
      <c r="AB456" s="47"/>
      <c r="AC456" s="47"/>
      <c r="AD456" s="47"/>
      <c r="AE456" s="172"/>
      <c r="AF456" s="133"/>
      <c r="AG456" s="47"/>
      <c r="AH456" s="47"/>
      <c r="AI456" s="47"/>
      <c r="AJ456" s="136"/>
      <c r="AK456" s="11">
        <f>'Encargos e Benefícios'!D455</f>
        <v>0</v>
      </c>
      <c r="AL456" s="11">
        <f>IF('Encargos e Benefícios'!C455=0,0,'Encargos e Benefícios'!U455/'Encargos e Benefícios'!C455)</f>
        <v>0</v>
      </c>
      <c r="AM456" s="11">
        <f>IF('Encargos e Benefícios'!C455=0,0,'Encargos e Benefícios'!AC455/'Encargos e Benefícios'!C455)</f>
        <v>0</v>
      </c>
      <c r="AN456" s="119">
        <f>IF('Encargos e Benefícios'!C455=0,0,'Encargos e Benefícios'!AD455/'Encargos e Benefícios'!C455)</f>
        <v>0</v>
      </c>
      <c r="AO456" s="32"/>
      <c r="AP456" s="31"/>
      <c r="AQ456" s="31"/>
      <c r="AR456" s="210"/>
      <c r="AS456" s="32"/>
    </row>
    <row r="457" spans="1:45" ht="12.75" hidden="1" x14ac:dyDescent="0.2">
      <c r="A457" s="48">
        <v>451</v>
      </c>
      <c r="B457" s="12">
        <f>'Encargos e Benefícios'!B456</f>
        <v>0</v>
      </c>
      <c r="C457" s="10">
        <f>'Encargos e Benefícios'!C456</f>
        <v>0</v>
      </c>
      <c r="D457" s="38"/>
      <c r="E457" s="174"/>
      <c r="F457" s="173"/>
      <c r="G457" s="172"/>
      <c r="H457" s="133"/>
      <c r="I457" s="47"/>
      <c r="J457" s="47"/>
      <c r="K457" s="47"/>
      <c r="L457" s="47"/>
      <c r="M457" s="172"/>
      <c r="N457" s="133"/>
      <c r="O457" s="47"/>
      <c r="P457" s="47"/>
      <c r="Q457" s="47"/>
      <c r="R457" s="47"/>
      <c r="S457" s="172"/>
      <c r="T457" s="133"/>
      <c r="U457" s="47"/>
      <c r="V457" s="47"/>
      <c r="W457" s="47"/>
      <c r="X457" s="47"/>
      <c r="Y457" s="172"/>
      <c r="Z457" s="133"/>
      <c r="AA457" s="47"/>
      <c r="AB457" s="47"/>
      <c r="AC457" s="47"/>
      <c r="AD457" s="47"/>
      <c r="AE457" s="172"/>
      <c r="AF457" s="133"/>
      <c r="AG457" s="47"/>
      <c r="AH457" s="47"/>
      <c r="AI457" s="47"/>
      <c r="AJ457" s="136"/>
      <c r="AK457" s="11">
        <f>'Encargos e Benefícios'!D456</f>
        <v>0</v>
      </c>
      <c r="AL457" s="11">
        <f>IF('Encargos e Benefícios'!C456=0,0,'Encargos e Benefícios'!U456/'Encargos e Benefícios'!C456)</f>
        <v>0</v>
      </c>
      <c r="AM457" s="11">
        <f>IF('Encargos e Benefícios'!C456=0,0,'Encargos e Benefícios'!AC456/'Encargos e Benefícios'!C456)</f>
        <v>0</v>
      </c>
      <c r="AN457" s="119">
        <f>IF('Encargos e Benefícios'!C456=0,0,'Encargos e Benefícios'!AD456/'Encargos e Benefícios'!C456)</f>
        <v>0</v>
      </c>
      <c r="AO457" s="32"/>
      <c r="AP457" s="31"/>
      <c r="AQ457" s="31"/>
      <c r="AR457" s="210"/>
      <c r="AS457" s="32"/>
    </row>
    <row r="458" spans="1:45" ht="12.75" hidden="1" x14ac:dyDescent="0.2">
      <c r="A458" s="48">
        <v>452</v>
      </c>
      <c r="B458" s="12">
        <f>'Encargos e Benefícios'!B457</f>
        <v>0</v>
      </c>
      <c r="C458" s="10">
        <f>'Encargos e Benefícios'!C457</f>
        <v>0</v>
      </c>
      <c r="D458" s="38"/>
      <c r="E458" s="174"/>
      <c r="F458" s="173"/>
      <c r="G458" s="172"/>
      <c r="H458" s="133"/>
      <c r="I458" s="47"/>
      <c r="J458" s="47"/>
      <c r="K458" s="47"/>
      <c r="L458" s="47"/>
      <c r="M458" s="172"/>
      <c r="N458" s="133"/>
      <c r="O458" s="47"/>
      <c r="P458" s="47"/>
      <c r="Q458" s="47"/>
      <c r="R458" s="47"/>
      <c r="S458" s="172"/>
      <c r="T458" s="133"/>
      <c r="U458" s="47"/>
      <c r="V458" s="47"/>
      <c r="W458" s="47"/>
      <c r="X458" s="47"/>
      <c r="Y458" s="172"/>
      <c r="Z458" s="133"/>
      <c r="AA458" s="47"/>
      <c r="AB458" s="47"/>
      <c r="AC458" s="47"/>
      <c r="AD458" s="47"/>
      <c r="AE458" s="172"/>
      <c r="AF458" s="133"/>
      <c r="AG458" s="47"/>
      <c r="AH458" s="47"/>
      <c r="AI458" s="47"/>
      <c r="AJ458" s="136"/>
      <c r="AK458" s="11">
        <f>'Encargos e Benefícios'!D457</f>
        <v>0</v>
      </c>
      <c r="AL458" s="11">
        <f>IF('Encargos e Benefícios'!C457=0,0,'Encargos e Benefícios'!U457/'Encargos e Benefícios'!C457)</f>
        <v>0</v>
      </c>
      <c r="AM458" s="11">
        <f>IF('Encargos e Benefícios'!C457=0,0,'Encargos e Benefícios'!AC457/'Encargos e Benefícios'!C457)</f>
        <v>0</v>
      </c>
      <c r="AN458" s="119">
        <f>IF('Encargos e Benefícios'!C457=0,0,'Encargos e Benefícios'!AD457/'Encargos e Benefícios'!C457)</f>
        <v>0</v>
      </c>
      <c r="AO458" s="32"/>
      <c r="AP458" s="31"/>
      <c r="AQ458" s="31"/>
      <c r="AR458" s="210"/>
      <c r="AS458" s="32"/>
    </row>
    <row r="459" spans="1:45" ht="12.75" hidden="1" x14ac:dyDescent="0.2">
      <c r="A459" s="48">
        <v>453</v>
      </c>
      <c r="B459" s="12">
        <f>'Encargos e Benefícios'!B458</f>
        <v>0</v>
      </c>
      <c r="C459" s="10">
        <f>'Encargos e Benefícios'!C458</f>
        <v>0</v>
      </c>
      <c r="D459" s="38"/>
      <c r="E459" s="174"/>
      <c r="F459" s="173"/>
      <c r="G459" s="172"/>
      <c r="H459" s="133"/>
      <c r="I459" s="47"/>
      <c r="J459" s="47"/>
      <c r="K459" s="47"/>
      <c r="L459" s="47"/>
      <c r="M459" s="172"/>
      <c r="N459" s="133"/>
      <c r="O459" s="47"/>
      <c r="P459" s="47"/>
      <c r="Q459" s="47"/>
      <c r="R459" s="47"/>
      <c r="S459" s="172"/>
      <c r="T459" s="133"/>
      <c r="U459" s="47"/>
      <c r="V459" s="47"/>
      <c r="W459" s="47"/>
      <c r="X459" s="47"/>
      <c r="Y459" s="172"/>
      <c r="Z459" s="133"/>
      <c r="AA459" s="47"/>
      <c r="AB459" s="47"/>
      <c r="AC459" s="47"/>
      <c r="AD459" s="47"/>
      <c r="AE459" s="172"/>
      <c r="AF459" s="133"/>
      <c r="AG459" s="47"/>
      <c r="AH459" s="47"/>
      <c r="AI459" s="47"/>
      <c r="AJ459" s="136"/>
      <c r="AK459" s="11">
        <f>'Encargos e Benefícios'!D458</f>
        <v>0</v>
      </c>
      <c r="AL459" s="11">
        <f>IF('Encargos e Benefícios'!C458=0,0,'Encargos e Benefícios'!U458/'Encargos e Benefícios'!C458)</f>
        <v>0</v>
      </c>
      <c r="AM459" s="11">
        <f>IF('Encargos e Benefícios'!C458=0,0,'Encargos e Benefícios'!AC458/'Encargos e Benefícios'!C458)</f>
        <v>0</v>
      </c>
      <c r="AN459" s="119">
        <f>IF('Encargos e Benefícios'!C458=0,0,'Encargos e Benefícios'!AD458/'Encargos e Benefícios'!C458)</f>
        <v>0</v>
      </c>
      <c r="AO459" s="32"/>
      <c r="AP459" s="31"/>
      <c r="AQ459" s="31"/>
      <c r="AR459" s="210"/>
      <c r="AS459" s="32"/>
    </row>
    <row r="460" spans="1:45" ht="12.75" hidden="1" x14ac:dyDescent="0.2">
      <c r="A460" s="48">
        <v>454</v>
      </c>
      <c r="B460" s="12">
        <f>'Encargos e Benefícios'!B459</f>
        <v>0</v>
      </c>
      <c r="C460" s="10">
        <f>'Encargos e Benefícios'!C459</f>
        <v>0</v>
      </c>
      <c r="D460" s="38"/>
      <c r="E460" s="174"/>
      <c r="F460" s="173"/>
      <c r="G460" s="172"/>
      <c r="H460" s="133"/>
      <c r="I460" s="47"/>
      <c r="J460" s="47"/>
      <c r="K460" s="47"/>
      <c r="L460" s="47"/>
      <c r="M460" s="172"/>
      <c r="N460" s="133"/>
      <c r="O460" s="47"/>
      <c r="P460" s="47"/>
      <c r="Q460" s="47"/>
      <c r="R460" s="47"/>
      <c r="S460" s="172"/>
      <c r="T460" s="133"/>
      <c r="U460" s="47"/>
      <c r="V460" s="47"/>
      <c r="W460" s="47"/>
      <c r="X460" s="47"/>
      <c r="Y460" s="172"/>
      <c r="Z460" s="133"/>
      <c r="AA460" s="47"/>
      <c r="AB460" s="47"/>
      <c r="AC460" s="47"/>
      <c r="AD460" s="47"/>
      <c r="AE460" s="172"/>
      <c r="AF460" s="133"/>
      <c r="AG460" s="47"/>
      <c r="AH460" s="47"/>
      <c r="AI460" s="47"/>
      <c r="AJ460" s="136"/>
      <c r="AK460" s="11">
        <f>'Encargos e Benefícios'!D459</f>
        <v>0</v>
      </c>
      <c r="AL460" s="11">
        <f>IF('Encargos e Benefícios'!C459=0,0,'Encargos e Benefícios'!U459/'Encargos e Benefícios'!C459)</f>
        <v>0</v>
      </c>
      <c r="AM460" s="11">
        <f>IF('Encargos e Benefícios'!C459=0,0,'Encargos e Benefícios'!AC459/'Encargos e Benefícios'!C459)</f>
        <v>0</v>
      </c>
      <c r="AN460" s="119">
        <f>IF('Encargos e Benefícios'!C459=0,0,'Encargos e Benefícios'!AD459/'Encargos e Benefícios'!C459)</f>
        <v>0</v>
      </c>
      <c r="AO460" s="32"/>
      <c r="AP460" s="31"/>
      <c r="AQ460" s="31"/>
      <c r="AR460" s="210"/>
      <c r="AS460" s="32"/>
    </row>
    <row r="461" spans="1:45" ht="12.75" hidden="1" x14ac:dyDescent="0.2">
      <c r="A461" s="48">
        <v>455</v>
      </c>
      <c r="B461" s="12">
        <f>'Encargos e Benefícios'!B460</f>
        <v>0</v>
      </c>
      <c r="C461" s="10">
        <f>'Encargos e Benefícios'!C460</f>
        <v>0</v>
      </c>
      <c r="D461" s="38"/>
      <c r="E461" s="174"/>
      <c r="F461" s="173"/>
      <c r="G461" s="172"/>
      <c r="H461" s="133"/>
      <c r="I461" s="47"/>
      <c r="J461" s="47"/>
      <c r="K461" s="47"/>
      <c r="L461" s="47"/>
      <c r="M461" s="172"/>
      <c r="N461" s="133"/>
      <c r="O461" s="47"/>
      <c r="P461" s="47"/>
      <c r="Q461" s="47"/>
      <c r="R461" s="47"/>
      <c r="S461" s="172"/>
      <c r="T461" s="133"/>
      <c r="U461" s="47"/>
      <c r="V461" s="47"/>
      <c r="W461" s="47"/>
      <c r="X461" s="47"/>
      <c r="Y461" s="172"/>
      <c r="Z461" s="133"/>
      <c r="AA461" s="47"/>
      <c r="AB461" s="47"/>
      <c r="AC461" s="47"/>
      <c r="AD461" s="47"/>
      <c r="AE461" s="172"/>
      <c r="AF461" s="133"/>
      <c r="AG461" s="47"/>
      <c r="AH461" s="47"/>
      <c r="AI461" s="47"/>
      <c r="AJ461" s="136"/>
      <c r="AK461" s="11">
        <f>'Encargos e Benefícios'!D460</f>
        <v>0</v>
      </c>
      <c r="AL461" s="11">
        <f>IF('Encargos e Benefícios'!C460=0,0,'Encargos e Benefícios'!U460/'Encargos e Benefícios'!C460)</f>
        <v>0</v>
      </c>
      <c r="AM461" s="11">
        <f>IF('Encargos e Benefícios'!C460=0,0,'Encargos e Benefícios'!AC460/'Encargos e Benefícios'!C460)</f>
        <v>0</v>
      </c>
      <c r="AN461" s="119">
        <f>IF('Encargos e Benefícios'!C460=0,0,'Encargos e Benefícios'!AD460/'Encargos e Benefícios'!C460)</f>
        <v>0</v>
      </c>
      <c r="AO461" s="32"/>
      <c r="AP461" s="31"/>
      <c r="AQ461" s="31"/>
      <c r="AR461" s="210"/>
      <c r="AS461" s="32"/>
    </row>
    <row r="462" spans="1:45" ht="12.75" hidden="1" x14ac:dyDescent="0.2">
      <c r="A462" s="48">
        <v>456</v>
      </c>
      <c r="B462" s="12">
        <f>'Encargos e Benefícios'!B461</f>
        <v>0</v>
      </c>
      <c r="C462" s="10">
        <f>'Encargos e Benefícios'!C461</f>
        <v>0</v>
      </c>
      <c r="D462" s="38"/>
      <c r="E462" s="174"/>
      <c r="F462" s="173"/>
      <c r="G462" s="172"/>
      <c r="H462" s="133"/>
      <c r="I462" s="47"/>
      <c r="J462" s="47"/>
      <c r="K462" s="47"/>
      <c r="L462" s="47"/>
      <c r="M462" s="172"/>
      <c r="N462" s="133"/>
      <c r="O462" s="47"/>
      <c r="P462" s="47"/>
      <c r="Q462" s="47"/>
      <c r="R462" s="47"/>
      <c r="S462" s="172"/>
      <c r="T462" s="133"/>
      <c r="U462" s="47"/>
      <c r="V462" s="47"/>
      <c r="W462" s="47"/>
      <c r="X462" s="47"/>
      <c r="Y462" s="172"/>
      <c r="Z462" s="133"/>
      <c r="AA462" s="47"/>
      <c r="AB462" s="47"/>
      <c r="AC462" s="47"/>
      <c r="AD462" s="47"/>
      <c r="AE462" s="172"/>
      <c r="AF462" s="133"/>
      <c r="AG462" s="47"/>
      <c r="AH462" s="47"/>
      <c r="AI462" s="47"/>
      <c r="AJ462" s="136"/>
      <c r="AK462" s="11">
        <f>'Encargos e Benefícios'!D461</f>
        <v>0</v>
      </c>
      <c r="AL462" s="11">
        <f>IF('Encargos e Benefícios'!C461=0,0,'Encargos e Benefícios'!U461/'Encargos e Benefícios'!C461)</f>
        <v>0</v>
      </c>
      <c r="AM462" s="11">
        <f>IF('Encargos e Benefícios'!C461=0,0,'Encargos e Benefícios'!AC461/'Encargos e Benefícios'!C461)</f>
        <v>0</v>
      </c>
      <c r="AN462" s="119">
        <f>IF('Encargos e Benefícios'!C461=0,0,'Encargos e Benefícios'!AD461/'Encargos e Benefícios'!C461)</f>
        <v>0</v>
      </c>
      <c r="AO462" s="32"/>
      <c r="AP462" s="31"/>
      <c r="AQ462" s="31"/>
      <c r="AR462" s="210"/>
      <c r="AS462" s="32"/>
    </row>
    <row r="463" spans="1:45" ht="12.75" hidden="1" x14ac:dyDescent="0.2">
      <c r="A463" s="48">
        <v>457</v>
      </c>
      <c r="B463" s="12">
        <f>'Encargos e Benefícios'!B462</f>
        <v>0</v>
      </c>
      <c r="C463" s="10">
        <f>'Encargos e Benefícios'!C462</f>
        <v>0</v>
      </c>
      <c r="D463" s="38"/>
      <c r="E463" s="174"/>
      <c r="F463" s="173"/>
      <c r="G463" s="172"/>
      <c r="H463" s="133"/>
      <c r="I463" s="47"/>
      <c r="J463" s="47"/>
      <c r="K463" s="47"/>
      <c r="L463" s="47"/>
      <c r="M463" s="172"/>
      <c r="N463" s="133"/>
      <c r="O463" s="47"/>
      <c r="P463" s="47"/>
      <c r="Q463" s="47"/>
      <c r="R463" s="47"/>
      <c r="S463" s="172"/>
      <c r="T463" s="133"/>
      <c r="U463" s="47"/>
      <c r="V463" s="47"/>
      <c r="W463" s="47"/>
      <c r="X463" s="47"/>
      <c r="Y463" s="172"/>
      <c r="Z463" s="133"/>
      <c r="AA463" s="47"/>
      <c r="AB463" s="47"/>
      <c r="AC463" s="47"/>
      <c r="AD463" s="47"/>
      <c r="AE463" s="172"/>
      <c r="AF463" s="133"/>
      <c r="AG463" s="47"/>
      <c r="AH463" s="47"/>
      <c r="AI463" s="47"/>
      <c r="AJ463" s="136"/>
      <c r="AK463" s="11">
        <f>'Encargos e Benefícios'!D462</f>
        <v>0</v>
      </c>
      <c r="AL463" s="11">
        <f>IF('Encargos e Benefícios'!C462=0,0,'Encargos e Benefícios'!U462/'Encargos e Benefícios'!C462)</f>
        <v>0</v>
      </c>
      <c r="AM463" s="11">
        <f>IF('Encargos e Benefícios'!C462=0,0,'Encargos e Benefícios'!AC462/'Encargos e Benefícios'!C462)</f>
        <v>0</v>
      </c>
      <c r="AN463" s="119">
        <f>IF('Encargos e Benefícios'!C462=0,0,'Encargos e Benefícios'!AD462/'Encargos e Benefícios'!C462)</f>
        <v>0</v>
      </c>
      <c r="AO463" s="32"/>
      <c r="AP463" s="31"/>
      <c r="AQ463" s="31"/>
      <c r="AR463" s="210"/>
      <c r="AS463" s="32"/>
    </row>
    <row r="464" spans="1:45" ht="12.75" hidden="1" x14ac:dyDescent="0.2">
      <c r="A464" s="48">
        <v>458</v>
      </c>
      <c r="B464" s="12">
        <f>'Encargos e Benefícios'!B463</f>
        <v>0</v>
      </c>
      <c r="C464" s="10">
        <f>'Encargos e Benefícios'!C463</f>
        <v>0</v>
      </c>
      <c r="D464" s="38"/>
      <c r="E464" s="174"/>
      <c r="F464" s="173"/>
      <c r="G464" s="172"/>
      <c r="H464" s="133"/>
      <c r="I464" s="47"/>
      <c r="J464" s="47"/>
      <c r="K464" s="47"/>
      <c r="L464" s="47"/>
      <c r="M464" s="172"/>
      <c r="N464" s="133"/>
      <c r="O464" s="47"/>
      <c r="P464" s="47"/>
      <c r="Q464" s="47"/>
      <c r="R464" s="47"/>
      <c r="S464" s="172"/>
      <c r="T464" s="133"/>
      <c r="U464" s="47"/>
      <c r="V464" s="47"/>
      <c r="W464" s="47"/>
      <c r="X464" s="47"/>
      <c r="Y464" s="172"/>
      <c r="Z464" s="133"/>
      <c r="AA464" s="47"/>
      <c r="AB464" s="47"/>
      <c r="AC464" s="47"/>
      <c r="AD464" s="47"/>
      <c r="AE464" s="172"/>
      <c r="AF464" s="133"/>
      <c r="AG464" s="47"/>
      <c r="AH464" s="47"/>
      <c r="AI464" s="47"/>
      <c r="AJ464" s="136"/>
      <c r="AK464" s="11">
        <f>'Encargos e Benefícios'!D463</f>
        <v>0</v>
      </c>
      <c r="AL464" s="11">
        <f>IF('Encargos e Benefícios'!C463=0,0,'Encargos e Benefícios'!U463/'Encargos e Benefícios'!C463)</f>
        <v>0</v>
      </c>
      <c r="AM464" s="11">
        <f>IF('Encargos e Benefícios'!C463=0,0,'Encargos e Benefícios'!AC463/'Encargos e Benefícios'!C463)</f>
        <v>0</v>
      </c>
      <c r="AN464" s="119">
        <f>IF('Encargos e Benefícios'!C463=0,0,'Encargos e Benefícios'!AD463/'Encargos e Benefícios'!C463)</f>
        <v>0</v>
      </c>
      <c r="AO464" s="32"/>
      <c r="AP464" s="31"/>
      <c r="AQ464" s="31"/>
      <c r="AR464" s="210"/>
      <c r="AS464" s="32"/>
    </row>
    <row r="465" spans="1:45" ht="12.75" hidden="1" x14ac:dyDescent="0.2">
      <c r="A465" s="48">
        <v>459</v>
      </c>
      <c r="B465" s="12">
        <f>'Encargos e Benefícios'!B464</f>
        <v>0</v>
      </c>
      <c r="C465" s="10">
        <f>'Encargos e Benefícios'!C464</f>
        <v>0</v>
      </c>
      <c r="D465" s="38"/>
      <c r="E465" s="174"/>
      <c r="F465" s="173"/>
      <c r="G465" s="172"/>
      <c r="H465" s="133"/>
      <c r="I465" s="47"/>
      <c r="J465" s="47"/>
      <c r="K465" s="47"/>
      <c r="L465" s="47"/>
      <c r="M465" s="172"/>
      <c r="N465" s="133"/>
      <c r="O465" s="47"/>
      <c r="P465" s="47"/>
      <c r="Q465" s="47"/>
      <c r="R465" s="47"/>
      <c r="S465" s="172"/>
      <c r="T465" s="133"/>
      <c r="U465" s="47"/>
      <c r="V465" s="47"/>
      <c r="W465" s="47"/>
      <c r="X465" s="47"/>
      <c r="Y465" s="172"/>
      <c r="Z465" s="133"/>
      <c r="AA465" s="47"/>
      <c r="AB465" s="47"/>
      <c r="AC465" s="47"/>
      <c r="AD465" s="47"/>
      <c r="AE465" s="172"/>
      <c r="AF465" s="133"/>
      <c r="AG465" s="47"/>
      <c r="AH465" s="47"/>
      <c r="AI465" s="47"/>
      <c r="AJ465" s="136"/>
      <c r="AK465" s="11">
        <f>'Encargos e Benefícios'!D464</f>
        <v>0</v>
      </c>
      <c r="AL465" s="11">
        <f>IF('Encargos e Benefícios'!C464=0,0,'Encargos e Benefícios'!U464/'Encargos e Benefícios'!C464)</f>
        <v>0</v>
      </c>
      <c r="AM465" s="11">
        <f>IF('Encargos e Benefícios'!C464=0,0,'Encargos e Benefícios'!AC464/'Encargos e Benefícios'!C464)</f>
        <v>0</v>
      </c>
      <c r="AN465" s="119">
        <f>IF('Encargos e Benefícios'!C464=0,0,'Encargos e Benefícios'!AD464/'Encargos e Benefícios'!C464)</f>
        <v>0</v>
      </c>
      <c r="AO465" s="32"/>
      <c r="AP465" s="31"/>
      <c r="AQ465" s="31"/>
      <c r="AR465" s="210"/>
      <c r="AS465" s="32"/>
    </row>
    <row r="466" spans="1:45" ht="12.75" hidden="1" x14ac:dyDescent="0.2">
      <c r="A466" s="48">
        <v>460</v>
      </c>
      <c r="B466" s="12">
        <f>'Encargos e Benefícios'!B465</f>
        <v>0</v>
      </c>
      <c r="C466" s="10">
        <f>'Encargos e Benefícios'!C465</f>
        <v>0</v>
      </c>
      <c r="D466" s="38"/>
      <c r="E466" s="174"/>
      <c r="F466" s="173"/>
      <c r="G466" s="172"/>
      <c r="H466" s="133"/>
      <c r="I466" s="47"/>
      <c r="J466" s="47"/>
      <c r="K466" s="47"/>
      <c r="L466" s="47"/>
      <c r="M466" s="172"/>
      <c r="N466" s="133"/>
      <c r="O466" s="47"/>
      <c r="P466" s="47"/>
      <c r="Q466" s="47"/>
      <c r="R466" s="47"/>
      <c r="S466" s="172"/>
      <c r="T466" s="133"/>
      <c r="U466" s="47"/>
      <c r="V466" s="47"/>
      <c r="W466" s="47"/>
      <c r="X466" s="47"/>
      <c r="Y466" s="172"/>
      <c r="Z466" s="133"/>
      <c r="AA466" s="47"/>
      <c r="AB466" s="47"/>
      <c r="AC466" s="47"/>
      <c r="AD466" s="47"/>
      <c r="AE466" s="172"/>
      <c r="AF466" s="133"/>
      <c r="AG466" s="47"/>
      <c r="AH466" s="47"/>
      <c r="AI466" s="47"/>
      <c r="AJ466" s="136"/>
      <c r="AK466" s="11">
        <f>'Encargos e Benefícios'!D465</f>
        <v>0</v>
      </c>
      <c r="AL466" s="11">
        <f>IF('Encargos e Benefícios'!C465=0,0,'Encargos e Benefícios'!U465/'Encargos e Benefícios'!C465)</f>
        <v>0</v>
      </c>
      <c r="AM466" s="11">
        <f>IF('Encargos e Benefícios'!C465=0,0,'Encargos e Benefícios'!AC465/'Encargos e Benefícios'!C465)</f>
        <v>0</v>
      </c>
      <c r="AN466" s="119">
        <f>IF('Encargos e Benefícios'!C465=0,0,'Encargos e Benefícios'!AD465/'Encargos e Benefícios'!C465)</f>
        <v>0</v>
      </c>
      <c r="AO466" s="32"/>
      <c r="AP466" s="31"/>
      <c r="AQ466" s="31"/>
      <c r="AR466" s="210"/>
      <c r="AS466" s="32"/>
    </row>
    <row r="467" spans="1:45" ht="12.75" hidden="1" x14ac:dyDescent="0.2">
      <c r="A467" s="48">
        <v>461</v>
      </c>
      <c r="B467" s="12">
        <f>'Encargos e Benefícios'!B466</f>
        <v>0</v>
      </c>
      <c r="C467" s="10">
        <f>'Encargos e Benefícios'!C466</f>
        <v>0</v>
      </c>
      <c r="D467" s="38"/>
      <c r="E467" s="174"/>
      <c r="F467" s="173"/>
      <c r="G467" s="172"/>
      <c r="H467" s="133"/>
      <c r="I467" s="47"/>
      <c r="J467" s="47"/>
      <c r="K467" s="47"/>
      <c r="L467" s="47"/>
      <c r="M467" s="172"/>
      <c r="N467" s="133"/>
      <c r="O467" s="47"/>
      <c r="P467" s="47"/>
      <c r="Q467" s="47"/>
      <c r="R467" s="47"/>
      <c r="S467" s="172"/>
      <c r="T467" s="133"/>
      <c r="U467" s="47"/>
      <c r="V467" s="47"/>
      <c r="W467" s="47"/>
      <c r="X467" s="47"/>
      <c r="Y467" s="172"/>
      <c r="Z467" s="133"/>
      <c r="AA467" s="47"/>
      <c r="AB467" s="47"/>
      <c r="AC467" s="47"/>
      <c r="AD467" s="47"/>
      <c r="AE467" s="172"/>
      <c r="AF467" s="133"/>
      <c r="AG467" s="47"/>
      <c r="AH467" s="47"/>
      <c r="AI467" s="47"/>
      <c r="AJ467" s="136"/>
      <c r="AK467" s="11">
        <f>'Encargos e Benefícios'!D466</f>
        <v>0</v>
      </c>
      <c r="AL467" s="11">
        <f>IF('Encargos e Benefícios'!C466=0,0,'Encargos e Benefícios'!U466/'Encargos e Benefícios'!C466)</f>
        <v>0</v>
      </c>
      <c r="AM467" s="11">
        <f>IF('Encargos e Benefícios'!C466=0,0,'Encargos e Benefícios'!AC466/'Encargos e Benefícios'!C466)</f>
        <v>0</v>
      </c>
      <c r="AN467" s="119">
        <f>IF('Encargos e Benefícios'!C466=0,0,'Encargos e Benefícios'!AD466/'Encargos e Benefícios'!C466)</f>
        <v>0</v>
      </c>
      <c r="AO467" s="32"/>
      <c r="AP467" s="31"/>
      <c r="AQ467" s="31"/>
      <c r="AR467" s="210"/>
      <c r="AS467" s="32"/>
    </row>
    <row r="468" spans="1:45" ht="12.75" hidden="1" x14ac:dyDescent="0.2">
      <c r="A468" s="48">
        <v>462</v>
      </c>
      <c r="B468" s="12">
        <f>'Encargos e Benefícios'!B467</f>
        <v>0</v>
      </c>
      <c r="C468" s="10">
        <f>'Encargos e Benefícios'!C467</f>
        <v>0</v>
      </c>
      <c r="D468" s="38"/>
      <c r="E468" s="174"/>
      <c r="F468" s="173"/>
      <c r="G468" s="172"/>
      <c r="H468" s="133"/>
      <c r="I468" s="47"/>
      <c r="J468" s="47"/>
      <c r="K468" s="47"/>
      <c r="L468" s="47"/>
      <c r="M468" s="172"/>
      <c r="N468" s="133"/>
      <c r="O468" s="47"/>
      <c r="P468" s="47"/>
      <c r="Q468" s="47"/>
      <c r="R468" s="47"/>
      <c r="S468" s="172"/>
      <c r="T468" s="133"/>
      <c r="U468" s="47"/>
      <c r="V468" s="47"/>
      <c r="W468" s="47"/>
      <c r="X468" s="47"/>
      <c r="Y468" s="172"/>
      <c r="Z468" s="133"/>
      <c r="AA468" s="47"/>
      <c r="AB468" s="47"/>
      <c r="AC468" s="47"/>
      <c r="AD468" s="47"/>
      <c r="AE468" s="172"/>
      <c r="AF468" s="133"/>
      <c r="AG468" s="47"/>
      <c r="AH468" s="47"/>
      <c r="AI468" s="47"/>
      <c r="AJ468" s="136"/>
      <c r="AK468" s="11">
        <f>'Encargos e Benefícios'!D467</f>
        <v>0</v>
      </c>
      <c r="AL468" s="11">
        <f>IF('Encargos e Benefícios'!C467=0,0,'Encargos e Benefícios'!U467/'Encargos e Benefícios'!C467)</f>
        <v>0</v>
      </c>
      <c r="AM468" s="11">
        <f>IF('Encargos e Benefícios'!C467=0,0,'Encargos e Benefícios'!AC467/'Encargos e Benefícios'!C467)</f>
        <v>0</v>
      </c>
      <c r="AN468" s="119">
        <f>IF('Encargos e Benefícios'!C467=0,0,'Encargos e Benefícios'!AD467/'Encargos e Benefícios'!C467)</f>
        <v>0</v>
      </c>
      <c r="AO468" s="32"/>
      <c r="AP468" s="31"/>
      <c r="AQ468" s="31"/>
      <c r="AR468" s="210"/>
      <c r="AS468" s="32"/>
    </row>
    <row r="469" spans="1:45" ht="12.75" hidden="1" x14ac:dyDescent="0.2">
      <c r="A469" s="48">
        <v>463</v>
      </c>
      <c r="B469" s="12">
        <f>'Encargos e Benefícios'!B468</f>
        <v>0</v>
      </c>
      <c r="C469" s="10">
        <f>'Encargos e Benefícios'!C468</f>
        <v>0</v>
      </c>
      <c r="D469" s="38"/>
      <c r="E469" s="174"/>
      <c r="F469" s="173"/>
      <c r="G469" s="172"/>
      <c r="H469" s="133"/>
      <c r="I469" s="47"/>
      <c r="J469" s="47"/>
      <c r="K469" s="47"/>
      <c r="L469" s="47"/>
      <c r="M469" s="172"/>
      <c r="N469" s="133"/>
      <c r="O469" s="47"/>
      <c r="P469" s="47"/>
      <c r="Q469" s="47"/>
      <c r="R469" s="47"/>
      <c r="S469" s="172"/>
      <c r="T469" s="133"/>
      <c r="U469" s="47"/>
      <c r="V469" s="47"/>
      <c r="W469" s="47"/>
      <c r="X469" s="47"/>
      <c r="Y469" s="172"/>
      <c r="Z469" s="133"/>
      <c r="AA469" s="47"/>
      <c r="AB469" s="47"/>
      <c r="AC469" s="47"/>
      <c r="AD469" s="47"/>
      <c r="AE469" s="172"/>
      <c r="AF469" s="133"/>
      <c r="AG469" s="47"/>
      <c r="AH469" s="47"/>
      <c r="AI469" s="47"/>
      <c r="AJ469" s="136"/>
      <c r="AK469" s="11">
        <f>'Encargos e Benefícios'!D468</f>
        <v>0</v>
      </c>
      <c r="AL469" s="11">
        <f>IF('Encargos e Benefícios'!C468=0,0,'Encargos e Benefícios'!U468/'Encargos e Benefícios'!C468)</f>
        <v>0</v>
      </c>
      <c r="AM469" s="11">
        <f>IF('Encargos e Benefícios'!C468=0,0,'Encargos e Benefícios'!AC468/'Encargos e Benefícios'!C468)</f>
        <v>0</v>
      </c>
      <c r="AN469" s="119">
        <f>IF('Encargos e Benefícios'!C468=0,0,'Encargos e Benefícios'!AD468/'Encargos e Benefícios'!C468)</f>
        <v>0</v>
      </c>
      <c r="AO469" s="32"/>
      <c r="AP469" s="31"/>
      <c r="AQ469" s="31"/>
      <c r="AR469" s="210"/>
      <c r="AS469" s="32"/>
    </row>
    <row r="470" spans="1:45" ht="12.75" hidden="1" x14ac:dyDescent="0.2">
      <c r="A470" s="48">
        <v>464</v>
      </c>
      <c r="B470" s="12">
        <f>'Encargos e Benefícios'!B469</f>
        <v>0</v>
      </c>
      <c r="C470" s="10">
        <f>'Encargos e Benefícios'!C469</f>
        <v>0</v>
      </c>
      <c r="D470" s="38"/>
      <c r="E470" s="174"/>
      <c r="F470" s="173"/>
      <c r="G470" s="172"/>
      <c r="H470" s="133"/>
      <c r="I470" s="47"/>
      <c r="J470" s="47"/>
      <c r="K470" s="47"/>
      <c r="L470" s="47"/>
      <c r="M470" s="172"/>
      <c r="N470" s="133"/>
      <c r="O470" s="47"/>
      <c r="P470" s="47"/>
      <c r="Q470" s="47"/>
      <c r="R470" s="47"/>
      <c r="S470" s="172"/>
      <c r="T470" s="133"/>
      <c r="U470" s="47"/>
      <c r="V470" s="47"/>
      <c r="W470" s="47"/>
      <c r="X470" s="47"/>
      <c r="Y470" s="172"/>
      <c r="Z470" s="133"/>
      <c r="AA470" s="47"/>
      <c r="AB470" s="47"/>
      <c r="AC470" s="47"/>
      <c r="AD470" s="47"/>
      <c r="AE470" s="172"/>
      <c r="AF470" s="133"/>
      <c r="AG470" s="47"/>
      <c r="AH470" s="47"/>
      <c r="AI470" s="47"/>
      <c r="AJ470" s="136"/>
      <c r="AK470" s="11">
        <f>'Encargos e Benefícios'!D469</f>
        <v>0</v>
      </c>
      <c r="AL470" s="11">
        <f>IF('Encargos e Benefícios'!C469=0,0,'Encargos e Benefícios'!U469/'Encargos e Benefícios'!C469)</f>
        <v>0</v>
      </c>
      <c r="AM470" s="11">
        <f>IF('Encargos e Benefícios'!C469=0,0,'Encargos e Benefícios'!AC469/'Encargos e Benefícios'!C469)</f>
        <v>0</v>
      </c>
      <c r="AN470" s="119">
        <f>IF('Encargos e Benefícios'!C469=0,0,'Encargos e Benefícios'!AD469/'Encargos e Benefícios'!C469)</f>
        <v>0</v>
      </c>
      <c r="AO470" s="32"/>
      <c r="AP470" s="31"/>
      <c r="AQ470" s="31"/>
      <c r="AR470" s="210"/>
      <c r="AS470" s="32"/>
    </row>
    <row r="471" spans="1:45" ht="12.75" hidden="1" x14ac:dyDescent="0.2">
      <c r="A471" s="48">
        <v>465</v>
      </c>
      <c r="B471" s="12">
        <f>'Encargos e Benefícios'!B470</f>
        <v>0</v>
      </c>
      <c r="C471" s="10">
        <f>'Encargos e Benefícios'!C470</f>
        <v>0</v>
      </c>
      <c r="D471" s="38"/>
      <c r="E471" s="174"/>
      <c r="F471" s="173"/>
      <c r="G471" s="172"/>
      <c r="H471" s="133"/>
      <c r="I471" s="47"/>
      <c r="J471" s="47"/>
      <c r="K471" s="47"/>
      <c r="L471" s="47"/>
      <c r="M471" s="172"/>
      <c r="N471" s="133"/>
      <c r="O471" s="47"/>
      <c r="P471" s="47"/>
      <c r="Q471" s="47"/>
      <c r="R471" s="47"/>
      <c r="S471" s="172"/>
      <c r="T471" s="133"/>
      <c r="U471" s="47"/>
      <c r="V471" s="47"/>
      <c r="W471" s="47"/>
      <c r="X471" s="47"/>
      <c r="Y471" s="172"/>
      <c r="Z471" s="133"/>
      <c r="AA471" s="47"/>
      <c r="AB471" s="47"/>
      <c r="AC471" s="47"/>
      <c r="AD471" s="47"/>
      <c r="AE471" s="172"/>
      <c r="AF471" s="133"/>
      <c r="AG471" s="47"/>
      <c r="AH471" s="47"/>
      <c r="AI471" s="47"/>
      <c r="AJ471" s="136"/>
      <c r="AK471" s="11">
        <f>'Encargos e Benefícios'!D470</f>
        <v>0</v>
      </c>
      <c r="AL471" s="11">
        <f>IF('Encargos e Benefícios'!C470=0,0,'Encargos e Benefícios'!U470/'Encargos e Benefícios'!C470)</f>
        <v>0</v>
      </c>
      <c r="AM471" s="11">
        <f>IF('Encargos e Benefícios'!C470=0,0,'Encargos e Benefícios'!AC470/'Encargos e Benefícios'!C470)</f>
        <v>0</v>
      </c>
      <c r="AN471" s="119">
        <f>IF('Encargos e Benefícios'!C470=0,0,'Encargos e Benefícios'!AD470/'Encargos e Benefícios'!C470)</f>
        <v>0</v>
      </c>
      <c r="AO471" s="32"/>
      <c r="AP471" s="31"/>
      <c r="AQ471" s="31"/>
      <c r="AR471" s="210"/>
      <c r="AS471" s="32"/>
    </row>
    <row r="472" spans="1:45" ht="12.75" hidden="1" x14ac:dyDescent="0.2">
      <c r="A472" s="48">
        <v>466</v>
      </c>
      <c r="B472" s="12">
        <f>'Encargos e Benefícios'!B471</f>
        <v>0</v>
      </c>
      <c r="C472" s="10">
        <f>'Encargos e Benefícios'!C471</f>
        <v>0</v>
      </c>
      <c r="D472" s="38"/>
      <c r="E472" s="174"/>
      <c r="F472" s="173"/>
      <c r="G472" s="172"/>
      <c r="H472" s="133"/>
      <c r="I472" s="47"/>
      <c r="J472" s="47"/>
      <c r="K472" s="47"/>
      <c r="L472" s="47"/>
      <c r="M472" s="172"/>
      <c r="N472" s="133"/>
      <c r="O472" s="47"/>
      <c r="P472" s="47"/>
      <c r="Q472" s="47"/>
      <c r="R472" s="47"/>
      <c r="S472" s="172"/>
      <c r="T472" s="133"/>
      <c r="U472" s="47"/>
      <c r="V472" s="47"/>
      <c r="W472" s="47"/>
      <c r="X472" s="47"/>
      <c r="Y472" s="172"/>
      <c r="Z472" s="133"/>
      <c r="AA472" s="47"/>
      <c r="AB472" s="47"/>
      <c r="AC472" s="47"/>
      <c r="AD472" s="47"/>
      <c r="AE472" s="172"/>
      <c r="AF472" s="133"/>
      <c r="AG472" s="47"/>
      <c r="AH472" s="47"/>
      <c r="AI472" s="47"/>
      <c r="AJ472" s="136"/>
      <c r="AK472" s="11">
        <f>'Encargos e Benefícios'!D471</f>
        <v>0</v>
      </c>
      <c r="AL472" s="11">
        <f>IF('Encargos e Benefícios'!C471=0,0,'Encargos e Benefícios'!U471/'Encargos e Benefícios'!C471)</f>
        <v>0</v>
      </c>
      <c r="AM472" s="11">
        <f>IF('Encargos e Benefícios'!C471=0,0,'Encargos e Benefícios'!AC471/'Encargos e Benefícios'!C471)</f>
        <v>0</v>
      </c>
      <c r="AN472" s="119">
        <f>IF('Encargos e Benefícios'!C471=0,0,'Encargos e Benefícios'!AD471/'Encargos e Benefícios'!C471)</f>
        <v>0</v>
      </c>
      <c r="AO472" s="32"/>
      <c r="AP472" s="31"/>
      <c r="AQ472" s="31"/>
      <c r="AR472" s="210"/>
      <c r="AS472" s="32"/>
    </row>
    <row r="473" spans="1:45" ht="12.75" hidden="1" x14ac:dyDescent="0.2">
      <c r="A473" s="48">
        <v>467</v>
      </c>
      <c r="B473" s="12">
        <f>'Encargos e Benefícios'!B472</f>
        <v>0</v>
      </c>
      <c r="C473" s="10">
        <f>'Encargos e Benefícios'!C472</f>
        <v>0</v>
      </c>
      <c r="D473" s="38"/>
      <c r="E473" s="174"/>
      <c r="F473" s="173"/>
      <c r="G473" s="172"/>
      <c r="H473" s="133"/>
      <c r="I473" s="47"/>
      <c r="J473" s="47"/>
      <c r="K473" s="47"/>
      <c r="L473" s="47"/>
      <c r="M473" s="172"/>
      <c r="N473" s="133"/>
      <c r="O473" s="47"/>
      <c r="P473" s="47"/>
      <c r="Q473" s="47"/>
      <c r="R473" s="47"/>
      <c r="S473" s="172"/>
      <c r="T473" s="133"/>
      <c r="U473" s="47"/>
      <c r="V473" s="47"/>
      <c r="W473" s="47"/>
      <c r="X473" s="47"/>
      <c r="Y473" s="172"/>
      <c r="Z473" s="133"/>
      <c r="AA473" s="47"/>
      <c r="AB473" s="47"/>
      <c r="AC473" s="47"/>
      <c r="AD473" s="47"/>
      <c r="AE473" s="172"/>
      <c r="AF473" s="133"/>
      <c r="AG473" s="47"/>
      <c r="AH473" s="47"/>
      <c r="AI473" s="47"/>
      <c r="AJ473" s="136"/>
      <c r="AK473" s="11">
        <f>'Encargos e Benefícios'!D472</f>
        <v>0</v>
      </c>
      <c r="AL473" s="11">
        <f>IF('Encargos e Benefícios'!C472=0,0,'Encargos e Benefícios'!U472/'Encargos e Benefícios'!C472)</f>
        <v>0</v>
      </c>
      <c r="AM473" s="11">
        <f>IF('Encargos e Benefícios'!C472=0,0,'Encargos e Benefícios'!AC472/'Encargos e Benefícios'!C472)</f>
        <v>0</v>
      </c>
      <c r="AN473" s="119">
        <f>IF('Encargos e Benefícios'!C472=0,0,'Encargos e Benefícios'!AD472/'Encargos e Benefícios'!C472)</f>
        <v>0</v>
      </c>
      <c r="AO473" s="32"/>
      <c r="AP473" s="31"/>
      <c r="AQ473" s="31"/>
      <c r="AR473" s="210"/>
      <c r="AS473" s="32"/>
    </row>
    <row r="474" spans="1:45" ht="12.75" hidden="1" x14ac:dyDescent="0.2">
      <c r="A474" s="48">
        <v>468</v>
      </c>
      <c r="B474" s="12">
        <f>'Encargos e Benefícios'!B473</f>
        <v>0</v>
      </c>
      <c r="C474" s="10">
        <f>'Encargos e Benefícios'!C473</f>
        <v>0</v>
      </c>
      <c r="D474" s="38"/>
      <c r="E474" s="174"/>
      <c r="F474" s="173"/>
      <c r="G474" s="172"/>
      <c r="H474" s="133"/>
      <c r="I474" s="47"/>
      <c r="J474" s="47"/>
      <c r="K474" s="47"/>
      <c r="L474" s="47"/>
      <c r="M474" s="172"/>
      <c r="N474" s="133"/>
      <c r="O474" s="47"/>
      <c r="P474" s="47"/>
      <c r="Q474" s="47"/>
      <c r="R474" s="47"/>
      <c r="S474" s="172"/>
      <c r="T474" s="133"/>
      <c r="U474" s="47"/>
      <c r="V474" s="47"/>
      <c r="W474" s="47"/>
      <c r="X474" s="47"/>
      <c r="Y474" s="172"/>
      <c r="Z474" s="133"/>
      <c r="AA474" s="47"/>
      <c r="AB474" s="47"/>
      <c r="AC474" s="47"/>
      <c r="AD474" s="47"/>
      <c r="AE474" s="172"/>
      <c r="AF474" s="133"/>
      <c r="AG474" s="47"/>
      <c r="AH474" s="47"/>
      <c r="AI474" s="47"/>
      <c r="AJ474" s="136"/>
      <c r="AK474" s="11">
        <f>'Encargos e Benefícios'!D473</f>
        <v>0</v>
      </c>
      <c r="AL474" s="11">
        <f>IF('Encargos e Benefícios'!C473=0,0,'Encargos e Benefícios'!U473/'Encargos e Benefícios'!C473)</f>
        <v>0</v>
      </c>
      <c r="AM474" s="11">
        <f>IF('Encargos e Benefícios'!C473=0,0,'Encargos e Benefícios'!AC473/'Encargos e Benefícios'!C473)</f>
        <v>0</v>
      </c>
      <c r="AN474" s="119">
        <f>IF('Encargos e Benefícios'!C473=0,0,'Encargos e Benefícios'!AD473/'Encargos e Benefícios'!C473)</f>
        <v>0</v>
      </c>
      <c r="AO474" s="32"/>
      <c r="AP474" s="31"/>
      <c r="AQ474" s="31"/>
      <c r="AR474" s="210"/>
      <c r="AS474" s="32"/>
    </row>
    <row r="475" spans="1:45" ht="12.75" hidden="1" x14ac:dyDescent="0.2">
      <c r="A475" s="48">
        <v>469</v>
      </c>
      <c r="B475" s="12">
        <f>'Encargos e Benefícios'!B474</f>
        <v>0</v>
      </c>
      <c r="C475" s="10">
        <f>'Encargos e Benefícios'!C474</f>
        <v>0</v>
      </c>
      <c r="D475" s="38"/>
      <c r="E475" s="174"/>
      <c r="F475" s="173"/>
      <c r="G475" s="172"/>
      <c r="H475" s="133"/>
      <c r="I475" s="47"/>
      <c r="J475" s="47"/>
      <c r="K475" s="47"/>
      <c r="L475" s="47"/>
      <c r="M475" s="172"/>
      <c r="N475" s="133"/>
      <c r="O475" s="47"/>
      <c r="P475" s="47"/>
      <c r="Q475" s="47"/>
      <c r="R475" s="47"/>
      <c r="S475" s="172"/>
      <c r="T475" s="133"/>
      <c r="U475" s="47"/>
      <c r="V475" s="47"/>
      <c r="W475" s="47"/>
      <c r="X475" s="47"/>
      <c r="Y475" s="172"/>
      <c r="Z475" s="133"/>
      <c r="AA475" s="47"/>
      <c r="AB475" s="47"/>
      <c r="AC475" s="47"/>
      <c r="AD475" s="47"/>
      <c r="AE475" s="172"/>
      <c r="AF475" s="133"/>
      <c r="AG475" s="47"/>
      <c r="AH475" s="47"/>
      <c r="AI475" s="47"/>
      <c r="AJ475" s="136"/>
      <c r="AK475" s="11">
        <f>'Encargos e Benefícios'!D474</f>
        <v>0</v>
      </c>
      <c r="AL475" s="11">
        <f>IF('Encargos e Benefícios'!C474=0,0,'Encargos e Benefícios'!U474/'Encargos e Benefícios'!C474)</f>
        <v>0</v>
      </c>
      <c r="AM475" s="11">
        <f>IF('Encargos e Benefícios'!C474=0,0,'Encargos e Benefícios'!AC474/'Encargos e Benefícios'!C474)</f>
        <v>0</v>
      </c>
      <c r="AN475" s="119">
        <f>IF('Encargos e Benefícios'!C474=0,0,'Encargos e Benefícios'!AD474/'Encargos e Benefícios'!C474)</f>
        <v>0</v>
      </c>
      <c r="AO475" s="32"/>
      <c r="AP475" s="31"/>
      <c r="AQ475" s="31"/>
      <c r="AR475" s="210"/>
      <c r="AS475" s="32"/>
    </row>
    <row r="476" spans="1:45" ht="12.75" hidden="1" x14ac:dyDescent="0.2">
      <c r="A476" s="48">
        <v>470</v>
      </c>
      <c r="B476" s="12">
        <f>'Encargos e Benefícios'!B475</f>
        <v>0</v>
      </c>
      <c r="C476" s="10">
        <f>'Encargos e Benefícios'!C475</f>
        <v>0</v>
      </c>
      <c r="D476" s="38"/>
      <c r="E476" s="174"/>
      <c r="F476" s="173"/>
      <c r="G476" s="172"/>
      <c r="H476" s="133"/>
      <c r="I476" s="47"/>
      <c r="J476" s="47"/>
      <c r="K476" s="47"/>
      <c r="L476" s="47"/>
      <c r="M476" s="172"/>
      <c r="N476" s="133"/>
      <c r="O476" s="47"/>
      <c r="P476" s="47"/>
      <c r="Q476" s="47"/>
      <c r="R476" s="47"/>
      <c r="S476" s="172"/>
      <c r="T476" s="133"/>
      <c r="U476" s="47"/>
      <c r="V476" s="47"/>
      <c r="W476" s="47"/>
      <c r="X476" s="47"/>
      <c r="Y476" s="172"/>
      <c r="Z476" s="133"/>
      <c r="AA476" s="47"/>
      <c r="AB476" s="47"/>
      <c r="AC476" s="47"/>
      <c r="AD476" s="47"/>
      <c r="AE476" s="172"/>
      <c r="AF476" s="133"/>
      <c r="AG476" s="47"/>
      <c r="AH476" s="47"/>
      <c r="AI476" s="47"/>
      <c r="AJ476" s="136"/>
      <c r="AK476" s="11">
        <f>'Encargos e Benefícios'!D475</f>
        <v>0</v>
      </c>
      <c r="AL476" s="11">
        <f>IF('Encargos e Benefícios'!C475=0,0,'Encargos e Benefícios'!U475/'Encargos e Benefícios'!C475)</f>
        <v>0</v>
      </c>
      <c r="AM476" s="11">
        <f>IF('Encargos e Benefícios'!C475=0,0,'Encargos e Benefícios'!AC475/'Encargos e Benefícios'!C475)</f>
        <v>0</v>
      </c>
      <c r="AN476" s="119">
        <f>IF('Encargos e Benefícios'!C475=0,0,'Encargos e Benefícios'!AD475/'Encargos e Benefícios'!C475)</f>
        <v>0</v>
      </c>
      <c r="AO476" s="32"/>
      <c r="AP476" s="31"/>
      <c r="AQ476" s="31"/>
      <c r="AR476" s="210"/>
      <c r="AS476" s="32"/>
    </row>
    <row r="477" spans="1:45" ht="12.75" hidden="1" x14ac:dyDescent="0.2">
      <c r="A477" s="48">
        <v>471</v>
      </c>
      <c r="B477" s="12">
        <f>'Encargos e Benefícios'!B476</f>
        <v>0</v>
      </c>
      <c r="C477" s="10">
        <f>'Encargos e Benefícios'!C476</f>
        <v>0</v>
      </c>
      <c r="D477" s="38"/>
      <c r="E477" s="174"/>
      <c r="F477" s="173"/>
      <c r="G477" s="172"/>
      <c r="H477" s="133"/>
      <c r="I477" s="47"/>
      <c r="J477" s="47"/>
      <c r="K477" s="47"/>
      <c r="L477" s="47"/>
      <c r="M477" s="172"/>
      <c r="N477" s="133"/>
      <c r="O477" s="47"/>
      <c r="P477" s="47"/>
      <c r="Q477" s="47"/>
      <c r="R477" s="47"/>
      <c r="S477" s="172"/>
      <c r="T477" s="133"/>
      <c r="U477" s="47"/>
      <c r="V477" s="47"/>
      <c r="W477" s="47"/>
      <c r="X477" s="47"/>
      <c r="Y477" s="172"/>
      <c r="Z477" s="133"/>
      <c r="AA477" s="47"/>
      <c r="AB477" s="47"/>
      <c r="AC477" s="47"/>
      <c r="AD477" s="47"/>
      <c r="AE477" s="172"/>
      <c r="AF477" s="133"/>
      <c r="AG477" s="47"/>
      <c r="AH477" s="47"/>
      <c r="AI477" s="47"/>
      <c r="AJ477" s="136"/>
      <c r="AK477" s="11">
        <f>'Encargos e Benefícios'!D476</f>
        <v>0</v>
      </c>
      <c r="AL477" s="11">
        <f>IF('Encargos e Benefícios'!C476=0,0,'Encargos e Benefícios'!U476/'Encargos e Benefícios'!C476)</f>
        <v>0</v>
      </c>
      <c r="AM477" s="11">
        <f>IF('Encargos e Benefícios'!C476=0,0,'Encargos e Benefícios'!AC476/'Encargos e Benefícios'!C476)</f>
        <v>0</v>
      </c>
      <c r="AN477" s="119">
        <f>IF('Encargos e Benefícios'!C476=0,0,'Encargos e Benefícios'!AD476/'Encargos e Benefícios'!C476)</f>
        <v>0</v>
      </c>
      <c r="AO477" s="32"/>
      <c r="AP477" s="31"/>
      <c r="AQ477" s="31"/>
      <c r="AR477" s="210"/>
      <c r="AS477" s="32"/>
    </row>
    <row r="478" spans="1:45" ht="12.75" hidden="1" x14ac:dyDescent="0.2">
      <c r="A478" s="48">
        <v>472</v>
      </c>
      <c r="B478" s="12">
        <f>'Encargos e Benefícios'!B477</f>
        <v>0</v>
      </c>
      <c r="C478" s="10">
        <f>'Encargos e Benefícios'!C477</f>
        <v>0</v>
      </c>
      <c r="D478" s="38"/>
      <c r="E478" s="174"/>
      <c r="F478" s="173"/>
      <c r="G478" s="172"/>
      <c r="H478" s="133"/>
      <c r="I478" s="47"/>
      <c r="J478" s="47"/>
      <c r="K478" s="47"/>
      <c r="L478" s="47"/>
      <c r="M478" s="172"/>
      <c r="N478" s="133"/>
      <c r="O478" s="47"/>
      <c r="P478" s="47"/>
      <c r="Q478" s="47"/>
      <c r="R478" s="47"/>
      <c r="S478" s="172"/>
      <c r="T478" s="133"/>
      <c r="U478" s="47"/>
      <c r="V478" s="47"/>
      <c r="W478" s="47"/>
      <c r="X478" s="47"/>
      <c r="Y478" s="172"/>
      <c r="Z478" s="133"/>
      <c r="AA478" s="47"/>
      <c r="AB478" s="47"/>
      <c r="AC478" s="47"/>
      <c r="AD478" s="47"/>
      <c r="AE478" s="172"/>
      <c r="AF478" s="133"/>
      <c r="AG478" s="47"/>
      <c r="AH478" s="47"/>
      <c r="AI478" s="47"/>
      <c r="AJ478" s="136"/>
      <c r="AK478" s="11">
        <f>'Encargos e Benefícios'!D477</f>
        <v>0</v>
      </c>
      <c r="AL478" s="11">
        <f>IF('Encargos e Benefícios'!C477=0,0,'Encargos e Benefícios'!U477/'Encargos e Benefícios'!C477)</f>
        <v>0</v>
      </c>
      <c r="AM478" s="11">
        <f>IF('Encargos e Benefícios'!C477=0,0,'Encargos e Benefícios'!AC477/'Encargos e Benefícios'!C477)</f>
        <v>0</v>
      </c>
      <c r="AN478" s="119">
        <f>IF('Encargos e Benefícios'!C477=0,0,'Encargos e Benefícios'!AD477/'Encargos e Benefícios'!C477)</f>
        <v>0</v>
      </c>
      <c r="AO478" s="32"/>
      <c r="AP478" s="31"/>
      <c r="AQ478" s="31"/>
      <c r="AR478" s="210"/>
      <c r="AS478" s="32"/>
    </row>
    <row r="479" spans="1:45" ht="12.75" hidden="1" x14ac:dyDescent="0.2">
      <c r="A479" s="48">
        <v>473</v>
      </c>
      <c r="B479" s="12">
        <f>'Encargos e Benefícios'!B478</f>
        <v>0</v>
      </c>
      <c r="C479" s="10">
        <f>'Encargos e Benefícios'!C478</f>
        <v>0</v>
      </c>
      <c r="D479" s="38"/>
      <c r="E479" s="174"/>
      <c r="F479" s="173"/>
      <c r="G479" s="172"/>
      <c r="H479" s="133"/>
      <c r="I479" s="47"/>
      <c r="J479" s="47"/>
      <c r="K479" s="47"/>
      <c r="L479" s="47"/>
      <c r="M479" s="172"/>
      <c r="N479" s="133"/>
      <c r="O479" s="47"/>
      <c r="P479" s="47"/>
      <c r="Q479" s="47"/>
      <c r="R479" s="47"/>
      <c r="S479" s="172"/>
      <c r="T479" s="133"/>
      <c r="U479" s="47"/>
      <c r="V479" s="47"/>
      <c r="W479" s="47"/>
      <c r="X479" s="47"/>
      <c r="Y479" s="172"/>
      <c r="Z479" s="133"/>
      <c r="AA479" s="47"/>
      <c r="AB479" s="47"/>
      <c r="AC479" s="47"/>
      <c r="AD479" s="47"/>
      <c r="AE479" s="172"/>
      <c r="AF479" s="133"/>
      <c r="AG479" s="47"/>
      <c r="AH479" s="47"/>
      <c r="AI479" s="47"/>
      <c r="AJ479" s="136"/>
      <c r="AK479" s="11">
        <f>'Encargos e Benefícios'!D478</f>
        <v>0</v>
      </c>
      <c r="AL479" s="11">
        <f>IF('Encargos e Benefícios'!C478=0,0,'Encargos e Benefícios'!U478/'Encargos e Benefícios'!C478)</f>
        <v>0</v>
      </c>
      <c r="AM479" s="11">
        <f>IF('Encargos e Benefícios'!C478=0,0,'Encargos e Benefícios'!AC478/'Encargos e Benefícios'!C478)</f>
        <v>0</v>
      </c>
      <c r="AN479" s="119">
        <f>IF('Encargos e Benefícios'!C478=0,0,'Encargos e Benefícios'!AD478/'Encargos e Benefícios'!C478)</f>
        <v>0</v>
      </c>
      <c r="AO479" s="32"/>
      <c r="AP479" s="31"/>
      <c r="AQ479" s="31"/>
      <c r="AR479" s="210"/>
      <c r="AS479" s="32"/>
    </row>
    <row r="480" spans="1:45" ht="12.75" hidden="1" x14ac:dyDescent="0.2">
      <c r="A480" s="48">
        <v>474</v>
      </c>
      <c r="B480" s="12">
        <f>'Encargos e Benefícios'!B479</f>
        <v>0</v>
      </c>
      <c r="C480" s="10">
        <f>'Encargos e Benefícios'!C479</f>
        <v>0</v>
      </c>
      <c r="D480" s="38"/>
      <c r="E480" s="174"/>
      <c r="F480" s="173"/>
      <c r="G480" s="172"/>
      <c r="H480" s="133"/>
      <c r="I480" s="47"/>
      <c r="J480" s="47"/>
      <c r="K480" s="47"/>
      <c r="L480" s="47"/>
      <c r="M480" s="172"/>
      <c r="N480" s="133"/>
      <c r="O480" s="47"/>
      <c r="P480" s="47"/>
      <c r="Q480" s="47"/>
      <c r="R480" s="47"/>
      <c r="S480" s="172"/>
      <c r="T480" s="133"/>
      <c r="U480" s="47"/>
      <c r="V480" s="47"/>
      <c r="W480" s="47"/>
      <c r="X480" s="47"/>
      <c r="Y480" s="172"/>
      <c r="Z480" s="133"/>
      <c r="AA480" s="47"/>
      <c r="AB480" s="47"/>
      <c r="AC480" s="47"/>
      <c r="AD480" s="47"/>
      <c r="AE480" s="172"/>
      <c r="AF480" s="133"/>
      <c r="AG480" s="47"/>
      <c r="AH480" s="47"/>
      <c r="AI480" s="47"/>
      <c r="AJ480" s="136"/>
      <c r="AK480" s="11">
        <f>'Encargos e Benefícios'!D479</f>
        <v>0</v>
      </c>
      <c r="AL480" s="11">
        <f>IF('Encargos e Benefícios'!C479=0,0,'Encargos e Benefícios'!U479/'Encargos e Benefícios'!C479)</f>
        <v>0</v>
      </c>
      <c r="AM480" s="11">
        <f>IF('Encargos e Benefícios'!C479=0,0,'Encargos e Benefícios'!AC479/'Encargos e Benefícios'!C479)</f>
        <v>0</v>
      </c>
      <c r="AN480" s="119">
        <f>IF('Encargos e Benefícios'!C479=0,0,'Encargos e Benefícios'!AD479/'Encargos e Benefícios'!C479)</f>
        <v>0</v>
      </c>
      <c r="AO480" s="32"/>
      <c r="AP480" s="31"/>
      <c r="AQ480" s="31"/>
      <c r="AR480" s="210"/>
      <c r="AS480" s="32"/>
    </row>
    <row r="481" spans="1:45" ht="12.75" hidden="1" x14ac:dyDescent="0.2">
      <c r="A481" s="48">
        <v>475</v>
      </c>
      <c r="B481" s="12">
        <f>'Encargos e Benefícios'!B480</f>
        <v>0</v>
      </c>
      <c r="C481" s="10">
        <f>'Encargos e Benefícios'!C480</f>
        <v>0</v>
      </c>
      <c r="D481" s="38"/>
      <c r="E481" s="174"/>
      <c r="F481" s="173"/>
      <c r="G481" s="172"/>
      <c r="H481" s="133"/>
      <c r="I481" s="47"/>
      <c r="J481" s="47"/>
      <c r="K481" s="47"/>
      <c r="L481" s="47"/>
      <c r="M481" s="172"/>
      <c r="N481" s="133"/>
      <c r="O481" s="47"/>
      <c r="P481" s="47"/>
      <c r="Q481" s="47"/>
      <c r="R481" s="47"/>
      <c r="S481" s="172"/>
      <c r="T481" s="133"/>
      <c r="U481" s="47"/>
      <c r="V481" s="47"/>
      <c r="W481" s="47"/>
      <c r="X481" s="47"/>
      <c r="Y481" s="172"/>
      <c r="Z481" s="133"/>
      <c r="AA481" s="47"/>
      <c r="AB481" s="47"/>
      <c r="AC481" s="47"/>
      <c r="AD481" s="47"/>
      <c r="AE481" s="172"/>
      <c r="AF481" s="133"/>
      <c r="AG481" s="47"/>
      <c r="AH481" s="47"/>
      <c r="AI481" s="47"/>
      <c r="AJ481" s="136"/>
      <c r="AK481" s="11">
        <f>'Encargos e Benefícios'!D480</f>
        <v>0</v>
      </c>
      <c r="AL481" s="11">
        <f>IF('Encargos e Benefícios'!C480=0,0,'Encargos e Benefícios'!U480/'Encargos e Benefícios'!C480)</f>
        <v>0</v>
      </c>
      <c r="AM481" s="11">
        <f>IF('Encargos e Benefícios'!C480=0,0,'Encargos e Benefícios'!AC480/'Encargos e Benefícios'!C480)</f>
        <v>0</v>
      </c>
      <c r="AN481" s="119">
        <f>IF('Encargos e Benefícios'!C480=0,0,'Encargos e Benefícios'!AD480/'Encargos e Benefícios'!C480)</f>
        <v>0</v>
      </c>
      <c r="AO481" s="32"/>
      <c r="AP481" s="31"/>
      <c r="AQ481" s="31"/>
      <c r="AR481" s="210"/>
      <c r="AS481" s="32"/>
    </row>
    <row r="482" spans="1:45" ht="12.75" hidden="1" x14ac:dyDescent="0.2">
      <c r="A482" s="48">
        <v>476</v>
      </c>
      <c r="B482" s="12">
        <f>'Encargos e Benefícios'!B481</f>
        <v>0</v>
      </c>
      <c r="C482" s="10">
        <f>'Encargos e Benefícios'!C481</f>
        <v>0</v>
      </c>
      <c r="D482" s="38"/>
      <c r="E482" s="174"/>
      <c r="F482" s="173"/>
      <c r="G482" s="172"/>
      <c r="H482" s="133"/>
      <c r="I482" s="47"/>
      <c r="J482" s="47"/>
      <c r="K482" s="47"/>
      <c r="L482" s="47"/>
      <c r="M482" s="172"/>
      <c r="N482" s="133"/>
      <c r="O482" s="47"/>
      <c r="P482" s="47"/>
      <c r="Q482" s="47"/>
      <c r="R482" s="47"/>
      <c r="S482" s="172"/>
      <c r="T482" s="133"/>
      <c r="U482" s="47"/>
      <c r="V482" s="47"/>
      <c r="W482" s="47"/>
      <c r="X482" s="47"/>
      <c r="Y482" s="172"/>
      <c r="Z482" s="133"/>
      <c r="AA482" s="47"/>
      <c r="AB482" s="47"/>
      <c r="AC482" s="47"/>
      <c r="AD482" s="47"/>
      <c r="AE482" s="172"/>
      <c r="AF482" s="133"/>
      <c r="AG482" s="47"/>
      <c r="AH482" s="47"/>
      <c r="AI482" s="47"/>
      <c r="AJ482" s="136"/>
      <c r="AK482" s="11">
        <f>'Encargos e Benefícios'!D481</f>
        <v>0</v>
      </c>
      <c r="AL482" s="11">
        <f>IF('Encargos e Benefícios'!C481=0,0,'Encargos e Benefícios'!U481/'Encargos e Benefícios'!C481)</f>
        <v>0</v>
      </c>
      <c r="AM482" s="11">
        <f>IF('Encargos e Benefícios'!C481=0,0,'Encargos e Benefícios'!AC481/'Encargos e Benefícios'!C481)</f>
        <v>0</v>
      </c>
      <c r="AN482" s="119">
        <f>IF('Encargos e Benefícios'!C481=0,0,'Encargos e Benefícios'!AD481/'Encargos e Benefícios'!C481)</f>
        <v>0</v>
      </c>
      <c r="AO482" s="32"/>
      <c r="AP482" s="31"/>
      <c r="AQ482" s="31"/>
      <c r="AR482" s="210"/>
      <c r="AS482" s="32"/>
    </row>
    <row r="483" spans="1:45" ht="12.75" hidden="1" x14ac:dyDescent="0.2">
      <c r="A483" s="48">
        <v>477</v>
      </c>
      <c r="B483" s="12">
        <f>'Encargos e Benefícios'!B482</f>
        <v>0</v>
      </c>
      <c r="C483" s="10">
        <f>'Encargos e Benefícios'!C482</f>
        <v>0</v>
      </c>
      <c r="D483" s="38"/>
      <c r="E483" s="174"/>
      <c r="F483" s="173"/>
      <c r="G483" s="172"/>
      <c r="H483" s="133"/>
      <c r="I483" s="47"/>
      <c r="J483" s="47"/>
      <c r="K483" s="47"/>
      <c r="L483" s="47"/>
      <c r="M483" s="172"/>
      <c r="N483" s="133"/>
      <c r="O483" s="47"/>
      <c r="P483" s="47"/>
      <c r="Q483" s="47"/>
      <c r="R483" s="47"/>
      <c r="S483" s="172"/>
      <c r="T483" s="133"/>
      <c r="U483" s="47"/>
      <c r="V483" s="47"/>
      <c r="W483" s="47"/>
      <c r="X483" s="47"/>
      <c r="Y483" s="172"/>
      <c r="Z483" s="133"/>
      <c r="AA483" s="47"/>
      <c r="AB483" s="47"/>
      <c r="AC483" s="47"/>
      <c r="AD483" s="47"/>
      <c r="AE483" s="172"/>
      <c r="AF483" s="133"/>
      <c r="AG483" s="47"/>
      <c r="AH483" s="47"/>
      <c r="AI483" s="47"/>
      <c r="AJ483" s="136"/>
      <c r="AK483" s="11">
        <f>'Encargos e Benefícios'!D482</f>
        <v>0</v>
      </c>
      <c r="AL483" s="11">
        <f>IF('Encargos e Benefícios'!C482=0,0,'Encargos e Benefícios'!U482/'Encargos e Benefícios'!C482)</f>
        <v>0</v>
      </c>
      <c r="AM483" s="11">
        <f>IF('Encargos e Benefícios'!C482=0,0,'Encargos e Benefícios'!AC482/'Encargos e Benefícios'!C482)</f>
        <v>0</v>
      </c>
      <c r="AN483" s="119">
        <f>IF('Encargos e Benefícios'!C482=0,0,'Encargos e Benefícios'!AD482/'Encargos e Benefícios'!C482)</f>
        <v>0</v>
      </c>
      <c r="AO483" s="32"/>
      <c r="AP483" s="31"/>
      <c r="AQ483" s="31"/>
      <c r="AR483" s="210"/>
      <c r="AS483" s="32"/>
    </row>
    <row r="484" spans="1:45" ht="12.75" hidden="1" x14ac:dyDescent="0.2">
      <c r="A484" s="48">
        <v>478</v>
      </c>
      <c r="B484" s="12">
        <f>'Encargos e Benefícios'!B483</f>
        <v>0</v>
      </c>
      <c r="C484" s="10">
        <f>'Encargos e Benefícios'!C483</f>
        <v>0</v>
      </c>
      <c r="D484" s="38"/>
      <c r="E484" s="174"/>
      <c r="F484" s="173"/>
      <c r="G484" s="172"/>
      <c r="H484" s="133"/>
      <c r="I484" s="47"/>
      <c r="J484" s="47"/>
      <c r="K484" s="47"/>
      <c r="L484" s="47"/>
      <c r="M484" s="172"/>
      <c r="N484" s="133"/>
      <c r="O484" s="47"/>
      <c r="P484" s="47"/>
      <c r="Q484" s="47"/>
      <c r="R484" s="47"/>
      <c r="S484" s="172"/>
      <c r="T484" s="133"/>
      <c r="U484" s="47"/>
      <c r="V484" s="47"/>
      <c r="W484" s="47"/>
      <c r="X484" s="47"/>
      <c r="Y484" s="172"/>
      <c r="Z484" s="133"/>
      <c r="AA484" s="47"/>
      <c r="AB484" s="47"/>
      <c r="AC484" s="47"/>
      <c r="AD484" s="47"/>
      <c r="AE484" s="172"/>
      <c r="AF484" s="133"/>
      <c r="AG484" s="47"/>
      <c r="AH484" s="47"/>
      <c r="AI484" s="47"/>
      <c r="AJ484" s="136"/>
      <c r="AK484" s="11">
        <f>'Encargos e Benefícios'!D483</f>
        <v>0</v>
      </c>
      <c r="AL484" s="11">
        <f>IF('Encargos e Benefícios'!C483=0,0,'Encargos e Benefícios'!U483/'Encargos e Benefícios'!C483)</f>
        <v>0</v>
      </c>
      <c r="AM484" s="11">
        <f>IF('Encargos e Benefícios'!C483=0,0,'Encargos e Benefícios'!AC483/'Encargos e Benefícios'!C483)</f>
        <v>0</v>
      </c>
      <c r="AN484" s="119">
        <f>IF('Encargos e Benefícios'!C483=0,0,'Encargos e Benefícios'!AD483/'Encargos e Benefícios'!C483)</f>
        <v>0</v>
      </c>
      <c r="AO484" s="32"/>
      <c r="AP484" s="31"/>
      <c r="AQ484" s="31"/>
      <c r="AR484" s="210"/>
      <c r="AS484" s="32"/>
    </row>
    <row r="485" spans="1:45" ht="12.75" hidden="1" x14ac:dyDescent="0.2">
      <c r="A485" s="48">
        <v>479</v>
      </c>
      <c r="B485" s="12">
        <f>'Encargos e Benefícios'!B484</f>
        <v>0</v>
      </c>
      <c r="C485" s="10">
        <f>'Encargos e Benefícios'!C484</f>
        <v>0</v>
      </c>
      <c r="D485" s="38"/>
      <c r="E485" s="174"/>
      <c r="F485" s="173"/>
      <c r="G485" s="172"/>
      <c r="H485" s="133"/>
      <c r="I485" s="47"/>
      <c r="J485" s="47"/>
      <c r="K485" s="47"/>
      <c r="L485" s="47"/>
      <c r="M485" s="172"/>
      <c r="N485" s="133"/>
      <c r="O485" s="47"/>
      <c r="P485" s="47"/>
      <c r="Q485" s="47"/>
      <c r="R485" s="47"/>
      <c r="S485" s="172"/>
      <c r="T485" s="133"/>
      <c r="U485" s="47"/>
      <c r="V485" s="47"/>
      <c r="W485" s="47"/>
      <c r="X485" s="47"/>
      <c r="Y485" s="172"/>
      <c r="Z485" s="133"/>
      <c r="AA485" s="47"/>
      <c r="AB485" s="47"/>
      <c r="AC485" s="47"/>
      <c r="AD485" s="47"/>
      <c r="AE485" s="172"/>
      <c r="AF485" s="133"/>
      <c r="AG485" s="47"/>
      <c r="AH485" s="47"/>
      <c r="AI485" s="47"/>
      <c r="AJ485" s="136"/>
      <c r="AK485" s="11">
        <f>'Encargos e Benefícios'!D484</f>
        <v>0</v>
      </c>
      <c r="AL485" s="11">
        <f>IF('Encargos e Benefícios'!C484=0,0,'Encargos e Benefícios'!U484/'Encargos e Benefícios'!C484)</f>
        <v>0</v>
      </c>
      <c r="AM485" s="11">
        <f>IF('Encargos e Benefícios'!C484=0,0,'Encargos e Benefícios'!AC484/'Encargos e Benefícios'!C484)</f>
        <v>0</v>
      </c>
      <c r="AN485" s="119">
        <f>IF('Encargos e Benefícios'!C484=0,0,'Encargos e Benefícios'!AD484/'Encargos e Benefícios'!C484)</f>
        <v>0</v>
      </c>
      <c r="AO485" s="32"/>
      <c r="AP485" s="31"/>
      <c r="AQ485" s="31"/>
      <c r="AR485" s="210"/>
      <c r="AS485" s="32"/>
    </row>
    <row r="486" spans="1:45" ht="12.75" hidden="1" x14ac:dyDescent="0.2">
      <c r="A486" s="48">
        <v>480</v>
      </c>
      <c r="B486" s="12">
        <f>'Encargos e Benefícios'!B485</f>
        <v>0</v>
      </c>
      <c r="C486" s="10">
        <f>'Encargos e Benefícios'!C485</f>
        <v>0</v>
      </c>
      <c r="D486" s="38"/>
      <c r="E486" s="174"/>
      <c r="F486" s="173"/>
      <c r="G486" s="172"/>
      <c r="H486" s="133"/>
      <c r="I486" s="47"/>
      <c r="J486" s="47"/>
      <c r="K486" s="47"/>
      <c r="L486" s="47"/>
      <c r="M486" s="172"/>
      <c r="N486" s="133"/>
      <c r="O486" s="47"/>
      <c r="P486" s="47"/>
      <c r="Q486" s="47"/>
      <c r="R486" s="47"/>
      <c r="S486" s="172"/>
      <c r="T486" s="133"/>
      <c r="U486" s="47"/>
      <c r="V486" s="47"/>
      <c r="W486" s="47"/>
      <c r="X486" s="47"/>
      <c r="Y486" s="172"/>
      <c r="Z486" s="133"/>
      <c r="AA486" s="47"/>
      <c r="AB486" s="47"/>
      <c r="AC486" s="47"/>
      <c r="AD486" s="47"/>
      <c r="AE486" s="172"/>
      <c r="AF486" s="133"/>
      <c r="AG486" s="47"/>
      <c r="AH486" s="47"/>
      <c r="AI486" s="47"/>
      <c r="AJ486" s="136"/>
      <c r="AK486" s="11">
        <f>'Encargos e Benefícios'!D485</f>
        <v>0</v>
      </c>
      <c r="AL486" s="11">
        <f>IF('Encargos e Benefícios'!C485=0,0,'Encargos e Benefícios'!U485/'Encargos e Benefícios'!C485)</f>
        <v>0</v>
      </c>
      <c r="AM486" s="11">
        <f>IF('Encargos e Benefícios'!C485=0,0,'Encargos e Benefícios'!AC485/'Encargos e Benefícios'!C485)</f>
        <v>0</v>
      </c>
      <c r="AN486" s="119">
        <f>IF('Encargos e Benefícios'!C485=0,0,'Encargos e Benefícios'!AD485/'Encargos e Benefícios'!C485)</f>
        <v>0</v>
      </c>
      <c r="AO486" s="32"/>
      <c r="AP486" s="31"/>
      <c r="AQ486" s="31"/>
      <c r="AR486" s="210"/>
      <c r="AS486" s="32"/>
    </row>
    <row r="487" spans="1:45" ht="12.75" hidden="1" x14ac:dyDescent="0.2">
      <c r="A487" s="48">
        <v>481</v>
      </c>
      <c r="B487" s="12">
        <f>'Encargos e Benefícios'!B486</f>
        <v>0</v>
      </c>
      <c r="C487" s="10">
        <f>'Encargos e Benefícios'!C486</f>
        <v>0</v>
      </c>
      <c r="D487" s="38"/>
      <c r="E487" s="174"/>
      <c r="F487" s="173"/>
      <c r="G487" s="172"/>
      <c r="H487" s="133"/>
      <c r="I487" s="47"/>
      <c r="J487" s="47"/>
      <c r="K487" s="47"/>
      <c r="L487" s="47"/>
      <c r="M487" s="172"/>
      <c r="N487" s="133"/>
      <c r="O487" s="47"/>
      <c r="P487" s="47"/>
      <c r="Q487" s="47"/>
      <c r="R487" s="47"/>
      <c r="S487" s="172"/>
      <c r="T487" s="133"/>
      <c r="U487" s="47"/>
      <c r="V487" s="47"/>
      <c r="W487" s="47"/>
      <c r="X487" s="47"/>
      <c r="Y487" s="172"/>
      <c r="Z487" s="133"/>
      <c r="AA487" s="47"/>
      <c r="AB487" s="47"/>
      <c r="AC487" s="47"/>
      <c r="AD487" s="47"/>
      <c r="AE487" s="172"/>
      <c r="AF487" s="133"/>
      <c r="AG487" s="47"/>
      <c r="AH487" s="47"/>
      <c r="AI487" s="47"/>
      <c r="AJ487" s="136"/>
      <c r="AK487" s="11">
        <f>'Encargos e Benefícios'!D486</f>
        <v>0</v>
      </c>
      <c r="AL487" s="11">
        <f>IF('Encargos e Benefícios'!C486=0,0,'Encargos e Benefícios'!U486/'Encargos e Benefícios'!C486)</f>
        <v>0</v>
      </c>
      <c r="AM487" s="11">
        <f>IF('Encargos e Benefícios'!C486=0,0,'Encargos e Benefícios'!AC486/'Encargos e Benefícios'!C486)</f>
        <v>0</v>
      </c>
      <c r="AN487" s="119">
        <f>IF('Encargos e Benefícios'!C486=0,0,'Encargos e Benefícios'!AD486/'Encargos e Benefícios'!C486)</f>
        <v>0</v>
      </c>
      <c r="AO487" s="32"/>
      <c r="AP487" s="31"/>
      <c r="AQ487" s="31"/>
      <c r="AR487" s="210"/>
      <c r="AS487" s="32"/>
    </row>
    <row r="488" spans="1:45" ht="12.75" hidden="1" x14ac:dyDescent="0.2">
      <c r="A488" s="48">
        <v>482</v>
      </c>
      <c r="B488" s="12">
        <f>'Encargos e Benefícios'!B487</f>
        <v>0</v>
      </c>
      <c r="C488" s="10">
        <f>'Encargos e Benefícios'!C487</f>
        <v>0</v>
      </c>
      <c r="D488" s="38"/>
      <c r="E488" s="174"/>
      <c r="F488" s="173"/>
      <c r="G488" s="172"/>
      <c r="H488" s="133"/>
      <c r="I488" s="47"/>
      <c r="J488" s="47"/>
      <c r="K488" s="47"/>
      <c r="L488" s="47"/>
      <c r="M488" s="172"/>
      <c r="N488" s="133"/>
      <c r="O488" s="47"/>
      <c r="P488" s="47"/>
      <c r="Q488" s="47"/>
      <c r="R488" s="47"/>
      <c r="S488" s="172"/>
      <c r="T488" s="133"/>
      <c r="U488" s="47"/>
      <c r="V488" s="47"/>
      <c r="W488" s="47"/>
      <c r="X488" s="47"/>
      <c r="Y488" s="172"/>
      <c r="Z488" s="133"/>
      <c r="AA488" s="47"/>
      <c r="AB488" s="47"/>
      <c r="AC488" s="47"/>
      <c r="AD488" s="47"/>
      <c r="AE488" s="172"/>
      <c r="AF488" s="133"/>
      <c r="AG488" s="47"/>
      <c r="AH488" s="47"/>
      <c r="AI488" s="47"/>
      <c r="AJ488" s="136"/>
      <c r="AK488" s="11">
        <f>'Encargos e Benefícios'!D487</f>
        <v>0</v>
      </c>
      <c r="AL488" s="11">
        <f>IF('Encargos e Benefícios'!C487=0,0,'Encargos e Benefícios'!U487/'Encargos e Benefícios'!C487)</f>
        <v>0</v>
      </c>
      <c r="AM488" s="11">
        <f>IF('Encargos e Benefícios'!C487=0,0,'Encargos e Benefícios'!AC487/'Encargos e Benefícios'!C487)</f>
        <v>0</v>
      </c>
      <c r="AN488" s="119">
        <f>IF('Encargos e Benefícios'!C487=0,0,'Encargos e Benefícios'!AD487/'Encargos e Benefícios'!C487)</f>
        <v>0</v>
      </c>
      <c r="AO488" s="32"/>
      <c r="AP488" s="31"/>
      <c r="AQ488" s="31"/>
      <c r="AR488" s="210"/>
      <c r="AS488" s="32"/>
    </row>
    <row r="489" spans="1:45" ht="12.75" hidden="1" x14ac:dyDescent="0.2">
      <c r="A489" s="48">
        <v>483</v>
      </c>
      <c r="B489" s="12">
        <f>'Encargos e Benefícios'!B488</f>
        <v>0</v>
      </c>
      <c r="C489" s="10">
        <f>'Encargos e Benefícios'!C488</f>
        <v>0</v>
      </c>
      <c r="D489" s="38"/>
      <c r="E489" s="174"/>
      <c r="F489" s="173"/>
      <c r="G489" s="172"/>
      <c r="H489" s="133"/>
      <c r="I489" s="47"/>
      <c r="J489" s="47"/>
      <c r="K489" s="47"/>
      <c r="L489" s="47"/>
      <c r="M489" s="172"/>
      <c r="N489" s="133"/>
      <c r="O489" s="47"/>
      <c r="P489" s="47"/>
      <c r="Q489" s="47"/>
      <c r="R489" s="47"/>
      <c r="S489" s="172"/>
      <c r="T489" s="133"/>
      <c r="U489" s="47"/>
      <c r="V489" s="47"/>
      <c r="W489" s="47"/>
      <c r="X489" s="47"/>
      <c r="Y489" s="172"/>
      <c r="Z489" s="133"/>
      <c r="AA489" s="47"/>
      <c r="AB489" s="47"/>
      <c r="AC489" s="47"/>
      <c r="AD489" s="47"/>
      <c r="AE489" s="172"/>
      <c r="AF489" s="133"/>
      <c r="AG489" s="47"/>
      <c r="AH489" s="47"/>
      <c r="AI489" s="47"/>
      <c r="AJ489" s="136"/>
      <c r="AK489" s="11">
        <f>'Encargos e Benefícios'!D488</f>
        <v>0</v>
      </c>
      <c r="AL489" s="11">
        <f>IF('Encargos e Benefícios'!C488=0,0,'Encargos e Benefícios'!U488/'Encargos e Benefícios'!C488)</f>
        <v>0</v>
      </c>
      <c r="AM489" s="11">
        <f>IF('Encargos e Benefícios'!C488=0,0,'Encargos e Benefícios'!AC488/'Encargos e Benefícios'!C488)</f>
        <v>0</v>
      </c>
      <c r="AN489" s="119">
        <f>IF('Encargos e Benefícios'!C488=0,0,'Encargos e Benefícios'!AD488/'Encargos e Benefícios'!C488)</f>
        <v>0</v>
      </c>
      <c r="AO489" s="32"/>
      <c r="AP489" s="31"/>
      <c r="AQ489" s="31"/>
      <c r="AR489" s="210"/>
      <c r="AS489" s="32"/>
    </row>
    <row r="490" spans="1:45" ht="12.75" hidden="1" x14ac:dyDescent="0.2">
      <c r="A490" s="48">
        <v>484</v>
      </c>
      <c r="B490" s="12">
        <f>'Encargos e Benefícios'!B489</f>
        <v>0</v>
      </c>
      <c r="C490" s="10">
        <f>'Encargos e Benefícios'!C489</f>
        <v>0</v>
      </c>
      <c r="D490" s="38"/>
      <c r="E490" s="174"/>
      <c r="F490" s="173"/>
      <c r="G490" s="172"/>
      <c r="H490" s="133"/>
      <c r="I490" s="47"/>
      <c r="J490" s="47"/>
      <c r="K490" s="47"/>
      <c r="L490" s="47"/>
      <c r="M490" s="172"/>
      <c r="N490" s="133"/>
      <c r="O490" s="47"/>
      <c r="P490" s="47"/>
      <c r="Q490" s="47"/>
      <c r="R490" s="47"/>
      <c r="S490" s="172"/>
      <c r="T490" s="133"/>
      <c r="U490" s="47"/>
      <c r="V490" s="47"/>
      <c r="W490" s="47"/>
      <c r="X490" s="47"/>
      <c r="Y490" s="172"/>
      <c r="Z490" s="133"/>
      <c r="AA490" s="47"/>
      <c r="AB490" s="47"/>
      <c r="AC490" s="47"/>
      <c r="AD490" s="47"/>
      <c r="AE490" s="172"/>
      <c r="AF490" s="133"/>
      <c r="AG490" s="47"/>
      <c r="AH490" s="47"/>
      <c r="AI490" s="47"/>
      <c r="AJ490" s="136"/>
      <c r="AK490" s="11">
        <f>'Encargos e Benefícios'!D489</f>
        <v>0</v>
      </c>
      <c r="AL490" s="11">
        <f>IF('Encargos e Benefícios'!C489=0,0,'Encargos e Benefícios'!U489/'Encargos e Benefícios'!C489)</f>
        <v>0</v>
      </c>
      <c r="AM490" s="11">
        <f>IF('Encargos e Benefícios'!C489=0,0,'Encargos e Benefícios'!AC489/'Encargos e Benefícios'!C489)</f>
        <v>0</v>
      </c>
      <c r="AN490" s="119">
        <f>IF('Encargos e Benefícios'!C489=0,0,'Encargos e Benefícios'!AD489/'Encargos e Benefícios'!C489)</f>
        <v>0</v>
      </c>
      <c r="AO490" s="32"/>
      <c r="AP490" s="31"/>
      <c r="AQ490" s="31"/>
      <c r="AR490" s="210"/>
      <c r="AS490" s="32"/>
    </row>
    <row r="491" spans="1:45" ht="12.75" hidden="1" x14ac:dyDescent="0.2">
      <c r="A491" s="48">
        <v>485</v>
      </c>
      <c r="B491" s="12">
        <f>'Encargos e Benefícios'!B490</f>
        <v>0</v>
      </c>
      <c r="C491" s="10">
        <f>'Encargos e Benefícios'!C490</f>
        <v>0</v>
      </c>
      <c r="D491" s="38"/>
      <c r="E491" s="174"/>
      <c r="F491" s="173"/>
      <c r="G491" s="172"/>
      <c r="H491" s="133"/>
      <c r="I491" s="47"/>
      <c r="J491" s="47"/>
      <c r="K491" s="47"/>
      <c r="L491" s="47"/>
      <c r="M491" s="172"/>
      <c r="N491" s="133"/>
      <c r="O491" s="47"/>
      <c r="P491" s="47"/>
      <c r="Q491" s="47"/>
      <c r="R491" s="47"/>
      <c r="S491" s="172"/>
      <c r="T491" s="133"/>
      <c r="U491" s="47"/>
      <c r="V491" s="47"/>
      <c r="W491" s="47"/>
      <c r="X491" s="47"/>
      <c r="Y491" s="172"/>
      <c r="Z491" s="133"/>
      <c r="AA491" s="47"/>
      <c r="AB491" s="47"/>
      <c r="AC491" s="47"/>
      <c r="AD491" s="47"/>
      <c r="AE491" s="172"/>
      <c r="AF491" s="133"/>
      <c r="AG491" s="47"/>
      <c r="AH491" s="47"/>
      <c r="AI491" s="47"/>
      <c r="AJ491" s="136"/>
      <c r="AK491" s="11">
        <f>'Encargos e Benefícios'!D490</f>
        <v>0</v>
      </c>
      <c r="AL491" s="11">
        <f>IF('Encargos e Benefícios'!C490=0,0,'Encargos e Benefícios'!U490/'Encargos e Benefícios'!C490)</f>
        <v>0</v>
      </c>
      <c r="AM491" s="11">
        <f>IF('Encargos e Benefícios'!C490=0,0,'Encargos e Benefícios'!AC490/'Encargos e Benefícios'!C490)</f>
        <v>0</v>
      </c>
      <c r="AN491" s="119">
        <f>IF('Encargos e Benefícios'!C490=0,0,'Encargos e Benefícios'!AD490/'Encargos e Benefícios'!C490)</f>
        <v>0</v>
      </c>
      <c r="AO491" s="32"/>
      <c r="AP491" s="31"/>
      <c r="AQ491" s="31"/>
      <c r="AR491" s="210"/>
      <c r="AS491" s="32"/>
    </row>
    <row r="492" spans="1:45" ht="12.75" hidden="1" x14ac:dyDescent="0.2">
      <c r="A492" s="48">
        <v>486</v>
      </c>
      <c r="B492" s="12">
        <f>'Encargos e Benefícios'!B491</f>
        <v>0</v>
      </c>
      <c r="C492" s="10">
        <f>'Encargos e Benefícios'!C491</f>
        <v>0</v>
      </c>
      <c r="D492" s="38"/>
      <c r="E492" s="174"/>
      <c r="F492" s="173"/>
      <c r="G492" s="172"/>
      <c r="H492" s="133"/>
      <c r="I492" s="47"/>
      <c r="J492" s="47"/>
      <c r="K492" s="47"/>
      <c r="L492" s="47"/>
      <c r="M492" s="172"/>
      <c r="N492" s="133"/>
      <c r="O492" s="47"/>
      <c r="P492" s="47"/>
      <c r="Q492" s="47"/>
      <c r="R492" s="47"/>
      <c r="S492" s="172"/>
      <c r="T492" s="133"/>
      <c r="U492" s="47"/>
      <c r="V492" s="47"/>
      <c r="W492" s="47"/>
      <c r="X492" s="47"/>
      <c r="Y492" s="172"/>
      <c r="Z492" s="133"/>
      <c r="AA492" s="47"/>
      <c r="AB492" s="47"/>
      <c r="AC492" s="47"/>
      <c r="AD492" s="47"/>
      <c r="AE492" s="172"/>
      <c r="AF492" s="133"/>
      <c r="AG492" s="47"/>
      <c r="AH492" s="47"/>
      <c r="AI492" s="47"/>
      <c r="AJ492" s="136"/>
      <c r="AK492" s="11">
        <f>'Encargos e Benefícios'!D491</f>
        <v>0</v>
      </c>
      <c r="AL492" s="11">
        <f>IF('Encargos e Benefícios'!C491=0,0,'Encargos e Benefícios'!U491/'Encargos e Benefícios'!C491)</f>
        <v>0</v>
      </c>
      <c r="AM492" s="11">
        <f>IF('Encargos e Benefícios'!C491=0,0,'Encargos e Benefícios'!AC491/'Encargos e Benefícios'!C491)</f>
        <v>0</v>
      </c>
      <c r="AN492" s="119">
        <f>IF('Encargos e Benefícios'!C491=0,0,'Encargos e Benefícios'!AD491/'Encargos e Benefícios'!C491)</f>
        <v>0</v>
      </c>
      <c r="AO492" s="32"/>
      <c r="AP492" s="31"/>
      <c r="AQ492" s="31"/>
      <c r="AR492" s="210"/>
      <c r="AS492" s="32"/>
    </row>
    <row r="493" spans="1:45" ht="12.75" hidden="1" x14ac:dyDescent="0.2">
      <c r="A493" s="48">
        <v>487</v>
      </c>
      <c r="B493" s="12">
        <f>'Encargos e Benefícios'!B492</f>
        <v>0</v>
      </c>
      <c r="C493" s="10">
        <f>'Encargos e Benefícios'!C492</f>
        <v>0</v>
      </c>
      <c r="D493" s="38"/>
      <c r="E493" s="174"/>
      <c r="F493" s="173"/>
      <c r="G493" s="172"/>
      <c r="H493" s="133"/>
      <c r="I493" s="47"/>
      <c r="J493" s="47"/>
      <c r="K493" s="47"/>
      <c r="L493" s="47"/>
      <c r="M493" s="172"/>
      <c r="N493" s="133"/>
      <c r="O493" s="47"/>
      <c r="P493" s="47"/>
      <c r="Q493" s="47"/>
      <c r="R493" s="47"/>
      <c r="S493" s="172"/>
      <c r="T493" s="133"/>
      <c r="U493" s="47"/>
      <c r="V493" s="47"/>
      <c r="W493" s="47"/>
      <c r="X493" s="47"/>
      <c r="Y493" s="172"/>
      <c r="Z493" s="133"/>
      <c r="AA493" s="47"/>
      <c r="AB493" s="47"/>
      <c r="AC493" s="47"/>
      <c r="AD493" s="47"/>
      <c r="AE493" s="172"/>
      <c r="AF493" s="133"/>
      <c r="AG493" s="47"/>
      <c r="AH493" s="47"/>
      <c r="AI493" s="47"/>
      <c r="AJ493" s="136"/>
      <c r="AK493" s="11">
        <f>'Encargos e Benefícios'!D492</f>
        <v>0</v>
      </c>
      <c r="AL493" s="11">
        <f>IF('Encargos e Benefícios'!C492=0,0,'Encargos e Benefícios'!U492/'Encargos e Benefícios'!C492)</f>
        <v>0</v>
      </c>
      <c r="AM493" s="11">
        <f>IF('Encargos e Benefícios'!C492=0,0,'Encargos e Benefícios'!AC492/'Encargos e Benefícios'!C492)</f>
        <v>0</v>
      </c>
      <c r="AN493" s="119">
        <f>IF('Encargos e Benefícios'!C492=0,0,'Encargos e Benefícios'!AD492/'Encargos e Benefícios'!C492)</f>
        <v>0</v>
      </c>
      <c r="AO493" s="32"/>
      <c r="AP493" s="31"/>
      <c r="AQ493" s="31"/>
      <c r="AR493" s="210"/>
      <c r="AS493" s="32"/>
    </row>
    <row r="494" spans="1:45" ht="12.75" hidden="1" x14ac:dyDescent="0.2">
      <c r="A494" s="48">
        <v>488</v>
      </c>
      <c r="B494" s="12">
        <f>'Encargos e Benefícios'!B493</f>
        <v>0</v>
      </c>
      <c r="C494" s="10">
        <f>'Encargos e Benefícios'!C493</f>
        <v>0</v>
      </c>
      <c r="D494" s="38"/>
      <c r="E494" s="174"/>
      <c r="F494" s="173"/>
      <c r="G494" s="172"/>
      <c r="H494" s="133"/>
      <c r="I494" s="47"/>
      <c r="J494" s="47"/>
      <c r="K494" s="47"/>
      <c r="L494" s="47"/>
      <c r="M494" s="172"/>
      <c r="N494" s="133"/>
      <c r="O494" s="47"/>
      <c r="P494" s="47"/>
      <c r="Q494" s="47"/>
      <c r="R494" s="47"/>
      <c r="S494" s="172"/>
      <c r="T494" s="133"/>
      <c r="U494" s="47"/>
      <c r="V494" s="47"/>
      <c r="W494" s="47"/>
      <c r="X494" s="47"/>
      <c r="Y494" s="172"/>
      <c r="Z494" s="133"/>
      <c r="AA494" s="47"/>
      <c r="AB494" s="47"/>
      <c r="AC494" s="47"/>
      <c r="AD494" s="47"/>
      <c r="AE494" s="172"/>
      <c r="AF494" s="133"/>
      <c r="AG494" s="47"/>
      <c r="AH494" s="47"/>
      <c r="AI494" s="47"/>
      <c r="AJ494" s="136"/>
      <c r="AK494" s="11">
        <f>'Encargos e Benefícios'!D493</f>
        <v>0</v>
      </c>
      <c r="AL494" s="11">
        <f>IF('Encargos e Benefícios'!C493=0,0,'Encargos e Benefícios'!U493/'Encargos e Benefícios'!C493)</f>
        <v>0</v>
      </c>
      <c r="AM494" s="11">
        <f>IF('Encargos e Benefícios'!C493=0,0,'Encargos e Benefícios'!AC493/'Encargos e Benefícios'!C493)</f>
        <v>0</v>
      </c>
      <c r="AN494" s="119">
        <f>IF('Encargos e Benefícios'!C493=0,0,'Encargos e Benefícios'!AD493/'Encargos e Benefícios'!C493)</f>
        <v>0</v>
      </c>
      <c r="AO494" s="32"/>
      <c r="AP494" s="31"/>
      <c r="AQ494" s="31"/>
      <c r="AR494" s="210"/>
      <c r="AS494" s="32"/>
    </row>
    <row r="495" spans="1:45" ht="12.75" hidden="1" x14ac:dyDescent="0.2">
      <c r="A495" s="48">
        <v>489</v>
      </c>
      <c r="B495" s="12">
        <f>'Encargos e Benefícios'!B494</f>
        <v>0</v>
      </c>
      <c r="C495" s="10">
        <f>'Encargos e Benefícios'!C494</f>
        <v>0</v>
      </c>
      <c r="D495" s="38"/>
      <c r="E495" s="174"/>
      <c r="F495" s="173"/>
      <c r="G495" s="172"/>
      <c r="H495" s="133"/>
      <c r="I495" s="47"/>
      <c r="J495" s="47"/>
      <c r="K495" s="47"/>
      <c r="L495" s="47"/>
      <c r="M495" s="172"/>
      <c r="N495" s="133"/>
      <c r="O495" s="47"/>
      <c r="P495" s="47"/>
      <c r="Q495" s="47"/>
      <c r="R495" s="47"/>
      <c r="S495" s="172"/>
      <c r="T495" s="133"/>
      <c r="U495" s="47"/>
      <c r="V495" s="47"/>
      <c r="W495" s="47"/>
      <c r="X495" s="47"/>
      <c r="Y495" s="172"/>
      <c r="Z495" s="133"/>
      <c r="AA495" s="47"/>
      <c r="AB495" s="47"/>
      <c r="AC495" s="47"/>
      <c r="AD495" s="47"/>
      <c r="AE495" s="172"/>
      <c r="AF495" s="133"/>
      <c r="AG495" s="47"/>
      <c r="AH495" s="47"/>
      <c r="AI495" s="47"/>
      <c r="AJ495" s="136"/>
      <c r="AK495" s="11">
        <f>'Encargos e Benefícios'!D494</f>
        <v>0</v>
      </c>
      <c r="AL495" s="11">
        <f>IF('Encargos e Benefícios'!C494=0,0,'Encargos e Benefícios'!U494/'Encargos e Benefícios'!C494)</f>
        <v>0</v>
      </c>
      <c r="AM495" s="11">
        <f>IF('Encargos e Benefícios'!C494=0,0,'Encargos e Benefícios'!AC494/'Encargos e Benefícios'!C494)</f>
        <v>0</v>
      </c>
      <c r="AN495" s="119">
        <f>IF('Encargos e Benefícios'!C494=0,0,'Encargos e Benefícios'!AD494/'Encargos e Benefícios'!C494)</f>
        <v>0</v>
      </c>
      <c r="AO495" s="32"/>
      <c r="AP495" s="31"/>
      <c r="AQ495" s="31"/>
      <c r="AR495" s="210"/>
      <c r="AS495" s="32"/>
    </row>
    <row r="496" spans="1:45" ht="12.75" hidden="1" x14ac:dyDescent="0.2">
      <c r="A496" s="48">
        <v>490</v>
      </c>
      <c r="B496" s="12">
        <f>'Encargos e Benefícios'!B495</f>
        <v>0</v>
      </c>
      <c r="C496" s="10">
        <f>'Encargos e Benefícios'!C495</f>
        <v>0</v>
      </c>
      <c r="D496" s="38"/>
      <c r="E496" s="174"/>
      <c r="F496" s="173"/>
      <c r="G496" s="172"/>
      <c r="H496" s="133"/>
      <c r="I496" s="47"/>
      <c r="J496" s="47"/>
      <c r="K496" s="47"/>
      <c r="L496" s="47"/>
      <c r="M496" s="172"/>
      <c r="N496" s="133"/>
      <c r="O496" s="47"/>
      <c r="P496" s="47"/>
      <c r="Q496" s="47"/>
      <c r="R496" s="47"/>
      <c r="S496" s="172"/>
      <c r="T496" s="133"/>
      <c r="U496" s="47"/>
      <c r="V496" s="47"/>
      <c r="W496" s="47"/>
      <c r="X496" s="47"/>
      <c r="Y496" s="172"/>
      <c r="Z496" s="133"/>
      <c r="AA496" s="47"/>
      <c r="AB496" s="47"/>
      <c r="AC496" s="47"/>
      <c r="AD496" s="47"/>
      <c r="AE496" s="172"/>
      <c r="AF496" s="133"/>
      <c r="AG496" s="47"/>
      <c r="AH496" s="47"/>
      <c r="AI496" s="47"/>
      <c r="AJ496" s="136"/>
      <c r="AK496" s="11">
        <f>'Encargos e Benefícios'!D495</f>
        <v>0</v>
      </c>
      <c r="AL496" s="11">
        <f>IF('Encargos e Benefícios'!C495=0,0,'Encargos e Benefícios'!U495/'Encargos e Benefícios'!C495)</f>
        <v>0</v>
      </c>
      <c r="AM496" s="11">
        <f>IF('Encargos e Benefícios'!C495=0,0,'Encargos e Benefícios'!AC495/'Encargos e Benefícios'!C495)</f>
        <v>0</v>
      </c>
      <c r="AN496" s="119">
        <f>IF('Encargos e Benefícios'!C495=0,0,'Encargos e Benefícios'!AD495/'Encargos e Benefícios'!C495)</f>
        <v>0</v>
      </c>
      <c r="AO496" s="32"/>
      <c r="AP496" s="31"/>
      <c r="AQ496" s="31"/>
      <c r="AR496" s="210"/>
      <c r="AS496" s="32"/>
    </row>
    <row r="497" spans="1:45" ht="12.75" hidden="1" x14ac:dyDescent="0.2">
      <c r="A497" s="48">
        <v>491</v>
      </c>
      <c r="B497" s="12">
        <f>'Encargos e Benefícios'!B496</f>
        <v>0</v>
      </c>
      <c r="C497" s="10">
        <f>'Encargos e Benefícios'!C496</f>
        <v>0</v>
      </c>
      <c r="D497" s="38"/>
      <c r="E497" s="174"/>
      <c r="F497" s="173"/>
      <c r="G497" s="172"/>
      <c r="H497" s="133"/>
      <c r="I497" s="47"/>
      <c r="J497" s="47"/>
      <c r="K497" s="47"/>
      <c r="L497" s="47"/>
      <c r="M497" s="172"/>
      <c r="N497" s="133"/>
      <c r="O497" s="47"/>
      <c r="P497" s="47"/>
      <c r="Q497" s="47"/>
      <c r="R497" s="47"/>
      <c r="S497" s="172"/>
      <c r="T497" s="133"/>
      <c r="U497" s="47"/>
      <c r="V497" s="47"/>
      <c r="W497" s="47"/>
      <c r="X497" s="47"/>
      <c r="Y497" s="172"/>
      <c r="Z497" s="133"/>
      <c r="AA497" s="47"/>
      <c r="AB497" s="47"/>
      <c r="AC497" s="47"/>
      <c r="AD497" s="47"/>
      <c r="AE497" s="172"/>
      <c r="AF497" s="133"/>
      <c r="AG497" s="47"/>
      <c r="AH497" s="47"/>
      <c r="AI497" s="47"/>
      <c r="AJ497" s="136"/>
      <c r="AK497" s="11">
        <f>'Encargos e Benefícios'!D496</f>
        <v>0</v>
      </c>
      <c r="AL497" s="11">
        <f>IF('Encargos e Benefícios'!C496=0,0,'Encargos e Benefícios'!U496/'Encargos e Benefícios'!C496)</f>
        <v>0</v>
      </c>
      <c r="AM497" s="11">
        <f>IF('Encargos e Benefícios'!C496=0,0,'Encargos e Benefícios'!AC496/'Encargos e Benefícios'!C496)</f>
        <v>0</v>
      </c>
      <c r="AN497" s="119">
        <f>IF('Encargos e Benefícios'!C496=0,0,'Encargos e Benefícios'!AD496/'Encargos e Benefícios'!C496)</f>
        <v>0</v>
      </c>
      <c r="AO497" s="32"/>
      <c r="AP497" s="31"/>
      <c r="AQ497" s="31"/>
      <c r="AR497" s="210"/>
      <c r="AS497" s="32"/>
    </row>
    <row r="498" spans="1:45" ht="12.75" hidden="1" x14ac:dyDescent="0.2">
      <c r="A498" s="48">
        <v>492</v>
      </c>
      <c r="B498" s="12">
        <f>'Encargos e Benefícios'!B497</f>
        <v>0</v>
      </c>
      <c r="C498" s="10">
        <f>'Encargos e Benefícios'!C497</f>
        <v>0</v>
      </c>
      <c r="D498" s="38"/>
      <c r="E498" s="174"/>
      <c r="F498" s="173"/>
      <c r="G498" s="172"/>
      <c r="H498" s="133"/>
      <c r="I498" s="47"/>
      <c r="J498" s="47"/>
      <c r="K498" s="47"/>
      <c r="L498" s="47"/>
      <c r="M498" s="172"/>
      <c r="N498" s="133"/>
      <c r="O498" s="47"/>
      <c r="P498" s="47"/>
      <c r="Q498" s="47"/>
      <c r="R498" s="47"/>
      <c r="S498" s="172"/>
      <c r="T498" s="133"/>
      <c r="U498" s="47"/>
      <c r="V498" s="47"/>
      <c r="W498" s="47"/>
      <c r="X498" s="47"/>
      <c r="Y498" s="172"/>
      <c r="Z498" s="133"/>
      <c r="AA498" s="47"/>
      <c r="AB498" s="47"/>
      <c r="AC498" s="47"/>
      <c r="AD498" s="47"/>
      <c r="AE498" s="172"/>
      <c r="AF498" s="133"/>
      <c r="AG498" s="47"/>
      <c r="AH498" s="47"/>
      <c r="AI498" s="47"/>
      <c r="AJ498" s="136"/>
      <c r="AK498" s="11">
        <f>'Encargos e Benefícios'!D497</f>
        <v>0</v>
      </c>
      <c r="AL498" s="11">
        <f>IF('Encargos e Benefícios'!C497=0,0,'Encargos e Benefícios'!U497/'Encargos e Benefícios'!C497)</f>
        <v>0</v>
      </c>
      <c r="AM498" s="11">
        <f>IF('Encargos e Benefícios'!C497=0,0,'Encargos e Benefícios'!AC497/'Encargos e Benefícios'!C497)</f>
        <v>0</v>
      </c>
      <c r="AN498" s="119">
        <f>IF('Encargos e Benefícios'!C497=0,0,'Encargos e Benefícios'!AD497/'Encargos e Benefícios'!C497)</f>
        <v>0</v>
      </c>
      <c r="AO498" s="32"/>
      <c r="AP498" s="31"/>
      <c r="AQ498" s="31"/>
      <c r="AR498" s="210"/>
      <c r="AS498" s="32"/>
    </row>
    <row r="499" spans="1:45" ht="12.75" hidden="1" x14ac:dyDescent="0.2">
      <c r="A499" s="48">
        <v>493</v>
      </c>
      <c r="B499" s="12">
        <f>'Encargos e Benefícios'!B498</f>
        <v>0</v>
      </c>
      <c r="C499" s="10">
        <f>'Encargos e Benefícios'!C498</f>
        <v>0</v>
      </c>
      <c r="D499" s="38"/>
      <c r="E499" s="174"/>
      <c r="F499" s="173"/>
      <c r="G499" s="172"/>
      <c r="H499" s="133"/>
      <c r="I499" s="47"/>
      <c r="J499" s="47"/>
      <c r="K499" s="47"/>
      <c r="L499" s="47"/>
      <c r="M499" s="172"/>
      <c r="N499" s="133"/>
      <c r="O499" s="47"/>
      <c r="P499" s="47"/>
      <c r="Q499" s="47"/>
      <c r="R499" s="47"/>
      <c r="S499" s="172"/>
      <c r="T499" s="133"/>
      <c r="U499" s="47"/>
      <c r="V499" s="47"/>
      <c r="W499" s="47"/>
      <c r="X499" s="47"/>
      <c r="Y499" s="172"/>
      <c r="Z499" s="133"/>
      <c r="AA499" s="47"/>
      <c r="AB499" s="47"/>
      <c r="AC499" s="47"/>
      <c r="AD499" s="47"/>
      <c r="AE499" s="172"/>
      <c r="AF499" s="133"/>
      <c r="AG499" s="47"/>
      <c r="AH499" s="47"/>
      <c r="AI499" s="47"/>
      <c r="AJ499" s="136"/>
      <c r="AK499" s="11">
        <f>'Encargos e Benefícios'!D498</f>
        <v>0</v>
      </c>
      <c r="AL499" s="11">
        <f>IF('Encargos e Benefícios'!C498=0,0,'Encargos e Benefícios'!U498/'Encargos e Benefícios'!C498)</f>
        <v>0</v>
      </c>
      <c r="AM499" s="11">
        <f>IF('Encargos e Benefícios'!C498=0,0,'Encargos e Benefícios'!AC498/'Encargos e Benefícios'!C498)</f>
        <v>0</v>
      </c>
      <c r="AN499" s="119">
        <f>IF('Encargos e Benefícios'!C498=0,0,'Encargos e Benefícios'!AD498/'Encargos e Benefícios'!C498)</f>
        <v>0</v>
      </c>
      <c r="AO499" s="32"/>
      <c r="AP499" s="31"/>
      <c r="AQ499" s="31"/>
      <c r="AR499" s="210"/>
      <c r="AS499" s="32"/>
    </row>
    <row r="500" spans="1:45" ht="12.75" hidden="1" x14ac:dyDescent="0.2">
      <c r="A500" s="48">
        <v>494</v>
      </c>
      <c r="B500" s="12">
        <f>'Encargos e Benefícios'!B499</f>
        <v>0</v>
      </c>
      <c r="C500" s="10">
        <f>'Encargos e Benefícios'!C499</f>
        <v>0</v>
      </c>
      <c r="D500" s="38"/>
      <c r="E500" s="174"/>
      <c r="F500" s="173"/>
      <c r="G500" s="172"/>
      <c r="H500" s="133"/>
      <c r="I500" s="47"/>
      <c r="J500" s="47"/>
      <c r="K500" s="47"/>
      <c r="L500" s="47"/>
      <c r="M500" s="172"/>
      <c r="N500" s="133"/>
      <c r="O500" s="47"/>
      <c r="P500" s="47"/>
      <c r="Q500" s="47"/>
      <c r="R500" s="47"/>
      <c r="S500" s="172"/>
      <c r="T500" s="133"/>
      <c r="U500" s="47"/>
      <c r="V500" s="47"/>
      <c r="W500" s="47"/>
      <c r="X500" s="47"/>
      <c r="Y500" s="172"/>
      <c r="Z500" s="133"/>
      <c r="AA500" s="47"/>
      <c r="AB500" s="47"/>
      <c r="AC500" s="47"/>
      <c r="AD500" s="47"/>
      <c r="AE500" s="172"/>
      <c r="AF500" s="133"/>
      <c r="AG500" s="47"/>
      <c r="AH500" s="47"/>
      <c r="AI500" s="47"/>
      <c r="AJ500" s="136"/>
      <c r="AK500" s="11">
        <f>'Encargos e Benefícios'!D499</f>
        <v>0</v>
      </c>
      <c r="AL500" s="11">
        <f>IF('Encargos e Benefícios'!C499=0,0,'Encargos e Benefícios'!U499/'Encargos e Benefícios'!C499)</f>
        <v>0</v>
      </c>
      <c r="AM500" s="11">
        <f>IF('Encargos e Benefícios'!C499=0,0,'Encargos e Benefícios'!AC499/'Encargos e Benefícios'!C499)</f>
        <v>0</v>
      </c>
      <c r="AN500" s="119">
        <f>IF('Encargos e Benefícios'!C499=0,0,'Encargos e Benefícios'!AD499/'Encargos e Benefícios'!C499)</f>
        <v>0</v>
      </c>
      <c r="AO500" s="32"/>
      <c r="AP500" s="31"/>
      <c r="AQ500" s="31"/>
      <c r="AR500" s="210"/>
      <c r="AS500" s="32"/>
    </row>
    <row r="501" spans="1:45" ht="12.75" hidden="1" x14ac:dyDescent="0.2">
      <c r="A501" s="48">
        <v>495</v>
      </c>
      <c r="B501" s="12">
        <f>'Encargos e Benefícios'!B500</f>
        <v>0</v>
      </c>
      <c r="C501" s="10">
        <f>'Encargos e Benefícios'!C500</f>
        <v>0</v>
      </c>
      <c r="D501" s="38"/>
      <c r="E501" s="174"/>
      <c r="F501" s="173"/>
      <c r="G501" s="172"/>
      <c r="H501" s="133"/>
      <c r="I501" s="47"/>
      <c r="J501" s="47"/>
      <c r="K501" s="47"/>
      <c r="L501" s="47"/>
      <c r="M501" s="172"/>
      <c r="N501" s="133"/>
      <c r="O501" s="47"/>
      <c r="P501" s="47"/>
      <c r="Q501" s="47"/>
      <c r="R501" s="47"/>
      <c r="S501" s="172"/>
      <c r="T501" s="133"/>
      <c r="U501" s="47"/>
      <c r="V501" s="47"/>
      <c r="W501" s="47"/>
      <c r="X501" s="47"/>
      <c r="Y501" s="172"/>
      <c r="Z501" s="133"/>
      <c r="AA501" s="47"/>
      <c r="AB501" s="47"/>
      <c r="AC501" s="47"/>
      <c r="AD501" s="47"/>
      <c r="AE501" s="172"/>
      <c r="AF501" s="133"/>
      <c r="AG501" s="47"/>
      <c r="AH501" s="47"/>
      <c r="AI501" s="47"/>
      <c r="AJ501" s="136"/>
      <c r="AK501" s="11">
        <f>'Encargos e Benefícios'!D500</f>
        <v>0</v>
      </c>
      <c r="AL501" s="11">
        <f>IF('Encargos e Benefícios'!C500=0,0,'Encargos e Benefícios'!U500/'Encargos e Benefícios'!C500)</f>
        <v>0</v>
      </c>
      <c r="AM501" s="11">
        <f>IF('Encargos e Benefícios'!C500=0,0,'Encargos e Benefícios'!AC500/'Encargos e Benefícios'!C500)</f>
        <v>0</v>
      </c>
      <c r="AN501" s="119">
        <f>IF('Encargos e Benefícios'!C500=0,0,'Encargos e Benefícios'!AD500/'Encargos e Benefícios'!C500)</f>
        <v>0</v>
      </c>
      <c r="AO501" s="32"/>
      <c r="AP501" s="31"/>
      <c r="AQ501" s="31"/>
      <c r="AR501" s="210"/>
      <c r="AS501" s="32"/>
    </row>
    <row r="502" spans="1:45" ht="12.75" hidden="1" x14ac:dyDescent="0.2">
      <c r="A502" s="48">
        <v>496</v>
      </c>
      <c r="B502" s="12">
        <f>'Encargos e Benefícios'!B501</f>
        <v>0</v>
      </c>
      <c r="C502" s="10">
        <f>'Encargos e Benefícios'!C501</f>
        <v>0</v>
      </c>
      <c r="D502" s="38"/>
      <c r="E502" s="174"/>
      <c r="F502" s="173"/>
      <c r="G502" s="172"/>
      <c r="H502" s="133"/>
      <c r="I502" s="47"/>
      <c r="J502" s="47"/>
      <c r="K502" s="47"/>
      <c r="L502" s="47"/>
      <c r="M502" s="172"/>
      <c r="N502" s="133"/>
      <c r="O502" s="47"/>
      <c r="P502" s="47"/>
      <c r="Q502" s="47"/>
      <c r="R502" s="47"/>
      <c r="S502" s="172"/>
      <c r="T502" s="133"/>
      <c r="U502" s="47"/>
      <c r="V502" s="47"/>
      <c r="W502" s="47"/>
      <c r="X502" s="47"/>
      <c r="Y502" s="172"/>
      <c r="Z502" s="133"/>
      <c r="AA502" s="47"/>
      <c r="AB502" s="47"/>
      <c r="AC502" s="47"/>
      <c r="AD502" s="47"/>
      <c r="AE502" s="172"/>
      <c r="AF502" s="133"/>
      <c r="AG502" s="47"/>
      <c r="AH502" s="47"/>
      <c r="AI502" s="47"/>
      <c r="AJ502" s="136"/>
      <c r="AK502" s="11">
        <f>'Encargos e Benefícios'!D501</f>
        <v>0</v>
      </c>
      <c r="AL502" s="11">
        <f>IF('Encargos e Benefícios'!C501=0,0,'Encargos e Benefícios'!U501/'Encargos e Benefícios'!C501)</f>
        <v>0</v>
      </c>
      <c r="AM502" s="11">
        <f>IF('Encargos e Benefícios'!C501=0,0,'Encargos e Benefícios'!AC501/'Encargos e Benefícios'!C501)</f>
        <v>0</v>
      </c>
      <c r="AN502" s="119">
        <f>IF('Encargos e Benefícios'!C501=0,0,'Encargos e Benefícios'!AD501/'Encargos e Benefícios'!C501)</f>
        <v>0</v>
      </c>
      <c r="AO502" s="32"/>
      <c r="AP502" s="31"/>
      <c r="AQ502" s="31"/>
      <c r="AR502" s="210"/>
      <c r="AS502" s="32"/>
    </row>
    <row r="503" spans="1:45" ht="12.75" hidden="1" x14ac:dyDescent="0.2">
      <c r="A503" s="48">
        <v>497</v>
      </c>
      <c r="B503" s="12">
        <f>'Encargos e Benefícios'!B502</f>
        <v>0</v>
      </c>
      <c r="C503" s="10">
        <f>'Encargos e Benefícios'!C502</f>
        <v>0</v>
      </c>
      <c r="D503" s="38"/>
      <c r="E503" s="174"/>
      <c r="F503" s="173"/>
      <c r="G503" s="172"/>
      <c r="H503" s="133"/>
      <c r="I503" s="47"/>
      <c r="J503" s="47"/>
      <c r="K503" s="47"/>
      <c r="L503" s="47"/>
      <c r="M503" s="172"/>
      <c r="N503" s="133"/>
      <c r="O503" s="47"/>
      <c r="P503" s="47"/>
      <c r="Q503" s="47"/>
      <c r="R503" s="47"/>
      <c r="S503" s="172"/>
      <c r="T503" s="133"/>
      <c r="U503" s="47"/>
      <c r="V503" s="47"/>
      <c r="W503" s="47"/>
      <c r="X503" s="47"/>
      <c r="Y503" s="172"/>
      <c r="Z503" s="133"/>
      <c r="AA503" s="47"/>
      <c r="AB503" s="47"/>
      <c r="AC503" s="47"/>
      <c r="AD503" s="47"/>
      <c r="AE503" s="172"/>
      <c r="AF503" s="133"/>
      <c r="AG503" s="47"/>
      <c r="AH503" s="47"/>
      <c r="AI503" s="47"/>
      <c r="AJ503" s="136"/>
      <c r="AK503" s="11">
        <f>'Encargos e Benefícios'!D502</f>
        <v>0</v>
      </c>
      <c r="AL503" s="11">
        <f>IF('Encargos e Benefícios'!C502=0,0,'Encargos e Benefícios'!U502/'Encargos e Benefícios'!C502)</f>
        <v>0</v>
      </c>
      <c r="AM503" s="11">
        <f>IF('Encargos e Benefícios'!C502=0,0,'Encargos e Benefícios'!AC502/'Encargos e Benefícios'!C502)</f>
        <v>0</v>
      </c>
      <c r="AN503" s="119">
        <f>IF('Encargos e Benefícios'!C502=0,0,'Encargos e Benefícios'!AD502/'Encargos e Benefícios'!C502)</f>
        <v>0</v>
      </c>
      <c r="AO503" s="32"/>
      <c r="AP503" s="31"/>
      <c r="AQ503" s="31"/>
      <c r="AR503" s="210"/>
      <c r="AS503" s="32"/>
    </row>
    <row r="504" spans="1:45" ht="12.75" hidden="1" x14ac:dyDescent="0.2">
      <c r="A504" s="48">
        <v>498</v>
      </c>
      <c r="B504" s="12">
        <f>'Encargos e Benefícios'!B503</f>
        <v>0</v>
      </c>
      <c r="C504" s="10">
        <f>'Encargos e Benefícios'!C503</f>
        <v>0</v>
      </c>
      <c r="D504" s="38"/>
      <c r="E504" s="174"/>
      <c r="F504" s="173"/>
      <c r="G504" s="172"/>
      <c r="H504" s="133"/>
      <c r="I504" s="47"/>
      <c r="J504" s="47"/>
      <c r="K504" s="47"/>
      <c r="L504" s="47"/>
      <c r="M504" s="172"/>
      <c r="N504" s="133"/>
      <c r="O504" s="47"/>
      <c r="P504" s="47"/>
      <c r="Q504" s="47"/>
      <c r="R504" s="47"/>
      <c r="S504" s="172"/>
      <c r="T504" s="133"/>
      <c r="U504" s="47"/>
      <c r="V504" s="47"/>
      <c r="W504" s="47"/>
      <c r="X504" s="47"/>
      <c r="Y504" s="172"/>
      <c r="Z504" s="133"/>
      <c r="AA504" s="47"/>
      <c r="AB504" s="47"/>
      <c r="AC504" s="47"/>
      <c r="AD504" s="47"/>
      <c r="AE504" s="172"/>
      <c r="AF504" s="133"/>
      <c r="AG504" s="47"/>
      <c r="AH504" s="47"/>
      <c r="AI504" s="47"/>
      <c r="AJ504" s="136"/>
      <c r="AK504" s="11">
        <f>'Encargos e Benefícios'!D503</f>
        <v>0</v>
      </c>
      <c r="AL504" s="11">
        <f>IF('Encargos e Benefícios'!C503=0,0,'Encargos e Benefícios'!U503/'Encargos e Benefícios'!C503)</f>
        <v>0</v>
      </c>
      <c r="AM504" s="11">
        <f>IF('Encargos e Benefícios'!C503=0,0,'Encargos e Benefícios'!AC503/'Encargos e Benefícios'!C503)</f>
        <v>0</v>
      </c>
      <c r="AN504" s="119">
        <f>IF('Encargos e Benefícios'!C503=0,0,'Encargos e Benefícios'!AD503/'Encargos e Benefícios'!C503)</f>
        <v>0</v>
      </c>
      <c r="AO504" s="32"/>
      <c r="AP504" s="31"/>
      <c r="AQ504" s="31"/>
      <c r="AR504" s="210"/>
      <c r="AS504" s="32"/>
    </row>
    <row r="505" spans="1:45" ht="12.75" hidden="1" x14ac:dyDescent="0.2">
      <c r="A505" s="48">
        <v>499</v>
      </c>
      <c r="B505" s="12">
        <f>'Encargos e Benefícios'!B504</f>
        <v>0</v>
      </c>
      <c r="C505" s="10">
        <f>'Encargos e Benefícios'!C504</f>
        <v>0</v>
      </c>
      <c r="D505" s="38"/>
      <c r="E505" s="174"/>
      <c r="F505" s="173"/>
      <c r="G505" s="172"/>
      <c r="H505" s="133"/>
      <c r="I505" s="47"/>
      <c r="J505" s="47"/>
      <c r="K505" s="47"/>
      <c r="L505" s="47"/>
      <c r="M505" s="172"/>
      <c r="N505" s="133"/>
      <c r="O505" s="47"/>
      <c r="P505" s="47"/>
      <c r="Q505" s="47"/>
      <c r="R505" s="47"/>
      <c r="S505" s="172"/>
      <c r="T505" s="133"/>
      <c r="U505" s="47"/>
      <c r="V505" s="47"/>
      <c r="W505" s="47"/>
      <c r="X505" s="47"/>
      <c r="Y505" s="172"/>
      <c r="Z505" s="133"/>
      <c r="AA505" s="47"/>
      <c r="AB505" s="47"/>
      <c r="AC505" s="47"/>
      <c r="AD505" s="47"/>
      <c r="AE505" s="172"/>
      <c r="AF505" s="133"/>
      <c r="AG505" s="47"/>
      <c r="AH505" s="47"/>
      <c r="AI505" s="47"/>
      <c r="AJ505" s="136"/>
      <c r="AK505" s="11">
        <f>'Encargos e Benefícios'!D504</f>
        <v>0</v>
      </c>
      <c r="AL505" s="11">
        <f>IF('Encargos e Benefícios'!C504=0,0,'Encargos e Benefícios'!U504/'Encargos e Benefícios'!C504)</f>
        <v>0</v>
      </c>
      <c r="AM505" s="11">
        <f>IF('Encargos e Benefícios'!C504=0,0,'Encargos e Benefícios'!AC504/'Encargos e Benefícios'!C504)</f>
        <v>0</v>
      </c>
      <c r="AN505" s="119">
        <f>IF('Encargos e Benefícios'!C504=0,0,'Encargos e Benefícios'!AD504/'Encargos e Benefícios'!C504)</f>
        <v>0</v>
      </c>
      <c r="AO505" s="32"/>
      <c r="AP505" s="31"/>
      <c r="AQ505" s="31"/>
      <c r="AR505" s="210"/>
      <c r="AS505" s="32"/>
    </row>
    <row r="506" spans="1:45" ht="13.5" hidden="1" customHeight="1" x14ac:dyDescent="0.2">
      <c r="A506" s="48">
        <v>500</v>
      </c>
      <c r="B506" s="12">
        <f>'Encargos e Benefícios'!B505</f>
        <v>0</v>
      </c>
      <c r="C506" s="10">
        <f>'Encargos e Benefícios'!C505</f>
        <v>0</v>
      </c>
      <c r="D506" s="38"/>
      <c r="E506" s="174"/>
      <c r="F506" s="173"/>
      <c r="G506" s="172"/>
      <c r="H506" s="133"/>
      <c r="I506" s="47"/>
      <c r="J506" s="47"/>
      <c r="K506" s="47"/>
      <c r="L506" s="47"/>
      <c r="M506" s="172"/>
      <c r="N506" s="133"/>
      <c r="O506" s="47"/>
      <c r="P506" s="47"/>
      <c r="Q506" s="47"/>
      <c r="R506" s="47"/>
      <c r="S506" s="172"/>
      <c r="T506" s="133"/>
      <c r="U506" s="47"/>
      <c r="V506" s="47"/>
      <c r="W506" s="47"/>
      <c r="X506" s="47"/>
      <c r="Y506" s="172"/>
      <c r="Z506" s="133"/>
      <c r="AA506" s="47"/>
      <c r="AB506" s="47"/>
      <c r="AC506" s="47"/>
      <c r="AD506" s="47"/>
      <c r="AE506" s="172"/>
      <c r="AF506" s="133"/>
      <c r="AG506" s="47"/>
      <c r="AH506" s="47"/>
      <c r="AI506" s="47"/>
      <c r="AJ506" s="136"/>
      <c r="AK506" s="11">
        <f>'Encargos e Benefícios'!D505</f>
        <v>0</v>
      </c>
      <c r="AL506" s="11">
        <f>IF('Encargos e Benefícios'!C505=0,0,'Encargos e Benefícios'!U505/'Encargos e Benefícios'!C505)</f>
        <v>0</v>
      </c>
      <c r="AM506" s="11">
        <f>IF('Encargos e Benefícios'!C505=0,0,'Encargos e Benefícios'!AC505/'Encargos e Benefícios'!C505)</f>
        <v>0</v>
      </c>
      <c r="AN506" s="119">
        <f>IF('Encargos e Benefícios'!C505=0,0,'Encargos e Benefícios'!AD505/'Encargos e Benefícios'!C505)</f>
        <v>0</v>
      </c>
      <c r="AO506" s="32"/>
      <c r="AP506" s="31"/>
      <c r="AQ506" s="31"/>
      <c r="AR506" s="210"/>
      <c r="AS506" s="32"/>
    </row>
    <row r="507" spans="1:45" ht="17.25" customHeight="1" x14ac:dyDescent="0.2">
      <c r="A507" s="307"/>
      <c r="B507" s="307"/>
      <c r="C507" s="308">
        <f>SUM(C7:C506)</f>
        <v>1207</v>
      </c>
      <c r="D507" s="309"/>
      <c r="E507" s="311"/>
      <c r="F507" s="311"/>
      <c r="G507" s="312"/>
      <c r="H507" s="312"/>
      <c r="I507" s="312"/>
      <c r="J507" s="312"/>
      <c r="K507" s="312"/>
      <c r="L507" s="312"/>
      <c r="M507" s="312"/>
      <c r="N507" s="312"/>
      <c r="O507" s="312"/>
      <c r="P507" s="312"/>
      <c r="Q507" s="312"/>
      <c r="R507" s="312"/>
      <c r="S507" s="312"/>
      <c r="T507" s="312"/>
      <c r="U507" s="312"/>
      <c r="V507" s="312"/>
      <c r="W507" s="312"/>
      <c r="X507" s="312"/>
      <c r="Y507" s="312"/>
      <c r="Z507" s="312"/>
      <c r="AA507" s="312"/>
      <c r="AB507" s="312"/>
      <c r="AC507" s="312"/>
      <c r="AD507" s="312"/>
      <c r="AE507" s="312"/>
      <c r="AF507" s="312"/>
      <c r="AG507" s="312"/>
      <c r="AH507" s="312"/>
      <c r="AI507" s="312"/>
      <c r="AJ507" s="312"/>
      <c r="AK507" s="311">
        <f>SUM(AK7:AK506)</f>
        <v>897745.92989242589</v>
      </c>
      <c r="AL507" s="311">
        <f>SUM(AL7:AL506)</f>
        <v>417318.41793207318</v>
      </c>
      <c r="AM507" s="311">
        <f>SUM(AM7:AM506)</f>
        <v>143237.06426421576</v>
      </c>
      <c r="AN507" s="311">
        <f>SUM(AN7:AN506)</f>
        <v>1458301.4120887155</v>
      </c>
      <c r="AO507" s="311">
        <f t="shared" ref="AO507:AQ507" si="8">SUM(AO7:AO506)</f>
        <v>1318348.3549999997</v>
      </c>
      <c r="AP507" s="311">
        <f t="shared" si="8"/>
        <v>1016484.0900000002</v>
      </c>
      <c r="AQ507" s="311">
        <f t="shared" si="8"/>
        <v>2000348.6499999955</v>
      </c>
      <c r="AR507" s="315"/>
      <c r="AS507" s="123"/>
    </row>
    <row r="508" spans="1:45" ht="30" customHeight="1" x14ac:dyDescent="0.2">
      <c r="A508" s="120"/>
      <c r="B508" s="120"/>
      <c r="C508" s="121"/>
      <c r="D508" s="122"/>
      <c r="E508" s="123"/>
      <c r="F508" s="123"/>
      <c r="G508" s="124"/>
      <c r="H508" s="124"/>
      <c r="I508" s="124"/>
      <c r="J508" s="124"/>
      <c r="K508" s="124"/>
      <c r="L508" s="124"/>
      <c r="M508" s="123"/>
      <c r="N508" s="123"/>
      <c r="O508" s="123"/>
      <c r="P508" s="123"/>
      <c r="Q508" s="123"/>
      <c r="R508" s="123"/>
      <c r="S508" s="123"/>
      <c r="T508" s="123"/>
      <c r="U508" s="123"/>
      <c r="V508" s="123"/>
      <c r="W508" s="123"/>
      <c r="X508" s="123"/>
      <c r="Y508" s="123"/>
      <c r="Z508" s="123"/>
      <c r="AA508" s="123"/>
      <c r="AB508" s="123"/>
      <c r="AC508" s="123"/>
      <c r="AD508" s="123"/>
      <c r="AE508" s="123"/>
      <c r="AF508" s="123"/>
      <c r="AG508" s="123"/>
      <c r="AH508" s="123"/>
      <c r="AI508" s="123"/>
      <c r="AJ508" s="123"/>
      <c r="AK508" s="123"/>
      <c r="AL508" s="123"/>
      <c r="AM508" s="123"/>
      <c r="AN508" s="123"/>
      <c r="AO508" s="123"/>
      <c r="AP508" s="123"/>
      <c r="AQ508" s="123"/>
      <c r="AR508" s="122"/>
      <c r="AS508" s="123"/>
    </row>
    <row r="509" spans="1:45" ht="15.75" customHeight="1" x14ac:dyDescent="0.2">
      <c r="A509" s="385" t="s">
        <v>437</v>
      </c>
      <c r="B509" s="385"/>
      <c r="C509" s="385"/>
      <c r="D509" s="385"/>
      <c r="E509" s="385"/>
      <c r="F509" s="385"/>
      <c r="G509" s="385"/>
      <c r="H509" s="385"/>
      <c r="I509" s="385"/>
      <c r="J509" s="385"/>
      <c r="K509" s="385"/>
      <c r="L509" s="385"/>
      <c r="M509" s="385"/>
      <c r="N509" s="385"/>
      <c r="O509" s="385"/>
      <c r="P509" s="385"/>
      <c r="Q509" s="385"/>
      <c r="R509" s="385"/>
      <c r="S509" s="385"/>
      <c r="T509" s="385"/>
      <c r="U509" s="385"/>
      <c r="V509" s="385"/>
      <c r="W509" s="385"/>
      <c r="X509" s="385"/>
      <c r="Y509" s="385"/>
      <c r="Z509" s="385"/>
      <c r="AA509" s="385"/>
      <c r="AB509" s="385"/>
      <c r="AC509" s="385"/>
      <c r="AD509" s="385"/>
      <c r="AE509" s="385"/>
      <c r="AF509" s="385"/>
      <c r="AG509" s="385"/>
      <c r="AH509" s="385"/>
      <c r="AI509" s="385"/>
      <c r="AJ509" s="385"/>
      <c r="AK509" s="385"/>
      <c r="AL509" s="385"/>
      <c r="AM509" s="385"/>
      <c r="AN509" s="385"/>
      <c r="AO509" s="134"/>
      <c r="AP509" s="134"/>
      <c r="AQ509" s="134"/>
      <c r="AR509" s="3"/>
      <c r="AS509" s="134"/>
    </row>
    <row r="510" spans="1:45" ht="20.25" customHeight="1" x14ac:dyDescent="0.2">
      <c r="A510" s="392" t="s">
        <v>31</v>
      </c>
      <c r="B510" s="392" t="s">
        <v>374</v>
      </c>
      <c r="C510" s="392" t="s">
        <v>443</v>
      </c>
      <c r="D510" s="398" t="s">
        <v>444</v>
      </c>
      <c r="E510" s="401" t="s">
        <v>445</v>
      </c>
      <c r="F510" s="398" t="s">
        <v>446</v>
      </c>
      <c r="G510" s="401" t="s">
        <v>462</v>
      </c>
      <c r="H510" s="392"/>
      <c r="I510" s="392"/>
      <c r="J510" s="392"/>
      <c r="K510" s="392"/>
      <c r="L510" s="398"/>
      <c r="M510" s="401" t="s">
        <v>463</v>
      </c>
      <c r="N510" s="392"/>
      <c r="O510" s="392"/>
      <c r="P510" s="392"/>
      <c r="Q510" s="392"/>
      <c r="R510" s="392"/>
      <c r="S510" s="401" t="s">
        <v>464</v>
      </c>
      <c r="T510" s="392"/>
      <c r="U510" s="392"/>
      <c r="V510" s="392"/>
      <c r="W510" s="392"/>
      <c r="X510" s="392"/>
      <c r="Y510" s="401" t="s">
        <v>465</v>
      </c>
      <c r="Z510" s="392"/>
      <c r="AA510" s="392"/>
      <c r="AB510" s="392"/>
      <c r="AC510" s="392"/>
      <c r="AD510" s="392"/>
      <c r="AE510" s="401" t="s">
        <v>466</v>
      </c>
      <c r="AF510" s="392"/>
      <c r="AG510" s="392"/>
      <c r="AH510" s="392"/>
      <c r="AI510" s="392"/>
      <c r="AJ510" s="392"/>
      <c r="AK510" s="401" t="s">
        <v>452</v>
      </c>
      <c r="AL510" s="392"/>
      <c r="AM510" s="392"/>
      <c r="AN510" s="392"/>
      <c r="AR510" s="3"/>
    </row>
    <row r="511" spans="1:45" ht="27" customHeight="1" x14ac:dyDescent="0.2">
      <c r="A511" s="397"/>
      <c r="B511" s="397"/>
      <c r="C511" s="397"/>
      <c r="D511" s="399"/>
      <c r="E511" s="402"/>
      <c r="F511" s="399"/>
      <c r="G511" s="402" t="s">
        <v>454</v>
      </c>
      <c r="H511" s="395" t="s">
        <v>467</v>
      </c>
      <c r="I511" s="397" t="s">
        <v>456</v>
      </c>
      <c r="J511" s="397"/>
      <c r="K511" s="397"/>
      <c r="L511" s="399"/>
      <c r="M511" s="402" t="s">
        <v>454</v>
      </c>
      <c r="N511" s="395" t="s">
        <v>467</v>
      </c>
      <c r="O511" s="397" t="s">
        <v>456</v>
      </c>
      <c r="P511" s="397"/>
      <c r="Q511" s="397"/>
      <c r="R511" s="397"/>
      <c r="S511" s="402" t="s">
        <v>454</v>
      </c>
      <c r="T511" s="395" t="s">
        <v>467</v>
      </c>
      <c r="U511" s="397" t="s">
        <v>456</v>
      </c>
      <c r="V511" s="397"/>
      <c r="W511" s="397"/>
      <c r="X511" s="397"/>
      <c r="Y511" s="402" t="s">
        <v>454</v>
      </c>
      <c r="Z511" s="395" t="s">
        <v>467</v>
      </c>
      <c r="AA511" s="397" t="s">
        <v>456</v>
      </c>
      <c r="AB511" s="397"/>
      <c r="AC511" s="397"/>
      <c r="AD511" s="397"/>
      <c r="AE511" s="402" t="s">
        <v>454</v>
      </c>
      <c r="AF511" s="395" t="s">
        <v>467</v>
      </c>
      <c r="AG511" s="397" t="s">
        <v>456</v>
      </c>
      <c r="AH511" s="397"/>
      <c r="AI511" s="397"/>
      <c r="AJ511" s="397"/>
      <c r="AK511" s="402" t="s">
        <v>457</v>
      </c>
      <c r="AL511" s="397" t="s">
        <v>155</v>
      </c>
      <c r="AM511" s="397" t="s">
        <v>88</v>
      </c>
      <c r="AN511" s="397" t="s">
        <v>458</v>
      </c>
      <c r="AR511" s="3"/>
    </row>
    <row r="512" spans="1:45" ht="39" customHeight="1" x14ac:dyDescent="0.2">
      <c r="A512" s="393"/>
      <c r="B512" s="393"/>
      <c r="C512" s="393"/>
      <c r="D512" s="400"/>
      <c r="E512" s="403"/>
      <c r="F512" s="400"/>
      <c r="G512" s="403"/>
      <c r="H512" s="396"/>
      <c r="I512" s="306" t="s">
        <v>142</v>
      </c>
      <c r="J512" s="306"/>
      <c r="K512" s="306"/>
      <c r="L512" s="306"/>
      <c r="M512" s="403"/>
      <c r="N512" s="396"/>
      <c r="O512" s="306" t="s">
        <v>180</v>
      </c>
      <c r="P512" s="306"/>
      <c r="Q512" s="306" t="s">
        <v>142</v>
      </c>
      <c r="R512" s="306"/>
      <c r="S512" s="403"/>
      <c r="T512" s="396"/>
      <c r="U512" s="306" t="s">
        <v>180</v>
      </c>
      <c r="V512" s="306"/>
      <c r="W512" s="306" t="s">
        <v>142</v>
      </c>
      <c r="X512" s="306" t="s">
        <v>186</v>
      </c>
      <c r="Y512" s="403"/>
      <c r="Z512" s="396"/>
      <c r="AA512" s="306" t="s">
        <v>142</v>
      </c>
      <c r="AB512" s="306"/>
      <c r="AC512" s="306"/>
      <c r="AD512" s="306"/>
      <c r="AE512" s="403"/>
      <c r="AF512" s="396"/>
      <c r="AG512" s="306"/>
      <c r="AH512" s="306"/>
      <c r="AI512" s="306" t="s">
        <v>142</v>
      </c>
      <c r="AJ512" s="306"/>
      <c r="AK512" s="403"/>
      <c r="AL512" s="393"/>
      <c r="AM512" s="393"/>
      <c r="AN512" s="393"/>
      <c r="AR512" s="3"/>
    </row>
    <row r="513" spans="1:45" ht="15.75" customHeight="1" x14ac:dyDescent="0.2">
      <c r="A513" s="48">
        <v>1</v>
      </c>
      <c r="B513" s="12">
        <f>'Encargos e Benefícios'!B512</f>
        <v>0</v>
      </c>
      <c r="C513" s="10">
        <f>'Encargos e Benefícios'!C512</f>
        <v>0</v>
      </c>
      <c r="D513" s="38"/>
      <c r="E513" s="172"/>
      <c r="F513" s="173"/>
      <c r="G513" s="174"/>
      <c r="H513" s="133"/>
      <c r="I513" s="47"/>
      <c r="J513" s="47"/>
      <c r="K513" s="47"/>
      <c r="L513" s="136"/>
      <c r="M513" s="174"/>
      <c r="N513" s="133"/>
      <c r="O513" s="47"/>
      <c r="P513" s="47"/>
      <c r="Q513" s="47"/>
      <c r="R513" s="136"/>
      <c r="S513" s="174"/>
      <c r="T513" s="133"/>
      <c r="U513" s="47"/>
      <c r="V513" s="47"/>
      <c r="W513" s="47"/>
      <c r="X513" s="47"/>
      <c r="Y513" s="172"/>
      <c r="Z513" s="133"/>
      <c r="AA513" s="47"/>
      <c r="AB513" s="47"/>
      <c r="AC513" s="47"/>
      <c r="AD513" s="47"/>
      <c r="AE513" s="172"/>
      <c r="AF513" s="133"/>
      <c r="AG513" s="47"/>
      <c r="AH513" s="47"/>
      <c r="AI513" s="47"/>
      <c r="AJ513" s="47"/>
      <c r="AK513" s="141">
        <f>'Encargos e Benefícios'!D512</f>
        <v>0</v>
      </c>
      <c r="AL513" s="11">
        <f>IF('Encargos e Benefícios'!C512=0,0,'Encargos e Benefícios'!F512/'Encargos e Benefícios'!C512)</f>
        <v>0</v>
      </c>
      <c r="AM513" s="11">
        <f>IF('Encargos e Benefícios'!C512=0,0,'Encargos e Benefícios'!L512/'Encargos e Benefícios'!C512)</f>
        <v>0</v>
      </c>
      <c r="AN513" s="11">
        <f>IF('Encargos e Benefícios'!C512=0,0,'Encargos e Benefícios'!M512/'Encargos e Benefícios'!C512)</f>
        <v>0</v>
      </c>
      <c r="AR513" s="3"/>
    </row>
    <row r="514" spans="1:45" ht="15.75" customHeight="1" x14ac:dyDescent="0.2">
      <c r="A514" s="48">
        <v>2</v>
      </c>
      <c r="B514" s="12">
        <f>'Encargos e Benefícios'!B513</f>
        <v>0</v>
      </c>
      <c r="C514" s="10">
        <f>'Encargos e Benefícios'!C513</f>
        <v>0</v>
      </c>
      <c r="D514" s="38"/>
      <c r="E514" s="172"/>
      <c r="F514" s="173"/>
      <c r="G514" s="174"/>
      <c r="H514" s="133"/>
      <c r="I514" s="47"/>
      <c r="J514" s="47"/>
      <c r="K514" s="47"/>
      <c r="L514" s="136"/>
      <c r="M514" s="174"/>
      <c r="N514" s="133"/>
      <c r="O514" s="47"/>
      <c r="P514" s="47"/>
      <c r="Q514" s="47"/>
      <c r="R514" s="136"/>
      <c r="S514" s="174"/>
      <c r="T514" s="133"/>
      <c r="U514" s="47"/>
      <c r="V514" s="47"/>
      <c r="W514" s="47"/>
      <c r="X514" s="47"/>
      <c r="Y514" s="172"/>
      <c r="Z514" s="133"/>
      <c r="AA514" s="47"/>
      <c r="AB514" s="47"/>
      <c r="AC514" s="47"/>
      <c r="AD514" s="47"/>
      <c r="AE514" s="172"/>
      <c r="AF514" s="133"/>
      <c r="AG514" s="47"/>
      <c r="AH514" s="47"/>
      <c r="AI514" s="47"/>
      <c r="AJ514" s="47"/>
      <c r="AK514" s="141">
        <f>'Encargos e Benefícios'!D513</f>
        <v>0</v>
      </c>
      <c r="AL514" s="11">
        <f>IF('Encargos e Benefícios'!C513=0,0,'Encargos e Benefícios'!F513/'Encargos e Benefícios'!C513)</f>
        <v>0</v>
      </c>
      <c r="AM514" s="11">
        <f>IF('Encargos e Benefícios'!C513=0,0,'Encargos e Benefícios'!L513/'Encargos e Benefícios'!C513)</f>
        <v>0</v>
      </c>
      <c r="AN514" s="11">
        <f>IF('Encargos e Benefícios'!C513=0,0,'Encargos e Benefícios'!M513/'Encargos e Benefícios'!C513)</f>
        <v>0</v>
      </c>
      <c r="AR514" s="3"/>
    </row>
    <row r="515" spans="1:45" ht="15.75" customHeight="1" x14ac:dyDescent="0.2">
      <c r="A515" s="48">
        <v>3</v>
      </c>
      <c r="B515" s="12">
        <f>'Encargos e Benefícios'!B514</f>
        <v>0</v>
      </c>
      <c r="C515" s="10">
        <f>'Encargos e Benefícios'!C514</f>
        <v>0</v>
      </c>
      <c r="D515" s="38"/>
      <c r="E515" s="172"/>
      <c r="F515" s="173"/>
      <c r="G515" s="174"/>
      <c r="H515" s="133"/>
      <c r="I515" s="47"/>
      <c r="J515" s="47"/>
      <c r="K515" s="47"/>
      <c r="L515" s="136"/>
      <c r="M515" s="174"/>
      <c r="N515" s="133"/>
      <c r="O515" s="47"/>
      <c r="P515" s="47"/>
      <c r="Q515" s="47"/>
      <c r="R515" s="136"/>
      <c r="S515" s="174"/>
      <c r="T515" s="133"/>
      <c r="U515" s="47"/>
      <c r="V515" s="47"/>
      <c r="W515" s="47"/>
      <c r="X515" s="47"/>
      <c r="Y515" s="172"/>
      <c r="Z515" s="133"/>
      <c r="AA515" s="47"/>
      <c r="AB515" s="47"/>
      <c r="AC515" s="47"/>
      <c r="AD515" s="47"/>
      <c r="AE515" s="172"/>
      <c r="AF515" s="133"/>
      <c r="AG515" s="47"/>
      <c r="AH515" s="47"/>
      <c r="AI515" s="47"/>
      <c r="AJ515" s="47"/>
      <c r="AK515" s="141">
        <f>'Encargos e Benefícios'!D514</f>
        <v>0</v>
      </c>
      <c r="AL515" s="11">
        <f>IF('Encargos e Benefícios'!C514=0,0,'Encargos e Benefícios'!F514/'Encargos e Benefícios'!C514)</f>
        <v>0</v>
      </c>
      <c r="AM515" s="11">
        <f>IF('Encargos e Benefícios'!C514=0,0,'Encargos e Benefícios'!L514/'Encargos e Benefícios'!C514)</f>
        <v>0</v>
      </c>
      <c r="AN515" s="11">
        <f>IF('Encargos e Benefícios'!C514=0,0,'Encargos e Benefícios'!M514/'Encargos e Benefícios'!C514)</f>
        <v>0</v>
      </c>
      <c r="AR515" s="3"/>
    </row>
    <row r="516" spans="1:45" ht="15.75" customHeight="1" x14ac:dyDescent="0.2">
      <c r="A516" s="48">
        <v>4</v>
      </c>
      <c r="B516" s="12">
        <f>'Encargos e Benefícios'!B515</f>
        <v>0</v>
      </c>
      <c r="C516" s="10">
        <f>'Encargos e Benefícios'!C515</f>
        <v>0</v>
      </c>
      <c r="D516" s="38"/>
      <c r="E516" s="172"/>
      <c r="F516" s="173"/>
      <c r="G516" s="174"/>
      <c r="H516" s="133"/>
      <c r="I516" s="47"/>
      <c r="J516" s="47"/>
      <c r="K516" s="47"/>
      <c r="L516" s="136"/>
      <c r="M516" s="174"/>
      <c r="N516" s="133"/>
      <c r="O516" s="47"/>
      <c r="P516" s="47"/>
      <c r="Q516" s="47"/>
      <c r="R516" s="136"/>
      <c r="S516" s="174"/>
      <c r="T516" s="133"/>
      <c r="U516" s="47"/>
      <c r="V516" s="47"/>
      <c r="W516" s="47"/>
      <c r="X516" s="47"/>
      <c r="Y516" s="172"/>
      <c r="Z516" s="133"/>
      <c r="AA516" s="47"/>
      <c r="AB516" s="47"/>
      <c r="AC516" s="47"/>
      <c r="AD516" s="47"/>
      <c r="AE516" s="172"/>
      <c r="AF516" s="133"/>
      <c r="AG516" s="47"/>
      <c r="AH516" s="47"/>
      <c r="AI516" s="47"/>
      <c r="AJ516" s="47"/>
      <c r="AK516" s="141">
        <f>'Encargos e Benefícios'!D515</f>
        <v>0</v>
      </c>
      <c r="AL516" s="11">
        <f>IF('Encargos e Benefícios'!C515=0,0,'Encargos e Benefícios'!F515/'Encargos e Benefícios'!C515)</f>
        <v>0</v>
      </c>
      <c r="AM516" s="11">
        <f>IF('Encargos e Benefícios'!C515=0,0,'Encargos e Benefícios'!L515/'Encargos e Benefícios'!C515)</f>
        <v>0</v>
      </c>
      <c r="AN516" s="11">
        <f>IF('Encargos e Benefícios'!C515=0,0,'Encargos e Benefícios'!M515/'Encargos e Benefícios'!C515)</f>
        <v>0</v>
      </c>
      <c r="AO516" s="11"/>
      <c r="AR516" s="3"/>
    </row>
    <row r="517" spans="1:45" ht="15.75" customHeight="1" x14ac:dyDescent="0.2">
      <c r="A517" s="48">
        <v>5</v>
      </c>
      <c r="B517" s="12">
        <f>'Encargos e Benefícios'!B516</f>
        <v>0</v>
      </c>
      <c r="C517" s="10">
        <f>'Encargos e Benefícios'!C516</f>
        <v>0</v>
      </c>
      <c r="D517" s="38"/>
      <c r="E517" s="172"/>
      <c r="F517" s="173"/>
      <c r="G517" s="174"/>
      <c r="H517" s="133"/>
      <c r="I517" s="47"/>
      <c r="J517" s="47"/>
      <c r="K517" s="47"/>
      <c r="L517" s="136"/>
      <c r="M517" s="174"/>
      <c r="N517" s="133"/>
      <c r="O517" s="47"/>
      <c r="P517" s="47"/>
      <c r="Q517" s="47"/>
      <c r="R517" s="136"/>
      <c r="S517" s="174"/>
      <c r="T517" s="133"/>
      <c r="U517" s="47"/>
      <c r="V517" s="47"/>
      <c r="W517" s="47"/>
      <c r="X517" s="47"/>
      <c r="Y517" s="172"/>
      <c r="Z517" s="133"/>
      <c r="AA517" s="47"/>
      <c r="AB517" s="47"/>
      <c r="AC517" s="47"/>
      <c r="AD517" s="47"/>
      <c r="AE517" s="172"/>
      <c r="AF517" s="133"/>
      <c r="AG517" s="47"/>
      <c r="AH517" s="47"/>
      <c r="AI517" s="47"/>
      <c r="AJ517" s="47"/>
      <c r="AK517" s="141">
        <f>'Encargos e Benefícios'!D516</f>
        <v>0</v>
      </c>
      <c r="AL517" s="11">
        <f>IF('Encargos e Benefícios'!C516=0,0,'Encargos e Benefícios'!F516/'Encargos e Benefícios'!C516)</f>
        <v>0</v>
      </c>
      <c r="AM517" s="11">
        <f>IF('Encargos e Benefícios'!C516=0,0,'Encargos e Benefícios'!L516/'Encargos e Benefícios'!C516)</f>
        <v>0</v>
      </c>
      <c r="AN517" s="11">
        <f>IF('Encargos e Benefícios'!C516=0,0,'Encargos e Benefícios'!M516/'Encargos e Benefícios'!C516)</f>
        <v>0</v>
      </c>
      <c r="AO517" s="11"/>
      <c r="AR517" s="3"/>
    </row>
    <row r="518" spans="1:45" ht="15.75" customHeight="1" x14ac:dyDescent="0.2">
      <c r="A518" s="48">
        <v>6</v>
      </c>
      <c r="B518" s="12">
        <f>'Encargos e Benefícios'!B517</f>
        <v>0</v>
      </c>
      <c r="C518" s="10">
        <f>'Encargos e Benefícios'!C517</f>
        <v>0</v>
      </c>
      <c r="D518" s="38"/>
      <c r="E518" s="172"/>
      <c r="F518" s="173"/>
      <c r="G518" s="174"/>
      <c r="H518" s="133"/>
      <c r="I518" s="47"/>
      <c r="J518" s="47"/>
      <c r="K518" s="47"/>
      <c r="L518" s="136"/>
      <c r="M518" s="174"/>
      <c r="N518" s="133"/>
      <c r="O518" s="47"/>
      <c r="P518" s="47"/>
      <c r="Q518" s="47"/>
      <c r="R518" s="136"/>
      <c r="S518" s="174"/>
      <c r="T518" s="133"/>
      <c r="U518" s="47"/>
      <c r="V518" s="47"/>
      <c r="W518" s="47"/>
      <c r="X518" s="47"/>
      <c r="Y518" s="172"/>
      <c r="Z518" s="133"/>
      <c r="AA518" s="47"/>
      <c r="AB518" s="47"/>
      <c r="AC518" s="47"/>
      <c r="AD518" s="47"/>
      <c r="AE518" s="172"/>
      <c r="AF518" s="133"/>
      <c r="AG518" s="47"/>
      <c r="AH518" s="47"/>
      <c r="AI518" s="47"/>
      <c r="AJ518" s="47"/>
      <c r="AK518" s="141">
        <f>'Encargos e Benefícios'!D517</f>
        <v>0</v>
      </c>
      <c r="AL518" s="11">
        <f>IF('Encargos e Benefícios'!C517=0,0,'Encargos e Benefícios'!F517/'Encargos e Benefícios'!C517)</f>
        <v>0</v>
      </c>
      <c r="AM518" s="11">
        <f>IF('Encargos e Benefícios'!C517=0,0,'Encargos e Benefícios'!L517/'Encargos e Benefícios'!C517)</f>
        <v>0</v>
      </c>
      <c r="AN518" s="11">
        <f>IF('Encargos e Benefícios'!C517=0,0,'Encargos e Benefícios'!M517/'Encargos e Benefícios'!C517)</f>
        <v>0</v>
      </c>
      <c r="AO518" s="11"/>
      <c r="AR518" s="3"/>
    </row>
    <row r="519" spans="1:45" ht="15.75" customHeight="1" x14ac:dyDescent="0.2">
      <c r="A519" s="48">
        <v>7</v>
      </c>
      <c r="B519" s="12">
        <f>'Encargos e Benefícios'!B518</f>
        <v>0</v>
      </c>
      <c r="C519" s="10">
        <f>'Encargos e Benefícios'!C518</f>
        <v>0</v>
      </c>
      <c r="D519" s="38"/>
      <c r="E519" s="172"/>
      <c r="F519" s="173"/>
      <c r="G519" s="174"/>
      <c r="H519" s="133"/>
      <c r="I519" s="47"/>
      <c r="J519" s="47"/>
      <c r="K519" s="47"/>
      <c r="L519" s="136"/>
      <c r="M519" s="174"/>
      <c r="N519" s="133"/>
      <c r="O519" s="47"/>
      <c r="P519" s="47"/>
      <c r="Q519" s="47"/>
      <c r="R519" s="136"/>
      <c r="S519" s="174"/>
      <c r="T519" s="133"/>
      <c r="U519" s="47"/>
      <c r="V519" s="47"/>
      <c r="W519" s="47"/>
      <c r="X519" s="47"/>
      <c r="Y519" s="172"/>
      <c r="Z519" s="133"/>
      <c r="AA519" s="47"/>
      <c r="AB519" s="47"/>
      <c r="AC519" s="47"/>
      <c r="AD519" s="47"/>
      <c r="AE519" s="172"/>
      <c r="AF519" s="133"/>
      <c r="AG519" s="47"/>
      <c r="AH519" s="47"/>
      <c r="AI519" s="47"/>
      <c r="AJ519" s="47"/>
      <c r="AK519" s="141">
        <f>'Encargos e Benefícios'!D518</f>
        <v>0</v>
      </c>
      <c r="AL519" s="11">
        <f>IF('Encargos e Benefícios'!C518=0,0,'Encargos e Benefícios'!F518/'Encargos e Benefícios'!C518)</f>
        <v>0</v>
      </c>
      <c r="AM519" s="11">
        <f>IF('Encargos e Benefícios'!C518=0,0,'Encargos e Benefícios'!L518/'Encargos e Benefícios'!C518)</f>
        <v>0</v>
      </c>
      <c r="AN519" s="11">
        <f>IF('Encargos e Benefícios'!C518=0,0,'Encargos e Benefícios'!M518/'Encargos e Benefícios'!C518)</f>
        <v>0</v>
      </c>
      <c r="AO519" s="11"/>
      <c r="AR519" s="3"/>
    </row>
    <row r="520" spans="1:45" ht="15.75" customHeight="1" x14ac:dyDescent="0.2">
      <c r="A520" s="48">
        <v>8</v>
      </c>
      <c r="B520" s="12">
        <f>'Encargos e Benefícios'!B519</f>
        <v>0</v>
      </c>
      <c r="C520" s="10">
        <f>'Encargos e Benefícios'!C519</f>
        <v>0</v>
      </c>
      <c r="D520" s="38"/>
      <c r="E520" s="172"/>
      <c r="F520" s="173"/>
      <c r="G520" s="174"/>
      <c r="H520" s="133"/>
      <c r="I520" s="47"/>
      <c r="J520" s="47"/>
      <c r="K520" s="47"/>
      <c r="L520" s="136"/>
      <c r="M520" s="174"/>
      <c r="N520" s="133"/>
      <c r="O520" s="47"/>
      <c r="P520" s="47"/>
      <c r="Q520" s="47"/>
      <c r="R520" s="136"/>
      <c r="S520" s="174"/>
      <c r="T520" s="133"/>
      <c r="U520" s="47"/>
      <c r="V520" s="47"/>
      <c r="W520" s="47"/>
      <c r="X520" s="47"/>
      <c r="Y520" s="172"/>
      <c r="Z520" s="133"/>
      <c r="AA520" s="47"/>
      <c r="AB520" s="47"/>
      <c r="AC520" s="47"/>
      <c r="AD520" s="47"/>
      <c r="AE520" s="172"/>
      <c r="AF520" s="133"/>
      <c r="AG520" s="47"/>
      <c r="AH520" s="47"/>
      <c r="AI520" s="47"/>
      <c r="AJ520" s="47"/>
      <c r="AK520" s="141">
        <f>'Encargos e Benefícios'!D519</f>
        <v>0</v>
      </c>
      <c r="AL520" s="11">
        <f>IF('Encargos e Benefícios'!C519=0,0,'Encargos e Benefícios'!F519/'Encargos e Benefícios'!C519)</f>
        <v>0</v>
      </c>
      <c r="AM520" s="11">
        <f>IF('Encargos e Benefícios'!C519=0,0,'Encargos e Benefícios'!L519/'Encargos e Benefícios'!C519)</f>
        <v>0</v>
      </c>
      <c r="AN520" s="11">
        <f>IF('Encargos e Benefícios'!C519=0,0,'Encargos e Benefícios'!M519/'Encargos e Benefícios'!C519)</f>
        <v>0</v>
      </c>
      <c r="AO520" s="11"/>
      <c r="AR520" s="3"/>
    </row>
    <row r="521" spans="1:45" ht="15.75" customHeight="1" x14ac:dyDescent="0.2">
      <c r="A521" s="48">
        <v>9</v>
      </c>
      <c r="B521" s="12">
        <f>'Encargos e Benefícios'!B520</f>
        <v>0</v>
      </c>
      <c r="C521" s="10">
        <f>'Encargos e Benefícios'!C520</f>
        <v>0</v>
      </c>
      <c r="D521" s="38"/>
      <c r="E521" s="172"/>
      <c r="F521" s="173"/>
      <c r="G521" s="174"/>
      <c r="H521" s="133"/>
      <c r="I521" s="47"/>
      <c r="J521" s="47"/>
      <c r="K521" s="47"/>
      <c r="L521" s="136"/>
      <c r="M521" s="174"/>
      <c r="N521" s="133"/>
      <c r="O521" s="47"/>
      <c r="P521" s="47"/>
      <c r="Q521" s="47"/>
      <c r="R521" s="136"/>
      <c r="S521" s="174"/>
      <c r="T521" s="133"/>
      <c r="U521" s="47"/>
      <c r="V521" s="47"/>
      <c r="W521" s="47"/>
      <c r="X521" s="47"/>
      <c r="Y521" s="172"/>
      <c r="Z521" s="133"/>
      <c r="AA521" s="47"/>
      <c r="AB521" s="47"/>
      <c r="AC521" s="47"/>
      <c r="AD521" s="47"/>
      <c r="AE521" s="172"/>
      <c r="AF521" s="133"/>
      <c r="AG521" s="47"/>
      <c r="AH521" s="47"/>
      <c r="AI521" s="47"/>
      <c r="AJ521" s="47"/>
      <c r="AK521" s="141">
        <f>'Encargos e Benefícios'!D520</f>
        <v>0</v>
      </c>
      <c r="AL521" s="11">
        <f>IF('Encargos e Benefícios'!C520=0,0,'Encargos e Benefícios'!F520/'Encargos e Benefícios'!C520)</f>
        <v>0</v>
      </c>
      <c r="AM521" s="11">
        <f>IF('Encargos e Benefícios'!C520=0,0,'Encargos e Benefícios'!L520/'Encargos e Benefícios'!C520)</f>
        <v>0</v>
      </c>
      <c r="AN521" s="11">
        <f>IF('Encargos e Benefícios'!C520=0,0,'Encargos e Benefícios'!M520/'Encargos e Benefícios'!C520)</f>
        <v>0</v>
      </c>
      <c r="AO521" s="11"/>
      <c r="AR521" s="3"/>
    </row>
    <row r="522" spans="1:45" ht="15.75" customHeight="1" x14ac:dyDescent="0.2">
      <c r="A522" s="48">
        <v>10</v>
      </c>
      <c r="B522" s="12">
        <f>'Encargos e Benefícios'!B521</f>
        <v>0</v>
      </c>
      <c r="C522" s="10">
        <f>'Encargos e Benefícios'!C521</f>
        <v>0</v>
      </c>
      <c r="D522" s="38"/>
      <c r="E522" s="172"/>
      <c r="F522" s="173"/>
      <c r="G522" s="174"/>
      <c r="H522" s="133"/>
      <c r="I522" s="47"/>
      <c r="J522" s="47"/>
      <c r="K522" s="47"/>
      <c r="L522" s="136"/>
      <c r="M522" s="174"/>
      <c r="N522" s="133"/>
      <c r="O522" s="47"/>
      <c r="P522" s="47"/>
      <c r="Q522" s="47"/>
      <c r="R522" s="136"/>
      <c r="S522" s="174"/>
      <c r="T522" s="133"/>
      <c r="U522" s="47"/>
      <c r="V522" s="47"/>
      <c r="W522" s="47"/>
      <c r="X522" s="47"/>
      <c r="Y522" s="172"/>
      <c r="Z522" s="133"/>
      <c r="AA522" s="47"/>
      <c r="AB522" s="47"/>
      <c r="AC522" s="47"/>
      <c r="AD522" s="47"/>
      <c r="AE522" s="172"/>
      <c r="AF522" s="133"/>
      <c r="AG522" s="47"/>
      <c r="AH522" s="47"/>
      <c r="AI522" s="47"/>
      <c r="AJ522" s="47"/>
      <c r="AK522" s="141">
        <f>'Encargos e Benefícios'!D521</f>
        <v>0</v>
      </c>
      <c r="AL522" s="11">
        <f>IF('Encargos e Benefícios'!C521=0,0,'Encargos e Benefícios'!F521/'Encargos e Benefícios'!C521)</f>
        <v>0</v>
      </c>
      <c r="AM522" s="11">
        <f>IF('Encargos e Benefícios'!C521=0,0,'Encargos e Benefícios'!L521/'Encargos e Benefícios'!C521)</f>
        <v>0</v>
      </c>
      <c r="AN522" s="11">
        <f>IF('Encargos e Benefícios'!C521=0,0,'Encargos e Benefícios'!M521/'Encargos e Benefícios'!C521)</f>
        <v>0</v>
      </c>
      <c r="AO522" s="11"/>
      <c r="AR522" s="3"/>
    </row>
    <row r="523" spans="1:45" ht="16.5" customHeight="1" x14ac:dyDescent="0.2">
      <c r="A523" s="307"/>
      <c r="B523" s="307"/>
      <c r="C523" s="308">
        <f>SUM(C513:C522)</f>
        <v>0</v>
      </c>
      <c r="D523" s="309"/>
      <c r="E523" s="310"/>
      <c r="F523" s="311"/>
      <c r="G523" s="312"/>
      <c r="H523" s="312"/>
      <c r="I523" s="311">
        <f t="shared" ref="I523:L523" si="9">SUM(I513:I522)</f>
        <v>0</v>
      </c>
      <c r="J523" s="311"/>
      <c r="K523" s="311">
        <f t="shared" si="9"/>
        <v>0</v>
      </c>
      <c r="L523" s="311">
        <f t="shared" si="9"/>
        <v>0</v>
      </c>
      <c r="M523" s="312"/>
      <c r="N523" s="312"/>
      <c r="O523" s="311">
        <f t="shared" ref="O523:R523" si="10">SUM(O513:O522)</f>
        <v>0</v>
      </c>
      <c r="P523" s="311"/>
      <c r="Q523" s="311">
        <f t="shared" si="10"/>
        <v>0</v>
      </c>
      <c r="R523" s="313">
        <f t="shared" si="10"/>
        <v>0</v>
      </c>
      <c r="S523" s="312"/>
      <c r="T523" s="312"/>
      <c r="U523" s="311">
        <f t="shared" ref="U523:AN523" si="11">SUM(U513:U522)</f>
        <v>0</v>
      </c>
      <c r="V523" s="311"/>
      <c r="W523" s="311">
        <f t="shared" si="11"/>
        <v>0</v>
      </c>
      <c r="X523" s="311">
        <f t="shared" si="11"/>
        <v>0</v>
      </c>
      <c r="Y523" s="314"/>
      <c r="Z523" s="312"/>
      <c r="AA523" s="311">
        <f t="shared" ref="AA523:AD523" si="12">SUM(AA513:AA522)</f>
        <v>0</v>
      </c>
      <c r="AB523" s="311"/>
      <c r="AC523" s="311">
        <f t="shared" si="12"/>
        <v>0</v>
      </c>
      <c r="AD523" s="311">
        <f t="shared" si="12"/>
        <v>0</v>
      </c>
      <c r="AE523" s="314"/>
      <c r="AF523" s="312"/>
      <c r="AG523" s="311">
        <f t="shared" ref="AG523:AJ523" si="13">SUM(AG513:AG522)</f>
        <v>0</v>
      </c>
      <c r="AH523" s="311"/>
      <c r="AI523" s="311">
        <f t="shared" si="13"/>
        <v>0</v>
      </c>
      <c r="AJ523" s="311">
        <f t="shared" si="13"/>
        <v>0</v>
      </c>
      <c r="AK523" s="310">
        <f t="shared" si="11"/>
        <v>0</v>
      </c>
      <c r="AL523" s="311">
        <f t="shared" si="11"/>
        <v>0</v>
      </c>
      <c r="AM523" s="311">
        <f t="shared" si="11"/>
        <v>0</v>
      </c>
      <c r="AN523" s="311">
        <f t="shared" si="11"/>
        <v>0</v>
      </c>
      <c r="AO523" s="11"/>
      <c r="AP523" s="123"/>
      <c r="AQ523" s="123"/>
      <c r="AR523" s="3"/>
      <c r="AS523" s="123"/>
    </row>
    <row r="524" spans="1:45" ht="12.75" x14ac:dyDescent="0.2">
      <c r="A524" s="120"/>
      <c r="B524" s="120"/>
      <c r="C524" s="121"/>
      <c r="D524" s="122"/>
      <c r="E524" s="123"/>
      <c r="F524" s="123"/>
      <c r="G524" s="124"/>
      <c r="H524" s="124"/>
      <c r="I524" s="124"/>
      <c r="J524" s="124"/>
      <c r="K524" s="124"/>
      <c r="L524" s="124"/>
      <c r="M524" s="124"/>
      <c r="N524" s="123"/>
      <c r="O524" s="123"/>
      <c r="P524" s="123"/>
      <c r="Q524" s="123"/>
      <c r="R524" s="123"/>
      <c r="S524" s="124"/>
      <c r="T524" s="123"/>
      <c r="U524" s="123"/>
      <c r="V524" s="123"/>
      <c r="W524" s="123"/>
      <c r="X524" s="123"/>
      <c r="Y524" s="124"/>
      <c r="Z524" s="123"/>
      <c r="AA524" s="123"/>
      <c r="AB524" s="123"/>
      <c r="AC524" s="123"/>
      <c r="AD524" s="123"/>
      <c r="AE524" s="124"/>
      <c r="AF524" s="123"/>
      <c r="AG524" s="123"/>
      <c r="AH524" s="123"/>
      <c r="AI524" s="123"/>
      <c r="AJ524" s="123"/>
      <c r="AK524" s="123"/>
      <c r="AL524" s="123"/>
      <c r="AM524" s="123"/>
      <c r="AN524" s="123"/>
      <c r="AO524" s="123"/>
      <c r="AP524" s="123"/>
      <c r="AQ524" s="123"/>
      <c r="AR524" s="3"/>
      <c r="AS524" s="123"/>
    </row>
    <row r="525" spans="1:45" ht="12.75" x14ac:dyDescent="0.2">
      <c r="A525" s="120"/>
      <c r="B525" s="120"/>
      <c r="C525" s="121"/>
      <c r="D525" s="122"/>
      <c r="E525" s="123"/>
      <c r="F525" s="123"/>
      <c r="G525" s="124"/>
      <c r="H525" s="124"/>
      <c r="I525" s="124"/>
      <c r="J525" s="124"/>
      <c r="K525" s="124"/>
      <c r="L525" s="124"/>
      <c r="M525" s="124"/>
      <c r="N525" s="123"/>
      <c r="O525" s="123"/>
      <c r="P525" s="123"/>
      <c r="Q525" s="123"/>
      <c r="R525" s="123"/>
      <c r="S525" s="124"/>
      <c r="T525" s="123"/>
      <c r="U525" s="123"/>
      <c r="V525" s="123"/>
      <c r="W525" s="123"/>
      <c r="X525" s="123"/>
      <c r="Y525" s="124"/>
      <c r="Z525" s="123"/>
      <c r="AA525" s="123"/>
      <c r="AB525" s="123"/>
      <c r="AC525" s="123"/>
      <c r="AD525" s="123"/>
      <c r="AE525" s="124"/>
      <c r="AF525" s="123"/>
      <c r="AG525" s="123"/>
      <c r="AH525" s="123"/>
      <c r="AI525" s="123"/>
      <c r="AJ525" s="123"/>
      <c r="AK525" s="123"/>
      <c r="AL525" s="123"/>
      <c r="AM525" s="123"/>
      <c r="AN525" s="123"/>
      <c r="AO525" s="123"/>
      <c r="AP525" s="123"/>
      <c r="AQ525" s="123"/>
      <c r="AR525" s="3"/>
      <c r="AS525" s="123"/>
    </row>
    <row r="526" spans="1:45" ht="12.75" x14ac:dyDescent="0.2">
      <c r="A526" s="120"/>
      <c r="B526" s="120"/>
      <c r="C526" s="121"/>
      <c r="D526" s="122"/>
      <c r="E526" s="123"/>
      <c r="F526" s="123"/>
      <c r="G526" s="124"/>
      <c r="H526" s="124"/>
      <c r="I526" s="124"/>
      <c r="J526" s="124"/>
      <c r="K526" s="124"/>
      <c r="L526" s="124"/>
      <c r="M526" s="124"/>
      <c r="N526" s="123"/>
      <c r="O526" s="123"/>
      <c r="P526" s="123"/>
      <c r="Q526" s="123"/>
      <c r="R526" s="123"/>
      <c r="S526" s="124"/>
      <c r="T526" s="123"/>
      <c r="U526" s="123"/>
      <c r="V526" s="123"/>
      <c r="W526" s="123"/>
      <c r="X526" s="123"/>
      <c r="Y526" s="124"/>
      <c r="Z526" s="123"/>
      <c r="AA526" s="123"/>
      <c r="AB526" s="123"/>
      <c r="AC526" s="123"/>
      <c r="AD526" s="123"/>
      <c r="AE526" s="124"/>
      <c r="AF526" s="123"/>
      <c r="AG526" s="123"/>
      <c r="AH526" s="123"/>
      <c r="AI526" s="123"/>
      <c r="AJ526" s="123"/>
      <c r="AK526" s="123"/>
      <c r="AL526" s="123"/>
      <c r="AM526" s="123"/>
      <c r="AN526" s="123"/>
      <c r="AO526" s="123"/>
      <c r="AP526" s="123"/>
      <c r="AQ526" s="123"/>
      <c r="AR526" s="122"/>
      <c r="AS526" s="123"/>
    </row>
    <row r="527" spans="1:45" ht="12.75" customHeight="1" x14ac:dyDescent="0.2">
      <c r="I527" s="123"/>
      <c r="J527" s="123"/>
      <c r="K527" s="123"/>
      <c r="L527" s="123"/>
      <c r="M527" s="123"/>
      <c r="N527" s="123"/>
      <c r="O527" s="123"/>
      <c r="P527" s="123"/>
      <c r="Q527" s="123"/>
      <c r="R527" s="123"/>
      <c r="S527" s="123"/>
      <c r="T527" s="123"/>
      <c r="U527" s="123"/>
      <c r="V527" s="123"/>
      <c r="W527" s="123"/>
      <c r="X527" s="123"/>
      <c r="Y527" s="123"/>
      <c r="Z527" s="123"/>
      <c r="AA527" s="123"/>
      <c r="AB527" s="123"/>
      <c r="AC527" s="123"/>
      <c r="AD527" s="123"/>
      <c r="AE527" s="123"/>
      <c r="AF527" s="123"/>
      <c r="AG527" s="123"/>
      <c r="AH527" s="123"/>
      <c r="AI527" s="123"/>
      <c r="AJ527" s="123"/>
    </row>
    <row r="528" spans="1:45" ht="30.75" customHeight="1" x14ac:dyDescent="0.2">
      <c r="A528" s="53" t="s">
        <v>468</v>
      </c>
      <c r="B528" s="49"/>
      <c r="C528" s="49"/>
      <c r="D528" s="50"/>
      <c r="I528" s="123"/>
      <c r="J528" s="123"/>
      <c r="K528" s="123"/>
      <c r="L528" s="123"/>
      <c r="M528" s="123"/>
      <c r="N528" s="123"/>
      <c r="O528" s="123"/>
      <c r="P528" s="123"/>
      <c r="Q528" s="123"/>
      <c r="R528" s="123"/>
      <c r="S528" s="123"/>
      <c r="T528" s="123"/>
      <c r="U528" s="123"/>
      <c r="V528" s="123"/>
      <c r="W528" s="123"/>
      <c r="X528" s="123"/>
      <c r="Y528" s="123"/>
      <c r="Z528" s="123"/>
      <c r="AA528" s="123"/>
      <c r="AB528" s="123"/>
      <c r="AC528" s="123"/>
      <c r="AD528" s="123"/>
      <c r="AE528" s="123"/>
      <c r="AF528" s="123"/>
      <c r="AG528" s="123"/>
      <c r="AH528" s="123"/>
      <c r="AI528" s="123"/>
      <c r="AJ528" s="123"/>
      <c r="AK528" s="51"/>
      <c r="AL528" s="49"/>
      <c r="AM528" s="49"/>
      <c r="AN528" s="49"/>
      <c r="AO528" s="49"/>
      <c r="AP528" s="49"/>
      <c r="AQ528" s="49"/>
      <c r="AR528" s="50"/>
      <c r="AS528" s="49"/>
    </row>
    <row r="529" spans="1:62" ht="120" customHeight="1" x14ac:dyDescent="0.2">
      <c r="A529" s="410" t="s">
        <v>620</v>
      </c>
      <c r="B529" s="410"/>
      <c r="C529" s="410"/>
      <c r="D529" s="410"/>
      <c r="E529" s="410"/>
      <c r="F529" s="410"/>
      <c r="G529" s="410"/>
      <c r="H529" s="410"/>
      <c r="I529" s="410"/>
      <c r="J529" s="410"/>
      <c r="K529" s="410"/>
      <c r="L529" s="410"/>
      <c r="M529" s="410"/>
      <c r="N529" s="410"/>
      <c r="O529" s="410"/>
      <c r="P529" s="410"/>
      <c r="Q529" s="410"/>
      <c r="R529" s="410"/>
      <c r="S529" s="410"/>
      <c r="T529" s="410"/>
      <c r="U529" s="410"/>
      <c r="V529" s="410"/>
      <c r="W529" s="410"/>
      <c r="X529" s="410"/>
      <c r="Y529" s="410"/>
      <c r="Z529" s="410"/>
      <c r="AA529" s="410"/>
      <c r="AB529" s="410"/>
      <c r="AC529" s="410"/>
      <c r="AD529" s="410"/>
      <c r="AE529" s="410"/>
      <c r="AF529" s="410"/>
      <c r="AG529" s="410"/>
      <c r="AH529" s="410"/>
      <c r="AI529" s="410"/>
      <c r="AJ529" s="410"/>
      <c r="AK529" s="410"/>
      <c r="AL529" s="410"/>
      <c r="AM529" s="410"/>
      <c r="AN529" s="410"/>
      <c r="AO529" s="410"/>
      <c r="AP529" s="410"/>
      <c r="AQ529" s="410"/>
      <c r="AR529" s="410"/>
      <c r="AS529" s="130"/>
    </row>
    <row r="530" spans="1:62" ht="30" customHeight="1" x14ac:dyDescent="0.2">
      <c r="A530" s="52"/>
      <c r="B530" s="49"/>
      <c r="C530" s="49"/>
      <c r="D530" s="50"/>
      <c r="N530" s="49"/>
      <c r="O530" s="49"/>
      <c r="P530" s="49"/>
      <c r="Q530" s="49"/>
      <c r="R530" s="51"/>
      <c r="T530" s="49"/>
      <c r="U530" s="49"/>
      <c r="V530" s="49"/>
      <c r="W530" s="49"/>
      <c r="X530" s="51"/>
      <c r="Z530" s="49"/>
      <c r="AA530" s="49"/>
      <c r="AB530" s="49"/>
      <c r="AC530" s="49"/>
      <c r="AD530" s="51"/>
      <c r="AF530" s="49"/>
      <c r="AG530" s="49"/>
      <c r="AH530" s="49"/>
      <c r="AI530" s="49"/>
      <c r="AJ530" s="51"/>
      <c r="AK530" s="51"/>
      <c r="AL530" s="49"/>
      <c r="AM530" s="49"/>
      <c r="AN530" s="49"/>
      <c r="AO530" s="49"/>
      <c r="AP530" s="49"/>
      <c r="AQ530" s="49"/>
      <c r="AR530" s="50"/>
      <c r="AS530" s="49"/>
    </row>
    <row r="532" spans="1:62" ht="30" customHeight="1" x14ac:dyDescent="0.2">
      <c r="D532" s="37"/>
      <c r="I532" s="39">
        <v>1</v>
      </c>
      <c r="J532" s="39">
        <v>1</v>
      </c>
      <c r="K532" s="39">
        <v>1</v>
      </c>
      <c r="L532" s="39">
        <v>1</v>
      </c>
      <c r="O532" s="3">
        <v>2</v>
      </c>
      <c r="P532" s="3">
        <v>2</v>
      </c>
      <c r="Q532" s="3">
        <v>2</v>
      </c>
      <c r="R532" s="4">
        <v>2</v>
      </c>
      <c r="U532" s="3">
        <v>3</v>
      </c>
      <c r="V532" s="3">
        <v>3</v>
      </c>
      <c r="W532" s="3">
        <v>3</v>
      </c>
      <c r="X532" s="4">
        <v>3</v>
      </c>
      <c r="AA532" s="3">
        <v>4</v>
      </c>
      <c r="AB532" s="3">
        <v>4</v>
      </c>
      <c r="AC532" s="3">
        <v>4</v>
      </c>
      <c r="AD532" s="4">
        <v>4</v>
      </c>
      <c r="AG532" s="3">
        <v>5</v>
      </c>
      <c r="AH532" s="3">
        <v>5</v>
      </c>
      <c r="AI532" s="3">
        <v>5</v>
      </c>
      <c r="AJ532" s="4">
        <v>5</v>
      </c>
      <c r="AR532" s="37"/>
      <c r="AT532" s="4"/>
      <c r="AX532" s="4"/>
      <c r="BB532" s="4"/>
      <c r="BF532" s="4"/>
      <c r="BJ532" s="4"/>
    </row>
  </sheetData>
  <sheetProtection algorithmName="SHA-512" hashValue="rXNboKi+TpSCVZJxMr5sIb+RgtbD41R8cBjQdl/CJV4BDZnOSqs7k/GXySMReLe+sPWQSCuBbLdvu3o0n6GPkg==" saltValue="xf0y1zmB+fyUufq+tUbKGQ==" spinCount="100000" sheet="1" objects="1" scenarios="1" formatColumns="0" formatRows="0"/>
  <mergeCells count="72">
    <mergeCell ref="A529:AR529"/>
    <mergeCell ref="A510:A512"/>
    <mergeCell ref="B510:B512"/>
    <mergeCell ref="I511:L511"/>
    <mergeCell ref="H511:H512"/>
    <mergeCell ref="G511:G512"/>
    <mergeCell ref="M511:M512"/>
    <mergeCell ref="N511:N512"/>
    <mergeCell ref="O511:R511"/>
    <mergeCell ref="S510:X510"/>
    <mergeCell ref="Y510:AD510"/>
    <mergeCell ref="Y511:Y512"/>
    <mergeCell ref="Z511:Z512"/>
    <mergeCell ref="AA511:AD511"/>
    <mergeCell ref="AE510:AJ510"/>
    <mergeCell ref="AE511:AE512"/>
    <mergeCell ref="A1:AR1"/>
    <mergeCell ref="A2:AR2"/>
    <mergeCell ref="A3:AR3"/>
    <mergeCell ref="M5:M6"/>
    <mergeCell ref="N5:N6"/>
    <mergeCell ref="AK5:AK6"/>
    <mergeCell ref="AL5:AL6"/>
    <mergeCell ref="AM5:AM6"/>
    <mergeCell ref="AN5:AN6"/>
    <mergeCell ref="G4:L4"/>
    <mergeCell ref="H5:H6"/>
    <mergeCell ref="A4:A6"/>
    <mergeCell ref="B4:B6"/>
    <mergeCell ref="AQ5:AQ6"/>
    <mergeCell ref="D4:D6"/>
    <mergeCell ref="E4:E6"/>
    <mergeCell ref="C4:C6"/>
    <mergeCell ref="AP5:AP6"/>
    <mergeCell ref="Y5:Y6"/>
    <mergeCell ref="Z5:Z6"/>
    <mergeCell ref="AA5:AD5"/>
    <mergeCell ref="M4:R4"/>
    <mergeCell ref="Y4:AD4"/>
    <mergeCell ref="AE4:AJ4"/>
    <mergeCell ref="AE5:AE6"/>
    <mergeCell ref="AF5:AF6"/>
    <mergeCell ref="AG5:AJ5"/>
    <mergeCell ref="F4:F6"/>
    <mergeCell ref="S4:X4"/>
    <mergeCell ref="S5:S6"/>
    <mergeCell ref="T5:T6"/>
    <mergeCell ref="U5:X5"/>
    <mergeCell ref="AR4:AR6"/>
    <mergeCell ref="AO4:AQ4"/>
    <mergeCell ref="AK510:AN510"/>
    <mergeCell ref="AK511:AK512"/>
    <mergeCell ref="AK4:AN4"/>
    <mergeCell ref="AM511:AM512"/>
    <mergeCell ref="AN511:AN512"/>
    <mergeCell ref="AO5:AO6"/>
    <mergeCell ref="A509:AN509"/>
    <mergeCell ref="O5:R5"/>
    <mergeCell ref="I5:L5"/>
    <mergeCell ref="G5:G6"/>
    <mergeCell ref="AF511:AF512"/>
    <mergeCell ref="AG511:AJ511"/>
    <mergeCell ref="AL511:AL512"/>
    <mergeCell ref="S511:S512"/>
    <mergeCell ref="T511:T512"/>
    <mergeCell ref="U511:X511"/>
    <mergeCell ref="C510:C512"/>
    <mergeCell ref="D510:D512"/>
    <mergeCell ref="E510:E512"/>
    <mergeCell ref="F510:F512"/>
    <mergeCell ref="M510:R510"/>
    <mergeCell ref="G510:L510"/>
  </mergeCells>
  <phoneticPr fontId="15" type="noConversion"/>
  <dataValidations count="4">
    <dataValidation type="list" allowBlank="1" showInputMessage="1" showErrorMessage="1" sqref="I512:L512 O512:R512 U512:X512 AA512:AD512 AG512:AJ512">
      <formula1>Beneficios3</formula1>
    </dataValidation>
    <dataValidation type="list" allowBlank="1" showInputMessage="1" showErrorMessage="1" sqref="I6:L6 O6:R6 U6:X6 AA6:AD6 AG6:AJ6">
      <formula1>Benefícios</formula1>
    </dataValidation>
    <dataValidation allowBlank="1" showInputMessage="1" showErrorMessage="1" error="Preencher com números de 1 a 60." sqref="E7:E506 F7:F230 F232:F506"/>
    <dataValidation type="list" allowBlank="1" showInputMessage="1" showErrorMessage="1" sqref="AR7:AR506">
      <formula1>VinculoPTp</formula1>
    </dataValidation>
  </dataValidations>
  <pageMargins left="0.19685039370078741" right="0.19685039370078741" top="0.59055118110236227" bottom="0.59055118110236227" header="0" footer="0"/>
  <pageSetup paperSize="9" scale="34" fitToHeight="0" orientation="landscape" r:id="rId1"/>
  <headerFooter>
    <oddFooter>Página &amp;P de &amp;N</oddFooter>
  </headerFooter>
  <rowBreaks count="1" manualBreakCount="1">
    <brk id="50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6">
    <tabColor theme="5" tint="0.39997558519241921"/>
    <pageSetUpPr fitToPage="1"/>
  </sheetPr>
  <dimension ref="A1:V127"/>
  <sheetViews>
    <sheetView showGridLines="0" zoomScaleNormal="100" zoomScaleSheetLayoutView="90" workbookViewId="0">
      <pane ySplit="3" topLeftCell="A103" activePane="bottomLeft" state="frozen"/>
      <selection activeCell="A4" sqref="A4"/>
      <selection pane="bottomLeft" activeCell="B99" sqref="B99"/>
    </sheetView>
  </sheetViews>
  <sheetFormatPr defaultRowHeight="12.75" x14ac:dyDescent="0.2"/>
  <cols>
    <col min="1" max="1" width="5.5703125" customWidth="1"/>
    <col min="2" max="2" width="43.5703125" customWidth="1"/>
    <col min="3" max="3" width="60" customWidth="1"/>
    <col min="4" max="4" width="8.5703125" style="56" customWidth="1"/>
    <col min="5" max="5" width="9.85546875" customWidth="1"/>
    <col min="6" max="6" width="11.5703125" customWidth="1"/>
    <col min="7" max="7" width="14.28515625" customWidth="1"/>
    <col min="8" max="8" width="40.7109375" customWidth="1"/>
  </cols>
  <sheetData>
    <row r="1" spans="1:22" ht="33" customHeight="1" x14ac:dyDescent="0.25">
      <c r="A1" s="385" t="str">
        <f>Capa!A1</f>
        <v>Memória de Cálculo
Contrato de Gestão nº 008/2021 celebrado entre a SEJUSP e o Instituto Elo</v>
      </c>
      <c r="B1" s="385"/>
      <c r="C1" s="385"/>
      <c r="D1" s="385"/>
      <c r="E1" s="385"/>
      <c r="F1" s="385"/>
      <c r="G1" s="385"/>
      <c r="H1" s="385"/>
      <c r="I1" s="9"/>
      <c r="J1" s="9"/>
      <c r="K1" s="9"/>
      <c r="L1" s="9"/>
      <c r="M1" s="9"/>
      <c r="N1" s="9"/>
      <c r="O1" s="9"/>
      <c r="P1" s="9"/>
      <c r="Q1" s="9"/>
      <c r="R1" s="9"/>
      <c r="S1" s="9"/>
      <c r="T1" s="9"/>
      <c r="U1" s="9"/>
      <c r="V1" s="9"/>
    </row>
    <row r="2" spans="1:22" ht="23.25" customHeight="1" x14ac:dyDescent="0.25">
      <c r="A2" s="394" t="s">
        <v>469</v>
      </c>
      <c r="B2" s="394"/>
      <c r="C2" s="394"/>
      <c r="D2" s="394"/>
      <c r="E2" s="394"/>
      <c r="F2" s="394"/>
      <c r="G2" s="394"/>
      <c r="H2" s="394"/>
      <c r="I2" s="9"/>
      <c r="J2" s="9"/>
      <c r="K2" s="9"/>
      <c r="L2" s="9"/>
      <c r="M2" s="9"/>
      <c r="N2" s="9"/>
      <c r="O2" s="9"/>
      <c r="P2" s="9"/>
      <c r="Q2" s="9"/>
      <c r="R2" s="9"/>
      <c r="S2" s="9"/>
      <c r="T2" s="9"/>
      <c r="U2" s="9"/>
      <c r="V2" s="9"/>
    </row>
    <row r="3" spans="1:22" ht="31.5" customHeight="1" x14ac:dyDescent="0.2">
      <c r="A3" s="316" t="s">
        <v>470</v>
      </c>
      <c r="B3" s="316" t="s">
        <v>471</v>
      </c>
      <c r="C3" s="317" t="s">
        <v>472</v>
      </c>
      <c r="D3" s="317" t="s">
        <v>473</v>
      </c>
      <c r="E3" s="316" t="s">
        <v>474</v>
      </c>
      <c r="F3" s="318" t="s">
        <v>475</v>
      </c>
      <c r="G3" s="317" t="s">
        <v>60</v>
      </c>
      <c r="H3" s="316" t="s">
        <v>476</v>
      </c>
    </row>
    <row r="4" spans="1:22" s="29" customFormat="1" ht="72" x14ac:dyDescent="0.2">
      <c r="A4" s="26">
        <v>1</v>
      </c>
      <c r="B4" s="26" t="s">
        <v>354</v>
      </c>
      <c r="C4" s="26" t="s">
        <v>477</v>
      </c>
      <c r="D4" s="171">
        <v>46447</v>
      </c>
      <c r="E4" s="27">
        <v>60000</v>
      </c>
      <c r="F4" s="28">
        <v>10</v>
      </c>
      <c r="G4" s="30">
        <f>F4*E4</f>
        <v>600000</v>
      </c>
      <c r="H4" s="359" t="s">
        <v>478</v>
      </c>
    </row>
    <row r="5" spans="1:22" s="29" customFormat="1" ht="36" x14ac:dyDescent="0.2">
      <c r="A5" s="26">
        <v>2</v>
      </c>
      <c r="B5" s="26" t="s">
        <v>350</v>
      </c>
      <c r="C5" s="26" t="s">
        <v>479</v>
      </c>
      <c r="D5" s="171">
        <v>46447</v>
      </c>
      <c r="E5" s="27">
        <v>50000</v>
      </c>
      <c r="F5" s="28">
        <v>10</v>
      </c>
      <c r="G5" s="30">
        <f>F5*E5</f>
        <v>500000</v>
      </c>
      <c r="H5" s="359" t="s">
        <v>610</v>
      </c>
    </row>
    <row r="6" spans="1:22" s="29" customFormat="1" ht="36" x14ac:dyDescent="0.2">
      <c r="A6" s="26">
        <v>3</v>
      </c>
      <c r="B6" s="26" t="s">
        <v>356</v>
      </c>
      <c r="C6" s="26" t="s">
        <v>480</v>
      </c>
      <c r="D6" s="171">
        <v>46388</v>
      </c>
      <c r="E6" s="27">
        <v>300000</v>
      </c>
      <c r="F6" s="28">
        <v>5</v>
      </c>
      <c r="G6" s="30">
        <f t="shared" ref="G6:G59" si="0">F6*E6</f>
        <v>1500000</v>
      </c>
      <c r="H6" s="359" t="s">
        <v>481</v>
      </c>
    </row>
    <row r="7" spans="1:22" s="29" customFormat="1" ht="36" x14ac:dyDescent="0.2">
      <c r="A7" s="26">
        <v>4</v>
      </c>
      <c r="B7" s="26" t="s">
        <v>350</v>
      </c>
      <c r="C7" s="26" t="s">
        <v>482</v>
      </c>
      <c r="D7" s="171">
        <v>46447</v>
      </c>
      <c r="E7" s="27">
        <v>10000</v>
      </c>
      <c r="F7" s="28">
        <v>10</v>
      </c>
      <c r="G7" s="30">
        <f t="shared" ref="G7:G10" si="1">F7*E7</f>
        <v>100000</v>
      </c>
      <c r="H7" s="359" t="s">
        <v>483</v>
      </c>
    </row>
    <row r="8" spans="1:22" s="29" customFormat="1" ht="36" x14ac:dyDescent="0.2">
      <c r="A8" s="26">
        <v>5</v>
      </c>
      <c r="B8" s="26" t="s">
        <v>346</v>
      </c>
      <c r="C8" s="26" t="s">
        <v>484</v>
      </c>
      <c r="D8" s="171">
        <v>46447</v>
      </c>
      <c r="E8" s="27">
        <v>4000</v>
      </c>
      <c r="F8" s="28">
        <v>50</v>
      </c>
      <c r="G8" s="30">
        <f t="shared" si="1"/>
        <v>200000</v>
      </c>
      <c r="H8" s="359" t="s">
        <v>485</v>
      </c>
    </row>
    <row r="9" spans="1:22" s="29" customFormat="1" ht="36" x14ac:dyDescent="0.2">
      <c r="A9" s="26">
        <v>6</v>
      </c>
      <c r="B9" s="26" t="s">
        <v>342</v>
      </c>
      <c r="C9" s="26" t="s">
        <v>486</v>
      </c>
      <c r="D9" s="171">
        <v>46447</v>
      </c>
      <c r="E9" s="27">
        <v>7000</v>
      </c>
      <c r="F9" s="28">
        <v>40</v>
      </c>
      <c r="G9" s="30">
        <f t="shared" si="1"/>
        <v>280000</v>
      </c>
      <c r="H9" s="359" t="s">
        <v>487</v>
      </c>
    </row>
    <row r="10" spans="1:22" s="29" customFormat="1" hidden="1" x14ac:dyDescent="0.2">
      <c r="A10" s="26">
        <v>7</v>
      </c>
      <c r="B10" s="26"/>
      <c r="C10" s="26"/>
      <c r="D10" s="171"/>
      <c r="E10" s="27"/>
      <c r="F10" s="28"/>
      <c r="G10" s="30">
        <f t="shared" si="1"/>
        <v>0</v>
      </c>
      <c r="H10" s="359"/>
    </row>
    <row r="11" spans="1:22" s="29" customFormat="1" ht="18.75" hidden="1" customHeight="1" x14ac:dyDescent="0.2">
      <c r="A11" s="26">
        <v>8</v>
      </c>
      <c r="B11" s="26"/>
      <c r="C11" s="26"/>
      <c r="D11" s="171"/>
      <c r="E11" s="27"/>
      <c r="F11" s="28"/>
      <c r="G11" s="30">
        <f t="shared" si="0"/>
        <v>0</v>
      </c>
      <c r="H11" s="359"/>
    </row>
    <row r="12" spans="1:22" s="29" customFormat="1" ht="18.75" hidden="1" customHeight="1" x14ac:dyDescent="0.2">
      <c r="A12" s="26">
        <v>9</v>
      </c>
      <c r="B12" s="26"/>
      <c r="C12" s="26"/>
      <c r="D12" s="171"/>
      <c r="E12" s="27"/>
      <c r="F12" s="28"/>
      <c r="G12" s="30">
        <f t="shared" si="0"/>
        <v>0</v>
      </c>
      <c r="H12" s="359"/>
    </row>
    <row r="13" spans="1:22" s="29" customFormat="1" ht="18.75" hidden="1" customHeight="1" x14ac:dyDescent="0.2">
      <c r="A13" s="26">
        <v>10</v>
      </c>
      <c r="B13" s="26"/>
      <c r="C13" s="26"/>
      <c r="D13" s="171"/>
      <c r="E13" s="27"/>
      <c r="F13" s="28"/>
      <c r="G13" s="30">
        <f t="shared" si="0"/>
        <v>0</v>
      </c>
      <c r="H13" s="359"/>
    </row>
    <row r="14" spans="1:22" s="29" customFormat="1" ht="18.75" hidden="1" customHeight="1" x14ac:dyDescent="0.2">
      <c r="A14" s="26">
        <v>11</v>
      </c>
      <c r="B14" s="26"/>
      <c r="C14" s="26"/>
      <c r="D14" s="171"/>
      <c r="E14" s="27"/>
      <c r="F14" s="28"/>
      <c r="G14" s="30">
        <f t="shared" si="0"/>
        <v>0</v>
      </c>
      <c r="H14" s="359"/>
    </row>
    <row r="15" spans="1:22" s="29" customFormat="1" ht="18.75" hidden="1" customHeight="1" x14ac:dyDescent="0.2">
      <c r="A15" s="26">
        <v>12</v>
      </c>
      <c r="B15" s="26"/>
      <c r="C15" s="26"/>
      <c r="D15" s="171"/>
      <c r="E15" s="27"/>
      <c r="F15" s="28"/>
      <c r="G15" s="30">
        <f t="shared" si="0"/>
        <v>0</v>
      </c>
      <c r="H15" s="359"/>
    </row>
    <row r="16" spans="1:22" s="29" customFormat="1" ht="18.75" hidden="1" customHeight="1" x14ac:dyDescent="0.2">
      <c r="A16" s="26">
        <v>13</v>
      </c>
      <c r="B16" s="26"/>
      <c r="C16" s="26"/>
      <c r="D16" s="171"/>
      <c r="E16" s="27"/>
      <c r="F16" s="28"/>
      <c r="G16" s="30">
        <f t="shared" si="0"/>
        <v>0</v>
      </c>
      <c r="H16" s="359"/>
    </row>
    <row r="17" spans="1:8" s="29" customFormat="1" ht="18.75" hidden="1" customHeight="1" x14ac:dyDescent="0.2">
      <c r="A17" s="26">
        <v>14</v>
      </c>
      <c r="B17" s="26"/>
      <c r="C17" s="26"/>
      <c r="D17" s="171"/>
      <c r="E17" s="27"/>
      <c r="F17" s="28"/>
      <c r="G17" s="30">
        <f t="shared" ref="G17:G26" si="2">F17*E17</f>
        <v>0</v>
      </c>
      <c r="H17" s="359"/>
    </row>
    <row r="18" spans="1:8" s="29" customFormat="1" ht="18.75" hidden="1" customHeight="1" x14ac:dyDescent="0.2">
      <c r="A18" s="26">
        <v>15</v>
      </c>
      <c r="B18" s="26"/>
      <c r="C18" s="26"/>
      <c r="D18" s="171"/>
      <c r="E18" s="27"/>
      <c r="F18" s="28"/>
      <c r="G18" s="30">
        <f t="shared" si="2"/>
        <v>0</v>
      </c>
      <c r="H18" s="359"/>
    </row>
    <row r="19" spans="1:8" s="29" customFormat="1" ht="18.75" hidden="1" customHeight="1" x14ac:dyDescent="0.2">
      <c r="A19" s="26">
        <v>16</v>
      </c>
      <c r="B19" s="26"/>
      <c r="C19" s="26"/>
      <c r="D19" s="171"/>
      <c r="E19" s="27"/>
      <c r="F19" s="28"/>
      <c r="G19" s="30">
        <f t="shared" si="2"/>
        <v>0</v>
      </c>
      <c r="H19" s="359"/>
    </row>
    <row r="20" spans="1:8" s="29" customFormat="1" ht="18.75" hidden="1" customHeight="1" x14ac:dyDescent="0.2">
      <c r="A20" s="26">
        <v>17</v>
      </c>
      <c r="B20" s="26"/>
      <c r="C20" s="26"/>
      <c r="D20" s="171"/>
      <c r="E20" s="27"/>
      <c r="F20" s="28"/>
      <c r="G20" s="30">
        <f t="shared" si="2"/>
        <v>0</v>
      </c>
      <c r="H20" s="359"/>
    </row>
    <row r="21" spans="1:8" s="29" customFormat="1" ht="18.75" hidden="1" customHeight="1" x14ac:dyDescent="0.2">
      <c r="A21" s="26">
        <v>18</v>
      </c>
      <c r="B21" s="26"/>
      <c r="C21" s="26"/>
      <c r="D21" s="171"/>
      <c r="E21" s="27"/>
      <c r="F21" s="28"/>
      <c r="G21" s="30">
        <f t="shared" si="2"/>
        <v>0</v>
      </c>
      <c r="H21" s="359"/>
    </row>
    <row r="22" spans="1:8" s="29" customFormat="1" ht="18.75" hidden="1" customHeight="1" x14ac:dyDescent="0.2">
      <c r="A22" s="26">
        <v>19</v>
      </c>
      <c r="B22" s="26"/>
      <c r="C22" s="26"/>
      <c r="D22" s="171"/>
      <c r="E22" s="27"/>
      <c r="F22" s="28"/>
      <c r="G22" s="30">
        <f t="shared" si="2"/>
        <v>0</v>
      </c>
      <c r="H22" s="359"/>
    </row>
    <row r="23" spans="1:8" s="29" customFormat="1" ht="18.75" hidden="1" customHeight="1" x14ac:dyDescent="0.2">
      <c r="A23" s="26">
        <v>20</v>
      </c>
      <c r="B23" s="26"/>
      <c r="C23" s="26"/>
      <c r="D23" s="171"/>
      <c r="E23" s="27"/>
      <c r="F23" s="28"/>
      <c r="G23" s="30">
        <f t="shared" si="2"/>
        <v>0</v>
      </c>
      <c r="H23" s="359"/>
    </row>
    <row r="24" spans="1:8" s="29" customFormat="1" ht="18.75" hidden="1" customHeight="1" x14ac:dyDescent="0.2">
      <c r="A24" s="26">
        <v>21</v>
      </c>
      <c r="B24" s="26"/>
      <c r="C24" s="26"/>
      <c r="D24" s="171"/>
      <c r="E24" s="27"/>
      <c r="F24" s="28"/>
      <c r="G24" s="30">
        <f t="shared" si="2"/>
        <v>0</v>
      </c>
      <c r="H24" s="359"/>
    </row>
    <row r="25" spans="1:8" s="29" customFormat="1" ht="18.75" hidden="1" customHeight="1" x14ac:dyDescent="0.2">
      <c r="A25" s="26">
        <v>22</v>
      </c>
      <c r="B25" s="26"/>
      <c r="C25" s="26"/>
      <c r="D25" s="171"/>
      <c r="E25" s="27"/>
      <c r="F25" s="28"/>
      <c r="G25" s="30">
        <f t="shared" si="2"/>
        <v>0</v>
      </c>
      <c r="H25" s="359"/>
    </row>
    <row r="26" spans="1:8" s="29" customFormat="1" ht="18.75" hidden="1" customHeight="1" x14ac:dyDescent="0.2">
      <c r="A26" s="26">
        <v>23</v>
      </c>
      <c r="B26" s="26"/>
      <c r="C26" s="26"/>
      <c r="D26" s="171"/>
      <c r="E26" s="27"/>
      <c r="F26" s="28"/>
      <c r="G26" s="30">
        <f t="shared" si="2"/>
        <v>0</v>
      </c>
      <c r="H26" s="359"/>
    </row>
    <row r="27" spans="1:8" s="29" customFormat="1" ht="18.75" hidden="1" customHeight="1" x14ac:dyDescent="0.2">
      <c r="A27" s="26">
        <v>24</v>
      </c>
      <c r="B27" s="26"/>
      <c r="C27" s="26"/>
      <c r="D27" s="171"/>
      <c r="E27" s="27"/>
      <c r="F27" s="28"/>
      <c r="G27" s="30">
        <f t="shared" si="0"/>
        <v>0</v>
      </c>
      <c r="H27" s="26"/>
    </row>
    <row r="28" spans="1:8" s="29" customFormat="1" ht="18.75" hidden="1" customHeight="1" x14ac:dyDescent="0.2">
      <c r="A28" s="26">
        <v>25</v>
      </c>
      <c r="B28" s="26"/>
      <c r="C28" s="26"/>
      <c r="D28" s="171"/>
      <c r="E28" s="27"/>
      <c r="F28" s="28"/>
      <c r="G28" s="30">
        <f t="shared" si="0"/>
        <v>0</v>
      </c>
      <c r="H28" s="26"/>
    </row>
    <row r="29" spans="1:8" s="29" customFormat="1" ht="18.75" hidden="1" customHeight="1" x14ac:dyDescent="0.2">
      <c r="A29" s="26">
        <v>26</v>
      </c>
      <c r="B29" s="26"/>
      <c r="C29" s="26"/>
      <c r="D29" s="171"/>
      <c r="E29" s="27"/>
      <c r="F29" s="28"/>
      <c r="G29" s="30">
        <f t="shared" si="0"/>
        <v>0</v>
      </c>
      <c r="H29" s="26"/>
    </row>
    <row r="30" spans="1:8" s="29" customFormat="1" ht="18.75" hidden="1" customHeight="1" x14ac:dyDescent="0.2">
      <c r="A30" s="26">
        <v>27</v>
      </c>
      <c r="B30" s="26"/>
      <c r="C30" s="26"/>
      <c r="D30" s="171"/>
      <c r="E30" s="27"/>
      <c r="F30" s="28"/>
      <c r="G30" s="30">
        <f t="shared" si="0"/>
        <v>0</v>
      </c>
      <c r="H30" s="26"/>
    </row>
    <row r="31" spans="1:8" s="29" customFormat="1" ht="18.75" hidden="1" customHeight="1" x14ac:dyDescent="0.2">
      <c r="A31" s="26">
        <v>28</v>
      </c>
      <c r="B31" s="26"/>
      <c r="C31" s="26"/>
      <c r="D31" s="171"/>
      <c r="E31" s="27"/>
      <c r="F31" s="28"/>
      <c r="G31" s="30">
        <f t="shared" si="0"/>
        <v>0</v>
      </c>
      <c r="H31" s="26"/>
    </row>
    <row r="32" spans="1:8" s="29" customFormat="1" ht="18.75" hidden="1" customHeight="1" x14ac:dyDescent="0.2">
      <c r="A32" s="26">
        <v>29</v>
      </c>
      <c r="B32" s="26"/>
      <c r="C32" s="26"/>
      <c r="D32" s="171"/>
      <c r="E32" s="27"/>
      <c r="F32" s="28"/>
      <c r="G32" s="30">
        <f t="shared" si="0"/>
        <v>0</v>
      </c>
      <c r="H32" s="26"/>
    </row>
    <row r="33" spans="1:8" s="29" customFormat="1" ht="18.75" hidden="1" customHeight="1" x14ac:dyDescent="0.2">
      <c r="A33" s="26">
        <v>30</v>
      </c>
      <c r="B33" s="26"/>
      <c r="C33" s="26"/>
      <c r="D33" s="171"/>
      <c r="E33" s="27"/>
      <c r="F33" s="28"/>
      <c r="G33" s="30">
        <f t="shared" si="0"/>
        <v>0</v>
      </c>
      <c r="H33" s="26"/>
    </row>
    <row r="34" spans="1:8" s="29" customFormat="1" ht="18.75" hidden="1" customHeight="1" x14ac:dyDescent="0.2">
      <c r="A34" s="26">
        <v>31</v>
      </c>
      <c r="B34" s="26"/>
      <c r="C34" s="26"/>
      <c r="D34" s="171"/>
      <c r="E34" s="27"/>
      <c r="F34" s="28"/>
      <c r="G34" s="30">
        <f t="shared" si="0"/>
        <v>0</v>
      </c>
      <c r="H34" s="26"/>
    </row>
    <row r="35" spans="1:8" s="29" customFormat="1" ht="18.75" hidden="1" customHeight="1" x14ac:dyDescent="0.2">
      <c r="A35" s="26">
        <v>32</v>
      </c>
      <c r="B35" s="26"/>
      <c r="C35" s="26"/>
      <c r="D35" s="171"/>
      <c r="E35" s="27"/>
      <c r="F35" s="28"/>
      <c r="G35" s="30">
        <f t="shared" si="0"/>
        <v>0</v>
      </c>
      <c r="H35" s="26"/>
    </row>
    <row r="36" spans="1:8" s="29" customFormat="1" ht="18.75" hidden="1" customHeight="1" x14ac:dyDescent="0.2">
      <c r="A36" s="26">
        <v>33</v>
      </c>
      <c r="B36" s="26"/>
      <c r="C36" s="26"/>
      <c r="D36" s="171"/>
      <c r="E36" s="27"/>
      <c r="F36" s="28"/>
      <c r="G36" s="30">
        <f t="shared" si="0"/>
        <v>0</v>
      </c>
      <c r="H36" s="26"/>
    </row>
    <row r="37" spans="1:8" s="29" customFormat="1" ht="18.75" hidden="1" customHeight="1" x14ac:dyDescent="0.2">
      <c r="A37" s="26">
        <v>34</v>
      </c>
      <c r="B37" s="26"/>
      <c r="C37" s="26"/>
      <c r="D37" s="171"/>
      <c r="E37" s="27"/>
      <c r="F37" s="28"/>
      <c r="G37" s="30">
        <f t="shared" si="0"/>
        <v>0</v>
      </c>
      <c r="H37" s="26"/>
    </row>
    <row r="38" spans="1:8" s="29" customFormat="1" ht="18.75" hidden="1" customHeight="1" x14ac:dyDescent="0.2">
      <c r="A38" s="26">
        <v>35</v>
      </c>
      <c r="B38" s="26"/>
      <c r="C38" s="26"/>
      <c r="D38" s="171"/>
      <c r="E38" s="27"/>
      <c r="F38" s="28"/>
      <c r="G38" s="30">
        <f t="shared" si="0"/>
        <v>0</v>
      </c>
      <c r="H38" s="26"/>
    </row>
    <row r="39" spans="1:8" s="29" customFormat="1" ht="18.75" hidden="1" customHeight="1" x14ac:dyDescent="0.2">
      <c r="A39" s="26">
        <v>36</v>
      </c>
      <c r="B39" s="26"/>
      <c r="C39" s="26"/>
      <c r="D39" s="171"/>
      <c r="E39" s="27"/>
      <c r="F39" s="28"/>
      <c r="G39" s="30">
        <f t="shared" si="0"/>
        <v>0</v>
      </c>
      <c r="H39" s="26"/>
    </row>
    <row r="40" spans="1:8" s="29" customFormat="1" ht="18.75" hidden="1" customHeight="1" x14ac:dyDescent="0.2">
      <c r="A40" s="26">
        <v>37</v>
      </c>
      <c r="B40" s="26"/>
      <c r="C40" s="26"/>
      <c r="D40" s="171"/>
      <c r="E40" s="27"/>
      <c r="F40" s="28"/>
      <c r="G40" s="30">
        <f t="shared" si="0"/>
        <v>0</v>
      </c>
      <c r="H40" s="26"/>
    </row>
    <row r="41" spans="1:8" s="29" customFormat="1" ht="18.75" hidden="1" customHeight="1" x14ac:dyDescent="0.2">
      <c r="A41" s="26">
        <v>38</v>
      </c>
      <c r="B41" s="26"/>
      <c r="C41" s="26"/>
      <c r="D41" s="171"/>
      <c r="E41" s="27"/>
      <c r="F41" s="28"/>
      <c r="G41" s="30">
        <f t="shared" si="0"/>
        <v>0</v>
      </c>
      <c r="H41" s="26"/>
    </row>
    <row r="42" spans="1:8" s="29" customFormat="1" ht="18.75" hidden="1" customHeight="1" x14ac:dyDescent="0.2">
      <c r="A42" s="26">
        <v>39</v>
      </c>
      <c r="B42" s="26"/>
      <c r="C42" s="26"/>
      <c r="D42" s="171"/>
      <c r="E42" s="27"/>
      <c r="F42" s="28"/>
      <c r="G42" s="30">
        <f t="shared" si="0"/>
        <v>0</v>
      </c>
      <c r="H42" s="26"/>
    </row>
    <row r="43" spans="1:8" s="29" customFormat="1" ht="18.75" hidden="1" customHeight="1" x14ac:dyDescent="0.2">
      <c r="A43" s="26">
        <v>40</v>
      </c>
      <c r="B43" s="26"/>
      <c r="C43" s="26"/>
      <c r="D43" s="171"/>
      <c r="E43" s="27"/>
      <c r="F43" s="28"/>
      <c r="G43" s="30">
        <f t="shared" si="0"/>
        <v>0</v>
      </c>
      <c r="H43" s="26"/>
    </row>
    <row r="44" spans="1:8" s="29" customFormat="1" ht="18.75" hidden="1" customHeight="1" x14ac:dyDescent="0.2">
      <c r="A44" s="26">
        <v>41</v>
      </c>
      <c r="B44" s="26"/>
      <c r="C44" s="26"/>
      <c r="D44" s="171"/>
      <c r="E44" s="27"/>
      <c r="F44" s="28"/>
      <c r="G44" s="30">
        <f t="shared" si="0"/>
        <v>0</v>
      </c>
      <c r="H44" s="26"/>
    </row>
    <row r="45" spans="1:8" s="29" customFormat="1" ht="18.75" hidden="1" customHeight="1" x14ac:dyDescent="0.2">
      <c r="A45" s="26">
        <v>42</v>
      </c>
      <c r="B45" s="26"/>
      <c r="C45" s="26"/>
      <c r="D45" s="171"/>
      <c r="E45" s="27"/>
      <c r="F45" s="28"/>
      <c r="G45" s="30">
        <f t="shared" si="0"/>
        <v>0</v>
      </c>
      <c r="H45" s="26"/>
    </row>
    <row r="46" spans="1:8" s="29" customFormat="1" ht="18.75" hidden="1" customHeight="1" x14ac:dyDescent="0.2">
      <c r="A46" s="26">
        <v>43</v>
      </c>
      <c r="B46" s="26"/>
      <c r="C46" s="26"/>
      <c r="D46" s="171"/>
      <c r="E46" s="27"/>
      <c r="F46" s="28"/>
      <c r="G46" s="30">
        <f t="shared" si="0"/>
        <v>0</v>
      </c>
      <c r="H46" s="26"/>
    </row>
    <row r="47" spans="1:8" s="29" customFormat="1" ht="18.75" hidden="1" customHeight="1" x14ac:dyDescent="0.2">
      <c r="A47" s="26">
        <v>44</v>
      </c>
      <c r="B47" s="26"/>
      <c r="C47" s="26"/>
      <c r="D47" s="171"/>
      <c r="E47" s="27"/>
      <c r="F47" s="28"/>
      <c r="G47" s="30">
        <f t="shared" si="0"/>
        <v>0</v>
      </c>
      <c r="H47" s="26"/>
    </row>
    <row r="48" spans="1:8" s="29" customFormat="1" ht="18.75" hidden="1" customHeight="1" x14ac:dyDescent="0.2">
      <c r="A48" s="26">
        <v>45</v>
      </c>
      <c r="B48" s="26"/>
      <c r="C48" s="26"/>
      <c r="D48" s="171"/>
      <c r="E48" s="27"/>
      <c r="F48" s="28"/>
      <c r="G48" s="30">
        <f t="shared" si="0"/>
        <v>0</v>
      </c>
      <c r="H48" s="26"/>
    </row>
    <row r="49" spans="1:8" s="29" customFormat="1" ht="18.75" hidden="1" customHeight="1" x14ac:dyDescent="0.2">
      <c r="A49" s="26">
        <v>46</v>
      </c>
      <c r="B49" s="26"/>
      <c r="C49" s="26"/>
      <c r="D49" s="171"/>
      <c r="E49" s="27"/>
      <c r="F49" s="28"/>
      <c r="G49" s="30">
        <f t="shared" si="0"/>
        <v>0</v>
      </c>
      <c r="H49" s="26"/>
    </row>
    <row r="50" spans="1:8" s="29" customFormat="1" ht="18.75" hidden="1" customHeight="1" x14ac:dyDescent="0.2">
      <c r="A50" s="26">
        <v>47</v>
      </c>
      <c r="B50" s="26"/>
      <c r="C50" s="26"/>
      <c r="D50" s="171"/>
      <c r="E50" s="27"/>
      <c r="F50" s="28"/>
      <c r="G50" s="30">
        <f t="shared" si="0"/>
        <v>0</v>
      </c>
      <c r="H50" s="26"/>
    </row>
    <row r="51" spans="1:8" s="29" customFormat="1" ht="18.75" hidden="1" customHeight="1" x14ac:dyDescent="0.2">
      <c r="A51" s="26">
        <v>48</v>
      </c>
      <c r="B51" s="26"/>
      <c r="C51" s="26"/>
      <c r="D51" s="171"/>
      <c r="E51" s="27"/>
      <c r="F51" s="28"/>
      <c r="G51" s="30">
        <f t="shared" si="0"/>
        <v>0</v>
      </c>
      <c r="H51" s="26"/>
    </row>
    <row r="52" spans="1:8" s="29" customFormat="1" ht="18.75" hidden="1" customHeight="1" x14ac:dyDescent="0.2">
      <c r="A52" s="26">
        <v>49</v>
      </c>
      <c r="B52" s="26"/>
      <c r="C52" s="26"/>
      <c r="D52" s="171"/>
      <c r="E52" s="27"/>
      <c r="F52" s="28"/>
      <c r="G52" s="30">
        <f t="shared" si="0"/>
        <v>0</v>
      </c>
      <c r="H52" s="26"/>
    </row>
    <row r="53" spans="1:8" s="29" customFormat="1" ht="18.75" hidden="1" customHeight="1" x14ac:dyDescent="0.2">
      <c r="A53" s="26">
        <v>50</v>
      </c>
      <c r="B53" s="26"/>
      <c r="C53" s="26"/>
      <c r="D53" s="171"/>
      <c r="E53" s="27"/>
      <c r="F53" s="28"/>
      <c r="G53" s="30">
        <f t="shared" si="0"/>
        <v>0</v>
      </c>
      <c r="H53" s="26"/>
    </row>
    <row r="54" spans="1:8" s="29" customFormat="1" ht="18.75" hidden="1" customHeight="1" x14ac:dyDescent="0.2">
      <c r="A54" s="26">
        <v>51</v>
      </c>
      <c r="B54" s="26"/>
      <c r="C54" s="26"/>
      <c r="D54" s="171"/>
      <c r="E54" s="27"/>
      <c r="F54" s="28"/>
      <c r="G54" s="30">
        <f t="shared" si="0"/>
        <v>0</v>
      </c>
      <c r="H54" s="26"/>
    </row>
    <row r="55" spans="1:8" s="29" customFormat="1" ht="18.75" hidden="1" customHeight="1" x14ac:dyDescent="0.2">
      <c r="A55" s="26">
        <v>52</v>
      </c>
      <c r="B55" s="26"/>
      <c r="C55" s="26"/>
      <c r="D55" s="171"/>
      <c r="E55" s="27"/>
      <c r="F55" s="28"/>
      <c r="G55" s="30">
        <f t="shared" si="0"/>
        <v>0</v>
      </c>
      <c r="H55" s="26"/>
    </row>
    <row r="56" spans="1:8" s="29" customFormat="1" ht="18.75" hidden="1" customHeight="1" x14ac:dyDescent="0.2">
      <c r="A56" s="26">
        <v>53</v>
      </c>
      <c r="B56" s="26"/>
      <c r="C56" s="26"/>
      <c r="D56" s="171"/>
      <c r="E56" s="27"/>
      <c r="F56" s="28"/>
      <c r="G56" s="30">
        <f t="shared" si="0"/>
        <v>0</v>
      </c>
      <c r="H56" s="26"/>
    </row>
    <row r="57" spans="1:8" s="29" customFormat="1" hidden="1" x14ac:dyDescent="0.2">
      <c r="A57" s="26">
        <v>54</v>
      </c>
      <c r="B57" s="26"/>
      <c r="C57" s="26"/>
      <c r="D57" s="171"/>
      <c r="E57" s="27"/>
      <c r="F57" s="28"/>
      <c r="G57" s="30">
        <f t="shared" si="0"/>
        <v>0</v>
      </c>
      <c r="H57" s="26"/>
    </row>
    <row r="58" spans="1:8" s="29" customFormat="1" hidden="1" x14ac:dyDescent="0.2">
      <c r="A58" s="26">
        <v>55</v>
      </c>
      <c r="B58" s="26"/>
      <c r="C58" s="26"/>
      <c r="D58" s="171"/>
      <c r="E58" s="27"/>
      <c r="F58" s="28"/>
      <c r="G58" s="30">
        <f t="shared" si="0"/>
        <v>0</v>
      </c>
      <c r="H58" s="26"/>
    </row>
    <row r="59" spans="1:8" s="29" customFormat="1" hidden="1" x14ac:dyDescent="0.2">
      <c r="A59" s="26">
        <v>56</v>
      </c>
      <c r="B59" s="26"/>
      <c r="C59" s="26"/>
      <c r="D59" s="171"/>
      <c r="E59" s="27"/>
      <c r="F59" s="28"/>
      <c r="G59" s="30">
        <f t="shared" si="0"/>
        <v>0</v>
      </c>
      <c r="H59" s="26"/>
    </row>
    <row r="60" spans="1:8" s="29" customFormat="1" hidden="1" x14ac:dyDescent="0.2">
      <c r="A60" s="26">
        <v>57</v>
      </c>
      <c r="B60" s="26"/>
      <c r="C60" s="26"/>
      <c r="D60" s="171"/>
      <c r="E60" s="27"/>
      <c r="F60" s="28"/>
      <c r="G60" s="30">
        <f t="shared" ref="G60:G83" si="3">F60*E60</f>
        <v>0</v>
      </c>
      <c r="H60" s="26"/>
    </row>
    <row r="61" spans="1:8" s="29" customFormat="1" hidden="1" x14ac:dyDescent="0.2">
      <c r="A61" s="26">
        <v>58</v>
      </c>
      <c r="B61" s="26"/>
      <c r="C61" s="26"/>
      <c r="D61" s="171"/>
      <c r="E61" s="27"/>
      <c r="F61" s="28"/>
      <c r="G61" s="30">
        <f t="shared" si="3"/>
        <v>0</v>
      </c>
      <c r="H61" s="26"/>
    </row>
    <row r="62" spans="1:8" s="29" customFormat="1" hidden="1" x14ac:dyDescent="0.2">
      <c r="A62" s="26">
        <v>59</v>
      </c>
      <c r="B62" s="26"/>
      <c r="C62" s="26"/>
      <c r="D62" s="171"/>
      <c r="E62" s="27"/>
      <c r="F62" s="28"/>
      <c r="G62" s="30">
        <f t="shared" si="3"/>
        <v>0</v>
      </c>
      <c r="H62" s="26"/>
    </row>
    <row r="63" spans="1:8" s="29" customFormat="1" hidden="1" x14ac:dyDescent="0.2">
      <c r="A63" s="26">
        <v>60</v>
      </c>
      <c r="B63" s="26"/>
      <c r="C63" s="26"/>
      <c r="D63" s="171"/>
      <c r="E63" s="27"/>
      <c r="F63" s="28"/>
      <c r="G63" s="30">
        <f t="shared" si="3"/>
        <v>0</v>
      </c>
      <c r="H63" s="26"/>
    </row>
    <row r="64" spans="1:8" s="29" customFormat="1" hidden="1" x14ac:dyDescent="0.2">
      <c r="A64" s="26">
        <v>61</v>
      </c>
      <c r="B64" s="26"/>
      <c r="C64" s="26"/>
      <c r="D64" s="171"/>
      <c r="E64" s="27"/>
      <c r="F64" s="28"/>
      <c r="G64" s="30">
        <f t="shared" si="3"/>
        <v>0</v>
      </c>
      <c r="H64" s="26"/>
    </row>
    <row r="65" spans="1:8" s="29" customFormat="1" hidden="1" x14ac:dyDescent="0.2">
      <c r="A65" s="26">
        <v>62</v>
      </c>
      <c r="B65" s="26"/>
      <c r="C65" s="26"/>
      <c r="D65" s="171"/>
      <c r="E65" s="27"/>
      <c r="F65" s="28"/>
      <c r="G65" s="30">
        <f t="shared" si="3"/>
        <v>0</v>
      </c>
      <c r="H65" s="26"/>
    </row>
    <row r="66" spans="1:8" s="29" customFormat="1" hidden="1" x14ac:dyDescent="0.2">
      <c r="A66" s="26">
        <v>63</v>
      </c>
      <c r="B66" s="26"/>
      <c r="C66" s="26"/>
      <c r="D66" s="171"/>
      <c r="E66" s="27"/>
      <c r="F66" s="28"/>
      <c r="G66" s="30">
        <f t="shared" si="3"/>
        <v>0</v>
      </c>
      <c r="H66" s="26"/>
    </row>
    <row r="67" spans="1:8" s="29" customFormat="1" hidden="1" x14ac:dyDescent="0.2">
      <c r="A67" s="26">
        <v>64</v>
      </c>
      <c r="B67" s="26"/>
      <c r="C67" s="26"/>
      <c r="D67" s="171"/>
      <c r="E67" s="27"/>
      <c r="F67" s="28"/>
      <c r="G67" s="30">
        <f t="shared" si="3"/>
        <v>0</v>
      </c>
      <c r="H67" s="26"/>
    </row>
    <row r="68" spans="1:8" s="29" customFormat="1" hidden="1" x14ac:dyDescent="0.2">
      <c r="A68" s="26">
        <v>65</v>
      </c>
      <c r="B68" s="26"/>
      <c r="C68" s="26"/>
      <c r="D68" s="171"/>
      <c r="E68" s="27"/>
      <c r="F68" s="28"/>
      <c r="G68" s="30">
        <f t="shared" si="3"/>
        <v>0</v>
      </c>
      <c r="H68" s="26"/>
    </row>
    <row r="69" spans="1:8" s="29" customFormat="1" hidden="1" x14ac:dyDescent="0.2">
      <c r="A69" s="26">
        <v>66</v>
      </c>
      <c r="B69" s="26"/>
      <c r="C69" s="26"/>
      <c r="D69" s="171"/>
      <c r="E69" s="27"/>
      <c r="F69" s="28"/>
      <c r="G69" s="30">
        <f t="shared" si="3"/>
        <v>0</v>
      </c>
      <c r="H69" s="26"/>
    </row>
    <row r="70" spans="1:8" s="29" customFormat="1" hidden="1" x14ac:dyDescent="0.2">
      <c r="A70" s="26">
        <v>67</v>
      </c>
      <c r="B70" s="26"/>
      <c r="C70" s="26"/>
      <c r="D70" s="171"/>
      <c r="E70" s="27"/>
      <c r="F70" s="28"/>
      <c r="G70" s="30">
        <f t="shared" si="3"/>
        <v>0</v>
      </c>
      <c r="H70" s="26"/>
    </row>
    <row r="71" spans="1:8" s="29" customFormat="1" hidden="1" x14ac:dyDescent="0.2">
      <c r="A71" s="26">
        <v>68</v>
      </c>
      <c r="B71" s="26"/>
      <c r="C71" s="26"/>
      <c r="D71" s="171"/>
      <c r="E71" s="27"/>
      <c r="F71" s="28"/>
      <c r="G71" s="30">
        <f t="shared" si="3"/>
        <v>0</v>
      </c>
      <c r="H71" s="26"/>
    </row>
    <row r="72" spans="1:8" s="29" customFormat="1" hidden="1" x14ac:dyDescent="0.2">
      <c r="A72" s="26">
        <v>69</v>
      </c>
      <c r="B72" s="26"/>
      <c r="C72" s="26"/>
      <c r="D72" s="171"/>
      <c r="E72" s="27"/>
      <c r="F72" s="28"/>
      <c r="G72" s="30">
        <f t="shared" si="3"/>
        <v>0</v>
      </c>
      <c r="H72" s="26"/>
    </row>
    <row r="73" spans="1:8" s="29" customFormat="1" hidden="1" x14ac:dyDescent="0.2">
      <c r="A73" s="26">
        <v>70</v>
      </c>
      <c r="B73" s="26"/>
      <c r="C73" s="26"/>
      <c r="D73" s="171"/>
      <c r="E73" s="27"/>
      <c r="F73" s="28"/>
      <c r="G73" s="30">
        <f t="shared" si="3"/>
        <v>0</v>
      </c>
      <c r="H73" s="26"/>
    </row>
    <row r="74" spans="1:8" s="29" customFormat="1" hidden="1" x14ac:dyDescent="0.2">
      <c r="A74" s="26">
        <v>71</v>
      </c>
      <c r="B74" s="26"/>
      <c r="C74" s="26"/>
      <c r="D74" s="171"/>
      <c r="E74" s="27"/>
      <c r="F74" s="28"/>
      <c r="G74" s="30">
        <f t="shared" si="3"/>
        <v>0</v>
      </c>
      <c r="H74" s="26"/>
    </row>
    <row r="75" spans="1:8" s="29" customFormat="1" hidden="1" x14ac:dyDescent="0.2">
      <c r="A75" s="26">
        <v>72</v>
      </c>
      <c r="B75" s="26"/>
      <c r="C75" s="26"/>
      <c r="D75" s="171"/>
      <c r="E75" s="27"/>
      <c r="F75" s="28"/>
      <c r="G75" s="30">
        <f t="shared" si="3"/>
        <v>0</v>
      </c>
      <c r="H75" s="26"/>
    </row>
    <row r="76" spans="1:8" s="29" customFormat="1" hidden="1" x14ac:dyDescent="0.2">
      <c r="A76" s="26">
        <v>73</v>
      </c>
      <c r="B76" s="26"/>
      <c r="C76" s="26"/>
      <c r="D76" s="171"/>
      <c r="E76" s="27"/>
      <c r="F76" s="28"/>
      <c r="G76" s="30">
        <f t="shared" si="3"/>
        <v>0</v>
      </c>
      <c r="H76" s="26"/>
    </row>
    <row r="77" spans="1:8" s="29" customFormat="1" hidden="1" x14ac:dyDescent="0.2">
      <c r="A77" s="26">
        <v>74</v>
      </c>
      <c r="B77" s="26"/>
      <c r="C77" s="26"/>
      <c r="D77" s="171"/>
      <c r="E77" s="27"/>
      <c r="F77" s="28"/>
      <c r="G77" s="30">
        <f t="shared" si="3"/>
        <v>0</v>
      </c>
      <c r="H77" s="26"/>
    </row>
    <row r="78" spans="1:8" s="29" customFormat="1" hidden="1" x14ac:dyDescent="0.2">
      <c r="A78" s="26">
        <v>75</v>
      </c>
      <c r="B78" s="26"/>
      <c r="C78" s="26"/>
      <c r="D78" s="171"/>
      <c r="E78" s="27"/>
      <c r="F78" s="28"/>
      <c r="G78" s="30">
        <f t="shared" si="3"/>
        <v>0</v>
      </c>
      <c r="H78" s="26"/>
    </row>
    <row r="79" spans="1:8" s="29" customFormat="1" hidden="1" x14ac:dyDescent="0.2">
      <c r="A79" s="26">
        <v>76</v>
      </c>
      <c r="B79" s="26"/>
      <c r="C79" s="26"/>
      <c r="D79" s="171"/>
      <c r="E79" s="27"/>
      <c r="F79" s="28"/>
      <c r="G79" s="30">
        <f t="shared" si="3"/>
        <v>0</v>
      </c>
      <c r="H79" s="26"/>
    </row>
    <row r="80" spans="1:8" s="29" customFormat="1" hidden="1" x14ac:dyDescent="0.2">
      <c r="A80" s="26">
        <v>77</v>
      </c>
      <c r="B80" s="26"/>
      <c r="C80" s="26"/>
      <c r="D80" s="171"/>
      <c r="E80" s="27"/>
      <c r="F80" s="28"/>
      <c r="G80" s="30">
        <f t="shared" si="3"/>
        <v>0</v>
      </c>
      <c r="H80" s="26"/>
    </row>
    <row r="81" spans="1:8" s="29" customFormat="1" hidden="1" x14ac:dyDescent="0.2">
      <c r="A81" s="26">
        <v>78</v>
      </c>
      <c r="B81" s="26"/>
      <c r="C81" s="26"/>
      <c r="D81" s="171"/>
      <c r="E81" s="27"/>
      <c r="F81" s="28"/>
      <c r="G81" s="30">
        <f t="shared" si="3"/>
        <v>0</v>
      </c>
      <c r="H81" s="26"/>
    </row>
    <row r="82" spans="1:8" s="29" customFormat="1" hidden="1" x14ac:dyDescent="0.2">
      <c r="A82" s="26">
        <v>79</v>
      </c>
      <c r="B82" s="26"/>
      <c r="C82" s="26"/>
      <c r="D82" s="171"/>
      <c r="E82" s="27"/>
      <c r="F82" s="28"/>
      <c r="G82" s="30">
        <f t="shared" si="3"/>
        <v>0</v>
      </c>
      <c r="H82" s="26"/>
    </row>
    <row r="83" spans="1:8" s="29" customFormat="1" hidden="1" x14ac:dyDescent="0.2">
      <c r="A83" s="26">
        <v>80</v>
      </c>
      <c r="B83" s="26"/>
      <c r="C83" s="26"/>
      <c r="D83" s="171"/>
      <c r="E83" s="27"/>
      <c r="F83" s="28"/>
      <c r="G83" s="30">
        <f t="shared" si="3"/>
        <v>0</v>
      </c>
      <c r="H83" s="26"/>
    </row>
    <row r="84" spans="1:8" s="29" customFormat="1" hidden="1" x14ac:dyDescent="0.2">
      <c r="A84" s="26">
        <v>81</v>
      </c>
      <c r="B84" s="26"/>
      <c r="C84" s="26"/>
      <c r="D84" s="171"/>
      <c r="E84" s="27"/>
      <c r="F84" s="28"/>
      <c r="G84" s="30">
        <f t="shared" ref="G84:G90" si="4">F84*E84</f>
        <v>0</v>
      </c>
      <c r="H84" s="26"/>
    </row>
    <row r="85" spans="1:8" s="29" customFormat="1" hidden="1" x14ac:dyDescent="0.2">
      <c r="A85" s="26">
        <v>82</v>
      </c>
      <c r="B85" s="26"/>
      <c r="C85" s="26"/>
      <c r="D85" s="171"/>
      <c r="E85" s="27"/>
      <c r="F85" s="28"/>
      <c r="G85" s="30">
        <f t="shared" si="4"/>
        <v>0</v>
      </c>
      <c r="H85" s="26"/>
    </row>
    <row r="86" spans="1:8" s="29" customFormat="1" hidden="1" x14ac:dyDescent="0.2">
      <c r="A86" s="26">
        <v>83</v>
      </c>
      <c r="B86" s="26"/>
      <c r="C86" s="26"/>
      <c r="D86" s="171"/>
      <c r="E86" s="27"/>
      <c r="F86" s="28"/>
      <c r="G86" s="30">
        <f t="shared" si="4"/>
        <v>0</v>
      </c>
      <c r="H86" s="26"/>
    </row>
    <row r="87" spans="1:8" s="29" customFormat="1" hidden="1" x14ac:dyDescent="0.2">
      <c r="A87" s="26">
        <v>84</v>
      </c>
      <c r="B87" s="26"/>
      <c r="C87" s="26"/>
      <c r="D87" s="171"/>
      <c r="E87" s="27"/>
      <c r="F87" s="28"/>
      <c r="G87" s="30">
        <f t="shared" si="4"/>
        <v>0</v>
      </c>
      <c r="H87" s="26"/>
    </row>
    <row r="88" spans="1:8" s="29" customFormat="1" hidden="1" x14ac:dyDescent="0.2">
      <c r="A88" s="26">
        <v>85</v>
      </c>
      <c r="B88" s="26"/>
      <c r="C88" s="26"/>
      <c r="D88" s="171"/>
      <c r="E88" s="27"/>
      <c r="F88" s="28"/>
      <c r="G88" s="30">
        <f t="shared" si="4"/>
        <v>0</v>
      </c>
      <c r="H88" s="26"/>
    </row>
    <row r="89" spans="1:8" s="29" customFormat="1" hidden="1" x14ac:dyDescent="0.2">
      <c r="A89" s="26">
        <v>86</v>
      </c>
      <c r="B89" s="26"/>
      <c r="C89" s="26"/>
      <c r="D89" s="171"/>
      <c r="E89" s="27"/>
      <c r="F89" s="28"/>
      <c r="G89" s="30">
        <f t="shared" si="4"/>
        <v>0</v>
      </c>
      <c r="H89" s="26"/>
    </row>
    <row r="90" spans="1:8" s="29" customFormat="1" hidden="1" x14ac:dyDescent="0.2">
      <c r="A90" s="26">
        <v>87</v>
      </c>
      <c r="B90" s="26"/>
      <c r="C90" s="26"/>
      <c r="D90" s="171"/>
      <c r="E90" s="27"/>
      <c r="F90" s="28"/>
      <c r="G90" s="30">
        <f t="shared" si="4"/>
        <v>0</v>
      </c>
      <c r="H90" s="26"/>
    </row>
    <row r="91" spans="1:8" ht="29.25" customHeight="1" x14ac:dyDescent="0.2">
      <c r="A91" s="319"/>
      <c r="B91" s="319"/>
      <c r="C91" s="319"/>
      <c r="D91" s="319"/>
      <c r="E91" s="320" t="s">
        <v>60</v>
      </c>
      <c r="F91" s="321">
        <f>SUM(F4:F90)</f>
        <v>125</v>
      </c>
      <c r="G91" s="322">
        <f>SUM(G4:G90)</f>
        <v>3180000</v>
      </c>
      <c r="H91" s="323"/>
    </row>
    <row r="114" spans="2:2" x14ac:dyDescent="0.2">
      <c r="B114" s="22"/>
    </row>
    <row r="115" spans="2:2" x14ac:dyDescent="0.2">
      <c r="B115" s="22"/>
    </row>
    <row r="116" spans="2:2" x14ac:dyDescent="0.2">
      <c r="B116" s="22"/>
    </row>
    <row r="117" spans="2:2" x14ac:dyDescent="0.2">
      <c r="B117" s="22"/>
    </row>
    <row r="118" spans="2:2" x14ac:dyDescent="0.2">
      <c r="B118" s="22"/>
    </row>
    <row r="119" spans="2:2" x14ac:dyDescent="0.2">
      <c r="B119" s="22"/>
    </row>
    <row r="120" spans="2:2" x14ac:dyDescent="0.2">
      <c r="B120" s="22"/>
    </row>
    <row r="121" spans="2:2" x14ac:dyDescent="0.2">
      <c r="B121" s="22"/>
    </row>
    <row r="122" spans="2:2" x14ac:dyDescent="0.2">
      <c r="B122" s="22"/>
    </row>
    <row r="123" spans="2:2" x14ac:dyDescent="0.2">
      <c r="B123" s="22"/>
    </row>
    <row r="124" spans="2:2" x14ac:dyDescent="0.2">
      <c r="B124" s="22"/>
    </row>
    <row r="125" spans="2:2" x14ac:dyDescent="0.2">
      <c r="B125" s="22"/>
    </row>
    <row r="126" spans="2:2" x14ac:dyDescent="0.2">
      <c r="B126" s="22"/>
    </row>
    <row r="127" spans="2:2" x14ac:dyDescent="0.2">
      <c r="B127" s="8"/>
    </row>
  </sheetData>
  <sheetProtection formatRows="0"/>
  <mergeCells count="2">
    <mergeCell ref="A1:H1"/>
    <mergeCell ref="A2:H2"/>
  </mergeCells>
  <phoneticPr fontId="11" type="noConversion"/>
  <conditionalFormatting sqref="A4:H90">
    <cfRule type="expression" dxfId="29" priority="1">
      <formula>ISODD(ROW())</formula>
    </cfRule>
  </conditionalFormatting>
  <dataValidations count="1">
    <dataValidation type="list" allowBlank="1" showInputMessage="1" showErrorMessage="1" sqref="B4:B90">
      <formula1>Bens</formula1>
    </dataValidation>
  </dataValidations>
  <pageMargins left="0.19685039370078741" right="0.19685039370078741" top="0.59055118110236227" bottom="0.59055118110236227" header="0" footer="0"/>
  <pageSetup paperSize="9" scale="75" fitToHeight="0" orientation="landscape" r:id="rId1"/>
  <headerFooter>
    <oddFooter>Página &amp;P de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pageSetUpPr fitToPage="1"/>
  </sheetPr>
  <dimension ref="A1:H621"/>
  <sheetViews>
    <sheetView zoomScaleNormal="100" zoomScaleSheetLayoutView="100" workbookViewId="0">
      <pane ySplit="3" topLeftCell="A4" activePane="bottomLeft" state="frozen"/>
      <selection activeCell="C112" sqref="C112"/>
      <selection pane="bottomLeft" activeCell="G7" sqref="G7"/>
    </sheetView>
  </sheetViews>
  <sheetFormatPr defaultRowHeight="12.75" x14ac:dyDescent="0.2"/>
  <cols>
    <col min="1" max="1" width="4.7109375" style="87" customWidth="1"/>
    <col min="2" max="2" width="30.85546875" style="12" customWidth="1"/>
    <col min="3" max="3" width="12.85546875" style="87" bestFit="1" customWidth="1"/>
    <col min="4" max="5" width="10.140625" style="87" customWidth="1"/>
    <col min="6" max="6" width="31.5703125" style="12" customWidth="1"/>
    <col min="7" max="7" width="36" style="88" customWidth="1"/>
    <col min="8" max="8" width="14.140625" style="87" customWidth="1"/>
    <col min="9" max="16384" width="9.140625" style="85"/>
  </cols>
  <sheetData>
    <row r="1" spans="1:8" ht="44.25" customHeight="1" x14ac:dyDescent="0.2">
      <c r="A1" s="385" t="str">
        <f>Capa!A1</f>
        <v>Memória de Cálculo
Contrato de Gestão nº 008/2021 celebrado entre a SEJUSP e o Instituto Elo</v>
      </c>
      <c r="B1" s="385"/>
      <c r="C1" s="385"/>
      <c r="D1" s="385"/>
      <c r="E1" s="385"/>
      <c r="F1" s="385"/>
      <c r="G1" s="385"/>
      <c r="H1" s="385"/>
    </row>
    <row r="2" spans="1:8" ht="23.25" customHeight="1" x14ac:dyDescent="0.2">
      <c r="A2" s="394" t="s">
        <v>488</v>
      </c>
      <c r="B2" s="394"/>
      <c r="C2" s="394"/>
      <c r="D2" s="394"/>
      <c r="E2" s="394"/>
      <c r="F2" s="394"/>
      <c r="G2" s="394"/>
      <c r="H2" s="394"/>
    </row>
    <row r="3" spans="1:8" ht="43.5" customHeight="1" x14ac:dyDescent="0.2">
      <c r="A3" s="325" t="s">
        <v>489</v>
      </c>
      <c r="B3" s="325" t="s">
        <v>471</v>
      </c>
      <c r="C3" s="325" t="s">
        <v>115</v>
      </c>
      <c r="D3" s="325" t="s">
        <v>490</v>
      </c>
      <c r="E3" s="325" t="s">
        <v>491</v>
      </c>
      <c r="F3" s="325" t="s">
        <v>100</v>
      </c>
      <c r="G3" s="325" t="s">
        <v>492</v>
      </c>
      <c r="H3" s="325" t="s">
        <v>493</v>
      </c>
    </row>
    <row r="4" spans="1:8" ht="45" x14ac:dyDescent="0.2">
      <c r="A4" s="89">
        <v>1</v>
      </c>
      <c r="B4" s="90" t="s">
        <v>311</v>
      </c>
      <c r="C4" s="78">
        <v>5000</v>
      </c>
      <c r="D4" s="170">
        <v>46023</v>
      </c>
      <c r="E4" s="170">
        <v>47088</v>
      </c>
      <c r="F4" s="324" t="s">
        <v>102</v>
      </c>
      <c r="G4" s="91" t="s">
        <v>494</v>
      </c>
      <c r="H4" s="135">
        <f>IFERROR((DATEDIF(D4,E4,"M")+1)*C4,0)</f>
        <v>180000</v>
      </c>
    </row>
    <row r="5" spans="1:8" ht="22.5" x14ac:dyDescent="0.2">
      <c r="A5" s="89">
        <v>2</v>
      </c>
      <c r="B5" s="90" t="s">
        <v>235</v>
      </c>
      <c r="C5" s="78">
        <v>22500</v>
      </c>
      <c r="D5" s="170">
        <v>46023</v>
      </c>
      <c r="E5" s="170">
        <v>47088</v>
      </c>
      <c r="F5" s="324" t="s">
        <v>102</v>
      </c>
      <c r="G5" s="91" t="s">
        <v>495</v>
      </c>
      <c r="H5" s="135">
        <f t="shared" ref="H5:H63" si="0">IFERROR((DATEDIF(D5,E5,"M")+1)*C5,0)</f>
        <v>810000</v>
      </c>
    </row>
    <row r="6" spans="1:8" ht="22.5" x14ac:dyDescent="0.2">
      <c r="A6" s="89">
        <v>3</v>
      </c>
      <c r="B6" s="90" t="s">
        <v>237</v>
      </c>
      <c r="C6" s="78">
        <v>1500</v>
      </c>
      <c r="D6" s="170">
        <v>46023</v>
      </c>
      <c r="E6" s="170">
        <v>47088</v>
      </c>
      <c r="F6" s="324" t="s">
        <v>102</v>
      </c>
      <c r="G6" s="91" t="s">
        <v>496</v>
      </c>
      <c r="H6" s="135">
        <f t="shared" si="0"/>
        <v>54000</v>
      </c>
    </row>
    <row r="7" spans="1:8" ht="22.5" x14ac:dyDescent="0.2">
      <c r="A7" s="89">
        <v>4</v>
      </c>
      <c r="B7" s="90" t="s">
        <v>227</v>
      </c>
      <c r="C7" s="78">
        <v>1500</v>
      </c>
      <c r="D7" s="170">
        <v>46023</v>
      </c>
      <c r="E7" s="170">
        <v>47088</v>
      </c>
      <c r="F7" s="324" t="s">
        <v>102</v>
      </c>
      <c r="G7" s="91" t="s">
        <v>586</v>
      </c>
      <c r="H7" s="135">
        <f t="shared" si="0"/>
        <v>54000</v>
      </c>
    </row>
    <row r="8" spans="1:8" ht="33.75" x14ac:dyDescent="0.2">
      <c r="A8" s="89">
        <v>5</v>
      </c>
      <c r="B8" s="360" t="s">
        <v>313</v>
      </c>
      <c r="C8" s="361">
        <v>5000</v>
      </c>
      <c r="D8" s="170">
        <v>46023</v>
      </c>
      <c r="E8" s="170">
        <v>46023</v>
      </c>
      <c r="F8" s="360" t="s">
        <v>102</v>
      </c>
      <c r="G8" s="362" t="s">
        <v>498</v>
      </c>
      <c r="H8" s="135">
        <f t="shared" si="0"/>
        <v>5000</v>
      </c>
    </row>
    <row r="9" spans="1:8" ht="33.75" x14ac:dyDescent="0.2">
      <c r="A9" s="89">
        <v>6</v>
      </c>
      <c r="B9" s="90" t="s">
        <v>285</v>
      </c>
      <c r="C9" s="78">
        <v>6000</v>
      </c>
      <c r="D9" s="170">
        <v>46023</v>
      </c>
      <c r="E9" s="170">
        <v>47118</v>
      </c>
      <c r="F9" s="324" t="s">
        <v>102</v>
      </c>
      <c r="G9" s="91" t="s">
        <v>499</v>
      </c>
      <c r="H9" s="135">
        <f t="shared" si="0"/>
        <v>216000</v>
      </c>
    </row>
    <row r="10" spans="1:8" ht="33.75" x14ac:dyDescent="0.2">
      <c r="A10" s="89">
        <v>7</v>
      </c>
      <c r="B10" s="90" t="s">
        <v>315</v>
      </c>
      <c r="C10" s="78">
        <v>3000</v>
      </c>
      <c r="D10" s="170">
        <v>46023</v>
      </c>
      <c r="E10" s="170">
        <v>47118</v>
      </c>
      <c r="F10" s="324" t="s">
        <v>102</v>
      </c>
      <c r="G10" s="91" t="s">
        <v>500</v>
      </c>
      <c r="H10" s="135">
        <f t="shared" si="0"/>
        <v>108000</v>
      </c>
    </row>
    <row r="11" spans="1:8" ht="22.5" x14ac:dyDescent="0.2">
      <c r="A11" s="89">
        <v>8</v>
      </c>
      <c r="B11" s="90" t="s">
        <v>237</v>
      </c>
      <c r="C11" s="78">
        <v>1000</v>
      </c>
      <c r="D11" s="170">
        <v>46023</v>
      </c>
      <c r="E11" s="170">
        <v>47088</v>
      </c>
      <c r="F11" s="324" t="s">
        <v>102</v>
      </c>
      <c r="G11" s="91" t="s">
        <v>501</v>
      </c>
      <c r="H11" s="135">
        <f t="shared" si="0"/>
        <v>36000</v>
      </c>
    </row>
    <row r="12" spans="1:8" ht="33.75" x14ac:dyDescent="0.2">
      <c r="A12" s="89">
        <v>9</v>
      </c>
      <c r="B12" s="90" t="s">
        <v>249</v>
      </c>
      <c r="C12" s="78">
        <v>400</v>
      </c>
      <c r="D12" s="170">
        <v>46023</v>
      </c>
      <c r="E12" s="170">
        <v>47118</v>
      </c>
      <c r="F12" s="324" t="s">
        <v>102</v>
      </c>
      <c r="G12" s="91" t="s">
        <v>502</v>
      </c>
      <c r="H12" s="135">
        <f t="shared" si="0"/>
        <v>14400</v>
      </c>
    </row>
    <row r="13" spans="1:8" ht="22.5" x14ac:dyDescent="0.2">
      <c r="A13" s="89">
        <v>10</v>
      </c>
      <c r="B13" s="90" t="s">
        <v>317</v>
      </c>
      <c r="C13" s="78">
        <v>1500</v>
      </c>
      <c r="D13" s="170">
        <v>46023</v>
      </c>
      <c r="E13" s="170">
        <v>46023</v>
      </c>
      <c r="F13" s="324" t="s">
        <v>102</v>
      </c>
      <c r="G13" s="91" t="s">
        <v>503</v>
      </c>
      <c r="H13" s="135">
        <f t="shared" si="0"/>
        <v>1500</v>
      </c>
    </row>
    <row r="14" spans="1:8" ht="22.5" x14ac:dyDescent="0.2">
      <c r="A14" s="89">
        <v>11</v>
      </c>
      <c r="B14" s="90" t="s">
        <v>197</v>
      </c>
      <c r="C14" s="78">
        <v>3000</v>
      </c>
      <c r="D14" s="170">
        <v>46023</v>
      </c>
      <c r="E14" s="170">
        <v>47118</v>
      </c>
      <c r="F14" s="324" t="s">
        <v>102</v>
      </c>
      <c r="G14" s="91" t="s">
        <v>504</v>
      </c>
      <c r="H14" s="135">
        <f t="shared" si="0"/>
        <v>108000</v>
      </c>
    </row>
    <row r="15" spans="1:8" ht="22.5" x14ac:dyDescent="0.2">
      <c r="A15" s="89">
        <v>12</v>
      </c>
      <c r="B15" s="90" t="s">
        <v>199</v>
      </c>
      <c r="C15" s="78">
        <v>4500</v>
      </c>
      <c r="D15" s="170">
        <v>46023</v>
      </c>
      <c r="E15" s="170">
        <v>47118</v>
      </c>
      <c r="F15" s="324" t="s">
        <v>102</v>
      </c>
      <c r="G15" s="91" t="s">
        <v>505</v>
      </c>
      <c r="H15" s="135">
        <f t="shared" si="0"/>
        <v>162000</v>
      </c>
    </row>
    <row r="16" spans="1:8" ht="22.5" x14ac:dyDescent="0.2">
      <c r="A16" s="89">
        <v>13</v>
      </c>
      <c r="B16" s="90" t="s">
        <v>209</v>
      </c>
      <c r="C16" s="78">
        <v>80000</v>
      </c>
      <c r="D16" s="170">
        <v>46388</v>
      </c>
      <c r="E16" s="170">
        <v>46722</v>
      </c>
      <c r="F16" s="90" t="s">
        <v>101</v>
      </c>
      <c r="G16" s="91" t="s">
        <v>603</v>
      </c>
      <c r="H16" s="135">
        <f t="shared" si="0"/>
        <v>960000</v>
      </c>
    </row>
    <row r="17" spans="1:8" ht="22.5" x14ac:dyDescent="0.2">
      <c r="A17" s="89">
        <v>14</v>
      </c>
      <c r="B17" s="90" t="s">
        <v>237</v>
      </c>
      <c r="C17" s="78">
        <v>2000</v>
      </c>
      <c r="D17" s="170">
        <v>46023</v>
      </c>
      <c r="E17" s="170">
        <v>47088</v>
      </c>
      <c r="F17" s="324" t="s">
        <v>102</v>
      </c>
      <c r="G17" s="91" t="s">
        <v>506</v>
      </c>
      <c r="H17" s="135">
        <f t="shared" si="0"/>
        <v>72000</v>
      </c>
    </row>
    <row r="18" spans="1:8" ht="22.5" x14ac:dyDescent="0.2">
      <c r="A18" s="89">
        <v>15</v>
      </c>
      <c r="B18" s="90" t="s">
        <v>235</v>
      </c>
      <c r="C18" s="78">
        <v>22500</v>
      </c>
      <c r="D18" s="170">
        <v>46023</v>
      </c>
      <c r="E18" s="170">
        <v>47088</v>
      </c>
      <c r="F18" s="324" t="s">
        <v>102</v>
      </c>
      <c r="G18" s="91" t="s">
        <v>495</v>
      </c>
      <c r="H18" s="135">
        <f t="shared" si="0"/>
        <v>810000</v>
      </c>
    </row>
    <row r="19" spans="1:8" ht="22.5" x14ac:dyDescent="0.2">
      <c r="A19" s="89">
        <v>16</v>
      </c>
      <c r="B19" s="90" t="s">
        <v>227</v>
      </c>
      <c r="C19" s="78">
        <v>2500</v>
      </c>
      <c r="D19" s="170">
        <v>46023</v>
      </c>
      <c r="E19" s="170">
        <v>47088</v>
      </c>
      <c r="F19" s="324" t="s">
        <v>102</v>
      </c>
      <c r="G19" s="91" t="s">
        <v>508</v>
      </c>
      <c r="H19" s="135">
        <f t="shared" si="0"/>
        <v>90000</v>
      </c>
    </row>
    <row r="20" spans="1:8" ht="22.5" x14ac:dyDescent="0.2">
      <c r="A20" s="89">
        <v>17</v>
      </c>
      <c r="B20" s="90" t="s">
        <v>237</v>
      </c>
      <c r="C20" s="78">
        <v>1000</v>
      </c>
      <c r="D20" s="170">
        <v>46023</v>
      </c>
      <c r="E20" s="170">
        <v>47088</v>
      </c>
      <c r="F20" s="324" t="s">
        <v>102</v>
      </c>
      <c r="G20" s="91" t="s">
        <v>509</v>
      </c>
      <c r="H20" s="135">
        <f t="shared" si="0"/>
        <v>36000</v>
      </c>
    </row>
    <row r="21" spans="1:8" ht="33.75" x14ac:dyDescent="0.2">
      <c r="A21" s="89">
        <v>18</v>
      </c>
      <c r="B21" s="90" t="s">
        <v>313</v>
      </c>
      <c r="C21" s="78">
        <v>10000</v>
      </c>
      <c r="D21" s="170">
        <v>46023</v>
      </c>
      <c r="E21" s="170">
        <v>46023</v>
      </c>
      <c r="F21" s="324" t="s">
        <v>102</v>
      </c>
      <c r="G21" s="91" t="s">
        <v>606</v>
      </c>
      <c r="H21" s="135">
        <f t="shared" si="0"/>
        <v>10000</v>
      </c>
    </row>
    <row r="22" spans="1:8" ht="22.5" x14ac:dyDescent="0.2">
      <c r="A22" s="89">
        <v>19</v>
      </c>
      <c r="B22" s="90" t="s">
        <v>237</v>
      </c>
      <c r="C22" s="78">
        <v>1000</v>
      </c>
      <c r="D22" s="170">
        <v>46023</v>
      </c>
      <c r="E22" s="170">
        <v>47088</v>
      </c>
      <c r="F22" s="324" t="s">
        <v>102</v>
      </c>
      <c r="G22" s="91" t="s">
        <v>512</v>
      </c>
      <c r="H22" s="135">
        <f t="shared" si="0"/>
        <v>36000</v>
      </c>
    </row>
    <row r="23" spans="1:8" ht="45" x14ac:dyDescent="0.2">
      <c r="A23" s="89">
        <v>20</v>
      </c>
      <c r="B23" s="90" t="s">
        <v>285</v>
      </c>
      <c r="C23" s="78">
        <v>200000</v>
      </c>
      <c r="D23" s="170">
        <v>46082</v>
      </c>
      <c r="E23" s="170">
        <v>46082</v>
      </c>
      <c r="F23" s="324" t="s">
        <v>105</v>
      </c>
      <c r="G23" s="91" t="s">
        <v>597</v>
      </c>
      <c r="H23" s="135">
        <f t="shared" si="0"/>
        <v>200000</v>
      </c>
    </row>
    <row r="24" spans="1:8" x14ac:dyDescent="0.2">
      <c r="A24" s="89">
        <v>21</v>
      </c>
      <c r="B24" s="90" t="s">
        <v>317</v>
      </c>
      <c r="C24" s="78">
        <v>3000</v>
      </c>
      <c r="D24" s="170">
        <v>46023</v>
      </c>
      <c r="E24" s="170">
        <v>46023</v>
      </c>
      <c r="F24" s="324" t="s">
        <v>102</v>
      </c>
      <c r="G24" s="91" t="s">
        <v>607</v>
      </c>
      <c r="H24" s="135">
        <f t="shared" si="0"/>
        <v>3000</v>
      </c>
    </row>
    <row r="25" spans="1:8" ht="22.5" x14ac:dyDescent="0.2">
      <c r="A25" s="89">
        <v>22</v>
      </c>
      <c r="B25" s="90" t="s">
        <v>209</v>
      </c>
      <c r="C25" s="78">
        <v>85000</v>
      </c>
      <c r="D25" s="170">
        <v>46753</v>
      </c>
      <c r="E25" s="170">
        <v>47088</v>
      </c>
      <c r="F25" s="90" t="s">
        <v>101</v>
      </c>
      <c r="G25" s="91" t="s">
        <v>603</v>
      </c>
      <c r="H25" s="135">
        <f t="shared" si="0"/>
        <v>1020000</v>
      </c>
    </row>
    <row r="26" spans="1:8" x14ac:dyDescent="0.2">
      <c r="A26" s="89">
        <v>23</v>
      </c>
      <c r="B26" s="90" t="s">
        <v>201</v>
      </c>
      <c r="C26" s="78">
        <v>2000</v>
      </c>
      <c r="D26" s="170">
        <v>46023</v>
      </c>
      <c r="E26" s="170">
        <v>47088</v>
      </c>
      <c r="F26" s="324" t="s">
        <v>102</v>
      </c>
      <c r="G26" s="91" t="s">
        <v>506</v>
      </c>
      <c r="H26" s="135">
        <f t="shared" si="0"/>
        <v>72000</v>
      </c>
    </row>
    <row r="27" spans="1:8" x14ac:dyDescent="0.2">
      <c r="A27" s="89">
        <v>24</v>
      </c>
      <c r="B27" s="90" t="s">
        <v>257</v>
      </c>
      <c r="C27" s="78">
        <v>1500</v>
      </c>
      <c r="D27" s="170">
        <v>46023</v>
      </c>
      <c r="E27" s="170">
        <v>46023</v>
      </c>
      <c r="F27" s="324" t="s">
        <v>102</v>
      </c>
      <c r="G27" s="91" t="s">
        <v>520</v>
      </c>
      <c r="H27" s="135">
        <f t="shared" si="0"/>
        <v>1500</v>
      </c>
    </row>
    <row r="28" spans="1:8" ht="22.5" x14ac:dyDescent="0.2">
      <c r="A28" s="89">
        <v>25</v>
      </c>
      <c r="B28" s="90" t="s">
        <v>275</v>
      </c>
      <c r="C28" s="78">
        <v>2000</v>
      </c>
      <c r="D28" s="170">
        <v>46023</v>
      </c>
      <c r="E28" s="170">
        <v>47088</v>
      </c>
      <c r="F28" s="324" t="s">
        <v>102</v>
      </c>
      <c r="G28" s="91" t="s">
        <v>599</v>
      </c>
      <c r="H28" s="135">
        <f t="shared" si="0"/>
        <v>72000</v>
      </c>
    </row>
    <row r="29" spans="1:8" ht="22.5" x14ac:dyDescent="0.2">
      <c r="A29" s="89">
        <v>26</v>
      </c>
      <c r="B29" s="90" t="s">
        <v>323</v>
      </c>
      <c r="C29" s="78">
        <v>50000</v>
      </c>
      <c r="D29" s="170">
        <v>46174</v>
      </c>
      <c r="E29" s="170">
        <v>46174</v>
      </c>
      <c r="F29" s="324" t="s">
        <v>102</v>
      </c>
      <c r="G29" s="91" t="s">
        <v>608</v>
      </c>
      <c r="H29" s="135">
        <f t="shared" si="0"/>
        <v>50000</v>
      </c>
    </row>
    <row r="30" spans="1:8" ht="22.5" x14ac:dyDescent="0.2">
      <c r="A30" s="89">
        <v>27</v>
      </c>
      <c r="B30" s="90" t="s">
        <v>325</v>
      </c>
      <c r="C30" s="78">
        <v>1500</v>
      </c>
      <c r="D30" s="170">
        <v>46023</v>
      </c>
      <c r="E30" s="170">
        <v>47118</v>
      </c>
      <c r="F30" s="324" t="s">
        <v>102</v>
      </c>
      <c r="G30" s="91" t="s">
        <v>510</v>
      </c>
      <c r="H30" s="135">
        <f t="shared" si="0"/>
        <v>54000</v>
      </c>
    </row>
    <row r="31" spans="1:8" ht="22.5" x14ac:dyDescent="0.2">
      <c r="A31" s="89">
        <v>28</v>
      </c>
      <c r="B31" s="90" t="s">
        <v>327</v>
      </c>
      <c r="C31" s="78">
        <v>2000</v>
      </c>
      <c r="D31" s="170">
        <v>46023</v>
      </c>
      <c r="E31" s="170">
        <v>47118</v>
      </c>
      <c r="F31" s="324" t="s">
        <v>102</v>
      </c>
      <c r="G31" s="91" t="s">
        <v>511</v>
      </c>
      <c r="H31" s="135">
        <f t="shared" si="0"/>
        <v>72000</v>
      </c>
    </row>
    <row r="32" spans="1:8" ht="22.5" x14ac:dyDescent="0.2">
      <c r="A32" s="89">
        <v>29</v>
      </c>
      <c r="B32" s="90" t="s">
        <v>265</v>
      </c>
      <c r="C32" s="78">
        <v>3500</v>
      </c>
      <c r="D32" s="170">
        <v>46023</v>
      </c>
      <c r="E32" s="170">
        <v>47088</v>
      </c>
      <c r="F32" s="324" t="s">
        <v>102</v>
      </c>
      <c r="G32" s="91" t="s">
        <v>512</v>
      </c>
      <c r="H32" s="135">
        <f t="shared" si="0"/>
        <v>126000</v>
      </c>
    </row>
    <row r="33" spans="1:8" ht="22.5" x14ac:dyDescent="0.2">
      <c r="A33" s="89">
        <v>30</v>
      </c>
      <c r="B33" s="90" t="s">
        <v>329</v>
      </c>
      <c r="C33" s="78">
        <v>2000</v>
      </c>
      <c r="D33" s="170">
        <v>46023</v>
      </c>
      <c r="E33" s="170">
        <v>47088</v>
      </c>
      <c r="F33" s="324" t="s">
        <v>102</v>
      </c>
      <c r="G33" s="91" t="s">
        <v>513</v>
      </c>
      <c r="H33" s="135">
        <f t="shared" si="0"/>
        <v>72000</v>
      </c>
    </row>
    <row r="34" spans="1:8" x14ac:dyDescent="0.2">
      <c r="A34" s="89">
        <v>31</v>
      </c>
      <c r="B34" s="90" t="s">
        <v>239</v>
      </c>
      <c r="C34" s="78">
        <v>20000</v>
      </c>
      <c r="D34" s="170">
        <v>46023</v>
      </c>
      <c r="E34" s="170">
        <v>46023</v>
      </c>
      <c r="F34" s="324" t="s">
        <v>102</v>
      </c>
      <c r="G34" s="91" t="s">
        <v>609</v>
      </c>
      <c r="H34" s="135">
        <f t="shared" si="0"/>
        <v>20000</v>
      </c>
    </row>
    <row r="35" spans="1:8" x14ac:dyDescent="0.2">
      <c r="A35" s="89">
        <v>32</v>
      </c>
      <c r="B35" s="90" t="s">
        <v>239</v>
      </c>
      <c r="C35" s="78">
        <v>5000</v>
      </c>
      <c r="D35" s="170">
        <v>46023</v>
      </c>
      <c r="E35" s="170">
        <v>46023</v>
      </c>
      <c r="F35" s="324" t="s">
        <v>102</v>
      </c>
      <c r="G35" s="91" t="s">
        <v>515</v>
      </c>
      <c r="H35" s="135">
        <f t="shared" si="0"/>
        <v>5000</v>
      </c>
    </row>
    <row r="36" spans="1:8" x14ac:dyDescent="0.2">
      <c r="A36" s="89">
        <v>33</v>
      </c>
      <c r="B36" s="90" t="s">
        <v>331</v>
      </c>
      <c r="C36" s="78">
        <v>2500</v>
      </c>
      <c r="D36" s="170">
        <v>46023</v>
      </c>
      <c r="E36" s="170">
        <v>47088</v>
      </c>
      <c r="F36" s="324" t="s">
        <v>102</v>
      </c>
      <c r="G36" s="91"/>
      <c r="H36" s="135">
        <f t="shared" si="0"/>
        <v>90000</v>
      </c>
    </row>
    <row r="37" spans="1:8" ht="33.75" x14ac:dyDescent="0.2">
      <c r="A37" s="89">
        <v>34</v>
      </c>
      <c r="B37" s="90" t="s">
        <v>333</v>
      </c>
      <c r="C37" s="78">
        <v>200</v>
      </c>
      <c r="D37" s="170">
        <v>46023</v>
      </c>
      <c r="E37" s="170">
        <v>47118</v>
      </c>
      <c r="F37" s="324" t="s">
        <v>102</v>
      </c>
      <c r="G37" s="91" t="s">
        <v>517</v>
      </c>
      <c r="H37" s="135">
        <f t="shared" si="0"/>
        <v>7200</v>
      </c>
    </row>
    <row r="38" spans="1:8" x14ac:dyDescent="0.2">
      <c r="A38" s="89">
        <v>35</v>
      </c>
      <c r="B38" s="360" t="s">
        <v>277</v>
      </c>
      <c r="C38" s="361">
        <v>2000</v>
      </c>
      <c r="D38" s="170">
        <v>46023</v>
      </c>
      <c r="E38" s="170">
        <v>47088</v>
      </c>
      <c r="F38" s="360" t="s">
        <v>102</v>
      </c>
      <c r="G38" s="91" t="s">
        <v>518</v>
      </c>
      <c r="H38" s="135">
        <f t="shared" si="0"/>
        <v>72000</v>
      </c>
    </row>
    <row r="39" spans="1:8" ht="33.75" x14ac:dyDescent="0.2">
      <c r="A39" s="89">
        <v>36</v>
      </c>
      <c r="B39" s="90" t="s">
        <v>309</v>
      </c>
      <c r="C39" s="78">
        <v>4000</v>
      </c>
      <c r="D39" s="170">
        <v>46023</v>
      </c>
      <c r="E39" s="170">
        <v>47118</v>
      </c>
      <c r="F39" s="324" t="s">
        <v>102</v>
      </c>
      <c r="G39" s="91" t="s">
        <v>519</v>
      </c>
      <c r="H39" s="135">
        <f t="shared" si="0"/>
        <v>144000</v>
      </c>
    </row>
    <row r="40" spans="1:8" ht="22.5" x14ac:dyDescent="0.2">
      <c r="A40" s="89">
        <v>37</v>
      </c>
      <c r="B40" s="90" t="s">
        <v>303</v>
      </c>
      <c r="C40" s="78">
        <v>4000</v>
      </c>
      <c r="D40" s="170">
        <v>46023</v>
      </c>
      <c r="E40" s="170">
        <v>47088</v>
      </c>
      <c r="F40" s="324" t="s">
        <v>102</v>
      </c>
      <c r="G40" s="91" t="s">
        <v>600</v>
      </c>
      <c r="H40" s="135">
        <f t="shared" si="0"/>
        <v>144000</v>
      </c>
    </row>
    <row r="41" spans="1:8" x14ac:dyDescent="0.2">
      <c r="A41" s="89">
        <v>38</v>
      </c>
      <c r="B41" s="90" t="s">
        <v>295</v>
      </c>
      <c r="C41" s="78">
        <v>3000</v>
      </c>
      <c r="D41" s="170">
        <v>46023</v>
      </c>
      <c r="E41" s="170">
        <v>47118</v>
      </c>
      <c r="F41" s="324" t="s">
        <v>102</v>
      </c>
      <c r="G41" s="91" t="s">
        <v>521</v>
      </c>
      <c r="H41" s="135">
        <f t="shared" si="0"/>
        <v>108000</v>
      </c>
    </row>
    <row r="42" spans="1:8" ht="33.75" x14ac:dyDescent="0.2">
      <c r="A42" s="89">
        <v>39</v>
      </c>
      <c r="B42" s="90" t="s">
        <v>285</v>
      </c>
      <c r="C42" s="78">
        <v>200000</v>
      </c>
      <c r="D42" s="170">
        <v>46844</v>
      </c>
      <c r="E42" s="170">
        <v>46844</v>
      </c>
      <c r="F42" s="324" t="s">
        <v>108</v>
      </c>
      <c r="G42" s="91" t="s">
        <v>604</v>
      </c>
      <c r="H42" s="135">
        <f t="shared" si="0"/>
        <v>200000</v>
      </c>
    </row>
    <row r="43" spans="1:8" x14ac:dyDescent="0.2">
      <c r="A43" s="89">
        <v>40</v>
      </c>
      <c r="B43" s="90" t="s">
        <v>337</v>
      </c>
      <c r="C43" s="78">
        <v>2300</v>
      </c>
      <c r="D43" s="170">
        <v>46023</v>
      </c>
      <c r="E43" s="170">
        <v>47088</v>
      </c>
      <c r="F43" s="324" t="s">
        <v>102</v>
      </c>
      <c r="G43" s="91" t="s">
        <v>523</v>
      </c>
      <c r="H43" s="135">
        <f t="shared" si="0"/>
        <v>82800</v>
      </c>
    </row>
    <row r="44" spans="1:8" ht="22.5" x14ac:dyDescent="0.2">
      <c r="A44" s="89">
        <v>41</v>
      </c>
      <c r="B44" s="90" t="s">
        <v>339</v>
      </c>
      <c r="C44" s="78">
        <v>3000</v>
      </c>
      <c r="D44" s="170">
        <v>46023</v>
      </c>
      <c r="E44" s="170">
        <v>47088</v>
      </c>
      <c r="F44" s="324" t="s">
        <v>109</v>
      </c>
      <c r="G44" s="91" t="s">
        <v>524</v>
      </c>
      <c r="H44" s="135">
        <f t="shared" si="0"/>
        <v>108000</v>
      </c>
    </row>
    <row r="45" spans="1:8" ht="22.5" x14ac:dyDescent="0.2">
      <c r="A45" s="89">
        <v>42</v>
      </c>
      <c r="B45" s="90" t="s">
        <v>199</v>
      </c>
      <c r="C45" s="78">
        <v>5000</v>
      </c>
      <c r="D45" s="170">
        <v>46023</v>
      </c>
      <c r="E45" s="170">
        <v>47088</v>
      </c>
      <c r="F45" s="324" t="s">
        <v>109</v>
      </c>
      <c r="G45" s="91" t="s">
        <v>505</v>
      </c>
      <c r="H45" s="135">
        <f t="shared" si="0"/>
        <v>180000</v>
      </c>
    </row>
    <row r="46" spans="1:8" ht="33.75" x14ac:dyDescent="0.2">
      <c r="A46" s="89">
        <v>43</v>
      </c>
      <c r="B46" s="90" t="s">
        <v>273</v>
      </c>
      <c r="C46" s="78">
        <v>2000</v>
      </c>
      <c r="D46" s="170">
        <v>46023</v>
      </c>
      <c r="E46" s="170">
        <v>47088</v>
      </c>
      <c r="F46" s="324" t="s">
        <v>109</v>
      </c>
      <c r="G46" s="91" t="s">
        <v>525</v>
      </c>
      <c r="H46" s="135">
        <f t="shared" si="0"/>
        <v>72000</v>
      </c>
    </row>
    <row r="47" spans="1:8" x14ac:dyDescent="0.2">
      <c r="A47" s="89">
        <v>44</v>
      </c>
      <c r="B47" s="90" t="s">
        <v>277</v>
      </c>
      <c r="C47" s="78">
        <v>2000</v>
      </c>
      <c r="D47" s="170">
        <v>46023</v>
      </c>
      <c r="E47" s="170">
        <v>47088</v>
      </c>
      <c r="F47" s="324" t="s">
        <v>109</v>
      </c>
      <c r="G47" s="91" t="s">
        <v>518</v>
      </c>
      <c r="H47" s="135">
        <f t="shared" si="0"/>
        <v>72000</v>
      </c>
    </row>
    <row r="48" spans="1:8" ht="22.5" x14ac:dyDescent="0.2">
      <c r="A48" s="89">
        <v>45</v>
      </c>
      <c r="B48" s="90" t="s">
        <v>231</v>
      </c>
      <c r="C48" s="78">
        <v>1200</v>
      </c>
      <c r="D48" s="170">
        <v>46023</v>
      </c>
      <c r="E48" s="170">
        <v>47088</v>
      </c>
      <c r="F48" s="324" t="s">
        <v>109</v>
      </c>
      <c r="G48" s="91" t="s">
        <v>528</v>
      </c>
      <c r="H48" s="135">
        <f t="shared" si="0"/>
        <v>43200</v>
      </c>
    </row>
    <row r="49" spans="1:8" ht="22.5" x14ac:dyDescent="0.2">
      <c r="A49" s="89">
        <v>46</v>
      </c>
      <c r="B49" s="90" t="s">
        <v>197</v>
      </c>
      <c r="C49" s="78">
        <v>6000</v>
      </c>
      <c r="D49" s="170">
        <v>46023</v>
      </c>
      <c r="E49" s="170">
        <v>47088</v>
      </c>
      <c r="F49" s="324" t="s">
        <v>109</v>
      </c>
      <c r="G49" s="91" t="s">
        <v>504</v>
      </c>
      <c r="H49" s="135">
        <f t="shared" si="0"/>
        <v>216000</v>
      </c>
    </row>
    <row r="50" spans="1:8" ht="22.5" x14ac:dyDescent="0.2">
      <c r="A50" s="89">
        <v>47</v>
      </c>
      <c r="B50" s="90" t="s">
        <v>301</v>
      </c>
      <c r="C50" s="78">
        <v>23000</v>
      </c>
      <c r="D50" s="170">
        <v>46113</v>
      </c>
      <c r="E50" s="170">
        <v>46113</v>
      </c>
      <c r="F50" s="324" t="s">
        <v>109</v>
      </c>
      <c r="G50" s="91" t="s">
        <v>529</v>
      </c>
      <c r="H50" s="135">
        <f t="shared" si="0"/>
        <v>23000</v>
      </c>
    </row>
    <row r="51" spans="1:8" ht="33.75" x14ac:dyDescent="0.2">
      <c r="A51" s="89">
        <v>48</v>
      </c>
      <c r="B51" s="90" t="s">
        <v>285</v>
      </c>
      <c r="C51" s="78">
        <v>300000</v>
      </c>
      <c r="D51" s="170">
        <v>46174</v>
      </c>
      <c r="E51" s="170">
        <v>46174</v>
      </c>
      <c r="F51" s="324" t="s">
        <v>105</v>
      </c>
      <c r="G51" s="91" t="s">
        <v>595</v>
      </c>
      <c r="H51" s="135">
        <f t="shared" si="0"/>
        <v>300000</v>
      </c>
    </row>
    <row r="52" spans="1:8" ht="33.75" x14ac:dyDescent="0.2">
      <c r="A52" s="89">
        <v>49</v>
      </c>
      <c r="B52" s="90" t="s">
        <v>285</v>
      </c>
      <c r="C52" s="78">
        <v>250000</v>
      </c>
      <c r="D52" s="170">
        <v>46388</v>
      </c>
      <c r="E52" s="170">
        <v>46388</v>
      </c>
      <c r="F52" s="324" t="s">
        <v>106</v>
      </c>
      <c r="G52" s="91" t="s">
        <v>594</v>
      </c>
      <c r="H52" s="135">
        <f t="shared" si="0"/>
        <v>250000</v>
      </c>
    </row>
    <row r="53" spans="1:8" ht="33.75" x14ac:dyDescent="0.2">
      <c r="A53" s="89">
        <v>50</v>
      </c>
      <c r="B53" s="90" t="s">
        <v>285</v>
      </c>
      <c r="C53" s="78">
        <v>300000</v>
      </c>
      <c r="D53" s="170">
        <v>46539</v>
      </c>
      <c r="E53" s="170">
        <v>46539</v>
      </c>
      <c r="F53" s="324" t="s">
        <v>107</v>
      </c>
      <c r="G53" s="91" t="s">
        <v>595</v>
      </c>
      <c r="H53" s="135">
        <f t="shared" si="0"/>
        <v>300000</v>
      </c>
    </row>
    <row r="54" spans="1:8" ht="22.5" x14ac:dyDescent="0.2">
      <c r="A54" s="89">
        <v>51</v>
      </c>
      <c r="B54" s="90" t="s">
        <v>315</v>
      </c>
      <c r="C54" s="78">
        <v>50000</v>
      </c>
      <c r="D54" s="170">
        <v>46143</v>
      </c>
      <c r="E54" s="170">
        <v>46143</v>
      </c>
      <c r="F54" s="90" t="s">
        <v>109</v>
      </c>
      <c r="G54" s="91" t="s">
        <v>601</v>
      </c>
      <c r="H54" s="135">
        <f t="shared" si="0"/>
        <v>50000</v>
      </c>
    </row>
    <row r="55" spans="1:8" ht="22.5" x14ac:dyDescent="0.2">
      <c r="A55" s="89">
        <v>52</v>
      </c>
      <c r="B55" s="90" t="s">
        <v>209</v>
      </c>
      <c r="C55" s="78">
        <v>80000</v>
      </c>
      <c r="D55" s="170">
        <v>46722</v>
      </c>
      <c r="E55" s="170">
        <v>46722</v>
      </c>
      <c r="F55" s="90" t="s">
        <v>101</v>
      </c>
      <c r="G55" s="91" t="s">
        <v>592</v>
      </c>
      <c r="H55" s="135">
        <f t="shared" si="0"/>
        <v>80000</v>
      </c>
    </row>
    <row r="56" spans="1:8" x14ac:dyDescent="0.2">
      <c r="A56" s="89">
        <v>53</v>
      </c>
      <c r="B56" s="90" t="s">
        <v>201</v>
      </c>
      <c r="C56" s="78">
        <v>2000</v>
      </c>
      <c r="D56" s="170">
        <v>46023</v>
      </c>
      <c r="E56" s="170">
        <v>47088</v>
      </c>
      <c r="F56" s="324" t="s">
        <v>109</v>
      </c>
      <c r="G56" s="91" t="s">
        <v>506</v>
      </c>
      <c r="H56" s="135">
        <f t="shared" si="0"/>
        <v>72000</v>
      </c>
    </row>
    <row r="57" spans="1:8" ht="22.5" x14ac:dyDescent="0.2">
      <c r="A57" s="89">
        <v>54</v>
      </c>
      <c r="B57" s="90" t="s">
        <v>257</v>
      </c>
      <c r="C57" s="78">
        <v>1500</v>
      </c>
      <c r="D57" s="170">
        <v>46023</v>
      </c>
      <c r="E57" s="170">
        <v>46023</v>
      </c>
      <c r="F57" s="324" t="s">
        <v>109</v>
      </c>
      <c r="G57" s="91" t="s">
        <v>507</v>
      </c>
      <c r="H57" s="135">
        <f t="shared" si="0"/>
        <v>1500</v>
      </c>
    </row>
    <row r="58" spans="1:8" ht="22.5" x14ac:dyDescent="0.2">
      <c r="A58" s="89">
        <v>55</v>
      </c>
      <c r="B58" s="90" t="s">
        <v>275</v>
      </c>
      <c r="C58" s="78">
        <v>2500</v>
      </c>
      <c r="D58" s="170">
        <v>46023</v>
      </c>
      <c r="E58" s="170">
        <v>47088</v>
      </c>
      <c r="F58" s="324" t="s">
        <v>109</v>
      </c>
      <c r="G58" s="91" t="s">
        <v>599</v>
      </c>
      <c r="H58" s="135">
        <f t="shared" si="0"/>
        <v>90000</v>
      </c>
    </row>
    <row r="59" spans="1:8" ht="22.5" x14ac:dyDescent="0.2">
      <c r="A59" s="89">
        <v>56</v>
      </c>
      <c r="B59" s="90" t="s">
        <v>323</v>
      </c>
      <c r="C59" s="78">
        <v>20000</v>
      </c>
      <c r="D59" s="170">
        <v>46174</v>
      </c>
      <c r="E59" s="170">
        <v>46174</v>
      </c>
      <c r="F59" s="324" t="s">
        <v>109</v>
      </c>
      <c r="G59" s="91" t="s">
        <v>509</v>
      </c>
      <c r="H59" s="135">
        <f t="shared" si="0"/>
        <v>20000</v>
      </c>
    </row>
    <row r="60" spans="1:8" ht="22.5" x14ac:dyDescent="0.2">
      <c r="A60" s="89">
        <v>57</v>
      </c>
      <c r="B60" s="90" t="s">
        <v>325</v>
      </c>
      <c r="C60" s="78">
        <v>1500</v>
      </c>
      <c r="D60" s="170">
        <v>46023</v>
      </c>
      <c r="E60" s="170">
        <v>47088</v>
      </c>
      <c r="F60" s="324" t="s">
        <v>109</v>
      </c>
      <c r="G60" s="91" t="s">
        <v>510</v>
      </c>
      <c r="H60" s="135">
        <f t="shared" si="0"/>
        <v>54000</v>
      </c>
    </row>
    <row r="61" spans="1:8" ht="22.5" x14ac:dyDescent="0.2">
      <c r="A61" s="89">
        <v>58</v>
      </c>
      <c r="B61" s="90" t="s">
        <v>327</v>
      </c>
      <c r="C61" s="78">
        <v>1500</v>
      </c>
      <c r="D61" s="170">
        <v>46023</v>
      </c>
      <c r="E61" s="170">
        <v>47088</v>
      </c>
      <c r="F61" s="324" t="s">
        <v>109</v>
      </c>
      <c r="G61" s="91" t="s">
        <v>511</v>
      </c>
      <c r="H61" s="135">
        <f t="shared" si="0"/>
        <v>54000</v>
      </c>
    </row>
    <row r="62" spans="1:8" ht="22.5" x14ac:dyDescent="0.2">
      <c r="A62" s="89">
        <v>59</v>
      </c>
      <c r="B62" s="90" t="s">
        <v>265</v>
      </c>
      <c r="C62" s="78">
        <v>3500</v>
      </c>
      <c r="D62" s="170">
        <v>46023</v>
      </c>
      <c r="E62" s="170">
        <v>47088</v>
      </c>
      <c r="F62" s="324" t="s">
        <v>109</v>
      </c>
      <c r="G62" s="91" t="s">
        <v>512</v>
      </c>
      <c r="H62" s="135">
        <f t="shared" si="0"/>
        <v>126000</v>
      </c>
    </row>
    <row r="63" spans="1:8" ht="22.5" x14ac:dyDescent="0.2">
      <c r="A63" s="89">
        <v>60</v>
      </c>
      <c r="B63" s="90" t="s">
        <v>329</v>
      </c>
      <c r="C63" s="78">
        <v>1000</v>
      </c>
      <c r="D63" s="170">
        <v>46023</v>
      </c>
      <c r="E63" s="170">
        <v>47088</v>
      </c>
      <c r="F63" s="324" t="s">
        <v>109</v>
      </c>
      <c r="G63" s="91" t="s">
        <v>513</v>
      </c>
      <c r="H63" s="135">
        <f t="shared" si="0"/>
        <v>36000</v>
      </c>
    </row>
    <row r="64" spans="1:8" x14ac:dyDescent="0.2">
      <c r="A64" s="89">
        <v>61</v>
      </c>
      <c r="B64" s="90" t="s">
        <v>239</v>
      </c>
      <c r="C64" s="78">
        <v>15000</v>
      </c>
      <c r="D64" s="170">
        <v>46023</v>
      </c>
      <c r="E64" s="170">
        <v>46023</v>
      </c>
      <c r="F64" s="324" t="s">
        <v>109</v>
      </c>
      <c r="G64" s="91" t="s">
        <v>514</v>
      </c>
      <c r="H64" s="135">
        <f t="shared" ref="H64:H125" si="1">IFERROR((DATEDIF(D64,E64,"M")+1)*C64,0)</f>
        <v>15000</v>
      </c>
    </row>
    <row r="65" spans="1:8" x14ac:dyDescent="0.2">
      <c r="A65" s="89">
        <v>62</v>
      </c>
      <c r="B65" s="90" t="s">
        <v>239</v>
      </c>
      <c r="C65" s="78">
        <v>10000</v>
      </c>
      <c r="D65" s="170">
        <v>46023</v>
      </c>
      <c r="E65" s="170">
        <v>46023</v>
      </c>
      <c r="F65" s="324" t="s">
        <v>109</v>
      </c>
      <c r="G65" s="91" t="s">
        <v>515</v>
      </c>
      <c r="H65" s="135">
        <f t="shared" si="1"/>
        <v>10000</v>
      </c>
    </row>
    <row r="66" spans="1:8" x14ac:dyDescent="0.2">
      <c r="A66" s="89">
        <v>63</v>
      </c>
      <c r="B66" s="90" t="s">
        <v>331</v>
      </c>
      <c r="C66" s="78">
        <v>1000</v>
      </c>
      <c r="D66" s="170">
        <v>46023</v>
      </c>
      <c r="E66" s="170">
        <v>46357</v>
      </c>
      <c r="F66" s="324" t="s">
        <v>109</v>
      </c>
      <c r="G66" s="91" t="s">
        <v>516</v>
      </c>
      <c r="H66" s="135">
        <f t="shared" si="1"/>
        <v>12000</v>
      </c>
    </row>
    <row r="67" spans="1:8" ht="33.75" x14ac:dyDescent="0.2">
      <c r="A67" s="89">
        <v>64</v>
      </c>
      <c r="B67" s="90" t="s">
        <v>333</v>
      </c>
      <c r="C67" s="78">
        <v>200</v>
      </c>
      <c r="D67" s="170">
        <v>46023</v>
      </c>
      <c r="E67" s="170">
        <v>47088</v>
      </c>
      <c r="F67" s="324" t="s">
        <v>109</v>
      </c>
      <c r="G67" s="91" t="s">
        <v>517</v>
      </c>
      <c r="H67" s="135">
        <f t="shared" si="1"/>
        <v>7200</v>
      </c>
    </row>
    <row r="68" spans="1:8" x14ac:dyDescent="0.2">
      <c r="A68" s="89">
        <v>65</v>
      </c>
      <c r="B68" s="90" t="s">
        <v>277</v>
      </c>
      <c r="C68" s="78">
        <v>1500</v>
      </c>
      <c r="D68" s="170">
        <v>46023</v>
      </c>
      <c r="E68" s="170">
        <v>47088</v>
      </c>
      <c r="F68" s="324" t="s">
        <v>109</v>
      </c>
      <c r="G68" s="91" t="s">
        <v>518</v>
      </c>
      <c r="H68" s="135">
        <f t="shared" si="1"/>
        <v>54000</v>
      </c>
    </row>
    <row r="69" spans="1:8" ht="33.75" x14ac:dyDescent="0.2">
      <c r="A69" s="89">
        <v>66</v>
      </c>
      <c r="B69" s="90" t="s">
        <v>309</v>
      </c>
      <c r="C69" s="78">
        <v>3000</v>
      </c>
      <c r="D69" s="170">
        <v>46023</v>
      </c>
      <c r="E69" s="170">
        <v>47088</v>
      </c>
      <c r="F69" s="324" t="s">
        <v>109</v>
      </c>
      <c r="G69" s="91" t="s">
        <v>519</v>
      </c>
      <c r="H69" s="135">
        <f t="shared" si="1"/>
        <v>108000</v>
      </c>
    </row>
    <row r="70" spans="1:8" ht="22.5" x14ac:dyDescent="0.2">
      <c r="A70" s="89">
        <v>67</v>
      </c>
      <c r="B70" s="90" t="s">
        <v>303</v>
      </c>
      <c r="C70" s="78">
        <v>3500</v>
      </c>
      <c r="D70" s="170">
        <v>46023</v>
      </c>
      <c r="E70" s="170">
        <v>47088</v>
      </c>
      <c r="F70" s="324" t="s">
        <v>109</v>
      </c>
      <c r="G70" s="91" t="s">
        <v>600</v>
      </c>
      <c r="H70" s="135">
        <f t="shared" si="1"/>
        <v>126000</v>
      </c>
    </row>
    <row r="71" spans="1:8" x14ac:dyDescent="0.2">
      <c r="A71" s="89">
        <v>68</v>
      </c>
      <c r="B71" s="90" t="s">
        <v>295</v>
      </c>
      <c r="C71" s="78">
        <v>3000</v>
      </c>
      <c r="D71" s="170">
        <v>46023</v>
      </c>
      <c r="E71" s="170">
        <v>47088</v>
      </c>
      <c r="F71" s="324" t="s">
        <v>109</v>
      </c>
      <c r="G71" s="91" t="s">
        <v>521</v>
      </c>
      <c r="H71" s="135">
        <f t="shared" si="1"/>
        <v>108000</v>
      </c>
    </row>
    <row r="72" spans="1:8" ht="22.5" x14ac:dyDescent="0.2">
      <c r="A72" s="89">
        <v>69</v>
      </c>
      <c r="B72" s="90" t="s">
        <v>335</v>
      </c>
      <c r="C72" s="78">
        <v>500</v>
      </c>
      <c r="D72" s="170">
        <v>46023</v>
      </c>
      <c r="E72" s="170">
        <v>47088</v>
      </c>
      <c r="F72" s="324" t="s">
        <v>109</v>
      </c>
      <c r="G72" s="91" t="s">
        <v>522</v>
      </c>
      <c r="H72" s="135">
        <f t="shared" si="1"/>
        <v>18000</v>
      </c>
    </row>
    <row r="73" spans="1:8" x14ac:dyDescent="0.2">
      <c r="A73" s="89">
        <v>70</v>
      </c>
      <c r="B73" s="90" t="s">
        <v>337</v>
      </c>
      <c r="C73" s="78">
        <v>1300</v>
      </c>
      <c r="D73" s="170">
        <v>46023</v>
      </c>
      <c r="E73" s="170">
        <v>47088</v>
      </c>
      <c r="F73" s="324" t="s">
        <v>109</v>
      </c>
      <c r="G73" s="91" t="s">
        <v>523</v>
      </c>
      <c r="H73" s="135">
        <f t="shared" si="1"/>
        <v>46800</v>
      </c>
    </row>
    <row r="74" spans="1:8" ht="22.5" x14ac:dyDescent="0.2">
      <c r="A74" s="89">
        <v>71</v>
      </c>
      <c r="B74" s="90" t="s">
        <v>339</v>
      </c>
      <c r="C74" s="78">
        <v>3000</v>
      </c>
      <c r="D74" s="170">
        <v>46023</v>
      </c>
      <c r="E74" s="170">
        <v>47088</v>
      </c>
      <c r="F74" s="324" t="s">
        <v>109</v>
      </c>
      <c r="G74" s="91" t="s">
        <v>524</v>
      </c>
      <c r="H74" s="135">
        <f t="shared" si="1"/>
        <v>108000</v>
      </c>
    </row>
    <row r="75" spans="1:8" ht="33.75" x14ac:dyDescent="0.2">
      <c r="A75" s="89">
        <v>72</v>
      </c>
      <c r="B75" s="90" t="s">
        <v>273</v>
      </c>
      <c r="C75" s="78">
        <v>800</v>
      </c>
      <c r="D75" s="170">
        <v>46023</v>
      </c>
      <c r="E75" s="170">
        <v>47088</v>
      </c>
      <c r="F75" s="324" t="s">
        <v>109</v>
      </c>
      <c r="G75" s="91" t="s">
        <v>525</v>
      </c>
      <c r="H75" s="135">
        <f t="shared" si="1"/>
        <v>28800</v>
      </c>
    </row>
    <row r="76" spans="1:8" ht="22.5" x14ac:dyDescent="0.2">
      <c r="A76" s="89">
        <v>73</v>
      </c>
      <c r="B76" s="90" t="s">
        <v>277</v>
      </c>
      <c r="C76" s="78">
        <v>2500</v>
      </c>
      <c r="D76" s="170">
        <v>46023</v>
      </c>
      <c r="E76" s="170">
        <v>47088</v>
      </c>
      <c r="F76" s="324" t="s">
        <v>109</v>
      </c>
      <c r="G76" s="91" t="s">
        <v>526</v>
      </c>
      <c r="H76" s="135">
        <f t="shared" si="1"/>
        <v>90000</v>
      </c>
    </row>
    <row r="77" spans="1:8" ht="22.5" x14ac:dyDescent="0.2">
      <c r="A77" s="89">
        <v>74</v>
      </c>
      <c r="B77" s="90" t="s">
        <v>269</v>
      </c>
      <c r="C77" s="78">
        <v>65000</v>
      </c>
      <c r="D77" s="170">
        <v>46023</v>
      </c>
      <c r="E77" s="170">
        <v>46357</v>
      </c>
      <c r="F77" s="324" t="s">
        <v>109</v>
      </c>
      <c r="G77" s="91" t="s">
        <v>532</v>
      </c>
      <c r="H77" s="135">
        <f t="shared" si="1"/>
        <v>780000</v>
      </c>
    </row>
    <row r="78" spans="1:8" ht="22.5" x14ac:dyDescent="0.2">
      <c r="A78" s="89">
        <v>75</v>
      </c>
      <c r="B78" s="90" t="s">
        <v>231</v>
      </c>
      <c r="C78" s="78">
        <v>1200</v>
      </c>
      <c r="D78" s="170">
        <v>46023</v>
      </c>
      <c r="E78" s="170">
        <v>47088</v>
      </c>
      <c r="F78" s="324" t="s">
        <v>109</v>
      </c>
      <c r="G78" s="91" t="s">
        <v>528</v>
      </c>
      <c r="H78" s="135">
        <f t="shared" si="1"/>
        <v>43200</v>
      </c>
    </row>
    <row r="79" spans="1:8" ht="22.5" x14ac:dyDescent="0.2">
      <c r="A79" s="89">
        <v>76</v>
      </c>
      <c r="B79" s="90" t="s">
        <v>209</v>
      </c>
      <c r="C79" s="78">
        <v>85000</v>
      </c>
      <c r="D79" s="170">
        <v>47088</v>
      </c>
      <c r="E79" s="170">
        <v>47088</v>
      </c>
      <c r="F79" s="90" t="s">
        <v>101</v>
      </c>
      <c r="G79" s="91" t="s">
        <v>593</v>
      </c>
      <c r="H79" s="135">
        <f t="shared" si="1"/>
        <v>85000</v>
      </c>
    </row>
    <row r="80" spans="1:8" ht="22.5" x14ac:dyDescent="0.2">
      <c r="A80" s="89">
        <v>77</v>
      </c>
      <c r="B80" s="90" t="s">
        <v>301</v>
      </c>
      <c r="C80" s="78">
        <v>10000</v>
      </c>
      <c r="D80" s="170">
        <v>46113</v>
      </c>
      <c r="E80" s="170">
        <v>46113</v>
      </c>
      <c r="F80" s="324" t="s">
        <v>109</v>
      </c>
      <c r="G80" s="91" t="s">
        <v>529</v>
      </c>
      <c r="H80" s="135">
        <f t="shared" si="1"/>
        <v>10000</v>
      </c>
    </row>
    <row r="81" spans="1:8" x14ac:dyDescent="0.2">
      <c r="A81" s="89">
        <v>78</v>
      </c>
      <c r="B81" s="90" t="s">
        <v>243</v>
      </c>
      <c r="C81" s="78">
        <v>30000</v>
      </c>
      <c r="D81" s="170">
        <v>46023</v>
      </c>
      <c r="E81" s="170">
        <v>46023</v>
      </c>
      <c r="F81" s="324" t="s">
        <v>105</v>
      </c>
      <c r="G81" s="91" t="s">
        <v>533</v>
      </c>
      <c r="H81" s="135">
        <f t="shared" si="1"/>
        <v>30000</v>
      </c>
    </row>
    <row r="82" spans="1:8" ht="22.5" x14ac:dyDescent="0.2">
      <c r="A82" s="89">
        <v>79</v>
      </c>
      <c r="B82" s="90" t="s">
        <v>299</v>
      </c>
      <c r="C82" s="78">
        <v>12000</v>
      </c>
      <c r="D82" s="170">
        <v>46023</v>
      </c>
      <c r="E82" s="170">
        <v>46023</v>
      </c>
      <c r="F82" s="324" t="s">
        <v>109</v>
      </c>
      <c r="G82" s="91" t="s">
        <v>530</v>
      </c>
      <c r="H82" s="135">
        <f t="shared" si="1"/>
        <v>12000</v>
      </c>
    </row>
    <row r="83" spans="1:8" ht="45" x14ac:dyDescent="0.2">
      <c r="A83" s="89">
        <v>80</v>
      </c>
      <c r="B83" s="90" t="s">
        <v>285</v>
      </c>
      <c r="C83" s="78">
        <v>300000</v>
      </c>
      <c r="D83" s="170">
        <v>46753</v>
      </c>
      <c r="E83" s="170">
        <v>46753</v>
      </c>
      <c r="F83" s="324" t="s">
        <v>103</v>
      </c>
      <c r="G83" s="91" t="s">
        <v>597</v>
      </c>
      <c r="H83" s="135">
        <f t="shared" si="1"/>
        <v>300000</v>
      </c>
    </row>
    <row r="84" spans="1:8" ht="33.75" x14ac:dyDescent="0.2">
      <c r="A84" s="89">
        <v>81</v>
      </c>
      <c r="B84" s="90" t="s">
        <v>285</v>
      </c>
      <c r="C84" s="78">
        <v>350000</v>
      </c>
      <c r="D84" s="170">
        <v>46905</v>
      </c>
      <c r="E84" s="170">
        <v>46905</v>
      </c>
      <c r="F84" s="324" t="s">
        <v>105</v>
      </c>
      <c r="G84" s="91" t="s">
        <v>595</v>
      </c>
      <c r="H84" s="135">
        <f t="shared" si="1"/>
        <v>350000</v>
      </c>
    </row>
    <row r="85" spans="1:8" ht="45" x14ac:dyDescent="0.2">
      <c r="A85" s="89">
        <v>82</v>
      </c>
      <c r="B85" s="90" t="s">
        <v>311</v>
      </c>
      <c r="C85" s="78">
        <v>10000</v>
      </c>
      <c r="D85" s="170">
        <v>46023</v>
      </c>
      <c r="E85" s="170">
        <v>47088</v>
      </c>
      <c r="F85" s="324" t="s">
        <v>103</v>
      </c>
      <c r="G85" s="91" t="s">
        <v>494</v>
      </c>
      <c r="H85" s="135">
        <f t="shared" si="1"/>
        <v>360000</v>
      </c>
    </row>
    <row r="86" spans="1:8" ht="45" x14ac:dyDescent="0.2">
      <c r="A86" s="89">
        <v>83</v>
      </c>
      <c r="B86" s="90" t="s">
        <v>237</v>
      </c>
      <c r="C86" s="78">
        <v>2500</v>
      </c>
      <c r="D86" s="170">
        <v>46023</v>
      </c>
      <c r="E86" s="170">
        <v>47088</v>
      </c>
      <c r="F86" s="324" t="s">
        <v>103</v>
      </c>
      <c r="G86" s="91" t="s">
        <v>598</v>
      </c>
      <c r="H86" s="135">
        <f t="shared" si="1"/>
        <v>90000</v>
      </c>
    </row>
    <row r="87" spans="1:8" ht="22.5" x14ac:dyDescent="0.2">
      <c r="A87" s="89">
        <v>84</v>
      </c>
      <c r="B87" s="90" t="s">
        <v>235</v>
      </c>
      <c r="C87" s="78">
        <v>22500</v>
      </c>
      <c r="D87" s="170">
        <v>46023</v>
      </c>
      <c r="E87" s="170">
        <v>47088</v>
      </c>
      <c r="F87" s="324" t="s">
        <v>103</v>
      </c>
      <c r="G87" s="91" t="s">
        <v>495</v>
      </c>
      <c r="H87" s="135">
        <f t="shared" si="1"/>
        <v>810000</v>
      </c>
    </row>
    <row r="88" spans="1:8" ht="22.5" x14ac:dyDescent="0.2">
      <c r="A88" s="89">
        <v>85</v>
      </c>
      <c r="B88" s="90" t="s">
        <v>227</v>
      </c>
      <c r="C88" s="78">
        <v>2500</v>
      </c>
      <c r="D88" s="170">
        <v>46023</v>
      </c>
      <c r="E88" s="170">
        <v>47088</v>
      </c>
      <c r="F88" s="324" t="s">
        <v>103</v>
      </c>
      <c r="G88" s="91" t="s">
        <v>586</v>
      </c>
      <c r="H88" s="135">
        <f t="shared" si="1"/>
        <v>90000</v>
      </c>
    </row>
    <row r="89" spans="1:8" ht="22.5" x14ac:dyDescent="0.2">
      <c r="A89" s="89">
        <v>86</v>
      </c>
      <c r="B89" s="90" t="s">
        <v>237</v>
      </c>
      <c r="C89" s="78">
        <v>1000</v>
      </c>
      <c r="D89" s="170">
        <v>46023</v>
      </c>
      <c r="E89" s="170">
        <v>47088</v>
      </c>
      <c r="F89" s="324" t="s">
        <v>103</v>
      </c>
      <c r="G89" s="91" t="s">
        <v>501</v>
      </c>
      <c r="H89" s="135">
        <f t="shared" si="1"/>
        <v>36000</v>
      </c>
    </row>
    <row r="90" spans="1:8" ht="33.75" x14ac:dyDescent="0.2">
      <c r="A90" s="89">
        <v>87</v>
      </c>
      <c r="B90" s="90" t="s">
        <v>313</v>
      </c>
      <c r="C90" s="78">
        <v>15000</v>
      </c>
      <c r="D90" s="170">
        <v>46023</v>
      </c>
      <c r="E90" s="170">
        <v>46023</v>
      </c>
      <c r="F90" s="324" t="s">
        <v>103</v>
      </c>
      <c r="G90" s="91" t="s">
        <v>531</v>
      </c>
      <c r="H90" s="135">
        <f t="shared" si="1"/>
        <v>15000</v>
      </c>
    </row>
    <row r="91" spans="1:8" ht="33.75" x14ac:dyDescent="0.2">
      <c r="A91" s="89">
        <v>88</v>
      </c>
      <c r="B91" s="90" t="s">
        <v>313</v>
      </c>
      <c r="C91" s="78">
        <v>15000</v>
      </c>
      <c r="D91" s="170">
        <v>46023</v>
      </c>
      <c r="E91" s="170">
        <v>46023</v>
      </c>
      <c r="F91" s="324" t="s">
        <v>103</v>
      </c>
      <c r="G91" s="91" t="s">
        <v>498</v>
      </c>
      <c r="H91" s="135">
        <f t="shared" si="1"/>
        <v>15000</v>
      </c>
    </row>
    <row r="92" spans="1:8" ht="33.75" x14ac:dyDescent="0.2">
      <c r="A92" s="89">
        <v>89</v>
      </c>
      <c r="B92" s="90" t="s">
        <v>237</v>
      </c>
      <c r="C92" s="78">
        <v>1000</v>
      </c>
      <c r="D92" s="170">
        <v>46023</v>
      </c>
      <c r="E92" s="170">
        <v>47088</v>
      </c>
      <c r="F92" s="324" t="s">
        <v>103</v>
      </c>
      <c r="G92" s="91" t="s">
        <v>497</v>
      </c>
      <c r="H92" s="135">
        <f t="shared" si="1"/>
        <v>36000</v>
      </c>
    </row>
    <row r="93" spans="1:8" ht="33.75" x14ac:dyDescent="0.2">
      <c r="A93" s="89">
        <v>90</v>
      </c>
      <c r="B93" s="90" t="s">
        <v>285</v>
      </c>
      <c r="C93" s="78">
        <v>15000</v>
      </c>
      <c r="D93" s="170">
        <v>46023</v>
      </c>
      <c r="E93" s="170">
        <v>47118</v>
      </c>
      <c r="F93" s="324" t="s">
        <v>103</v>
      </c>
      <c r="G93" s="91" t="s">
        <v>499</v>
      </c>
      <c r="H93" s="135">
        <f t="shared" si="1"/>
        <v>540000</v>
      </c>
    </row>
    <row r="94" spans="1:8" ht="33.75" x14ac:dyDescent="0.2">
      <c r="A94" s="89">
        <v>91</v>
      </c>
      <c r="B94" s="90" t="s">
        <v>315</v>
      </c>
      <c r="C94" s="78">
        <v>15000</v>
      </c>
      <c r="D94" s="170">
        <v>46023</v>
      </c>
      <c r="E94" s="170">
        <v>47118</v>
      </c>
      <c r="F94" s="324" t="s">
        <v>103</v>
      </c>
      <c r="G94" s="91" t="s">
        <v>500</v>
      </c>
      <c r="H94" s="135">
        <f t="shared" si="1"/>
        <v>540000</v>
      </c>
    </row>
    <row r="95" spans="1:8" ht="33.75" x14ac:dyDescent="0.2">
      <c r="A95" s="89">
        <v>92</v>
      </c>
      <c r="B95" s="90" t="s">
        <v>249</v>
      </c>
      <c r="C95" s="78">
        <v>200</v>
      </c>
      <c r="D95" s="170">
        <v>46023</v>
      </c>
      <c r="E95" s="170">
        <v>47118</v>
      </c>
      <c r="F95" s="324" t="s">
        <v>103</v>
      </c>
      <c r="G95" s="91" t="s">
        <v>502</v>
      </c>
      <c r="H95" s="135">
        <f t="shared" si="1"/>
        <v>7200</v>
      </c>
    </row>
    <row r="96" spans="1:8" ht="22.5" x14ac:dyDescent="0.2">
      <c r="A96" s="89">
        <v>93</v>
      </c>
      <c r="B96" s="90" t="s">
        <v>317</v>
      </c>
      <c r="C96" s="78">
        <v>5000</v>
      </c>
      <c r="D96" s="170">
        <v>46023</v>
      </c>
      <c r="E96" s="170">
        <v>46023</v>
      </c>
      <c r="F96" s="324" t="s">
        <v>103</v>
      </c>
      <c r="G96" s="91" t="s">
        <v>503</v>
      </c>
      <c r="H96" s="135">
        <f t="shared" si="1"/>
        <v>5000</v>
      </c>
    </row>
    <row r="97" spans="1:8" ht="22.5" x14ac:dyDescent="0.2">
      <c r="A97" s="89">
        <v>94</v>
      </c>
      <c r="B97" s="90" t="s">
        <v>197</v>
      </c>
      <c r="C97" s="78">
        <v>12000</v>
      </c>
      <c r="D97" s="170">
        <v>46023</v>
      </c>
      <c r="E97" s="170">
        <v>47118</v>
      </c>
      <c r="F97" s="324" t="s">
        <v>103</v>
      </c>
      <c r="G97" s="91" t="s">
        <v>504</v>
      </c>
      <c r="H97" s="135">
        <f t="shared" si="1"/>
        <v>432000</v>
      </c>
    </row>
    <row r="98" spans="1:8" ht="22.5" x14ac:dyDescent="0.2">
      <c r="A98" s="89">
        <v>95</v>
      </c>
      <c r="B98" s="90" t="s">
        <v>199</v>
      </c>
      <c r="C98" s="78">
        <v>27000</v>
      </c>
      <c r="D98" s="170">
        <v>46023</v>
      </c>
      <c r="E98" s="170">
        <v>47118</v>
      </c>
      <c r="F98" s="324" t="s">
        <v>103</v>
      </c>
      <c r="G98" s="91" t="s">
        <v>505</v>
      </c>
      <c r="H98" s="135">
        <f t="shared" si="1"/>
        <v>972000</v>
      </c>
    </row>
    <row r="99" spans="1:8" x14ac:dyDescent="0.2">
      <c r="A99" s="89">
        <v>96</v>
      </c>
      <c r="B99" s="90" t="s">
        <v>201</v>
      </c>
      <c r="C99" s="78">
        <v>2000</v>
      </c>
      <c r="D99" s="170">
        <v>46023</v>
      </c>
      <c r="E99" s="170">
        <v>47088</v>
      </c>
      <c r="F99" s="324" t="s">
        <v>103</v>
      </c>
      <c r="G99" s="91" t="s">
        <v>506</v>
      </c>
      <c r="H99" s="135">
        <f t="shared" si="1"/>
        <v>72000</v>
      </c>
    </row>
    <row r="100" spans="1:8" ht="22.5" x14ac:dyDescent="0.2">
      <c r="A100" s="89">
        <v>97</v>
      </c>
      <c r="B100" s="90" t="s">
        <v>257</v>
      </c>
      <c r="C100" s="78">
        <v>1500</v>
      </c>
      <c r="D100" s="170">
        <v>46023</v>
      </c>
      <c r="E100" s="170">
        <v>46023</v>
      </c>
      <c r="F100" s="90" t="s">
        <v>103</v>
      </c>
      <c r="G100" s="91" t="s">
        <v>507</v>
      </c>
      <c r="H100" s="135">
        <f t="shared" si="1"/>
        <v>1500</v>
      </c>
    </row>
    <row r="101" spans="1:8" ht="22.5" x14ac:dyDescent="0.2">
      <c r="A101" s="89">
        <v>98</v>
      </c>
      <c r="B101" s="90" t="s">
        <v>275</v>
      </c>
      <c r="C101" s="78">
        <v>2000</v>
      </c>
      <c r="D101" s="170">
        <v>46023</v>
      </c>
      <c r="E101" s="170">
        <v>47088</v>
      </c>
      <c r="F101" s="324" t="s">
        <v>103</v>
      </c>
      <c r="G101" s="91" t="s">
        <v>599</v>
      </c>
      <c r="H101" s="135">
        <f t="shared" si="1"/>
        <v>72000</v>
      </c>
    </row>
    <row r="102" spans="1:8" ht="22.5" x14ac:dyDescent="0.2">
      <c r="A102" s="89">
        <v>99</v>
      </c>
      <c r="B102" s="90" t="s">
        <v>323</v>
      </c>
      <c r="C102" s="78">
        <v>50000</v>
      </c>
      <c r="D102" s="170">
        <v>46174</v>
      </c>
      <c r="E102" s="170">
        <v>46174</v>
      </c>
      <c r="F102" s="324" t="s">
        <v>103</v>
      </c>
      <c r="G102" s="91" t="s">
        <v>509</v>
      </c>
      <c r="H102" s="135">
        <f t="shared" si="1"/>
        <v>50000</v>
      </c>
    </row>
    <row r="103" spans="1:8" ht="22.5" x14ac:dyDescent="0.2">
      <c r="A103" s="89">
        <v>100</v>
      </c>
      <c r="B103" s="90" t="s">
        <v>325</v>
      </c>
      <c r="C103" s="78">
        <v>2000</v>
      </c>
      <c r="D103" s="170">
        <v>46023</v>
      </c>
      <c r="E103" s="170">
        <v>47118</v>
      </c>
      <c r="F103" s="324" t="s">
        <v>103</v>
      </c>
      <c r="G103" s="91" t="s">
        <v>510</v>
      </c>
      <c r="H103" s="135">
        <f t="shared" si="1"/>
        <v>72000</v>
      </c>
    </row>
    <row r="104" spans="1:8" ht="22.5" x14ac:dyDescent="0.2">
      <c r="A104" s="89">
        <v>101</v>
      </c>
      <c r="B104" s="90" t="s">
        <v>327</v>
      </c>
      <c r="C104" s="78">
        <v>2000</v>
      </c>
      <c r="D104" s="170">
        <v>46023</v>
      </c>
      <c r="E104" s="170">
        <v>47118</v>
      </c>
      <c r="F104" s="324" t="s">
        <v>103</v>
      </c>
      <c r="G104" s="91" t="s">
        <v>511</v>
      </c>
      <c r="H104" s="135">
        <f t="shared" si="1"/>
        <v>72000</v>
      </c>
    </row>
    <row r="105" spans="1:8" ht="22.5" x14ac:dyDescent="0.2">
      <c r="A105" s="89">
        <v>102</v>
      </c>
      <c r="B105" s="90" t="s">
        <v>265</v>
      </c>
      <c r="C105" s="78">
        <v>3500</v>
      </c>
      <c r="D105" s="170">
        <v>46023</v>
      </c>
      <c r="E105" s="170">
        <v>47088</v>
      </c>
      <c r="F105" s="324" t="s">
        <v>103</v>
      </c>
      <c r="G105" s="91" t="s">
        <v>512</v>
      </c>
      <c r="H105" s="135">
        <f t="shared" si="1"/>
        <v>126000</v>
      </c>
    </row>
    <row r="106" spans="1:8" ht="22.5" x14ac:dyDescent="0.2">
      <c r="A106" s="89">
        <v>103</v>
      </c>
      <c r="B106" s="90" t="s">
        <v>329</v>
      </c>
      <c r="C106" s="78">
        <v>2000</v>
      </c>
      <c r="D106" s="170">
        <v>46023</v>
      </c>
      <c r="E106" s="170">
        <v>47088</v>
      </c>
      <c r="F106" s="324" t="s">
        <v>103</v>
      </c>
      <c r="G106" s="91" t="s">
        <v>513</v>
      </c>
      <c r="H106" s="135">
        <f t="shared" si="1"/>
        <v>72000</v>
      </c>
    </row>
    <row r="107" spans="1:8" x14ac:dyDescent="0.2">
      <c r="A107" s="89">
        <v>104</v>
      </c>
      <c r="B107" s="90" t="s">
        <v>239</v>
      </c>
      <c r="C107" s="78">
        <v>30000</v>
      </c>
      <c r="D107" s="170">
        <v>46023</v>
      </c>
      <c r="E107" s="170">
        <v>46023</v>
      </c>
      <c r="F107" s="324" t="s">
        <v>103</v>
      </c>
      <c r="G107" s="91" t="s">
        <v>514</v>
      </c>
      <c r="H107" s="135">
        <f t="shared" si="1"/>
        <v>30000</v>
      </c>
    </row>
    <row r="108" spans="1:8" x14ac:dyDescent="0.2">
      <c r="A108" s="89">
        <v>105</v>
      </c>
      <c r="B108" s="90" t="s">
        <v>239</v>
      </c>
      <c r="C108" s="78">
        <v>10000</v>
      </c>
      <c r="D108" s="170">
        <v>46023</v>
      </c>
      <c r="E108" s="170">
        <v>46023</v>
      </c>
      <c r="F108" s="324" t="s">
        <v>103</v>
      </c>
      <c r="G108" s="91" t="s">
        <v>515</v>
      </c>
      <c r="H108" s="135">
        <f t="shared" si="1"/>
        <v>10000</v>
      </c>
    </row>
    <row r="109" spans="1:8" x14ac:dyDescent="0.2">
      <c r="A109" s="89">
        <v>106</v>
      </c>
      <c r="B109" s="90" t="s">
        <v>331</v>
      </c>
      <c r="C109" s="78">
        <v>2500</v>
      </c>
      <c r="D109" s="170">
        <v>46023</v>
      </c>
      <c r="E109" s="170">
        <v>47088</v>
      </c>
      <c r="F109" s="324" t="s">
        <v>103</v>
      </c>
      <c r="G109" s="91" t="s">
        <v>516</v>
      </c>
      <c r="H109" s="135">
        <f t="shared" si="1"/>
        <v>90000</v>
      </c>
    </row>
    <row r="110" spans="1:8" ht="33.75" x14ac:dyDescent="0.2">
      <c r="A110" s="89">
        <v>107</v>
      </c>
      <c r="B110" s="90" t="s">
        <v>333</v>
      </c>
      <c r="C110" s="78">
        <v>200</v>
      </c>
      <c r="D110" s="170">
        <v>46023</v>
      </c>
      <c r="E110" s="170">
        <v>47118</v>
      </c>
      <c r="F110" s="324" t="s">
        <v>103</v>
      </c>
      <c r="G110" s="91" t="s">
        <v>517</v>
      </c>
      <c r="H110" s="135">
        <f t="shared" si="1"/>
        <v>7200</v>
      </c>
    </row>
    <row r="111" spans="1:8" x14ac:dyDescent="0.2">
      <c r="A111" s="89">
        <v>108</v>
      </c>
      <c r="B111" s="90" t="s">
        <v>277</v>
      </c>
      <c r="C111" s="78">
        <v>2000</v>
      </c>
      <c r="D111" s="170">
        <v>46023</v>
      </c>
      <c r="E111" s="170">
        <v>47088</v>
      </c>
      <c r="F111" s="324" t="s">
        <v>103</v>
      </c>
      <c r="G111" s="91" t="s">
        <v>518</v>
      </c>
      <c r="H111" s="135">
        <f t="shared" si="1"/>
        <v>72000</v>
      </c>
    </row>
    <row r="112" spans="1:8" ht="33.75" x14ac:dyDescent="0.2">
      <c r="A112" s="89">
        <v>109</v>
      </c>
      <c r="B112" s="90" t="s">
        <v>309</v>
      </c>
      <c r="C112" s="78">
        <v>6000</v>
      </c>
      <c r="D112" s="170">
        <v>46023</v>
      </c>
      <c r="E112" s="170">
        <v>47118</v>
      </c>
      <c r="F112" s="324" t="s">
        <v>103</v>
      </c>
      <c r="G112" s="91" t="s">
        <v>519</v>
      </c>
      <c r="H112" s="135">
        <f t="shared" si="1"/>
        <v>216000</v>
      </c>
    </row>
    <row r="113" spans="1:8" ht="22.5" x14ac:dyDescent="0.2">
      <c r="A113" s="89">
        <v>110</v>
      </c>
      <c r="B113" s="90" t="s">
        <v>303</v>
      </c>
      <c r="C113" s="78">
        <v>4500</v>
      </c>
      <c r="D113" s="170">
        <v>46023</v>
      </c>
      <c r="E113" s="170">
        <v>47088</v>
      </c>
      <c r="F113" s="324" t="s">
        <v>103</v>
      </c>
      <c r="G113" s="91" t="s">
        <v>600</v>
      </c>
      <c r="H113" s="135">
        <f t="shared" si="1"/>
        <v>162000</v>
      </c>
    </row>
    <row r="114" spans="1:8" x14ac:dyDescent="0.2">
      <c r="A114" s="89">
        <v>111</v>
      </c>
      <c r="B114" s="90" t="s">
        <v>295</v>
      </c>
      <c r="C114" s="78">
        <v>5000</v>
      </c>
      <c r="D114" s="170">
        <v>46023</v>
      </c>
      <c r="E114" s="170">
        <v>47118</v>
      </c>
      <c r="F114" s="324" t="s">
        <v>103</v>
      </c>
      <c r="G114" s="91" t="s">
        <v>521</v>
      </c>
      <c r="H114" s="135">
        <f t="shared" si="1"/>
        <v>180000</v>
      </c>
    </row>
    <row r="115" spans="1:8" ht="22.5" x14ac:dyDescent="0.2">
      <c r="A115" s="89">
        <v>112</v>
      </c>
      <c r="B115" s="90" t="s">
        <v>335</v>
      </c>
      <c r="C115" s="78">
        <v>500</v>
      </c>
      <c r="D115" s="170">
        <v>46023</v>
      </c>
      <c r="E115" s="170">
        <v>47118</v>
      </c>
      <c r="F115" s="324" t="s">
        <v>103</v>
      </c>
      <c r="G115" s="91" t="s">
        <v>522</v>
      </c>
      <c r="H115" s="135">
        <f t="shared" si="1"/>
        <v>18000</v>
      </c>
    </row>
    <row r="116" spans="1:8" x14ac:dyDescent="0.2">
      <c r="A116" s="89">
        <v>113</v>
      </c>
      <c r="B116" s="90" t="s">
        <v>337</v>
      </c>
      <c r="C116" s="78">
        <v>2300</v>
      </c>
      <c r="D116" s="170">
        <v>46023</v>
      </c>
      <c r="E116" s="170">
        <v>47118</v>
      </c>
      <c r="F116" s="324" t="s">
        <v>103</v>
      </c>
      <c r="G116" s="91" t="s">
        <v>523</v>
      </c>
      <c r="H116" s="135">
        <f t="shared" si="1"/>
        <v>82800</v>
      </c>
    </row>
    <row r="117" spans="1:8" ht="22.5" x14ac:dyDescent="0.2">
      <c r="A117" s="89">
        <v>114</v>
      </c>
      <c r="B117" s="90" t="s">
        <v>339</v>
      </c>
      <c r="C117" s="78">
        <v>3000</v>
      </c>
      <c r="D117" s="170">
        <v>46023</v>
      </c>
      <c r="E117" s="170">
        <v>47118</v>
      </c>
      <c r="F117" s="324" t="s">
        <v>103</v>
      </c>
      <c r="G117" s="91" t="s">
        <v>524</v>
      </c>
      <c r="H117" s="135">
        <f t="shared" si="1"/>
        <v>108000</v>
      </c>
    </row>
    <row r="118" spans="1:8" ht="22.5" x14ac:dyDescent="0.2">
      <c r="A118" s="89">
        <v>115</v>
      </c>
      <c r="B118" s="90" t="s">
        <v>269</v>
      </c>
      <c r="C118" s="78">
        <v>75000</v>
      </c>
      <c r="D118" s="170">
        <v>46023</v>
      </c>
      <c r="E118" s="170">
        <v>46357</v>
      </c>
      <c r="F118" s="324" t="s">
        <v>103</v>
      </c>
      <c r="G118" s="91" t="s">
        <v>532</v>
      </c>
      <c r="H118" s="135">
        <f t="shared" si="1"/>
        <v>900000</v>
      </c>
    </row>
    <row r="119" spans="1:8" ht="33.75" x14ac:dyDescent="0.2">
      <c r="A119" s="89">
        <v>116</v>
      </c>
      <c r="B119" s="90" t="s">
        <v>273</v>
      </c>
      <c r="C119" s="78">
        <v>1000</v>
      </c>
      <c r="D119" s="170">
        <v>46023</v>
      </c>
      <c r="E119" s="170">
        <v>47088</v>
      </c>
      <c r="F119" s="324" t="s">
        <v>103</v>
      </c>
      <c r="G119" s="91" t="s">
        <v>525</v>
      </c>
      <c r="H119" s="135">
        <f t="shared" si="1"/>
        <v>36000</v>
      </c>
    </row>
    <row r="120" spans="1:8" ht="22.5" x14ac:dyDescent="0.2">
      <c r="A120" s="89">
        <v>117</v>
      </c>
      <c r="B120" s="90" t="s">
        <v>277</v>
      </c>
      <c r="C120" s="78">
        <v>555</v>
      </c>
      <c r="D120" s="170">
        <v>46023</v>
      </c>
      <c r="E120" s="170">
        <v>47088</v>
      </c>
      <c r="F120" s="324" t="s">
        <v>103</v>
      </c>
      <c r="G120" s="91" t="s">
        <v>526</v>
      </c>
      <c r="H120" s="135">
        <f t="shared" si="1"/>
        <v>19980</v>
      </c>
    </row>
    <row r="121" spans="1:8" ht="22.5" x14ac:dyDescent="0.2">
      <c r="A121" s="89">
        <v>118</v>
      </c>
      <c r="B121" s="90" t="s">
        <v>231</v>
      </c>
      <c r="C121" s="78">
        <v>2700</v>
      </c>
      <c r="D121" s="170">
        <v>46023</v>
      </c>
      <c r="E121" s="170">
        <v>47088</v>
      </c>
      <c r="F121" s="324" t="s">
        <v>103</v>
      </c>
      <c r="G121" s="91" t="s">
        <v>528</v>
      </c>
      <c r="H121" s="135">
        <f t="shared" si="1"/>
        <v>97200</v>
      </c>
    </row>
    <row r="122" spans="1:8" ht="22.5" x14ac:dyDescent="0.2">
      <c r="A122" s="89">
        <v>119</v>
      </c>
      <c r="B122" s="90" t="s">
        <v>315</v>
      </c>
      <c r="C122" s="78">
        <v>350000</v>
      </c>
      <c r="D122" s="170">
        <v>46478</v>
      </c>
      <c r="E122" s="170">
        <v>46478</v>
      </c>
      <c r="F122" s="324" t="s">
        <v>103</v>
      </c>
      <c r="G122" s="91" t="s">
        <v>527</v>
      </c>
      <c r="H122" s="135">
        <f t="shared" si="1"/>
        <v>350000</v>
      </c>
    </row>
    <row r="123" spans="1:8" ht="22.5" x14ac:dyDescent="0.2">
      <c r="A123" s="89">
        <v>120</v>
      </c>
      <c r="B123" s="90" t="s">
        <v>301</v>
      </c>
      <c r="C123" s="78">
        <v>23000</v>
      </c>
      <c r="D123" s="170">
        <v>46113</v>
      </c>
      <c r="E123" s="170">
        <v>46113</v>
      </c>
      <c r="F123" s="324" t="s">
        <v>103</v>
      </c>
      <c r="G123" s="91" t="s">
        <v>529</v>
      </c>
      <c r="H123" s="135">
        <f t="shared" si="1"/>
        <v>23000</v>
      </c>
    </row>
    <row r="124" spans="1:8" ht="22.5" x14ac:dyDescent="0.2">
      <c r="A124" s="89">
        <v>121</v>
      </c>
      <c r="B124" s="90" t="s">
        <v>299</v>
      </c>
      <c r="C124" s="78">
        <v>20000</v>
      </c>
      <c r="D124" s="170">
        <v>46023</v>
      </c>
      <c r="E124" s="170">
        <v>46023</v>
      </c>
      <c r="F124" s="324" t="s">
        <v>103</v>
      </c>
      <c r="G124" s="91" t="s">
        <v>530</v>
      </c>
      <c r="H124" s="135">
        <f t="shared" si="1"/>
        <v>20000</v>
      </c>
    </row>
    <row r="125" spans="1:8" ht="33.75" x14ac:dyDescent="0.2">
      <c r="A125" s="89">
        <v>122</v>
      </c>
      <c r="B125" s="90" t="s">
        <v>285</v>
      </c>
      <c r="C125" s="78">
        <v>200000</v>
      </c>
      <c r="D125" s="170">
        <v>46113</v>
      </c>
      <c r="E125" s="170">
        <v>46113</v>
      </c>
      <c r="F125" s="324" t="s">
        <v>110</v>
      </c>
      <c r="G125" s="91" t="s">
        <v>604</v>
      </c>
      <c r="H125" s="135">
        <f t="shared" si="1"/>
        <v>200000</v>
      </c>
    </row>
    <row r="126" spans="1:8" ht="22.5" x14ac:dyDescent="0.2">
      <c r="A126" s="89">
        <v>123</v>
      </c>
      <c r="B126" s="90" t="s">
        <v>285</v>
      </c>
      <c r="C126" s="78">
        <v>150000</v>
      </c>
      <c r="D126" s="170">
        <v>46023</v>
      </c>
      <c r="E126" s="170">
        <v>46023</v>
      </c>
      <c r="F126" s="324" t="s">
        <v>110</v>
      </c>
      <c r="G126" s="91" t="s">
        <v>605</v>
      </c>
      <c r="H126" s="135">
        <f t="shared" ref="H126:H189" si="2">IFERROR((DATEDIF(D126,E126,"M")+1)*C126,0)</f>
        <v>150000</v>
      </c>
    </row>
    <row r="127" spans="1:8" ht="45" x14ac:dyDescent="0.2">
      <c r="A127" s="89">
        <v>124</v>
      </c>
      <c r="B127" s="90" t="s">
        <v>311</v>
      </c>
      <c r="C127" s="78">
        <v>5000</v>
      </c>
      <c r="D127" s="170">
        <v>46023</v>
      </c>
      <c r="E127" s="170">
        <v>47088</v>
      </c>
      <c r="F127" s="324" t="s">
        <v>104</v>
      </c>
      <c r="G127" s="91" t="s">
        <v>494</v>
      </c>
      <c r="H127" s="135">
        <f t="shared" si="2"/>
        <v>180000</v>
      </c>
    </row>
    <row r="128" spans="1:8" ht="22.5" x14ac:dyDescent="0.2">
      <c r="A128" s="89">
        <v>125</v>
      </c>
      <c r="B128" s="90" t="s">
        <v>235</v>
      </c>
      <c r="C128" s="78">
        <v>22500</v>
      </c>
      <c r="D128" s="170">
        <v>46023</v>
      </c>
      <c r="E128" s="170">
        <v>47088</v>
      </c>
      <c r="F128" s="324" t="s">
        <v>104</v>
      </c>
      <c r="G128" s="91" t="s">
        <v>495</v>
      </c>
      <c r="H128" s="135">
        <f t="shared" si="2"/>
        <v>810000</v>
      </c>
    </row>
    <row r="129" spans="1:8" ht="22.5" x14ac:dyDescent="0.2">
      <c r="A129" s="89">
        <v>126</v>
      </c>
      <c r="B129" s="90" t="s">
        <v>237</v>
      </c>
      <c r="C129" s="78">
        <v>1000</v>
      </c>
      <c r="D129" s="170">
        <v>46023</v>
      </c>
      <c r="E129" s="170">
        <v>47088</v>
      </c>
      <c r="F129" s="324" t="s">
        <v>104</v>
      </c>
      <c r="G129" s="91" t="s">
        <v>501</v>
      </c>
      <c r="H129" s="135">
        <f t="shared" si="2"/>
        <v>36000</v>
      </c>
    </row>
    <row r="130" spans="1:8" ht="33.75" x14ac:dyDescent="0.2">
      <c r="A130" s="89">
        <v>127</v>
      </c>
      <c r="B130" s="90" t="s">
        <v>313</v>
      </c>
      <c r="C130" s="78">
        <v>10000</v>
      </c>
      <c r="D130" s="170">
        <v>46023</v>
      </c>
      <c r="E130" s="170">
        <v>46023</v>
      </c>
      <c r="F130" s="324" t="s">
        <v>104</v>
      </c>
      <c r="G130" s="91" t="s">
        <v>531</v>
      </c>
      <c r="H130" s="135">
        <f t="shared" si="2"/>
        <v>10000</v>
      </c>
    </row>
    <row r="131" spans="1:8" ht="33.75" x14ac:dyDescent="0.2">
      <c r="A131" s="89">
        <v>128</v>
      </c>
      <c r="B131" s="90" t="s">
        <v>313</v>
      </c>
      <c r="C131" s="78">
        <v>15000</v>
      </c>
      <c r="D131" s="170">
        <v>46023</v>
      </c>
      <c r="E131" s="170">
        <v>46023</v>
      </c>
      <c r="F131" s="324" t="s">
        <v>104</v>
      </c>
      <c r="G131" s="91" t="s">
        <v>498</v>
      </c>
      <c r="H131" s="135">
        <f t="shared" si="2"/>
        <v>15000</v>
      </c>
    </row>
    <row r="132" spans="1:8" ht="33.75" x14ac:dyDescent="0.2">
      <c r="A132" s="89">
        <v>129</v>
      </c>
      <c r="B132" s="90" t="s">
        <v>285</v>
      </c>
      <c r="C132" s="78">
        <v>8000</v>
      </c>
      <c r="D132" s="170">
        <v>46023</v>
      </c>
      <c r="E132" s="170">
        <v>47118</v>
      </c>
      <c r="F132" s="324" t="s">
        <v>104</v>
      </c>
      <c r="G132" s="91" t="s">
        <v>499</v>
      </c>
      <c r="H132" s="135">
        <f t="shared" si="2"/>
        <v>288000</v>
      </c>
    </row>
    <row r="133" spans="1:8" ht="33.75" x14ac:dyDescent="0.2">
      <c r="A133" s="89">
        <v>130</v>
      </c>
      <c r="B133" s="90" t="s">
        <v>315</v>
      </c>
      <c r="C133" s="78">
        <v>5000</v>
      </c>
      <c r="D133" s="170">
        <v>46023</v>
      </c>
      <c r="E133" s="170">
        <v>47118</v>
      </c>
      <c r="F133" s="324" t="s">
        <v>104</v>
      </c>
      <c r="G133" s="91" t="s">
        <v>500</v>
      </c>
      <c r="H133" s="135">
        <f t="shared" si="2"/>
        <v>180000</v>
      </c>
    </row>
    <row r="134" spans="1:8" ht="33.75" x14ac:dyDescent="0.2">
      <c r="A134" s="89">
        <v>131</v>
      </c>
      <c r="B134" s="90" t="s">
        <v>237</v>
      </c>
      <c r="C134" s="78">
        <v>2000</v>
      </c>
      <c r="D134" s="170">
        <v>46023</v>
      </c>
      <c r="E134" s="170">
        <v>47088</v>
      </c>
      <c r="F134" s="324" t="s">
        <v>104</v>
      </c>
      <c r="G134" s="91" t="s">
        <v>497</v>
      </c>
      <c r="H134" s="135">
        <f t="shared" si="2"/>
        <v>72000</v>
      </c>
    </row>
    <row r="135" spans="1:8" ht="33.75" x14ac:dyDescent="0.2">
      <c r="A135" s="89">
        <v>132</v>
      </c>
      <c r="B135" s="90" t="s">
        <v>249</v>
      </c>
      <c r="C135" s="78">
        <v>200</v>
      </c>
      <c r="D135" s="170">
        <v>46023</v>
      </c>
      <c r="E135" s="170">
        <v>47118</v>
      </c>
      <c r="F135" s="324" t="s">
        <v>104</v>
      </c>
      <c r="G135" s="91" t="s">
        <v>502</v>
      </c>
      <c r="H135" s="135">
        <f t="shared" si="2"/>
        <v>7200</v>
      </c>
    </row>
    <row r="136" spans="1:8" ht="22.5" x14ac:dyDescent="0.2">
      <c r="A136" s="89">
        <v>133</v>
      </c>
      <c r="B136" s="90" t="s">
        <v>317</v>
      </c>
      <c r="C136" s="78">
        <v>2500</v>
      </c>
      <c r="D136" s="170">
        <v>46023</v>
      </c>
      <c r="E136" s="170">
        <v>46023</v>
      </c>
      <c r="F136" s="324" t="s">
        <v>104</v>
      </c>
      <c r="G136" s="91" t="s">
        <v>503</v>
      </c>
      <c r="H136" s="135">
        <f t="shared" si="2"/>
        <v>2500</v>
      </c>
    </row>
    <row r="137" spans="1:8" ht="22.5" x14ac:dyDescent="0.2">
      <c r="A137" s="89">
        <v>134</v>
      </c>
      <c r="B137" s="90" t="s">
        <v>197</v>
      </c>
      <c r="C137" s="78">
        <v>6500</v>
      </c>
      <c r="D137" s="170">
        <v>46023</v>
      </c>
      <c r="E137" s="170">
        <v>47118</v>
      </c>
      <c r="F137" s="324" t="s">
        <v>104</v>
      </c>
      <c r="G137" s="91" t="s">
        <v>504</v>
      </c>
      <c r="H137" s="135">
        <f t="shared" si="2"/>
        <v>234000</v>
      </c>
    </row>
    <row r="138" spans="1:8" ht="22.5" x14ac:dyDescent="0.2">
      <c r="A138" s="89">
        <v>135</v>
      </c>
      <c r="B138" s="90" t="s">
        <v>199</v>
      </c>
      <c r="C138" s="78">
        <v>7500</v>
      </c>
      <c r="D138" s="170">
        <v>46023</v>
      </c>
      <c r="E138" s="170">
        <v>47118</v>
      </c>
      <c r="F138" s="324" t="s">
        <v>104</v>
      </c>
      <c r="G138" s="91" t="s">
        <v>505</v>
      </c>
      <c r="H138" s="135">
        <f t="shared" si="2"/>
        <v>270000</v>
      </c>
    </row>
    <row r="139" spans="1:8" ht="22.5" x14ac:dyDescent="0.2">
      <c r="A139" s="89">
        <v>136</v>
      </c>
      <c r="B139" s="90" t="s">
        <v>299</v>
      </c>
      <c r="C139" s="78">
        <v>20000</v>
      </c>
      <c r="D139" s="170">
        <v>46388</v>
      </c>
      <c r="E139" s="170">
        <v>46388</v>
      </c>
      <c r="F139" s="324" t="s">
        <v>103</v>
      </c>
      <c r="G139" s="91" t="s">
        <v>588</v>
      </c>
      <c r="H139" s="135">
        <f t="shared" si="2"/>
        <v>20000</v>
      </c>
    </row>
    <row r="140" spans="1:8" x14ac:dyDescent="0.2">
      <c r="A140" s="89">
        <v>137</v>
      </c>
      <c r="B140" s="90" t="s">
        <v>201</v>
      </c>
      <c r="C140" s="78">
        <v>2000</v>
      </c>
      <c r="D140" s="170">
        <v>46023</v>
      </c>
      <c r="E140" s="170">
        <v>47088</v>
      </c>
      <c r="F140" s="324" t="s">
        <v>104</v>
      </c>
      <c r="G140" s="91" t="s">
        <v>506</v>
      </c>
      <c r="H140" s="135">
        <f t="shared" si="2"/>
        <v>72000</v>
      </c>
    </row>
    <row r="141" spans="1:8" ht="22.5" x14ac:dyDescent="0.2">
      <c r="A141" s="89">
        <v>138</v>
      </c>
      <c r="B141" s="90" t="s">
        <v>257</v>
      </c>
      <c r="C141" s="78">
        <v>1500</v>
      </c>
      <c r="D141" s="170">
        <v>46023</v>
      </c>
      <c r="E141" s="170">
        <v>46023</v>
      </c>
      <c r="F141" s="324" t="s">
        <v>104</v>
      </c>
      <c r="G141" s="91" t="s">
        <v>507</v>
      </c>
      <c r="H141" s="135">
        <f t="shared" si="2"/>
        <v>1500</v>
      </c>
    </row>
    <row r="142" spans="1:8" ht="22.5" x14ac:dyDescent="0.2">
      <c r="A142" s="89">
        <v>139</v>
      </c>
      <c r="B142" s="90" t="s">
        <v>275</v>
      </c>
      <c r="C142" s="78">
        <v>3000</v>
      </c>
      <c r="D142" s="170">
        <v>46023</v>
      </c>
      <c r="E142" s="170">
        <v>47088</v>
      </c>
      <c r="F142" s="324" t="s">
        <v>104</v>
      </c>
      <c r="G142" s="91" t="s">
        <v>599</v>
      </c>
      <c r="H142" s="135">
        <f t="shared" si="2"/>
        <v>108000</v>
      </c>
    </row>
    <row r="143" spans="1:8" ht="22.5" x14ac:dyDescent="0.2">
      <c r="A143" s="89">
        <v>140</v>
      </c>
      <c r="B143" s="90" t="s">
        <v>323</v>
      </c>
      <c r="C143" s="78">
        <v>20000</v>
      </c>
      <c r="D143" s="170">
        <v>46174</v>
      </c>
      <c r="E143" s="170">
        <v>46174</v>
      </c>
      <c r="F143" s="324" t="s">
        <v>104</v>
      </c>
      <c r="G143" s="91" t="s">
        <v>509</v>
      </c>
      <c r="H143" s="135">
        <f t="shared" si="2"/>
        <v>20000</v>
      </c>
    </row>
    <row r="144" spans="1:8" ht="22.5" x14ac:dyDescent="0.2">
      <c r="A144" s="89">
        <v>141</v>
      </c>
      <c r="B144" s="90" t="s">
        <v>325</v>
      </c>
      <c r="C144" s="78">
        <v>3000</v>
      </c>
      <c r="D144" s="170">
        <v>46023</v>
      </c>
      <c r="E144" s="170">
        <v>47118</v>
      </c>
      <c r="F144" s="324" t="s">
        <v>104</v>
      </c>
      <c r="G144" s="91" t="s">
        <v>510</v>
      </c>
      <c r="H144" s="135">
        <f t="shared" si="2"/>
        <v>108000</v>
      </c>
    </row>
    <row r="145" spans="1:8" ht="22.5" x14ac:dyDescent="0.2">
      <c r="A145" s="89">
        <v>142</v>
      </c>
      <c r="B145" s="90" t="s">
        <v>327</v>
      </c>
      <c r="C145" s="78">
        <v>1500</v>
      </c>
      <c r="D145" s="170">
        <v>46023</v>
      </c>
      <c r="E145" s="170">
        <v>47118</v>
      </c>
      <c r="F145" s="324" t="s">
        <v>104</v>
      </c>
      <c r="G145" s="91" t="s">
        <v>511</v>
      </c>
      <c r="H145" s="135">
        <f t="shared" si="2"/>
        <v>54000</v>
      </c>
    </row>
    <row r="146" spans="1:8" ht="22.5" x14ac:dyDescent="0.2">
      <c r="A146" s="89">
        <v>143</v>
      </c>
      <c r="B146" s="90" t="s">
        <v>265</v>
      </c>
      <c r="C146" s="78">
        <v>3000</v>
      </c>
      <c r="D146" s="170">
        <v>46023</v>
      </c>
      <c r="E146" s="170">
        <v>47088</v>
      </c>
      <c r="F146" s="90" t="s">
        <v>104</v>
      </c>
      <c r="G146" s="91" t="s">
        <v>512</v>
      </c>
      <c r="H146" s="135">
        <f t="shared" si="2"/>
        <v>108000</v>
      </c>
    </row>
    <row r="147" spans="1:8" ht="22.5" x14ac:dyDescent="0.2">
      <c r="A147" s="89">
        <v>144</v>
      </c>
      <c r="B147" s="90" t="s">
        <v>329</v>
      </c>
      <c r="C147" s="78">
        <v>1000</v>
      </c>
      <c r="D147" s="170">
        <v>46023</v>
      </c>
      <c r="E147" s="170">
        <v>47088</v>
      </c>
      <c r="F147" s="324" t="s">
        <v>104</v>
      </c>
      <c r="G147" s="91" t="s">
        <v>513</v>
      </c>
      <c r="H147" s="135">
        <f t="shared" si="2"/>
        <v>36000</v>
      </c>
    </row>
    <row r="148" spans="1:8" x14ac:dyDescent="0.2">
      <c r="A148" s="89">
        <v>145</v>
      </c>
      <c r="B148" s="90" t="s">
        <v>239</v>
      </c>
      <c r="C148" s="78">
        <v>25000</v>
      </c>
      <c r="D148" s="170">
        <v>46023</v>
      </c>
      <c r="E148" s="170">
        <v>46023</v>
      </c>
      <c r="F148" s="324" t="s">
        <v>104</v>
      </c>
      <c r="G148" s="91" t="s">
        <v>514</v>
      </c>
      <c r="H148" s="135">
        <f t="shared" si="2"/>
        <v>25000</v>
      </c>
    </row>
    <row r="149" spans="1:8" x14ac:dyDescent="0.2">
      <c r="A149" s="89">
        <v>146</v>
      </c>
      <c r="B149" s="90" t="s">
        <v>239</v>
      </c>
      <c r="C149" s="78">
        <v>10000</v>
      </c>
      <c r="D149" s="170">
        <v>46023</v>
      </c>
      <c r="E149" s="170">
        <v>46023</v>
      </c>
      <c r="F149" s="324" t="s">
        <v>104</v>
      </c>
      <c r="G149" s="91" t="s">
        <v>515</v>
      </c>
      <c r="H149" s="135">
        <f t="shared" si="2"/>
        <v>10000</v>
      </c>
    </row>
    <row r="150" spans="1:8" x14ac:dyDescent="0.2">
      <c r="A150" s="89">
        <v>147</v>
      </c>
      <c r="B150" s="90" t="s">
        <v>331</v>
      </c>
      <c r="C150" s="78">
        <v>1500</v>
      </c>
      <c r="D150" s="170">
        <v>46023</v>
      </c>
      <c r="E150" s="170">
        <v>47088</v>
      </c>
      <c r="F150" s="324" t="s">
        <v>104</v>
      </c>
      <c r="G150" s="91" t="s">
        <v>516</v>
      </c>
      <c r="H150" s="135">
        <f t="shared" si="2"/>
        <v>54000</v>
      </c>
    </row>
    <row r="151" spans="1:8" ht="33.75" x14ac:dyDescent="0.2">
      <c r="A151" s="89">
        <v>148</v>
      </c>
      <c r="B151" s="90" t="s">
        <v>333</v>
      </c>
      <c r="C151" s="78">
        <v>200</v>
      </c>
      <c r="D151" s="170">
        <v>46023</v>
      </c>
      <c r="E151" s="170">
        <v>47118</v>
      </c>
      <c r="F151" s="324" t="s">
        <v>104</v>
      </c>
      <c r="G151" s="91" t="s">
        <v>517</v>
      </c>
      <c r="H151" s="135">
        <f t="shared" si="2"/>
        <v>7200</v>
      </c>
    </row>
    <row r="152" spans="1:8" ht="22.5" x14ac:dyDescent="0.2">
      <c r="A152" s="89">
        <v>149</v>
      </c>
      <c r="B152" s="90" t="s">
        <v>299</v>
      </c>
      <c r="C152" s="78">
        <v>20000</v>
      </c>
      <c r="D152" s="170">
        <v>46388</v>
      </c>
      <c r="E152" s="170">
        <v>46388</v>
      </c>
      <c r="F152" s="324" t="s">
        <v>104</v>
      </c>
      <c r="G152" s="91" t="s">
        <v>588</v>
      </c>
      <c r="H152" s="135">
        <f t="shared" si="2"/>
        <v>20000</v>
      </c>
    </row>
    <row r="153" spans="1:8" x14ac:dyDescent="0.2">
      <c r="A153" s="89">
        <v>150</v>
      </c>
      <c r="B153" s="90" t="s">
        <v>277</v>
      </c>
      <c r="C153" s="78">
        <v>2000</v>
      </c>
      <c r="D153" s="170">
        <v>46023</v>
      </c>
      <c r="E153" s="170">
        <v>47088</v>
      </c>
      <c r="F153" s="324" t="s">
        <v>104</v>
      </c>
      <c r="G153" s="91" t="s">
        <v>518</v>
      </c>
      <c r="H153" s="135">
        <f t="shared" si="2"/>
        <v>72000</v>
      </c>
    </row>
    <row r="154" spans="1:8" ht="33.75" x14ac:dyDescent="0.2">
      <c r="A154" s="89">
        <v>151</v>
      </c>
      <c r="B154" s="90" t="s">
        <v>309</v>
      </c>
      <c r="C154" s="78">
        <v>3500</v>
      </c>
      <c r="D154" s="170">
        <v>46023</v>
      </c>
      <c r="E154" s="170">
        <v>47118</v>
      </c>
      <c r="F154" s="324" t="s">
        <v>104</v>
      </c>
      <c r="G154" s="91" t="s">
        <v>519</v>
      </c>
      <c r="H154" s="135">
        <f t="shared" si="2"/>
        <v>126000</v>
      </c>
    </row>
    <row r="155" spans="1:8" ht="22.5" x14ac:dyDescent="0.2">
      <c r="A155" s="89">
        <v>152</v>
      </c>
      <c r="B155" s="90" t="s">
        <v>303</v>
      </c>
      <c r="C155" s="78">
        <v>4000</v>
      </c>
      <c r="D155" s="170">
        <v>46023</v>
      </c>
      <c r="E155" s="170">
        <v>47088</v>
      </c>
      <c r="F155" s="324" t="s">
        <v>104</v>
      </c>
      <c r="G155" s="91" t="s">
        <v>600</v>
      </c>
      <c r="H155" s="135">
        <f t="shared" si="2"/>
        <v>144000</v>
      </c>
    </row>
    <row r="156" spans="1:8" x14ac:dyDescent="0.2">
      <c r="A156" s="89">
        <v>153</v>
      </c>
      <c r="B156" s="90" t="s">
        <v>295</v>
      </c>
      <c r="C156" s="78">
        <v>5000</v>
      </c>
      <c r="D156" s="170">
        <v>46023</v>
      </c>
      <c r="E156" s="170">
        <v>47118</v>
      </c>
      <c r="F156" s="324" t="s">
        <v>104</v>
      </c>
      <c r="G156" s="91" t="s">
        <v>521</v>
      </c>
      <c r="H156" s="135">
        <f t="shared" si="2"/>
        <v>180000</v>
      </c>
    </row>
    <row r="157" spans="1:8" ht="22.5" x14ac:dyDescent="0.2">
      <c r="A157" s="89">
        <v>154</v>
      </c>
      <c r="B157" s="90" t="s">
        <v>335</v>
      </c>
      <c r="C157" s="78">
        <v>500</v>
      </c>
      <c r="D157" s="170">
        <v>46023</v>
      </c>
      <c r="E157" s="170">
        <v>47118</v>
      </c>
      <c r="F157" s="324" t="s">
        <v>104</v>
      </c>
      <c r="G157" s="91" t="s">
        <v>522</v>
      </c>
      <c r="H157" s="135">
        <f t="shared" si="2"/>
        <v>18000</v>
      </c>
    </row>
    <row r="158" spans="1:8" x14ac:dyDescent="0.2">
      <c r="A158" s="89">
        <v>155</v>
      </c>
      <c r="B158" s="90" t="s">
        <v>337</v>
      </c>
      <c r="C158" s="78">
        <v>2300</v>
      </c>
      <c r="D158" s="170">
        <v>46023</v>
      </c>
      <c r="E158" s="170">
        <v>47118</v>
      </c>
      <c r="F158" s="324" t="s">
        <v>104</v>
      </c>
      <c r="G158" s="91" t="s">
        <v>523</v>
      </c>
      <c r="H158" s="135">
        <f t="shared" si="2"/>
        <v>82800</v>
      </c>
    </row>
    <row r="159" spans="1:8" ht="22.5" x14ac:dyDescent="0.2">
      <c r="A159" s="89">
        <v>156</v>
      </c>
      <c r="B159" s="90" t="s">
        <v>339</v>
      </c>
      <c r="C159" s="78">
        <v>3500</v>
      </c>
      <c r="D159" s="170">
        <v>46023</v>
      </c>
      <c r="E159" s="170">
        <v>47118</v>
      </c>
      <c r="F159" s="324" t="s">
        <v>104</v>
      </c>
      <c r="G159" s="91" t="s">
        <v>524</v>
      </c>
      <c r="H159" s="135">
        <f t="shared" si="2"/>
        <v>126000</v>
      </c>
    </row>
    <row r="160" spans="1:8" ht="22.5" x14ac:dyDescent="0.2">
      <c r="A160" s="89">
        <v>157</v>
      </c>
      <c r="B160" s="90" t="s">
        <v>227</v>
      </c>
      <c r="C160" s="78">
        <v>2000</v>
      </c>
      <c r="D160" s="170">
        <v>46023</v>
      </c>
      <c r="E160" s="170">
        <v>47088</v>
      </c>
      <c r="F160" s="324" t="s">
        <v>104</v>
      </c>
      <c r="G160" s="91" t="s">
        <v>586</v>
      </c>
      <c r="H160" s="135">
        <f t="shared" si="2"/>
        <v>72000</v>
      </c>
    </row>
    <row r="161" spans="1:8" ht="22.5" x14ac:dyDescent="0.2">
      <c r="A161" s="89">
        <v>158</v>
      </c>
      <c r="B161" s="90" t="s">
        <v>237</v>
      </c>
      <c r="C161" s="78">
        <v>2000</v>
      </c>
      <c r="D161" s="170">
        <v>46023</v>
      </c>
      <c r="E161" s="170">
        <v>47088</v>
      </c>
      <c r="F161" s="324" t="s">
        <v>104</v>
      </c>
      <c r="G161" s="91" t="s">
        <v>496</v>
      </c>
      <c r="H161" s="135">
        <f t="shared" si="2"/>
        <v>72000</v>
      </c>
    </row>
    <row r="162" spans="1:8" ht="33.75" x14ac:dyDescent="0.2">
      <c r="A162" s="89">
        <v>159</v>
      </c>
      <c r="B162" s="90" t="s">
        <v>273</v>
      </c>
      <c r="C162" s="78">
        <v>2000</v>
      </c>
      <c r="D162" s="170">
        <v>46023</v>
      </c>
      <c r="E162" s="170">
        <v>47088</v>
      </c>
      <c r="F162" s="324" t="s">
        <v>104</v>
      </c>
      <c r="G162" s="91" t="s">
        <v>525</v>
      </c>
      <c r="H162" s="135">
        <f t="shared" si="2"/>
        <v>72000</v>
      </c>
    </row>
    <row r="163" spans="1:8" ht="22.5" x14ac:dyDescent="0.2">
      <c r="A163" s="89">
        <v>160</v>
      </c>
      <c r="B163" s="90" t="s">
        <v>277</v>
      </c>
      <c r="C163" s="78">
        <v>2000</v>
      </c>
      <c r="D163" s="170">
        <v>46023</v>
      </c>
      <c r="E163" s="170">
        <v>47088</v>
      </c>
      <c r="F163" s="324" t="s">
        <v>104</v>
      </c>
      <c r="G163" s="91" t="s">
        <v>526</v>
      </c>
      <c r="H163" s="135">
        <f t="shared" si="2"/>
        <v>72000</v>
      </c>
    </row>
    <row r="164" spans="1:8" ht="22.5" x14ac:dyDescent="0.2">
      <c r="A164" s="89">
        <v>161</v>
      </c>
      <c r="B164" s="90" t="s">
        <v>269</v>
      </c>
      <c r="C164" s="78">
        <v>60000</v>
      </c>
      <c r="D164" s="170">
        <v>46023</v>
      </c>
      <c r="E164" s="170">
        <v>46357</v>
      </c>
      <c r="F164" s="324" t="s">
        <v>104</v>
      </c>
      <c r="G164" s="91" t="s">
        <v>532</v>
      </c>
      <c r="H164" s="135">
        <f t="shared" si="2"/>
        <v>720000</v>
      </c>
    </row>
    <row r="165" spans="1:8" ht="22.5" x14ac:dyDescent="0.2">
      <c r="A165" s="89">
        <v>162</v>
      </c>
      <c r="B165" s="90" t="s">
        <v>231</v>
      </c>
      <c r="C165" s="78">
        <v>1200</v>
      </c>
      <c r="D165" s="170">
        <v>46023</v>
      </c>
      <c r="E165" s="170">
        <v>47088</v>
      </c>
      <c r="F165" s="324" t="s">
        <v>104</v>
      </c>
      <c r="G165" s="91" t="s">
        <v>528</v>
      </c>
      <c r="H165" s="135">
        <f t="shared" si="2"/>
        <v>43200</v>
      </c>
    </row>
    <row r="166" spans="1:8" ht="22.5" x14ac:dyDescent="0.2">
      <c r="A166" s="89">
        <v>163</v>
      </c>
      <c r="B166" s="90" t="s">
        <v>315</v>
      </c>
      <c r="C166" s="78">
        <v>200000</v>
      </c>
      <c r="D166" s="170">
        <v>46478</v>
      </c>
      <c r="E166" s="170">
        <v>46478</v>
      </c>
      <c r="F166" s="324" t="s">
        <v>104</v>
      </c>
      <c r="G166" s="91" t="s">
        <v>527</v>
      </c>
      <c r="H166" s="135">
        <f t="shared" si="2"/>
        <v>200000</v>
      </c>
    </row>
    <row r="167" spans="1:8" ht="22.5" x14ac:dyDescent="0.2">
      <c r="A167" s="89">
        <v>164</v>
      </c>
      <c r="B167" s="90" t="s">
        <v>301</v>
      </c>
      <c r="C167" s="78">
        <v>20000</v>
      </c>
      <c r="D167" s="170">
        <v>46113</v>
      </c>
      <c r="E167" s="170">
        <v>46113</v>
      </c>
      <c r="F167" s="324" t="s">
        <v>104</v>
      </c>
      <c r="G167" s="91" t="s">
        <v>529</v>
      </c>
      <c r="H167" s="135">
        <f t="shared" si="2"/>
        <v>20000</v>
      </c>
    </row>
    <row r="168" spans="1:8" ht="22.5" x14ac:dyDescent="0.2">
      <c r="A168" s="89">
        <v>165</v>
      </c>
      <c r="B168" s="90" t="s">
        <v>299</v>
      </c>
      <c r="C168" s="78">
        <v>20000</v>
      </c>
      <c r="D168" s="170">
        <v>46023</v>
      </c>
      <c r="E168" s="170">
        <v>46023</v>
      </c>
      <c r="F168" s="324" t="s">
        <v>104</v>
      </c>
      <c r="G168" s="91" t="s">
        <v>530</v>
      </c>
      <c r="H168" s="135">
        <f t="shared" si="2"/>
        <v>20000</v>
      </c>
    </row>
    <row r="169" spans="1:8" ht="22.5" x14ac:dyDescent="0.2">
      <c r="A169" s="89">
        <v>166</v>
      </c>
      <c r="B169" s="90" t="s">
        <v>285</v>
      </c>
      <c r="C169" s="78">
        <v>250000</v>
      </c>
      <c r="D169" s="170">
        <v>46388</v>
      </c>
      <c r="E169" s="170">
        <v>46388</v>
      </c>
      <c r="F169" s="324" t="s">
        <v>110</v>
      </c>
      <c r="G169" s="91" t="s">
        <v>596</v>
      </c>
      <c r="H169" s="135">
        <f t="shared" si="2"/>
        <v>250000</v>
      </c>
    </row>
    <row r="170" spans="1:8" ht="22.5" x14ac:dyDescent="0.2">
      <c r="A170" s="89">
        <v>167</v>
      </c>
      <c r="B170" s="90" t="s">
        <v>285</v>
      </c>
      <c r="C170" s="78">
        <v>250000</v>
      </c>
      <c r="D170" s="170">
        <v>46753</v>
      </c>
      <c r="E170" s="170">
        <v>46753</v>
      </c>
      <c r="F170" s="324" t="s">
        <v>110</v>
      </c>
      <c r="G170" s="91" t="s">
        <v>596</v>
      </c>
      <c r="H170" s="135">
        <f t="shared" si="2"/>
        <v>250000</v>
      </c>
    </row>
    <row r="171" spans="1:8" ht="45" x14ac:dyDescent="0.2">
      <c r="A171" s="89">
        <v>168</v>
      </c>
      <c r="B171" s="90" t="s">
        <v>311</v>
      </c>
      <c r="C171" s="78">
        <v>5000</v>
      </c>
      <c r="D171" s="170">
        <v>46023</v>
      </c>
      <c r="E171" s="170">
        <v>47088</v>
      </c>
      <c r="F171" s="324" t="s">
        <v>107</v>
      </c>
      <c r="G171" s="91" t="s">
        <v>494</v>
      </c>
      <c r="H171" s="135">
        <f t="shared" si="2"/>
        <v>180000</v>
      </c>
    </row>
    <row r="172" spans="1:8" ht="22.5" x14ac:dyDescent="0.2">
      <c r="A172" s="89">
        <v>169</v>
      </c>
      <c r="B172" s="90" t="s">
        <v>235</v>
      </c>
      <c r="C172" s="78">
        <v>22500</v>
      </c>
      <c r="D172" s="170">
        <v>46023</v>
      </c>
      <c r="E172" s="170">
        <v>47088</v>
      </c>
      <c r="F172" s="324" t="s">
        <v>107</v>
      </c>
      <c r="G172" s="91" t="s">
        <v>495</v>
      </c>
      <c r="H172" s="135">
        <f t="shared" si="2"/>
        <v>810000</v>
      </c>
    </row>
    <row r="173" spans="1:8" ht="33.75" x14ac:dyDescent="0.2">
      <c r="A173" s="89">
        <v>170</v>
      </c>
      <c r="B173" s="90" t="s">
        <v>237</v>
      </c>
      <c r="C173" s="78">
        <v>1500</v>
      </c>
      <c r="D173" s="170">
        <v>46023</v>
      </c>
      <c r="E173" s="170">
        <v>47088</v>
      </c>
      <c r="F173" s="324" t="s">
        <v>107</v>
      </c>
      <c r="G173" s="91" t="s">
        <v>497</v>
      </c>
      <c r="H173" s="135">
        <f t="shared" si="2"/>
        <v>54000</v>
      </c>
    </row>
    <row r="174" spans="1:8" ht="33.75" x14ac:dyDescent="0.2">
      <c r="A174" s="89">
        <v>171</v>
      </c>
      <c r="B174" s="90" t="s">
        <v>313</v>
      </c>
      <c r="C174" s="78">
        <v>7000</v>
      </c>
      <c r="D174" s="170">
        <v>46023</v>
      </c>
      <c r="E174" s="170">
        <v>46023</v>
      </c>
      <c r="F174" s="324" t="s">
        <v>107</v>
      </c>
      <c r="G174" s="91" t="s">
        <v>531</v>
      </c>
      <c r="H174" s="135">
        <f t="shared" si="2"/>
        <v>7000</v>
      </c>
    </row>
    <row r="175" spans="1:8" ht="33.75" x14ac:dyDescent="0.2">
      <c r="A175" s="89">
        <v>172</v>
      </c>
      <c r="B175" s="90" t="s">
        <v>313</v>
      </c>
      <c r="C175" s="78">
        <v>5000</v>
      </c>
      <c r="D175" s="170">
        <v>46023</v>
      </c>
      <c r="E175" s="170">
        <v>46023</v>
      </c>
      <c r="F175" s="324" t="s">
        <v>107</v>
      </c>
      <c r="G175" s="91" t="s">
        <v>498</v>
      </c>
      <c r="H175" s="135">
        <f t="shared" si="2"/>
        <v>5000</v>
      </c>
    </row>
    <row r="176" spans="1:8" ht="22.5" x14ac:dyDescent="0.2">
      <c r="A176" s="89">
        <v>173</v>
      </c>
      <c r="B176" s="90" t="s">
        <v>237</v>
      </c>
      <c r="C176" s="78">
        <v>1000</v>
      </c>
      <c r="D176" s="170">
        <v>46023</v>
      </c>
      <c r="E176" s="170">
        <v>47088</v>
      </c>
      <c r="F176" s="324" t="s">
        <v>107</v>
      </c>
      <c r="G176" s="91" t="s">
        <v>501</v>
      </c>
      <c r="H176" s="135">
        <f t="shared" si="2"/>
        <v>36000</v>
      </c>
    </row>
    <row r="177" spans="1:8" ht="33.75" x14ac:dyDescent="0.2">
      <c r="A177" s="89">
        <v>174</v>
      </c>
      <c r="B177" s="90" t="s">
        <v>315</v>
      </c>
      <c r="C177" s="78">
        <v>4000</v>
      </c>
      <c r="D177" s="170">
        <v>46023</v>
      </c>
      <c r="E177" s="170">
        <v>47118</v>
      </c>
      <c r="F177" s="324" t="s">
        <v>107</v>
      </c>
      <c r="G177" s="91" t="s">
        <v>500</v>
      </c>
      <c r="H177" s="135">
        <f t="shared" si="2"/>
        <v>144000</v>
      </c>
    </row>
    <row r="178" spans="1:8" ht="22.5" x14ac:dyDescent="0.2">
      <c r="A178" s="89">
        <v>175</v>
      </c>
      <c r="B178" s="90" t="s">
        <v>237</v>
      </c>
      <c r="C178" s="78">
        <v>2000</v>
      </c>
      <c r="D178" s="170">
        <v>46023</v>
      </c>
      <c r="E178" s="170">
        <v>47088</v>
      </c>
      <c r="F178" s="324" t="s">
        <v>107</v>
      </c>
      <c r="G178" s="91" t="s">
        <v>496</v>
      </c>
      <c r="H178" s="135">
        <f t="shared" si="2"/>
        <v>72000</v>
      </c>
    </row>
    <row r="179" spans="1:8" ht="33.75" x14ac:dyDescent="0.2">
      <c r="A179" s="89">
        <v>176</v>
      </c>
      <c r="B179" s="90" t="s">
        <v>249</v>
      </c>
      <c r="C179" s="78">
        <v>200</v>
      </c>
      <c r="D179" s="170">
        <v>46023</v>
      </c>
      <c r="E179" s="170">
        <v>47118</v>
      </c>
      <c r="F179" s="324" t="s">
        <v>107</v>
      </c>
      <c r="G179" s="91" t="s">
        <v>502</v>
      </c>
      <c r="H179" s="135">
        <f t="shared" si="2"/>
        <v>7200</v>
      </c>
    </row>
    <row r="180" spans="1:8" ht="22.5" x14ac:dyDescent="0.2">
      <c r="A180" s="89">
        <v>177</v>
      </c>
      <c r="B180" s="90" t="s">
        <v>317</v>
      </c>
      <c r="C180" s="78">
        <v>2500</v>
      </c>
      <c r="D180" s="170">
        <v>46023</v>
      </c>
      <c r="E180" s="170">
        <v>46023</v>
      </c>
      <c r="F180" s="324" t="s">
        <v>107</v>
      </c>
      <c r="G180" s="91" t="s">
        <v>503</v>
      </c>
      <c r="H180" s="135">
        <f t="shared" si="2"/>
        <v>2500</v>
      </c>
    </row>
    <row r="181" spans="1:8" ht="22.5" x14ac:dyDescent="0.2">
      <c r="A181" s="89">
        <v>178</v>
      </c>
      <c r="B181" s="90" t="s">
        <v>197</v>
      </c>
      <c r="C181" s="78">
        <v>6000</v>
      </c>
      <c r="D181" s="170">
        <v>46023</v>
      </c>
      <c r="E181" s="170">
        <v>47118</v>
      </c>
      <c r="F181" s="324" t="s">
        <v>107</v>
      </c>
      <c r="G181" s="91" t="s">
        <v>504</v>
      </c>
      <c r="H181" s="135">
        <f t="shared" si="2"/>
        <v>216000</v>
      </c>
    </row>
    <row r="182" spans="1:8" ht="22.5" x14ac:dyDescent="0.2">
      <c r="A182" s="89">
        <v>179</v>
      </c>
      <c r="B182" s="90" t="s">
        <v>199</v>
      </c>
      <c r="C182" s="78">
        <v>25000</v>
      </c>
      <c r="D182" s="170">
        <v>46023</v>
      </c>
      <c r="E182" s="170">
        <v>47118</v>
      </c>
      <c r="F182" s="324" t="s">
        <v>107</v>
      </c>
      <c r="G182" s="91" t="s">
        <v>505</v>
      </c>
      <c r="H182" s="135">
        <f t="shared" si="2"/>
        <v>900000</v>
      </c>
    </row>
    <row r="183" spans="1:8" ht="22.5" x14ac:dyDescent="0.2">
      <c r="A183" s="89">
        <v>180</v>
      </c>
      <c r="B183" s="90" t="s">
        <v>299</v>
      </c>
      <c r="C183" s="78">
        <v>20000</v>
      </c>
      <c r="D183" s="170">
        <v>46388</v>
      </c>
      <c r="E183" s="170">
        <v>46388</v>
      </c>
      <c r="F183" s="324" t="s">
        <v>105</v>
      </c>
      <c r="G183" s="91" t="s">
        <v>588</v>
      </c>
      <c r="H183" s="135">
        <f t="shared" si="2"/>
        <v>20000</v>
      </c>
    </row>
    <row r="184" spans="1:8" x14ac:dyDescent="0.2">
      <c r="A184" s="89">
        <v>181</v>
      </c>
      <c r="B184" s="90" t="s">
        <v>201</v>
      </c>
      <c r="C184" s="78">
        <v>2000</v>
      </c>
      <c r="D184" s="170">
        <v>46023</v>
      </c>
      <c r="E184" s="170">
        <v>47088</v>
      </c>
      <c r="F184" s="324" t="s">
        <v>107</v>
      </c>
      <c r="G184" s="91" t="s">
        <v>506</v>
      </c>
      <c r="H184" s="135">
        <f t="shared" si="2"/>
        <v>72000</v>
      </c>
    </row>
    <row r="185" spans="1:8" ht="22.5" x14ac:dyDescent="0.2">
      <c r="A185" s="89">
        <v>182</v>
      </c>
      <c r="B185" s="90" t="s">
        <v>257</v>
      </c>
      <c r="C185" s="78">
        <v>1500</v>
      </c>
      <c r="D185" s="170">
        <v>46023</v>
      </c>
      <c r="E185" s="170">
        <v>46023</v>
      </c>
      <c r="F185" s="324" t="s">
        <v>107</v>
      </c>
      <c r="G185" s="91" t="s">
        <v>507</v>
      </c>
      <c r="H185" s="135">
        <f t="shared" si="2"/>
        <v>1500</v>
      </c>
    </row>
    <row r="186" spans="1:8" ht="22.5" x14ac:dyDescent="0.2">
      <c r="A186" s="89">
        <v>183</v>
      </c>
      <c r="B186" s="90" t="s">
        <v>275</v>
      </c>
      <c r="C186" s="78">
        <v>2500</v>
      </c>
      <c r="D186" s="170">
        <v>46023</v>
      </c>
      <c r="E186" s="170">
        <v>47088</v>
      </c>
      <c r="F186" s="324" t="s">
        <v>107</v>
      </c>
      <c r="G186" s="91" t="s">
        <v>599</v>
      </c>
      <c r="H186" s="135">
        <f t="shared" si="2"/>
        <v>90000</v>
      </c>
    </row>
    <row r="187" spans="1:8" ht="22.5" x14ac:dyDescent="0.2">
      <c r="A187" s="89">
        <v>184</v>
      </c>
      <c r="B187" s="90" t="s">
        <v>323</v>
      </c>
      <c r="C187" s="78">
        <v>30000</v>
      </c>
      <c r="D187" s="170">
        <v>46174</v>
      </c>
      <c r="E187" s="170">
        <v>46174</v>
      </c>
      <c r="F187" s="324" t="s">
        <v>107</v>
      </c>
      <c r="G187" s="91" t="s">
        <v>509</v>
      </c>
      <c r="H187" s="135">
        <f t="shared" si="2"/>
        <v>30000</v>
      </c>
    </row>
    <row r="188" spans="1:8" ht="22.5" x14ac:dyDescent="0.2">
      <c r="A188" s="89">
        <v>185</v>
      </c>
      <c r="B188" s="90" t="s">
        <v>325</v>
      </c>
      <c r="C188" s="78">
        <v>3500</v>
      </c>
      <c r="D188" s="170">
        <v>46023</v>
      </c>
      <c r="E188" s="170">
        <v>47118</v>
      </c>
      <c r="F188" s="324" t="s">
        <v>107</v>
      </c>
      <c r="G188" s="91" t="s">
        <v>510</v>
      </c>
      <c r="H188" s="135">
        <f t="shared" si="2"/>
        <v>126000</v>
      </c>
    </row>
    <row r="189" spans="1:8" ht="22.5" x14ac:dyDescent="0.2">
      <c r="A189" s="89">
        <v>186</v>
      </c>
      <c r="B189" s="90" t="s">
        <v>327</v>
      </c>
      <c r="C189" s="78">
        <v>1000</v>
      </c>
      <c r="D189" s="170">
        <v>46023</v>
      </c>
      <c r="E189" s="170">
        <v>47118</v>
      </c>
      <c r="F189" s="324" t="s">
        <v>107</v>
      </c>
      <c r="G189" s="91" t="s">
        <v>511</v>
      </c>
      <c r="H189" s="135">
        <f t="shared" si="2"/>
        <v>36000</v>
      </c>
    </row>
    <row r="190" spans="1:8" ht="22.5" x14ac:dyDescent="0.2">
      <c r="A190" s="89">
        <v>187</v>
      </c>
      <c r="B190" s="90" t="s">
        <v>265</v>
      </c>
      <c r="C190" s="78">
        <v>3500</v>
      </c>
      <c r="D190" s="170">
        <v>46023</v>
      </c>
      <c r="E190" s="170">
        <v>47088</v>
      </c>
      <c r="F190" s="324" t="s">
        <v>107</v>
      </c>
      <c r="G190" s="91" t="s">
        <v>512</v>
      </c>
      <c r="H190" s="135">
        <f t="shared" ref="H190:H253" si="3">IFERROR((DATEDIF(D190,E190,"M")+1)*C190,0)</f>
        <v>126000</v>
      </c>
    </row>
    <row r="191" spans="1:8" ht="22.5" x14ac:dyDescent="0.2">
      <c r="A191" s="89">
        <v>188</v>
      </c>
      <c r="B191" s="90" t="s">
        <v>329</v>
      </c>
      <c r="C191" s="78">
        <v>1500</v>
      </c>
      <c r="D191" s="170">
        <v>46023</v>
      </c>
      <c r="E191" s="170">
        <v>47088</v>
      </c>
      <c r="F191" s="324" t="s">
        <v>107</v>
      </c>
      <c r="G191" s="91" t="s">
        <v>513</v>
      </c>
      <c r="H191" s="135">
        <f t="shared" si="3"/>
        <v>54000</v>
      </c>
    </row>
    <row r="192" spans="1:8" x14ac:dyDescent="0.2">
      <c r="A192" s="89">
        <v>189</v>
      </c>
      <c r="B192" s="90" t="s">
        <v>239</v>
      </c>
      <c r="C192" s="78">
        <v>40000</v>
      </c>
      <c r="D192" s="170">
        <v>46023</v>
      </c>
      <c r="E192" s="170">
        <v>46023</v>
      </c>
      <c r="F192" s="324" t="s">
        <v>107</v>
      </c>
      <c r="G192" s="91" t="s">
        <v>514</v>
      </c>
      <c r="H192" s="135">
        <f t="shared" si="3"/>
        <v>40000</v>
      </c>
    </row>
    <row r="193" spans="1:8" x14ac:dyDescent="0.2">
      <c r="A193" s="89">
        <v>190</v>
      </c>
      <c r="B193" s="90" t="s">
        <v>239</v>
      </c>
      <c r="C193" s="78">
        <v>20000</v>
      </c>
      <c r="D193" s="170">
        <v>46023</v>
      </c>
      <c r="E193" s="170">
        <v>46023</v>
      </c>
      <c r="F193" s="90" t="s">
        <v>107</v>
      </c>
      <c r="G193" s="91" t="s">
        <v>515</v>
      </c>
      <c r="H193" s="135">
        <f t="shared" si="3"/>
        <v>20000</v>
      </c>
    </row>
    <row r="194" spans="1:8" x14ac:dyDescent="0.2">
      <c r="A194" s="89">
        <v>191</v>
      </c>
      <c r="B194" s="90" t="s">
        <v>331</v>
      </c>
      <c r="C194" s="78">
        <v>1500</v>
      </c>
      <c r="D194" s="170">
        <v>46023</v>
      </c>
      <c r="E194" s="170">
        <v>47088</v>
      </c>
      <c r="F194" s="324" t="s">
        <v>107</v>
      </c>
      <c r="G194" s="91" t="s">
        <v>516</v>
      </c>
      <c r="H194" s="135">
        <f t="shared" si="3"/>
        <v>54000</v>
      </c>
    </row>
    <row r="195" spans="1:8" ht="33.75" x14ac:dyDescent="0.2">
      <c r="A195" s="89">
        <v>192</v>
      </c>
      <c r="B195" s="90" t="s">
        <v>333</v>
      </c>
      <c r="C195" s="78">
        <v>200</v>
      </c>
      <c r="D195" s="170">
        <v>46023</v>
      </c>
      <c r="E195" s="170">
        <v>47118</v>
      </c>
      <c r="F195" s="324" t="s">
        <v>107</v>
      </c>
      <c r="G195" s="91" t="s">
        <v>517</v>
      </c>
      <c r="H195" s="135">
        <f t="shared" si="3"/>
        <v>7200</v>
      </c>
    </row>
    <row r="196" spans="1:8" ht="33.75" x14ac:dyDescent="0.2">
      <c r="A196" s="89">
        <v>193</v>
      </c>
      <c r="B196" s="90" t="s">
        <v>285</v>
      </c>
      <c r="C196" s="78">
        <v>8000</v>
      </c>
      <c r="D196" s="170">
        <v>46023</v>
      </c>
      <c r="E196" s="170">
        <v>47118</v>
      </c>
      <c r="F196" s="324" t="s">
        <v>107</v>
      </c>
      <c r="G196" s="91" t="s">
        <v>499</v>
      </c>
      <c r="H196" s="135">
        <f t="shared" si="3"/>
        <v>288000</v>
      </c>
    </row>
    <row r="197" spans="1:8" x14ac:dyDescent="0.2">
      <c r="A197" s="89">
        <v>194</v>
      </c>
      <c r="B197" s="90" t="s">
        <v>277</v>
      </c>
      <c r="C197" s="78">
        <v>1500</v>
      </c>
      <c r="D197" s="170">
        <v>46023</v>
      </c>
      <c r="E197" s="170">
        <v>47088</v>
      </c>
      <c r="F197" s="324" t="s">
        <v>107</v>
      </c>
      <c r="G197" s="91" t="s">
        <v>518</v>
      </c>
      <c r="H197" s="135">
        <f t="shared" si="3"/>
        <v>54000</v>
      </c>
    </row>
    <row r="198" spans="1:8" ht="33.75" x14ac:dyDescent="0.2">
      <c r="A198" s="89">
        <v>195</v>
      </c>
      <c r="B198" s="90" t="s">
        <v>309</v>
      </c>
      <c r="C198" s="78">
        <v>6000</v>
      </c>
      <c r="D198" s="170">
        <v>46023</v>
      </c>
      <c r="E198" s="170">
        <v>47118</v>
      </c>
      <c r="F198" s="324" t="s">
        <v>107</v>
      </c>
      <c r="G198" s="91" t="s">
        <v>519</v>
      </c>
      <c r="H198" s="135">
        <f t="shared" si="3"/>
        <v>216000</v>
      </c>
    </row>
    <row r="199" spans="1:8" ht="22.5" x14ac:dyDescent="0.2">
      <c r="A199" s="89">
        <v>196</v>
      </c>
      <c r="B199" s="90" t="s">
        <v>303</v>
      </c>
      <c r="C199" s="78">
        <v>6000</v>
      </c>
      <c r="D199" s="170">
        <v>46023</v>
      </c>
      <c r="E199" s="170">
        <v>47088</v>
      </c>
      <c r="F199" s="324" t="s">
        <v>107</v>
      </c>
      <c r="G199" s="91" t="s">
        <v>600</v>
      </c>
      <c r="H199" s="135">
        <f t="shared" si="3"/>
        <v>216000</v>
      </c>
    </row>
    <row r="200" spans="1:8" x14ac:dyDescent="0.2">
      <c r="A200" s="89">
        <v>197</v>
      </c>
      <c r="B200" s="90" t="s">
        <v>295</v>
      </c>
      <c r="C200" s="78">
        <v>6000</v>
      </c>
      <c r="D200" s="170">
        <v>46023</v>
      </c>
      <c r="E200" s="170">
        <v>47118</v>
      </c>
      <c r="F200" s="324" t="s">
        <v>107</v>
      </c>
      <c r="G200" s="91" t="s">
        <v>521</v>
      </c>
      <c r="H200" s="135">
        <f t="shared" si="3"/>
        <v>216000</v>
      </c>
    </row>
    <row r="201" spans="1:8" ht="22.5" x14ac:dyDescent="0.2">
      <c r="A201" s="89">
        <v>198</v>
      </c>
      <c r="B201" s="90" t="s">
        <v>335</v>
      </c>
      <c r="C201" s="78">
        <v>500</v>
      </c>
      <c r="D201" s="170">
        <v>46023</v>
      </c>
      <c r="E201" s="170">
        <v>47118</v>
      </c>
      <c r="F201" s="324" t="s">
        <v>107</v>
      </c>
      <c r="G201" s="91" t="s">
        <v>522</v>
      </c>
      <c r="H201" s="135">
        <f t="shared" si="3"/>
        <v>18000</v>
      </c>
    </row>
    <row r="202" spans="1:8" x14ac:dyDescent="0.2">
      <c r="A202" s="89">
        <v>199</v>
      </c>
      <c r="B202" s="90" t="s">
        <v>337</v>
      </c>
      <c r="C202" s="78">
        <v>2300</v>
      </c>
      <c r="D202" s="170">
        <v>46023</v>
      </c>
      <c r="E202" s="170">
        <v>47118</v>
      </c>
      <c r="F202" s="324" t="s">
        <v>107</v>
      </c>
      <c r="G202" s="91" t="s">
        <v>523</v>
      </c>
      <c r="H202" s="135">
        <f t="shared" si="3"/>
        <v>82800</v>
      </c>
    </row>
    <row r="203" spans="1:8" ht="22.5" x14ac:dyDescent="0.2">
      <c r="A203" s="89">
        <v>200</v>
      </c>
      <c r="B203" s="90" t="s">
        <v>339</v>
      </c>
      <c r="C203" s="78">
        <v>4000</v>
      </c>
      <c r="D203" s="170">
        <v>46023</v>
      </c>
      <c r="E203" s="170">
        <v>47118</v>
      </c>
      <c r="F203" s="324" t="s">
        <v>107</v>
      </c>
      <c r="G203" s="91" t="s">
        <v>524</v>
      </c>
      <c r="H203" s="135">
        <f t="shared" si="3"/>
        <v>144000</v>
      </c>
    </row>
    <row r="204" spans="1:8" ht="22.5" x14ac:dyDescent="0.2">
      <c r="A204" s="89">
        <v>201</v>
      </c>
      <c r="B204" s="90" t="s">
        <v>227</v>
      </c>
      <c r="C204" s="78">
        <v>2000</v>
      </c>
      <c r="D204" s="170">
        <v>46023</v>
      </c>
      <c r="E204" s="170">
        <v>47088</v>
      </c>
      <c r="F204" s="324" t="s">
        <v>107</v>
      </c>
      <c r="G204" s="91" t="s">
        <v>586</v>
      </c>
      <c r="H204" s="135">
        <f t="shared" si="3"/>
        <v>72000</v>
      </c>
    </row>
    <row r="205" spans="1:8" ht="33.75" x14ac:dyDescent="0.2">
      <c r="A205" s="89">
        <v>202</v>
      </c>
      <c r="B205" s="90" t="s">
        <v>273</v>
      </c>
      <c r="C205" s="78">
        <v>1000</v>
      </c>
      <c r="D205" s="170">
        <v>46023</v>
      </c>
      <c r="E205" s="170">
        <v>47088</v>
      </c>
      <c r="F205" s="324" t="s">
        <v>107</v>
      </c>
      <c r="G205" s="91" t="s">
        <v>525</v>
      </c>
      <c r="H205" s="135">
        <f t="shared" si="3"/>
        <v>36000</v>
      </c>
    </row>
    <row r="206" spans="1:8" ht="22.5" x14ac:dyDescent="0.2">
      <c r="A206" s="89">
        <v>203</v>
      </c>
      <c r="B206" s="90" t="s">
        <v>277</v>
      </c>
      <c r="C206" s="78">
        <v>1000</v>
      </c>
      <c r="D206" s="170">
        <v>46023</v>
      </c>
      <c r="E206" s="170">
        <v>47088</v>
      </c>
      <c r="F206" s="324" t="s">
        <v>107</v>
      </c>
      <c r="G206" s="91" t="s">
        <v>526</v>
      </c>
      <c r="H206" s="135">
        <f t="shared" si="3"/>
        <v>36000</v>
      </c>
    </row>
    <row r="207" spans="1:8" ht="22.5" x14ac:dyDescent="0.2">
      <c r="A207" s="89">
        <v>204</v>
      </c>
      <c r="B207" s="90" t="s">
        <v>269</v>
      </c>
      <c r="C207" s="78">
        <v>95000</v>
      </c>
      <c r="D207" s="170">
        <v>46023</v>
      </c>
      <c r="E207" s="170">
        <v>46357</v>
      </c>
      <c r="F207" s="324" t="s">
        <v>107</v>
      </c>
      <c r="G207" s="91" t="s">
        <v>532</v>
      </c>
      <c r="H207" s="135">
        <f t="shared" si="3"/>
        <v>1140000</v>
      </c>
    </row>
    <row r="208" spans="1:8" ht="22.5" x14ac:dyDescent="0.2">
      <c r="A208" s="89">
        <v>205</v>
      </c>
      <c r="B208" s="90" t="s">
        <v>231</v>
      </c>
      <c r="C208" s="78">
        <v>1200</v>
      </c>
      <c r="D208" s="170">
        <v>46023</v>
      </c>
      <c r="E208" s="170">
        <v>47088</v>
      </c>
      <c r="F208" s="324" t="s">
        <v>107</v>
      </c>
      <c r="G208" s="91" t="s">
        <v>528</v>
      </c>
      <c r="H208" s="135">
        <f t="shared" si="3"/>
        <v>43200</v>
      </c>
    </row>
    <row r="209" spans="1:8" ht="22.5" x14ac:dyDescent="0.2">
      <c r="A209" s="89">
        <v>206</v>
      </c>
      <c r="B209" s="90" t="s">
        <v>315</v>
      </c>
      <c r="C209" s="78">
        <v>300000</v>
      </c>
      <c r="D209" s="170">
        <v>46143</v>
      </c>
      <c r="E209" s="170">
        <v>46143</v>
      </c>
      <c r="F209" s="324" t="s">
        <v>107</v>
      </c>
      <c r="G209" s="91" t="s">
        <v>527</v>
      </c>
      <c r="H209" s="135">
        <f t="shared" si="3"/>
        <v>300000</v>
      </c>
    </row>
    <row r="210" spans="1:8" ht="22.5" x14ac:dyDescent="0.2">
      <c r="A210" s="89">
        <v>207</v>
      </c>
      <c r="B210" s="90" t="s">
        <v>301</v>
      </c>
      <c r="C210" s="78">
        <v>24000</v>
      </c>
      <c r="D210" s="170">
        <v>46113</v>
      </c>
      <c r="E210" s="170">
        <v>46113</v>
      </c>
      <c r="F210" s="324" t="s">
        <v>107</v>
      </c>
      <c r="G210" s="91" t="s">
        <v>529</v>
      </c>
      <c r="H210" s="135">
        <f t="shared" si="3"/>
        <v>24000</v>
      </c>
    </row>
    <row r="211" spans="1:8" ht="22.5" x14ac:dyDescent="0.2">
      <c r="A211" s="89">
        <v>208</v>
      </c>
      <c r="B211" s="90" t="s">
        <v>221</v>
      </c>
      <c r="C211" s="78">
        <v>1200</v>
      </c>
      <c r="D211" s="170">
        <v>46023</v>
      </c>
      <c r="E211" s="170">
        <v>46023</v>
      </c>
      <c r="F211" s="324" t="s">
        <v>102</v>
      </c>
      <c r="G211" s="91" t="s">
        <v>534</v>
      </c>
      <c r="H211" s="135">
        <f t="shared" si="3"/>
        <v>1200</v>
      </c>
    </row>
    <row r="212" spans="1:8" ht="22.5" x14ac:dyDescent="0.2">
      <c r="A212" s="89">
        <v>209</v>
      </c>
      <c r="B212" s="90" t="s">
        <v>299</v>
      </c>
      <c r="C212" s="78">
        <v>20000</v>
      </c>
      <c r="D212" s="170">
        <v>46023</v>
      </c>
      <c r="E212" s="170">
        <v>46023</v>
      </c>
      <c r="F212" s="324" t="s">
        <v>107</v>
      </c>
      <c r="G212" s="91" t="s">
        <v>530</v>
      </c>
      <c r="H212" s="135">
        <f t="shared" si="3"/>
        <v>20000</v>
      </c>
    </row>
    <row r="213" spans="1:8" ht="22.5" x14ac:dyDescent="0.2">
      <c r="A213" s="89">
        <v>210</v>
      </c>
      <c r="B213" s="90" t="s">
        <v>269</v>
      </c>
      <c r="C213" s="78">
        <v>55000</v>
      </c>
      <c r="D213" s="170">
        <v>46023</v>
      </c>
      <c r="E213" s="170">
        <v>46357</v>
      </c>
      <c r="F213" s="324" t="s">
        <v>102</v>
      </c>
      <c r="G213" s="91" t="s">
        <v>602</v>
      </c>
      <c r="H213" s="135">
        <f t="shared" si="3"/>
        <v>660000</v>
      </c>
    </row>
    <row r="214" spans="1:8" ht="22.5" x14ac:dyDescent="0.2">
      <c r="A214" s="89">
        <v>211</v>
      </c>
      <c r="B214" s="90" t="s">
        <v>243</v>
      </c>
      <c r="C214" s="78">
        <f>230*50</f>
        <v>11500</v>
      </c>
      <c r="D214" s="170">
        <v>46023</v>
      </c>
      <c r="E214" s="170">
        <v>47088</v>
      </c>
      <c r="F214" s="324" t="s">
        <v>101</v>
      </c>
      <c r="G214" s="91" t="s">
        <v>613</v>
      </c>
      <c r="H214" s="135">
        <f t="shared" si="3"/>
        <v>414000</v>
      </c>
    </row>
    <row r="215" spans="1:8" ht="45" x14ac:dyDescent="0.2">
      <c r="A215" s="89">
        <v>212</v>
      </c>
      <c r="B215" s="90" t="s">
        <v>311</v>
      </c>
      <c r="C215" s="78">
        <v>10000</v>
      </c>
      <c r="D215" s="170">
        <v>46023</v>
      </c>
      <c r="E215" s="170">
        <v>47088</v>
      </c>
      <c r="F215" s="324" t="s">
        <v>106</v>
      </c>
      <c r="G215" s="91" t="s">
        <v>494</v>
      </c>
      <c r="H215" s="135">
        <f t="shared" si="3"/>
        <v>360000</v>
      </c>
    </row>
    <row r="216" spans="1:8" ht="33.75" x14ac:dyDescent="0.2">
      <c r="A216" s="89">
        <v>213</v>
      </c>
      <c r="B216" s="90" t="s">
        <v>313</v>
      </c>
      <c r="C216" s="78">
        <v>7000</v>
      </c>
      <c r="D216" s="170">
        <v>46023</v>
      </c>
      <c r="E216" s="170">
        <v>46023</v>
      </c>
      <c r="F216" s="324" t="s">
        <v>106</v>
      </c>
      <c r="G216" s="91" t="s">
        <v>531</v>
      </c>
      <c r="H216" s="135">
        <f t="shared" si="3"/>
        <v>7000</v>
      </c>
    </row>
    <row r="217" spans="1:8" ht="33.75" x14ac:dyDescent="0.2">
      <c r="A217" s="89">
        <v>214</v>
      </c>
      <c r="B217" s="90" t="s">
        <v>313</v>
      </c>
      <c r="C217" s="78">
        <v>5000</v>
      </c>
      <c r="D217" s="170">
        <v>46023</v>
      </c>
      <c r="E217" s="170">
        <v>46023</v>
      </c>
      <c r="F217" s="324" t="s">
        <v>106</v>
      </c>
      <c r="G217" s="91" t="s">
        <v>498</v>
      </c>
      <c r="H217" s="135">
        <f t="shared" si="3"/>
        <v>5000</v>
      </c>
    </row>
    <row r="218" spans="1:8" ht="22.5" x14ac:dyDescent="0.2">
      <c r="A218" s="89">
        <v>215</v>
      </c>
      <c r="B218" s="90" t="s">
        <v>235</v>
      </c>
      <c r="C218" s="78">
        <v>22500</v>
      </c>
      <c r="D218" s="170">
        <v>46023</v>
      </c>
      <c r="E218" s="170">
        <v>47088</v>
      </c>
      <c r="F218" s="324" t="s">
        <v>106</v>
      </c>
      <c r="G218" s="91" t="s">
        <v>495</v>
      </c>
      <c r="H218" s="135">
        <f t="shared" si="3"/>
        <v>810000</v>
      </c>
    </row>
    <row r="219" spans="1:8" ht="33.75" x14ac:dyDescent="0.2">
      <c r="A219" s="89">
        <v>216</v>
      </c>
      <c r="B219" s="90" t="s">
        <v>315</v>
      </c>
      <c r="C219" s="78">
        <v>5000</v>
      </c>
      <c r="D219" s="170">
        <v>46023</v>
      </c>
      <c r="E219" s="170">
        <v>47118</v>
      </c>
      <c r="F219" s="324" t="s">
        <v>106</v>
      </c>
      <c r="G219" s="91" t="s">
        <v>500</v>
      </c>
      <c r="H219" s="135">
        <f t="shared" si="3"/>
        <v>180000</v>
      </c>
    </row>
    <row r="220" spans="1:8" ht="33.75" x14ac:dyDescent="0.2">
      <c r="A220" s="89">
        <v>217</v>
      </c>
      <c r="B220" s="90" t="s">
        <v>237</v>
      </c>
      <c r="C220" s="78">
        <v>2000</v>
      </c>
      <c r="D220" s="170">
        <v>46023</v>
      </c>
      <c r="E220" s="170">
        <v>47088</v>
      </c>
      <c r="F220" s="324" t="s">
        <v>106</v>
      </c>
      <c r="G220" s="91" t="s">
        <v>497</v>
      </c>
      <c r="H220" s="135">
        <f t="shared" si="3"/>
        <v>72000</v>
      </c>
    </row>
    <row r="221" spans="1:8" ht="33.75" x14ac:dyDescent="0.2">
      <c r="A221" s="89">
        <v>218</v>
      </c>
      <c r="B221" s="90" t="s">
        <v>249</v>
      </c>
      <c r="C221" s="78">
        <v>200</v>
      </c>
      <c r="D221" s="170">
        <v>46023</v>
      </c>
      <c r="E221" s="170">
        <v>47118</v>
      </c>
      <c r="F221" s="324" t="s">
        <v>106</v>
      </c>
      <c r="G221" s="91" t="s">
        <v>502</v>
      </c>
      <c r="H221" s="135">
        <f t="shared" si="3"/>
        <v>7200</v>
      </c>
    </row>
    <row r="222" spans="1:8" ht="22.5" x14ac:dyDescent="0.2">
      <c r="A222" s="89">
        <v>219</v>
      </c>
      <c r="B222" s="90" t="s">
        <v>317</v>
      </c>
      <c r="C222" s="78">
        <v>2500</v>
      </c>
      <c r="D222" s="170">
        <v>46023</v>
      </c>
      <c r="E222" s="170">
        <v>46023</v>
      </c>
      <c r="F222" s="324" t="s">
        <v>106</v>
      </c>
      <c r="G222" s="91" t="s">
        <v>503</v>
      </c>
      <c r="H222" s="135">
        <f t="shared" si="3"/>
        <v>2500</v>
      </c>
    </row>
    <row r="223" spans="1:8" ht="22.5" x14ac:dyDescent="0.2">
      <c r="A223" s="89">
        <v>220</v>
      </c>
      <c r="B223" s="90" t="s">
        <v>197</v>
      </c>
      <c r="C223" s="78">
        <v>10000</v>
      </c>
      <c r="D223" s="170">
        <v>46023</v>
      </c>
      <c r="E223" s="170">
        <v>47118</v>
      </c>
      <c r="F223" s="324" t="s">
        <v>106</v>
      </c>
      <c r="G223" s="91" t="s">
        <v>504</v>
      </c>
      <c r="H223" s="135">
        <f t="shared" si="3"/>
        <v>360000</v>
      </c>
    </row>
    <row r="224" spans="1:8" ht="22.5" x14ac:dyDescent="0.2">
      <c r="A224" s="89">
        <v>221</v>
      </c>
      <c r="B224" s="90" t="s">
        <v>199</v>
      </c>
      <c r="C224" s="78">
        <v>27000</v>
      </c>
      <c r="D224" s="170">
        <v>46023</v>
      </c>
      <c r="E224" s="170">
        <v>47118</v>
      </c>
      <c r="F224" s="324" t="s">
        <v>106</v>
      </c>
      <c r="G224" s="91" t="s">
        <v>505</v>
      </c>
      <c r="H224" s="135">
        <f t="shared" si="3"/>
        <v>972000</v>
      </c>
    </row>
    <row r="225" spans="1:8" ht="22.5" x14ac:dyDescent="0.2">
      <c r="A225" s="89">
        <v>222</v>
      </c>
      <c r="B225" s="90" t="s">
        <v>299</v>
      </c>
      <c r="C225" s="78">
        <v>20000</v>
      </c>
      <c r="D225" s="170">
        <v>46388</v>
      </c>
      <c r="E225" s="170">
        <v>46388</v>
      </c>
      <c r="F225" s="324" t="s">
        <v>106</v>
      </c>
      <c r="G225" s="91" t="s">
        <v>588</v>
      </c>
      <c r="H225" s="135">
        <f t="shared" si="3"/>
        <v>20000</v>
      </c>
    </row>
    <row r="226" spans="1:8" x14ac:dyDescent="0.2">
      <c r="A226" s="89">
        <v>223</v>
      </c>
      <c r="B226" s="90" t="s">
        <v>201</v>
      </c>
      <c r="C226" s="78">
        <v>2300</v>
      </c>
      <c r="D226" s="170">
        <v>46023</v>
      </c>
      <c r="E226" s="170">
        <v>47088</v>
      </c>
      <c r="F226" s="324" t="s">
        <v>106</v>
      </c>
      <c r="G226" s="91" t="s">
        <v>506</v>
      </c>
      <c r="H226" s="135">
        <f t="shared" si="3"/>
        <v>82800</v>
      </c>
    </row>
    <row r="227" spans="1:8" ht="22.5" x14ac:dyDescent="0.2">
      <c r="A227" s="89">
        <v>224</v>
      </c>
      <c r="B227" s="90" t="s">
        <v>257</v>
      </c>
      <c r="C227" s="78">
        <v>1500</v>
      </c>
      <c r="D227" s="170">
        <v>46023</v>
      </c>
      <c r="E227" s="170">
        <v>46023</v>
      </c>
      <c r="F227" s="324" t="s">
        <v>106</v>
      </c>
      <c r="G227" s="91" t="s">
        <v>507</v>
      </c>
      <c r="H227" s="135">
        <f t="shared" si="3"/>
        <v>1500</v>
      </c>
    </row>
    <row r="228" spans="1:8" ht="22.5" x14ac:dyDescent="0.2">
      <c r="A228" s="89">
        <v>225</v>
      </c>
      <c r="B228" s="90" t="s">
        <v>275</v>
      </c>
      <c r="C228" s="78">
        <v>2300</v>
      </c>
      <c r="D228" s="170">
        <v>46023</v>
      </c>
      <c r="E228" s="170">
        <v>47088</v>
      </c>
      <c r="F228" s="324" t="s">
        <v>106</v>
      </c>
      <c r="G228" s="91" t="s">
        <v>599</v>
      </c>
      <c r="H228" s="135">
        <f t="shared" si="3"/>
        <v>82800</v>
      </c>
    </row>
    <row r="229" spans="1:8" ht="22.5" x14ac:dyDescent="0.2">
      <c r="A229" s="89">
        <v>226</v>
      </c>
      <c r="B229" s="90" t="s">
        <v>323</v>
      </c>
      <c r="C229" s="78">
        <v>40000</v>
      </c>
      <c r="D229" s="170">
        <v>46174</v>
      </c>
      <c r="E229" s="170">
        <v>46174</v>
      </c>
      <c r="F229" s="324" t="s">
        <v>106</v>
      </c>
      <c r="G229" s="91" t="s">
        <v>509</v>
      </c>
      <c r="H229" s="135">
        <f t="shared" si="3"/>
        <v>40000</v>
      </c>
    </row>
    <row r="230" spans="1:8" ht="22.5" x14ac:dyDescent="0.2">
      <c r="A230" s="89">
        <v>227</v>
      </c>
      <c r="B230" s="90" t="s">
        <v>325</v>
      </c>
      <c r="C230" s="78">
        <v>3500</v>
      </c>
      <c r="D230" s="170">
        <v>46023</v>
      </c>
      <c r="E230" s="170">
        <v>47118</v>
      </c>
      <c r="F230" s="324" t="s">
        <v>106</v>
      </c>
      <c r="G230" s="91" t="s">
        <v>510</v>
      </c>
      <c r="H230" s="135">
        <f t="shared" si="3"/>
        <v>126000</v>
      </c>
    </row>
    <row r="231" spans="1:8" ht="22.5" x14ac:dyDescent="0.2">
      <c r="A231" s="89">
        <v>228</v>
      </c>
      <c r="B231" s="90" t="s">
        <v>327</v>
      </c>
      <c r="C231" s="78">
        <v>1000</v>
      </c>
      <c r="D231" s="170">
        <v>46023</v>
      </c>
      <c r="E231" s="170">
        <v>47118</v>
      </c>
      <c r="F231" s="324" t="s">
        <v>106</v>
      </c>
      <c r="G231" s="91" t="s">
        <v>511</v>
      </c>
      <c r="H231" s="135">
        <f t="shared" si="3"/>
        <v>36000</v>
      </c>
    </row>
    <row r="232" spans="1:8" ht="22.5" x14ac:dyDescent="0.2">
      <c r="A232" s="89">
        <v>229</v>
      </c>
      <c r="B232" s="90" t="s">
        <v>265</v>
      </c>
      <c r="C232" s="78">
        <v>4000</v>
      </c>
      <c r="D232" s="170">
        <v>46023</v>
      </c>
      <c r="E232" s="170">
        <v>47088</v>
      </c>
      <c r="F232" s="324" t="s">
        <v>106</v>
      </c>
      <c r="G232" s="91" t="s">
        <v>512</v>
      </c>
      <c r="H232" s="135">
        <f t="shared" si="3"/>
        <v>144000</v>
      </c>
    </row>
    <row r="233" spans="1:8" ht="22.5" x14ac:dyDescent="0.2">
      <c r="A233" s="89">
        <v>230</v>
      </c>
      <c r="B233" s="90" t="s">
        <v>329</v>
      </c>
      <c r="C233" s="78">
        <v>2000</v>
      </c>
      <c r="D233" s="170">
        <v>46023</v>
      </c>
      <c r="E233" s="170">
        <v>47088</v>
      </c>
      <c r="F233" s="324" t="s">
        <v>106</v>
      </c>
      <c r="G233" s="91" t="s">
        <v>513</v>
      </c>
      <c r="H233" s="135">
        <f t="shared" si="3"/>
        <v>72000</v>
      </c>
    </row>
    <row r="234" spans="1:8" x14ac:dyDescent="0.2">
      <c r="A234" s="89">
        <v>231</v>
      </c>
      <c r="B234" s="90" t="s">
        <v>239</v>
      </c>
      <c r="C234" s="78">
        <v>40000</v>
      </c>
      <c r="D234" s="170">
        <v>46023</v>
      </c>
      <c r="E234" s="170">
        <v>46023</v>
      </c>
      <c r="F234" s="324" t="s">
        <v>106</v>
      </c>
      <c r="G234" s="91" t="s">
        <v>514</v>
      </c>
      <c r="H234" s="135">
        <f t="shared" si="3"/>
        <v>40000</v>
      </c>
    </row>
    <row r="235" spans="1:8" x14ac:dyDescent="0.2">
      <c r="A235" s="89">
        <v>232</v>
      </c>
      <c r="B235" s="90" t="s">
        <v>239</v>
      </c>
      <c r="C235" s="78">
        <v>20000</v>
      </c>
      <c r="D235" s="170">
        <v>46023</v>
      </c>
      <c r="E235" s="170">
        <v>46023</v>
      </c>
      <c r="F235" s="324" t="s">
        <v>106</v>
      </c>
      <c r="G235" s="91" t="s">
        <v>515</v>
      </c>
      <c r="H235" s="135">
        <f t="shared" si="3"/>
        <v>20000</v>
      </c>
    </row>
    <row r="236" spans="1:8" x14ac:dyDescent="0.2">
      <c r="A236" s="89">
        <v>233</v>
      </c>
      <c r="B236" s="90" t="s">
        <v>331</v>
      </c>
      <c r="C236" s="78">
        <v>1500</v>
      </c>
      <c r="D236" s="170">
        <v>46023</v>
      </c>
      <c r="E236" s="170">
        <v>47088</v>
      </c>
      <c r="F236" s="324" t="s">
        <v>106</v>
      </c>
      <c r="G236" s="91" t="s">
        <v>516</v>
      </c>
      <c r="H236" s="135">
        <f t="shared" si="3"/>
        <v>54000</v>
      </c>
    </row>
    <row r="237" spans="1:8" ht="33.75" x14ac:dyDescent="0.2">
      <c r="A237" s="89">
        <v>234</v>
      </c>
      <c r="B237" s="90" t="s">
        <v>333</v>
      </c>
      <c r="C237" s="78">
        <v>200</v>
      </c>
      <c r="D237" s="170">
        <v>46023</v>
      </c>
      <c r="E237" s="170">
        <v>47118</v>
      </c>
      <c r="F237" s="324" t="s">
        <v>106</v>
      </c>
      <c r="G237" s="91" t="s">
        <v>517</v>
      </c>
      <c r="H237" s="135">
        <f t="shared" si="3"/>
        <v>7200</v>
      </c>
    </row>
    <row r="238" spans="1:8" ht="33.75" x14ac:dyDescent="0.2">
      <c r="A238" s="89">
        <v>235</v>
      </c>
      <c r="B238" s="90" t="s">
        <v>285</v>
      </c>
      <c r="C238" s="78">
        <v>15000</v>
      </c>
      <c r="D238" s="170">
        <v>46023</v>
      </c>
      <c r="E238" s="170">
        <v>47118</v>
      </c>
      <c r="F238" s="324" t="s">
        <v>106</v>
      </c>
      <c r="G238" s="91" t="s">
        <v>499</v>
      </c>
      <c r="H238" s="135">
        <f t="shared" si="3"/>
        <v>540000</v>
      </c>
    </row>
    <row r="239" spans="1:8" x14ac:dyDescent="0.2">
      <c r="A239" s="89">
        <v>236</v>
      </c>
      <c r="B239" s="90" t="s">
        <v>277</v>
      </c>
      <c r="C239" s="78">
        <v>2000</v>
      </c>
      <c r="D239" s="170">
        <v>46023</v>
      </c>
      <c r="E239" s="170">
        <v>47088</v>
      </c>
      <c r="F239" s="324" t="s">
        <v>106</v>
      </c>
      <c r="G239" s="91" t="s">
        <v>518</v>
      </c>
      <c r="H239" s="135">
        <f t="shared" si="3"/>
        <v>72000</v>
      </c>
    </row>
    <row r="240" spans="1:8" ht="33.75" x14ac:dyDescent="0.2">
      <c r="A240" s="89">
        <v>237</v>
      </c>
      <c r="B240" s="90" t="s">
        <v>309</v>
      </c>
      <c r="C240" s="78">
        <v>6000</v>
      </c>
      <c r="D240" s="170">
        <v>46023</v>
      </c>
      <c r="E240" s="170">
        <v>47118</v>
      </c>
      <c r="F240" s="324" t="s">
        <v>106</v>
      </c>
      <c r="G240" s="91" t="s">
        <v>519</v>
      </c>
      <c r="H240" s="135">
        <f t="shared" si="3"/>
        <v>216000</v>
      </c>
    </row>
    <row r="241" spans="1:8" ht="22.5" x14ac:dyDescent="0.2">
      <c r="A241" s="89">
        <v>238</v>
      </c>
      <c r="B241" s="90" t="s">
        <v>303</v>
      </c>
      <c r="C241" s="78">
        <v>8000</v>
      </c>
      <c r="D241" s="170">
        <v>46023</v>
      </c>
      <c r="E241" s="170">
        <v>47088</v>
      </c>
      <c r="F241" s="324" t="s">
        <v>106</v>
      </c>
      <c r="G241" s="91" t="s">
        <v>600</v>
      </c>
      <c r="H241" s="135">
        <f t="shared" si="3"/>
        <v>288000</v>
      </c>
    </row>
    <row r="242" spans="1:8" x14ac:dyDescent="0.2">
      <c r="A242" s="89">
        <v>239</v>
      </c>
      <c r="B242" s="90" t="s">
        <v>295</v>
      </c>
      <c r="C242" s="78">
        <v>6000</v>
      </c>
      <c r="D242" s="170">
        <v>46023</v>
      </c>
      <c r="E242" s="170">
        <v>47118</v>
      </c>
      <c r="F242" s="324" t="s">
        <v>106</v>
      </c>
      <c r="G242" s="91" t="s">
        <v>521</v>
      </c>
      <c r="H242" s="135">
        <f t="shared" si="3"/>
        <v>216000</v>
      </c>
    </row>
    <row r="243" spans="1:8" ht="22.5" x14ac:dyDescent="0.2">
      <c r="A243" s="89">
        <v>240</v>
      </c>
      <c r="B243" s="90" t="s">
        <v>335</v>
      </c>
      <c r="C243" s="78">
        <v>500</v>
      </c>
      <c r="D243" s="170">
        <v>46023</v>
      </c>
      <c r="E243" s="170">
        <v>47118</v>
      </c>
      <c r="F243" s="324" t="s">
        <v>106</v>
      </c>
      <c r="G243" s="91" t="s">
        <v>522</v>
      </c>
      <c r="H243" s="135">
        <f t="shared" si="3"/>
        <v>18000</v>
      </c>
    </row>
    <row r="244" spans="1:8" x14ac:dyDescent="0.2">
      <c r="A244" s="89">
        <v>241</v>
      </c>
      <c r="B244" s="90" t="s">
        <v>337</v>
      </c>
      <c r="C244" s="78">
        <v>2500</v>
      </c>
      <c r="D244" s="170">
        <v>46023</v>
      </c>
      <c r="E244" s="170">
        <v>47118</v>
      </c>
      <c r="F244" s="324" t="s">
        <v>106</v>
      </c>
      <c r="G244" s="91" t="s">
        <v>523</v>
      </c>
      <c r="H244" s="135">
        <f t="shared" si="3"/>
        <v>90000</v>
      </c>
    </row>
    <row r="245" spans="1:8" ht="22.5" x14ac:dyDescent="0.2">
      <c r="A245" s="89">
        <v>242</v>
      </c>
      <c r="B245" s="90" t="s">
        <v>339</v>
      </c>
      <c r="C245" s="78">
        <v>5000</v>
      </c>
      <c r="D245" s="170">
        <v>46023</v>
      </c>
      <c r="E245" s="170">
        <v>47118</v>
      </c>
      <c r="F245" s="324" t="s">
        <v>106</v>
      </c>
      <c r="G245" s="91" t="s">
        <v>524</v>
      </c>
      <c r="H245" s="135">
        <f t="shared" si="3"/>
        <v>180000</v>
      </c>
    </row>
    <row r="246" spans="1:8" ht="22.5" x14ac:dyDescent="0.2">
      <c r="A246" s="89">
        <v>243</v>
      </c>
      <c r="B246" s="90" t="s">
        <v>221</v>
      </c>
      <c r="C246" s="78">
        <v>1200</v>
      </c>
      <c r="D246" s="170">
        <v>46023</v>
      </c>
      <c r="E246" s="170">
        <v>46023</v>
      </c>
      <c r="F246" s="324" t="s">
        <v>103</v>
      </c>
      <c r="G246" s="91" t="s">
        <v>534</v>
      </c>
      <c r="H246" s="135">
        <f t="shared" si="3"/>
        <v>1200</v>
      </c>
    </row>
    <row r="247" spans="1:8" ht="22.5" x14ac:dyDescent="0.2">
      <c r="A247" s="89">
        <v>244</v>
      </c>
      <c r="B247" s="90" t="s">
        <v>237</v>
      </c>
      <c r="C247" s="78">
        <v>1000</v>
      </c>
      <c r="D247" s="170">
        <v>46023</v>
      </c>
      <c r="E247" s="170">
        <v>47088</v>
      </c>
      <c r="F247" s="324" t="s">
        <v>106</v>
      </c>
      <c r="G247" s="91" t="s">
        <v>501</v>
      </c>
      <c r="H247" s="135">
        <f t="shared" si="3"/>
        <v>36000</v>
      </c>
    </row>
    <row r="248" spans="1:8" ht="22.5" x14ac:dyDescent="0.2">
      <c r="A248" s="89">
        <v>245</v>
      </c>
      <c r="B248" s="90" t="s">
        <v>227</v>
      </c>
      <c r="C248" s="78">
        <v>2000</v>
      </c>
      <c r="D248" s="170">
        <v>46023</v>
      </c>
      <c r="E248" s="170">
        <v>47088</v>
      </c>
      <c r="F248" s="324" t="s">
        <v>106</v>
      </c>
      <c r="G248" s="91" t="s">
        <v>586</v>
      </c>
      <c r="H248" s="135">
        <f t="shared" si="3"/>
        <v>72000</v>
      </c>
    </row>
    <row r="249" spans="1:8" ht="22.5" x14ac:dyDescent="0.2">
      <c r="A249" s="89">
        <v>246</v>
      </c>
      <c r="B249" s="90" t="s">
        <v>237</v>
      </c>
      <c r="C249" s="78">
        <v>3000</v>
      </c>
      <c r="D249" s="170">
        <v>46023</v>
      </c>
      <c r="E249" s="170">
        <v>47088</v>
      </c>
      <c r="F249" s="324" t="s">
        <v>106</v>
      </c>
      <c r="G249" s="91" t="s">
        <v>496</v>
      </c>
      <c r="H249" s="135">
        <f t="shared" si="3"/>
        <v>108000</v>
      </c>
    </row>
    <row r="250" spans="1:8" ht="33.75" x14ac:dyDescent="0.2">
      <c r="A250" s="89">
        <v>247</v>
      </c>
      <c r="B250" s="90" t="s">
        <v>273</v>
      </c>
      <c r="C250" s="78">
        <v>1500</v>
      </c>
      <c r="D250" s="170">
        <v>46023</v>
      </c>
      <c r="E250" s="170">
        <v>47088</v>
      </c>
      <c r="F250" s="324" t="s">
        <v>106</v>
      </c>
      <c r="G250" s="91" t="s">
        <v>525</v>
      </c>
      <c r="H250" s="135">
        <f t="shared" si="3"/>
        <v>54000</v>
      </c>
    </row>
    <row r="251" spans="1:8" ht="22.5" x14ac:dyDescent="0.2">
      <c r="A251" s="89">
        <v>248</v>
      </c>
      <c r="B251" s="90" t="s">
        <v>277</v>
      </c>
      <c r="C251" s="78">
        <v>1000</v>
      </c>
      <c r="D251" s="170">
        <v>46023</v>
      </c>
      <c r="E251" s="170">
        <v>47088</v>
      </c>
      <c r="F251" s="324" t="s">
        <v>106</v>
      </c>
      <c r="G251" s="91" t="s">
        <v>526</v>
      </c>
      <c r="H251" s="135">
        <f t="shared" si="3"/>
        <v>36000</v>
      </c>
    </row>
    <row r="252" spans="1:8" ht="22.5" x14ac:dyDescent="0.2">
      <c r="A252" s="89">
        <v>249</v>
      </c>
      <c r="B252" s="90" t="s">
        <v>269</v>
      </c>
      <c r="C252" s="78">
        <v>90000</v>
      </c>
      <c r="D252" s="170">
        <v>46023</v>
      </c>
      <c r="E252" s="170">
        <v>46357</v>
      </c>
      <c r="F252" s="324" t="s">
        <v>106</v>
      </c>
      <c r="G252" s="91" t="s">
        <v>532</v>
      </c>
      <c r="H252" s="135">
        <f t="shared" si="3"/>
        <v>1080000</v>
      </c>
    </row>
    <row r="253" spans="1:8" ht="22.5" x14ac:dyDescent="0.2">
      <c r="A253" s="89">
        <v>250</v>
      </c>
      <c r="B253" s="90" t="s">
        <v>231</v>
      </c>
      <c r="C253" s="78">
        <v>1200</v>
      </c>
      <c r="D253" s="170">
        <v>46023</v>
      </c>
      <c r="E253" s="170">
        <v>47088</v>
      </c>
      <c r="F253" s="324" t="s">
        <v>106</v>
      </c>
      <c r="G253" s="91" t="s">
        <v>528</v>
      </c>
      <c r="H253" s="135">
        <f t="shared" si="3"/>
        <v>43200</v>
      </c>
    </row>
    <row r="254" spans="1:8" ht="22.5" x14ac:dyDescent="0.2">
      <c r="A254" s="89">
        <v>251</v>
      </c>
      <c r="B254" s="90" t="s">
        <v>315</v>
      </c>
      <c r="C254" s="78">
        <v>400000</v>
      </c>
      <c r="D254" s="170">
        <v>46447</v>
      </c>
      <c r="E254" s="170">
        <v>46447</v>
      </c>
      <c r="F254" s="324" t="s">
        <v>106</v>
      </c>
      <c r="G254" s="91" t="s">
        <v>527</v>
      </c>
      <c r="H254" s="135">
        <f t="shared" ref="H254:H314" si="4">IFERROR((DATEDIF(D254,E254,"M")+1)*C254,0)</f>
        <v>400000</v>
      </c>
    </row>
    <row r="255" spans="1:8" ht="22.5" x14ac:dyDescent="0.2">
      <c r="A255" s="89">
        <v>252</v>
      </c>
      <c r="B255" s="90" t="s">
        <v>301</v>
      </c>
      <c r="C255" s="78">
        <v>23000</v>
      </c>
      <c r="D255" s="170">
        <v>46113</v>
      </c>
      <c r="E255" s="170">
        <v>46113</v>
      </c>
      <c r="F255" s="324" t="s">
        <v>106</v>
      </c>
      <c r="G255" s="91" t="s">
        <v>529</v>
      </c>
      <c r="H255" s="135">
        <f t="shared" si="4"/>
        <v>23000</v>
      </c>
    </row>
    <row r="256" spans="1:8" ht="22.5" x14ac:dyDescent="0.2">
      <c r="A256" s="89">
        <v>253</v>
      </c>
      <c r="B256" s="90" t="s">
        <v>221</v>
      </c>
      <c r="C256" s="78">
        <v>1200</v>
      </c>
      <c r="D256" s="170">
        <v>46023</v>
      </c>
      <c r="E256" s="170">
        <v>46023</v>
      </c>
      <c r="F256" s="324" t="s">
        <v>104</v>
      </c>
      <c r="G256" s="91" t="s">
        <v>534</v>
      </c>
      <c r="H256" s="135">
        <f t="shared" si="4"/>
        <v>1200</v>
      </c>
    </row>
    <row r="257" spans="1:8" ht="22.5" x14ac:dyDescent="0.2">
      <c r="A257" s="89">
        <v>254</v>
      </c>
      <c r="B257" s="90" t="s">
        <v>299</v>
      </c>
      <c r="C257" s="78">
        <v>21000</v>
      </c>
      <c r="D257" s="170">
        <v>46023</v>
      </c>
      <c r="E257" s="170">
        <v>46023</v>
      </c>
      <c r="F257" s="324" t="s">
        <v>106</v>
      </c>
      <c r="G257" s="91" t="s">
        <v>530</v>
      </c>
      <c r="H257" s="135">
        <f t="shared" si="4"/>
        <v>21000</v>
      </c>
    </row>
    <row r="258" spans="1:8" ht="22.5" x14ac:dyDescent="0.2">
      <c r="A258" s="89">
        <v>255</v>
      </c>
      <c r="B258" s="90" t="s">
        <v>235</v>
      </c>
      <c r="C258" s="78">
        <v>22500</v>
      </c>
      <c r="D258" s="170">
        <v>46023</v>
      </c>
      <c r="E258" s="170">
        <v>47088</v>
      </c>
      <c r="F258" s="90" t="s">
        <v>111</v>
      </c>
      <c r="G258" s="91" t="s">
        <v>495</v>
      </c>
      <c r="H258" s="135">
        <f t="shared" si="4"/>
        <v>810000</v>
      </c>
    </row>
    <row r="259" spans="1:8" ht="33.75" x14ac:dyDescent="0.2">
      <c r="A259" s="89">
        <v>256</v>
      </c>
      <c r="B259" s="90" t="s">
        <v>237</v>
      </c>
      <c r="C259" s="78">
        <v>1500</v>
      </c>
      <c r="D259" s="170">
        <v>46023</v>
      </c>
      <c r="E259" s="170">
        <v>47088</v>
      </c>
      <c r="F259" s="90" t="s">
        <v>111</v>
      </c>
      <c r="G259" s="91" t="s">
        <v>497</v>
      </c>
      <c r="H259" s="135">
        <f t="shared" si="4"/>
        <v>54000</v>
      </c>
    </row>
    <row r="260" spans="1:8" ht="22.5" x14ac:dyDescent="0.2">
      <c r="A260" s="89">
        <v>257</v>
      </c>
      <c r="B260" s="90" t="s">
        <v>227</v>
      </c>
      <c r="C260" s="78">
        <v>2000</v>
      </c>
      <c r="D260" s="170">
        <v>46023</v>
      </c>
      <c r="E260" s="170">
        <v>47088</v>
      </c>
      <c r="F260" s="90" t="s">
        <v>111</v>
      </c>
      <c r="G260" s="91" t="s">
        <v>586</v>
      </c>
      <c r="H260" s="135">
        <f t="shared" si="4"/>
        <v>72000</v>
      </c>
    </row>
    <row r="261" spans="1:8" ht="22.5" x14ac:dyDescent="0.2">
      <c r="A261" s="89">
        <v>258</v>
      </c>
      <c r="B261" s="90" t="s">
        <v>237</v>
      </c>
      <c r="C261" s="78">
        <v>2000</v>
      </c>
      <c r="D261" s="170">
        <v>46023</v>
      </c>
      <c r="E261" s="170">
        <v>47088</v>
      </c>
      <c r="F261" s="90" t="s">
        <v>111</v>
      </c>
      <c r="G261" s="91" t="s">
        <v>496</v>
      </c>
      <c r="H261" s="135">
        <f t="shared" si="4"/>
        <v>72000</v>
      </c>
    </row>
    <row r="262" spans="1:8" ht="22.5" x14ac:dyDescent="0.2">
      <c r="A262" s="89">
        <v>259</v>
      </c>
      <c r="B262" s="90" t="s">
        <v>269</v>
      </c>
      <c r="C262" s="78">
        <v>60000</v>
      </c>
      <c r="D262" s="170">
        <v>46023</v>
      </c>
      <c r="E262" s="170">
        <v>46357</v>
      </c>
      <c r="F262" s="90" t="s">
        <v>111</v>
      </c>
      <c r="G262" s="91" t="s">
        <v>532</v>
      </c>
      <c r="H262" s="135">
        <f t="shared" si="4"/>
        <v>720000</v>
      </c>
    </row>
    <row r="263" spans="1:8" ht="22.5" x14ac:dyDescent="0.2">
      <c r="A263" s="89">
        <v>260</v>
      </c>
      <c r="B263" s="90" t="s">
        <v>231</v>
      </c>
      <c r="C263" s="78">
        <v>1200</v>
      </c>
      <c r="D263" s="170">
        <v>46023</v>
      </c>
      <c r="E263" s="170">
        <v>47088</v>
      </c>
      <c r="F263" s="90" t="s">
        <v>111</v>
      </c>
      <c r="G263" s="91" t="s">
        <v>528</v>
      </c>
      <c r="H263" s="135">
        <f t="shared" si="4"/>
        <v>43200</v>
      </c>
    </row>
    <row r="264" spans="1:8" ht="22.5" x14ac:dyDescent="0.2">
      <c r="A264" s="89">
        <v>261</v>
      </c>
      <c r="B264" s="90" t="s">
        <v>315</v>
      </c>
      <c r="C264" s="78">
        <v>500000</v>
      </c>
      <c r="D264" s="170">
        <v>46447</v>
      </c>
      <c r="E264" s="170">
        <v>46447</v>
      </c>
      <c r="F264" s="90" t="s">
        <v>111</v>
      </c>
      <c r="G264" s="91" t="s">
        <v>527</v>
      </c>
      <c r="H264" s="135">
        <f t="shared" si="4"/>
        <v>500000</v>
      </c>
    </row>
    <row r="265" spans="1:8" ht="33.75" x14ac:dyDescent="0.2">
      <c r="A265" s="89">
        <v>262</v>
      </c>
      <c r="B265" s="90" t="s">
        <v>313</v>
      </c>
      <c r="C265" s="78">
        <v>20000</v>
      </c>
      <c r="D265" s="170">
        <v>46023</v>
      </c>
      <c r="E265" s="170">
        <v>46023</v>
      </c>
      <c r="F265" s="90" t="s">
        <v>111</v>
      </c>
      <c r="G265" s="91" t="s">
        <v>531</v>
      </c>
      <c r="H265" s="135">
        <f t="shared" si="4"/>
        <v>20000</v>
      </c>
    </row>
    <row r="266" spans="1:8" ht="33.75" x14ac:dyDescent="0.2">
      <c r="A266" s="89">
        <v>263</v>
      </c>
      <c r="B266" s="90" t="s">
        <v>313</v>
      </c>
      <c r="C266" s="78">
        <v>5000</v>
      </c>
      <c r="D266" s="170">
        <v>46023</v>
      </c>
      <c r="E266" s="170">
        <v>46023</v>
      </c>
      <c r="F266" s="90" t="s">
        <v>111</v>
      </c>
      <c r="G266" s="91" t="s">
        <v>498</v>
      </c>
      <c r="H266" s="135">
        <f t="shared" si="4"/>
        <v>5000</v>
      </c>
    </row>
    <row r="267" spans="1:8" ht="22.5" x14ac:dyDescent="0.2">
      <c r="A267" s="89">
        <v>264</v>
      </c>
      <c r="B267" s="90" t="s">
        <v>237</v>
      </c>
      <c r="C267" s="78">
        <v>1000</v>
      </c>
      <c r="D267" s="170">
        <v>46023</v>
      </c>
      <c r="E267" s="170">
        <v>47088</v>
      </c>
      <c r="F267" s="90" t="s">
        <v>111</v>
      </c>
      <c r="G267" s="91" t="s">
        <v>501</v>
      </c>
      <c r="H267" s="135">
        <f t="shared" si="4"/>
        <v>36000</v>
      </c>
    </row>
    <row r="268" spans="1:8" ht="33.75" x14ac:dyDescent="0.2">
      <c r="A268" s="89">
        <v>265</v>
      </c>
      <c r="B268" s="90" t="s">
        <v>285</v>
      </c>
      <c r="C268" s="78">
        <v>8000</v>
      </c>
      <c r="D268" s="170">
        <v>46023</v>
      </c>
      <c r="E268" s="170">
        <v>47118</v>
      </c>
      <c r="F268" s="90" t="s">
        <v>111</v>
      </c>
      <c r="G268" s="91" t="s">
        <v>499</v>
      </c>
      <c r="H268" s="135">
        <f t="shared" si="4"/>
        <v>288000</v>
      </c>
    </row>
    <row r="269" spans="1:8" ht="33.75" x14ac:dyDescent="0.2">
      <c r="A269" s="89">
        <v>266</v>
      </c>
      <c r="B269" s="90" t="s">
        <v>315</v>
      </c>
      <c r="C269" s="78">
        <v>10000</v>
      </c>
      <c r="D269" s="170">
        <v>46023</v>
      </c>
      <c r="E269" s="170">
        <v>47118</v>
      </c>
      <c r="F269" s="90" t="s">
        <v>111</v>
      </c>
      <c r="G269" s="91" t="s">
        <v>500</v>
      </c>
      <c r="H269" s="135">
        <f t="shared" si="4"/>
        <v>360000</v>
      </c>
    </row>
    <row r="270" spans="1:8" ht="33.75" x14ac:dyDescent="0.2">
      <c r="A270" s="89">
        <v>267</v>
      </c>
      <c r="B270" s="90" t="s">
        <v>249</v>
      </c>
      <c r="C270" s="78">
        <v>400</v>
      </c>
      <c r="D270" s="170">
        <v>46023</v>
      </c>
      <c r="E270" s="170">
        <v>47118</v>
      </c>
      <c r="F270" s="90" t="s">
        <v>111</v>
      </c>
      <c r="G270" s="91" t="s">
        <v>502</v>
      </c>
      <c r="H270" s="135">
        <f t="shared" si="4"/>
        <v>14400</v>
      </c>
    </row>
    <row r="271" spans="1:8" ht="22.5" x14ac:dyDescent="0.2">
      <c r="A271" s="89">
        <v>268</v>
      </c>
      <c r="B271" s="90" t="s">
        <v>317</v>
      </c>
      <c r="C271" s="78">
        <v>2500</v>
      </c>
      <c r="D271" s="170">
        <v>46023</v>
      </c>
      <c r="E271" s="170">
        <v>46023</v>
      </c>
      <c r="F271" s="90" t="s">
        <v>111</v>
      </c>
      <c r="G271" s="91" t="s">
        <v>503</v>
      </c>
      <c r="H271" s="135">
        <f t="shared" si="4"/>
        <v>2500</v>
      </c>
    </row>
    <row r="272" spans="1:8" ht="22.5" x14ac:dyDescent="0.2">
      <c r="A272" s="89">
        <v>269</v>
      </c>
      <c r="B272" s="90" t="s">
        <v>197</v>
      </c>
      <c r="C272" s="78">
        <v>9000</v>
      </c>
      <c r="D272" s="170">
        <v>46023</v>
      </c>
      <c r="E272" s="170">
        <v>47118</v>
      </c>
      <c r="F272" s="90" t="s">
        <v>111</v>
      </c>
      <c r="G272" s="91" t="s">
        <v>504</v>
      </c>
      <c r="H272" s="135">
        <f t="shared" si="4"/>
        <v>324000</v>
      </c>
    </row>
    <row r="273" spans="1:8" ht="22.5" x14ac:dyDescent="0.2">
      <c r="A273" s="89">
        <v>270</v>
      </c>
      <c r="B273" s="90" t="s">
        <v>199</v>
      </c>
      <c r="C273" s="78">
        <v>5000</v>
      </c>
      <c r="D273" s="170">
        <v>46023</v>
      </c>
      <c r="E273" s="170">
        <v>47118</v>
      </c>
      <c r="F273" s="90" t="s">
        <v>111</v>
      </c>
      <c r="G273" s="91" t="s">
        <v>505</v>
      </c>
      <c r="H273" s="135">
        <f t="shared" si="4"/>
        <v>180000</v>
      </c>
    </row>
    <row r="274" spans="1:8" ht="22.5" x14ac:dyDescent="0.2">
      <c r="A274" s="89">
        <v>271</v>
      </c>
      <c r="B274" s="90" t="s">
        <v>299</v>
      </c>
      <c r="C274" s="78">
        <v>20000</v>
      </c>
      <c r="D274" s="170">
        <v>46388</v>
      </c>
      <c r="E274" s="170">
        <v>46388</v>
      </c>
      <c r="F274" s="324" t="s">
        <v>107</v>
      </c>
      <c r="G274" s="91" t="s">
        <v>588</v>
      </c>
      <c r="H274" s="135">
        <f t="shared" si="4"/>
        <v>20000</v>
      </c>
    </row>
    <row r="275" spans="1:8" x14ac:dyDescent="0.2">
      <c r="A275" s="89">
        <v>272</v>
      </c>
      <c r="B275" s="90" t="s">
        <v>201</v>
      </c>
      <c r="C275" s="78">
        <v>2400</v>
      </c>
      <c r="D275" s="170">
        <v>46023</v>
      </c>
      <c r="E275" s="170">
        <v>47088</v>
      </c>
      <c r="F275" s="90" t="s">
        <v>111</v>
      </c>
      <c r="G275" s="91" t="s">
        <v>506</v>
      </c>
      <c r="H275" s="135">
        <f t="shared" si="4"/>
        <v>86400</v>
      </c>
    </row>
    <row r="276" spans="1:8" ht="22.5" x14ac:dyDescent="0.2">
      <c r="A276" s="89">
        <v>273</v>
      </c>
      <c r="B276" s="90" t="s">
        <v>257</v>
      </c>
      <c r="C276" s="78">
        <v>1500</v>
      </c>
      <c r="D276" s="170">
        <v>46023</v>
      </c>
      <c r="E276" s="170">
        <v>46023</v>
      </c>
      <c r="F276" s="90" t="s">
        <v>111</v>
      </c>
      <c r="G276" s="91" t="s">
        <v>507</v>
      </c>
      <c r="H276" s="135">
        <f t="shared" si="4"/>
        <v>1500</v>
      </c>
    </row>
    <row r="277" spans="1:8" ht="22.5" x14ac:dyDescent="0.2">
      <c r="A277" s="89">
        <v>274</v>
      </c>
      <c r="B277" s="90" t="s">
        <v>275</v>
      </c>
      <c r="C277" s="78">
        <v>2000</v>
      </c>
      <c r="D277" s="170">
        <v>46023</v>
      </c>
      <c r="E277" s="170">
        <v>47088</v>
      </c>
      <c r="F277" s="90" t="s">
        <v>111</v>
      </c>
      <c r="G277" s="91" t="s">
        <v>599</v>
      </c>
      <c r="H277" s="135">
        <f t="shared" si="4"/>
        <v>72000</v>
      </c>
    </row>
    <row r="278" spans="1:8" ht="22.5" x14ac:dyDescent="0.2">
      <c r="A278" s="89">
        <v>275</v>
      </c>
      <c r="B278" s="90" t="s">
        <v>323</v>
      </c>
      <c r="C278" s="78">
        <v>30000</v>
      </c>
      <c r="D278" s="170">
        <v>46174</v>
      </c>
      <c r="E278" s="170">
        <v>46174</v>
      </c>
      <c r="F278" s="90" t="s">
        <v>111</v>
      </c>
      <c r="G278" s="91" t="s">
        <v>509</v>
      </c>
      <c r="H278" s="135">
        <f t="shared" si="4"/>
        <v>30000</v>
      </c>
    </row>
    <row r="279" spans="1:8" ht="22.5" x14ac:dyDescent="0.2">
      <c r="A279" s="89">
        <v>276</v>
      </c>
      <c r="B279" s="90" t="s">
        <v>325</v>
      </c>
      <c r="C279" s="78">
        <v>2000</v>
      </c>
      <c r="D279" s="170">
        <v>46023</v>
      </c>
      <c r="E279" s="170">
        <v>47118</v>
      </c>
      <c r="F279" s="90" t="s">
        <v>111</v>
      </c>
      <c r="G279" s="91" t="s">
        <v>510</v>
      </c>
      <c r="H279" s="135">
        <f t="shared" si="4"/>
        <v>72000</v>
      </c>
    </row>
    <row r="280" spans="1:8" ht="22.5" x14ac:dyDescent="0.2">
      <c r="A280" s="89">
        <v>277</v>
      </c>
      <c r="B280" s="90" t="s">
        <v>327</v>
      </c>
      <c r="C280" s="78">
        <v>2000</v>
      </c>
      <c r="D280" s="170">
        <v>46023</v>
      </c>
      <c r="E280" s="170">
        <v>47118</v>
      </c>
      <c r="F280" s="90" t="s">
        <v>111</v>
      </c>
      <c r="G280" s="91" t="s">
        <v>511</v>
      </c>
      <c r="H280" s="135">
        <f t="shared" si="4"/>
        <v>72000</v>
      </c>
    </row>
    <row r="281" spans="1:8" ht="22.5" x14ac:dyDescent="0.2">
      <c r="A281" s="89">
        <v>278</v>
      </c>
      <c r="B281" s="90" t="s">
        <v>265</v>
      </c>
      <c r="C281" s="78">
        <v>2500</v>
      </c>
      <c r="D281" s="170">
        <v>46023</v>
      </c>
      <c r="E281" s="170">
        <v>47088</v>
      </c>
      <c r="F281" s="90" t="s">
        <v>111</v>
      </c>
      <c r="G281" s="91" t="s">
        <v>512</v>
      </c>
      <c r="H281" s="135">
        <f t="shared" si="4"/>
        <v>90000</v>
      </c>
    </row>
    <row r="282" spans="1:8" ht="22.5" x14ac:dyDescent="0.2">
      <c r="A282" s="89">
        <v>279</v>
      </c>
      <c r="B282" s="90" t="s">
        <v>329</v>
      </c>
      <c r="C282" s="78">
        <v>1000</v>
      </c>
      <c r="D282" s="170">
        <v>46023</v>
      </c>
      <c r="E282" s="170">
        <v>47088</v>
      </c>
      <c r="F282" s="90" t="s">
        <v>111</v>
      </c>
      <c r="G282" s="91" t="s">
        <v>513</v>
      </c>
      <c r="H282" s="135">
        <f t="shared" si="4"/>
        <v>36000</v>
      </c>
    </row>
    <row r="283" spans="1:8" x14ac:dyDescent="0.2">
      <c r="A283" s="89">
        <v>280</v>
      </c>
      <c r="B283" s="90" t="s">
        <v>239</v>
      </c>
      <c r="C283" s="78">
        <v>30000</v>
      </c>
      <c r="D283" s="170">
        <v>46023</v>
      </c>
      <c r="E283" s="170">
        <v>46023</v>
      </c>
      <c r="F283" s="90" t="s">
        <v>111</v>
      </c>
      <c r="G283" s="91" t="s">
        <v>514</v>
      </c>
      <c r="H283" s="135">
        <f t="shared" si="4"/>
        <v>30000</v>
      </c>
    </row>
    <row r="284" spans="1:8" x14ac:dyDescent="0.2">
      <c r="A284" s="89">
        <v>281</v>
      </c>
      <c r="B284" s="90" t="s">
        <v>239</v>
      </c>
      <c r="C284" s="78">
        <v>10000</v>
      </c>
      <c r="D284" s="170">
        <v>46023</v>
      </c>
      <c r="E284" s="170">
        <v>46023</v>
      </c>
      <c r="F284" s="90" t="s">
        <v>111</v>
      </c>
      <c r="G284" s="91" t="s">
        <v>535</v>
      </c>
      <c r="H284" s="135">
        <f t="shared" si="4"/>
        <v>10000</v>
      </c>
    </row>
    <row r="285" spans="1:8" x14ac:dyDescent="0.2">
      <c r="A285" s="89">
        <v>282</v>
      </c>
      <c r="B285" s="90" t="s">
        <v>331</v>
      </c>
      <c r="C285" s="78">
        <v>1000</v>
      </c>
      <c r="D285" s="170">
        <v>46023</v>
      </c>
      <c r="E285" s="170">
        <v>47088</v>
      </c>
      <c r="F285" s="90" t="s">
        <v>111</v>
      </c>
      <c r="G285" s="91" t="s">
        <v>516</v>
      </c>
      <c r="H285" s="135">
        <f t="shared" si="4"/>
        <v>36000</v>
      </c>
    </row>
    <row r="286" spans="1:8" ht="33.75" x14ac:dyDescent="0.2">
      <c r="A286" s="89">
        <v>283</v>
      </c>
      <c r="B286" s="90" t="s">
        <v>333</v>
      </c>
      <c r="C286" s="78">
        <v>200</v>
      </c>
      <c r="D286" s="170">
        <v>46023</v>
      </c>
      <c r="E286" s="170">
        <v>47118</v>
      </c>
      <c r="F286" s="90" t="s">
        <v>111</v>
      </c>
      <c r="G286" s="91" t="s">
        <v>517</v>
      </c>
      <c r="H286" s="135">
        <f t="shared" si="4"/>
        <v>7200</v>
      </c>
    </row>
    <row r="287" spans="1:8" x14ac:dyDescent="0.2">
      <c r="A287" s="89">
        <v>284</v>
      </c>
      <c r="B287" s="90" t="s">
        <v>277</v>
      </c>
      <c r="C287" s="78">
        <v>2500</v>
      </c>
      <c r="D287" s="170">
        <v>46023</v>
      </c>
      <c r="E287" s="170">
        <v>47088</v>
      </c>
      <c r="F287" s="90" t="s">
        <v>111</v>
      </c>
      <c r="G287" s="91" t="s">
        <v>518</v>
      </c>
      <c r="H287" s="135">
        <f t="shared" si="4"/>
        <v>90000</v>
      </c>
    </row>
    <row r="288" spans="1:8" ht="33.75" x14ac:dyDescent="0.2">
      <c r="A288" s="89">
        <v>285</v>
      </c>
      <c r="B288" s="90" t="s">
        <v>309</v>
      </c>
      <c r="C288" s="78">
        <v>3000</v>
      </c>
      <c r="D288" s="170">
        <v>46023</v>
      </c>
      <c r="E288" s="170">
        <v>47118</v>
      </c>
      <c r="F288" s="90" t="s">
        <v>111</v>
      </c>
      <c r="G288" s="91" t="s">
        <v>519</v>
      </c>
      <c r="H288" s="135">
        <f t="shared" si="4"/>
        <v>108000</v>
      </c>
    </row>
    <row r="289" spans="1:8" ht="22.5" x14ac:dyDescent="0.2">
      <c r="A289" s="89">
        <v>286</v>
      </c>
      <c r="B289" s="90" t="s">
        <v>303</v>
      </c>
      <c r="C289" s="78">
        <v>3500</v>
      </c>
      <c r="D289" s="170">
        <v>46023</v>
      </c>
      <c r="E289" s="170">
        <v>47088</v>
      </c>
      <c r="F289" s="90" t="s">
        <v>111</v>
      </c>
      <c r="G289" s="91" t="s">
        <v>600</v>
      </c>
      <c r="H289" s="135">
        <f t="shared" si="4"/>
        <v>126000</v>
      </c>
    </row>
    <row r="290" spans="1:8" x14ac:dyDescent="0.2">
      <c r="A290" s="89">
        <v>287</v>
      </c>
      <c r="B290" s="90" t="s">
        <v>295</v>
      </c>
      <c r="C290" s="78">
        <v>4500</v>
      </c>
      <c r="D290" s="170">
        <v>46023</v>
      </c>
      <c r="E290" s="170">
        <v>47118</v>
      </c>
      <c r="F290" s="90" t="s">
        <v>111</v>
      </c>
      <c r="G290" s="91" t="s">
        <v>521</v>
      </c>
      <c r="H290" s="135">
        <f t="shared" si="4"/>
        <v>162000</v>
      </c>
    </row>
    <row r="291" spans="1:8" ht="22.5" x14ac:dyDescent="0.2">
      <c r="A291" s="89">
        <v>288</v>
      </c>
      <c r="B291" s="90" t="s">
        <v>335</v>
      </c>
      <c r="C291" s="78">
        <v>500</v>
      </c>
      <c r="D291" s="170">
        <v>46023</v>
      </c>
      <c r="E291" s="170">
        <v>47118</v>
      </c>
      <c r="F291" s="90" t="s">
        <v>111</v>
      </c>
      <c r="G291" s="91" t="s">
        <v>522</v>
      </c>
      <c r="H291" s="135">
        <f t="shared" si="4"/>
        <v>18000</v>
      </c>
    </row>
    <row r="292" spans="1:8" x14ac:dyDescent="0.2">
      <c r="A292" s="89">
        <v>289</v>
      </c>
      <c r="B292" s="90" t="s">
        <v>337</v>
      </c>
      <c r="C292" s="78">
        <v>1300</v>
      </c>
      <c r="D292" s="170">
        <v>46023</v>
      </c>
      <c r="E292" s="170">
        <v>47118</v>
      </c>
      <c r="F292" s="90" t="s">
        <v>111</v>
      </c>
      <c r="G292" s="91" t="s">
        <v>523</v>
      </c>
      <c r="H292" s="135">
        <f t="shared" si="4"/>
        <v>46800</v>
      </c>
    </row>
    <row r="293" spans="1:8" ht="22.5" x14ac:dyDescent="0.2">
      <c r="A293" s="89">
        <v>290</v>
      </c>
      <c r="B293" s="90" t="s">
        <v>339</v>
      </c>
      <c r="C293" s="78">
        <v>1000</v>
      </c>
      <c r="D293" s="170">
        <v>46023</v>
      </c>
      <c r="E293" s="170">
        <v>47118</v>
      </c>
      <c r="F293" s="90" t="s">
        <v>111</v>
      </c>
      <c r="G293" s="91" t="s">
        <v>524</v>
      </c>
      <c r="H293" s="135">
        <f t="shared" si="4"/>
        <v>36000</v>
      </c>
    </row>
    <row r="294" spans="1:8" ht="33.75" x14ac:dyDescent="0.2">
      <c r="A294" s="89">
        <v>291</v>
      </c>
      <c r="B294" s="90" t="s">
        <v>273</v>
      </c>
      <c r="C294" s="78">
        <v>800</v>
      </c>
      <c r="D294" s="170">
        <v>46023</v>
      </c>
      <c r="E294" s="170">
        <v>47088</v>
      </c>
      <c r="F294" s="90" t="s">
        <v>111</v>
      </c>
      <c r="G294" s="91" t="s">
        <v>525</v>
      </c>
      <c r="H294" s="135">
        <f t="shared" si="4"/>
        <v>28800</v>
      </c>
    </row>
    <row r="295" spans="1:8" ht="22.5" x14ac:dyDescent="0.2">
      <c r="A295" s="89">
        <v>292</v>
      </c>
      <c r="B295" s="90" t="s">
        <v>277</v>
      </c>
      <c r="C295" s="78">
        <v>1000</v>
      </c>
      <c r="D295" s="170">
        <v>46023</v>
      </c>
      <c r="E295" s="170">
        <v>47088</v>
      </c>
      <c r="F295" s="90" t="s">
        <v>111</v>
      </c>
      <c r="G295" s="91" t="s">
        <v>526</v>
      </c>
      <c r="H295" s="135">
        <f t="shared" si="4"/>
        <v>36000</v>
      </c>
    </row>
    <row r="296" spans="1:8" ht="22.5" x14ac:dyDescent="0.2">
      <c r="A296" s="89">
        <v>293</v>
      </c>
      <c r="B296" s="90" t="s">
        <v>301</v>
      </c>
      <c r="C296" s="78">
        <v>14000</v>
      </c>
      <c r="D296" s="170">
        <v>46113</v>
      </c>
      <c r="E296" s="170">
        <v>46113</v>
      </c>
      <c r="F296" s="90" t="s">
        <v>111</v>
      </c>
      <c r="G296" s="91" t="s">
        <v>529</v>
      </c>
      <c r="H296" s="135">
        <f t="shared" si="4"/>
        <v>14000</v>
      </c>
    </row>
    <row r="297" spans="1:8" ht="22.5" x14ac:dyDescent="0.2">
      <c r="A297" s="89">
        <v>294</v>
      </c>
      <c r="B297" s="90" t="s">
        <v>221</v>
      </c>
      <c r="C297" s="78">
        <v>1200</v>
      </c>
      <c r="D297" s="170">
        <v>46023</v>
      </c>
      <c r="E297" s="170">
        <v>46023</v>
      </c>
      <c r="F297" s="90" t="s">
        <v>105</v>
      </c>
      <c r="G297" s="91" t="s">
        <v>534</v>
      </c>
      <c r="H297" s="135">
        <f t="shared" si="4"/>
        <v>1200</v>
      </c>
    </row>
    <row r="298" spans="1:8" ht="22.5" x14ac:dyDescent="0.2">
      <c r="A298" s="89">
        <v>295</v>
      </c>
      <c r="B298" s="90" t="s">
        <v>299</v>
      </c>
      <c r="C298" s="78">
        <v>12000</v>
      </c>
      <c r="D298" s="170">
        <v>46023</v>
      </c>
      <c r="E298" s="170">
        <v>46023</v>
      </c>
      <c r="F298" s="90" t="s">
        <v>111</v>
      </c>
      <c r="G298" s="91" t="s">
        <v>530</v>
      </c>
      <c r="H298" s="135">
        <f t="shared" si="4"/>
        <v>12000</v>
      </c>
    </row>
    <row r="299" spans="1:8" ht="22.5" x14ac:dyDescent="0.2">
      <c r="A299" s="89">
        <v>296</v>
      </c>
      <c r="B299" s="90" t="s">
        <v>195</v>
      </c>
      <c r="C299" s="78">
        <v>10000</v>
      </c>
      <c r="D299" s="170">
        <v>46388</v>
      </c>
      <c r="E299" s="170">
        <v>46388</v>
      </c>
      <c r="F299" s="90" t="s">
        <v>101</v>
      </c>
      <c r="G299" s="91" t="s">
        <v>542</v>
      </c>
      <c r="H299" s="135">
        <f t="shared" si="4"/>
        <v>10000</v>
      </c>
    </row>
    <row r="300" spans="1:8" ht="22.5" x14ac:dyDescent="0.2">
      <c r="A300" s="89">
        <v>297</v>
      </c>
      <c r="B300" s="90" t="s">
        <v>195</v>
      </c>
      <c r="C300" s="78">
        <v>10000</v>
      </c>
      <c r="D300" s="170">
        <v>46753</v>
      </c>
      <c r="E300" s="170">
        <v>46753</v>
      </c>
      <c r="F300" s="90" t="s">
        <v>101</v>
      </c>
      <c r="G300" s="91" t="s">
        <v>542</v>
      </c>
      <c r="H300" s="135">
        <f t="shared" si="4"/>
        <v>10000</v>
      </c>
    </row>
    <row r="301" spans="1:8" ht="45" x14ac:dyDescent="0.2">
      <c r="A301" s="89">
        <v>298</v>
      </c>
      <c r="B301" s="90" t="s">
        <v>311</v>
      </c>
      <c r="C301" s="78">
        <v>10000</v>
      </c>
      <c r="D301" s="170">
        <v>46023</v>
      </c>
      <c r="E301" s="170">
        <v>47088</v>
      </c>
      <c r="F301" s="90" t="s">
        <v>108</v>
      </c>
      <c r="G301" s="91" t="s">
        <v>494</v>
      </c>
      <c r="H301" s="135">
        <f t="shared" si="4"/>
        <v>360000</v>
      </c>
    </row>
    <row r="302" spans="1:8" ht="33.75" x14ac:dyDescent="0.2">
      <c r="A302" s="89">
        <v>299</v>
      </c>
      <c r="B302" s="90" t="s">
        <v>237</v>
      </c>
      <c r="C302" s="78">
        <v>5000</v>
      </c>
      <c r="D302" s="170">
        <v>46023</v>
      </c>
      <c r="E302" s="170">
        <v>47088</v>
      </c>
      <c r="F302" s="90" t="s">
        <v>108</v>
      </c>
      <c r="G302" s="91" t="s">
        <v>497</v>
      </c>
      <c r="H302" s="135">
        <f t="shared" si="4"/>
        <v>180000</v>
      </c>
    </row>
    <row r="303" spans="1:8" ht="22.5" x14ac:dyDescent="0.2">
      <c r="A303" s="89">
        <v>300</v>
      </c>
      <c r="B303" s="90" t="s">
        <v>235</v>
      </c>
      <c r="C303" s="78">
        <v>22500</v>
      </c>
      <c r="D303" s="170">
        <v>46023</v>
      </c>
      <c r="E303" s="170">
        <v>47088</v>
      </c>
      <c r="F303" s="90" t="s">
        <v>108</v>
      </c>
      <c r="G303" s="91" t="s">
        <v>495</v>
      </c>
      <c r="H303" s="135">
        <f t="shared" si="4"/>
        <v>810000</v>
      </c>
    </row>
    <row r="304" spans="1:8" ht="22.5" x14ac:dyDescent="0.2">
      <c r="A304" s="89">
        <v>301</v>
      </c>
      <c r="B304" s="90" t="s">
        <v>227</v>
      </c>
      <c r="C304" s="78">
        <v>2000</v>
      </c>
      <c r="D304" s="170">
        <v>46023</v>
      </c>
      <c r="E304" s="170">
        <v>47088</v>
      </c>
      <c r="F304" s="90" t="s">
        <v>108</v>
      </c>
      <c r="G304" s="91" t="s">
        <v>586</v>
      </c>
      <c r="H304" s="135">
        <f t="shared" si="4"/>
        <v>72000</v>
      </c>
    </row>
    <row r="305" spans="1:8" ht="22.5" x14ac:dyDescent="0.2">
      <c r="A305" s="89">
        <v>302</v>
      </c>
      <c r="B305" s="90" t="s">
        <v>237</v>
      </c>
      <c r="C305" s="78">
        <v>3500</v>
      </c>
      <c r="D305" s="170">
        <v>46023</v>
      </c>
      <c r="E305" s="170">
        <v>47088</v>
      </c>
      <c r="F305" s="90" t="s">
        <v>108</v>
      </c>
      <c r="G305" s="91" t="s">
        <v>496</v>
      </c>
      <c r="H305" s="135">
        <f t="shared" si="4"/>
        <v>126000</v>
      </c>
    </row>
    <row r="306" spans="1:8" ht="33.75" x14ac:dyDescent="0.2">
      <c r="A306" s="89">
        <v>303</v>
      </c>
      <c r="B306" s="90" t="s">
        <v>313</v>
      </c>
      <c r="C306" s="78">
        <v>25000</v>
      </c>
      <c r="D306" s="170">
        <v>46023</v>
      </c>
      <c r="E306" s="170">
        <v>46023</v>
      </c>
      <c r="F306" s="90" t="s">
        <v>108</v>
      </c>
      <c r="G306" s="91" t="s">
        <v>531</v>
      </c>
      <c r="H306" s="135">
        <f t="shared" si="4"/>
        <v>25000</v>
      </c>
    </row>
    <row r="307" spans="1:8" ht="33.75" x14ac:dyDescent="0.2">
      <c r="A307" s="89">
        <v>304</v>
      </c>
      <c r="B307" s="90" t="s">
        <v>313</v>
      </c>
      <c r="C307" s="78">
        <v>30000</v>
      </c>
      <c r="D307" s="170">
        <v>46023</v>
      </c>
      <c r="E307" s="170">
        <v>46023</v>
      </c>
      <c r="F307" s="90" t="s">
        <v>108</v>
      </c>
      <c r="G307" s="91" t="s">
        <v>498</v>
      </c>
      <c r="H307" s="135">
        <f t="shared" si="4"/>
        <v>30000</v>
      </c>
    </row>
    <row r="308" spans="1:8" ht="22.5" x14ac:dyDescent="0.2">
      <c r="A308" s="89">
        <v>305</v>
      </c>
      <c r="B308" s="90" t="s">
        <v>237</v>
      </c>
      <c r="C308" s="78">
        <v>2000</v>
      </c>
      <c r="D308" s="170">
        <v>46023</v>
      </c>
      <c r="E308" s="170">
        <v>47088</v>
      </c>
      <c r="F308" s="90" t="s">
        <v>108</v>
      </c>
      <c r="G308" s="91" t="s">
        <v>501</v>
      </c>
      <c r="H308" s="135">
        <f t="shared" si="4"/>
        <v>72000</v>
      </c>
    </row>
    <row r="309" spans="1:8" ht="33.75" x14ac:dyDescent="0.2">
      <c r="A309" s="89">
        <v>306</v>
      </c>
      <c r="B309" s="90" t="s">
        <v>285</v>
      </c>
      <c r="C309" s="78">
        <v>20000</v>
      </c>
      <c r="D309" s="170">
        <v>46023</v>
      </c>
      <c r="E309" s="170">
        <v>47118</v>
      </c>
      <c r="F309" s="90" t="s">
        <v>108</v>
      </c>
      <c r="G309" s="91" t="s">
        <v>499</v>
      </c>
      <c r="H309" s="135">
        <f t="shared" si="4"/>
        <v>720000</v>
      </c>
    </row>
    <row r="310" spans="1:8" ht="33.75" x14ac:dyDescent="0.2">
      <c r="A310" s="89">
        <v>307</v>
      </c>
      <c r="B310" s="90" t="s">
        <v>315</v>
      </c>
      <c r="C310" s="78">
        <v>9000</v>
      </c>
      <c r="D310" s="170">
        <v>46023</v>
      </c>
      <c r="E310" s="170">
        <v>47118</v>
      </c>
      <c r="F310" s="90" t="s">
        <v>108</v>
      </c>
      <c r="G310" s="91" t="s">
        <v>500</v>
      </c>
      <c r="H310" s="135">
        <f t="shared" si="4"/>
        <v>324000</v>
      </c>
    </row>
    <row r="311" spans="1:8" ht="33.75" x14ac:dyDescent="0.2">
      <c r="A311" s="89">
        <v>308</v>
      </c>
      <c r="B311" s="90" t="s">
        <v>249</v>
      </c>
      <c r="C311" s="78">
        <v>400</v>
      </c>
      <c r="D311" s="170">
        <v>46023</v>
      </c>
      <c r="E311" s="170">
        <v>47118</v>
      </c>
      <c r="F311" s="90" t="s">
        <v>108</v>
      </c>
      <c r="G311" s="91" t="s">
        <v>502</v>
      </c>
      <c r="H311" s="135">
        <f t="shared" si="4"/>
        <v>14400</v>
      </c>
    </row>
    <row r="312" spans="1:8" ht="22.5" x14ac:dyDescent="0.2">
      <c r="A312" s="89">
        <v>309</v>
      </c>
      <c r="B312" s="90" t="s">
        <v>317</v>
      </c>
      <c r="C312" s="78">
        <v>6000</v>
      </c>
      <c r="D312" s="170">
        <v>46023</v>
      </c>
      <c r="E312" s="170">
        <v>46023</v>
      </c>
      <c r="F312" s="90" t="s">
        <v>108</v>
      </c>
      <c r="G312" s="91" t="s">
        <v>503</v>
      </c>
      <c r="H312" s="135">
        <f t="shared" si="4"/>
        <v>6000</v>
      </c>
    </row>
    <row r="313" spans="1:8" ht="22.5" x14ac:dyDescent="0.2">
      <c r="A313" s="89">
        <v>310</v>
      </c>
      <c r="B313" s="90" t="s">
        <v>197</v>
      </c>
      <c r="C313" s="78">
        <v>15000</v>
      </c>
      <c r="D313" s="170">
        <v>46023</v>
      </c>
      <c r="E313" s="170">
        <v>47118</v>
      </c>
      <c r="F313" s="90" t="s">
        <v>108</v>
      </c>
      <c r="G313" s="91" t="s">
        <v>504</v>
      </c>
      <c r="H313" s="135">
        <f t="shared" si="4"/>
        <v>540000</v>
      </c>
    </row>
    <row r="314" spans="1:8" ht="22.5" x14ac:dyDescent="0.2">
      <c r="A314" s="89">
        <v>311</v>
      </c>
      <c r="B314" s="90" t="s">
        <v>199</v>
      </c>
      <c r="C314" s="78">
        <v>9000</v>
      </c>
      <c r="D314" s="170">
        <v>46023</v>
      </c>
      <c r="E314" s="170">
        <v>47118</v>
      </c>
      <c r="F314" s="90" t="s">
        <v>108</v>
      </c>
      <c r="G314" s="91" t="s">
        <v>505</v>
      </c>
      <c r="H314" s="135">
        <f t="shared" si="4"/>
        <v>324000</v>
      </c>
    </row>
    <row r="315" spans="1:8" x14ac:dyDescent="0.2">
      <c r="A315" s="89">
        <v>312</v>
      </c>
      <c r="B315" s="90" t="s">
        <v>201</v>
      </c>
      <c r="C315" s="78">
        <v>2000</v>
      </c>
      <c r="D315" s="170">
        <v>46023</v>
      </c>
      <c r="E315" s="170">
        <v>47088</v>
      </c>
      <c r="F315" s="90" t="s">
        <v>108</v>
      </c>
      <c r="G315" s="91" t="s">
        <v>506</v>
      </c>
      <c r="H315" s="135">
        <f t="shared" ref="H315:H378" si="5">IFERROR((DATEDIF(D315,E315,"M")+1)*C315,0)</f>
        <v>72000</v>
      </c>
    </row>
    <row r="316" spans="1:8" ht="22.5" x14ac:dyDescent="0.2">
      <c r="A316" s="89">
        <v>313</v>
      </c>
      <c r="B316" s="90" t="s">
        <v>257</v>
      </c>
      <c r="C316" s="78">
        <v>1500</v>
      </c>
      <c r="D316" s="170">
        <v>46023</v>
      </c>
      <c r="E316" s="170">
        <v>46023</v>
      </c>
      <c r="F316" s="90" t="s">
        <v>108</v>
      </c>
      <c r="G316" s="91" t="s">
        <v>507</v>
      </c>
      <c r="H316" s="135">
        <f t="shared" si="5"/>
        <v>1500</v>
      </c>
    </row>
    <row r="317" spans="1:8" ht="22.5" x14ac:dyDescent="0.2">
      <c r="A317" s="89">
        <v>314</v>
      </c>
      <c r="B317" s="90" t="s">
        <v>275</v>
      </c>
      <c r="C317" s="78">
        <v>2000</v>
      </c>
      <c r="D317" s="170">
        <v>46023</v>
      </c>
      <c r="E317" s="170">
        <v>47088</v>
      </c>
      <c r="F317" s="90" t="s">
        <v>108</v>
      </c>
      <c r="G317" s="91" t="s">
        <v>599</v>
      </c>
      <c r="H317" s="135">
        <f t="shared" si="5"/>
        <v>72000</v>
      </c>
    </row>
    <row r="318" spans="1:8" ht="22.5" x14ac:dyDescent="0.2">
      <c r="A318" s="89">
        <v>315</v>
      </c>
      <c r="B318" s="90" t="s">
        <v>323</v>
      </c>
      <c r="C318" s="78">
        <v>70000</v>
      </c>
      <c r="D318" s="170">
        <v>46174</v>
      </c>
      <c r="E318" s="170">
        <v>46174</v>
      </c>
      <c r="F318" s="90" t="s">
        <v>108</v>
      </c>
      <c r="G318" s="91" t="s">
        <v>509</v>
      </c>
      <c r="H318" s="135">
        <f t="shared" si="5"/>
        <v>70000</v>
      </c>
    </row>
    <row r="319" spans="1:8" ht="22.5" x14ac:dyDescent="0.2">
      <c r="A319" s="89">
        <v>316</v>
      </c>
      <c r="B319" s="90" t="s">
        <v>325</v>
      </c>
      <c r="C319" s="78">
        <v>3000</v>
      </c>
      <c r="D319" s="170">
        <v>46023</v>
      </c>
      <c r="E319" s="170">
        <v>47118</v>
      </c>
      <c r="F319" s="90" t="s">
        <v>108</v>
      </c>
      <c r="G319" s="91" t="s">
        <v>510</v>
      </c>
      <c r="H319" s="135">
        <f t="shared" si="5"/>
        <v>108000</v>
      </c>
    </row>
    <row r="320" spans="1:8" ht="22.5" x14ac:dyDescent="0.2">
      <c r="A320" s="89">
        <v>317</v>
      </c>
      <c r="B320" s="90" t="s">
        <v>327</v>
      </c>
      <c r="C320" s="78">
        <v>2000</v>
      </c>
      <c r="D320" s="170">
        <v>46023</v>
      </c>
      <c r="E320" s="170">
        <v>47118</v>
      </c>
      <c r="F320" s="90" t="s">
        <v>108</v>
      </c>
      <c r="G320" s="91" t="s">
        <v>511</v>
      </c>
      <c r="H320" s="135">
        <f t="shared" si="5"/>
        <v>72000</v>
      </c>
    </row>
    <row r="321" spans="1:8" ht="22.5" x14ac:dyDescent="0.2">
      <c r="A321" s="89">
        <v>318</v>
      </c>
      <c r="B321" s="90" t="s">
        <v>265</v>
      </c>
      <c r="C321" s="78">
        <v>4000</v>
      </c>
      <c r="D321" s="170">
        <v>46023</v>
      </c>
      <c r="E321" s="170">
        <v>47088</v>
      </c>
      <c r="F321" s="90" t="s">
        <v>108</v>
      </c>
      <c r="G321" s="91" t="s">
        <v>512</v>
      </c>
      <c r="H321" s="135">
        <f t="shared" si="5"/>
        <v>144000</v>
      </c>
    </row>
    <row r="322" spans="1:8" ht="22.5" x14ac:dyDescent="0.2">
      <c r="A322" s="89">
        <v>319</v>
      </c>
      <c r="B322" s="90" t="s">
        <v>329</v>
      </c>
      <c r="C322" s="78">
        <v>2500</v>
      </c>
      <c r="D322" s="170">
        <v>46023</v>
      </c>
      <c r="E322" s="170">
        <v>47088</v>
      </c>
      <c r="F322" s="90" t="s">
        <v>108</v>
      </c>
      <c r="G322" s="91" t="s">
        <v>513</v>
      </c>
      <c r="H322" s="135">
        <f t="shared" si="5"/>
        <v>90000</v>
      </c>
    </row>
    <row r="323" spans="1:8" x14ac:dyDescent="0.2">
      <c r="A323" s="89">
        <v>320</v>
      </c>
      <c r="B323" s="90" t="s">
        <v>239</v>
      </c>
      <c r="C323" s="78">
        <v>40000</v>
      </c>
      <c r="D323" s="170">
        <v>46023</v>
      </c>
      <c r="E323" s="170">
        <v>46023</v>
      </c>
      <c r="F323" s="90" t="s">
        <v>108</v>
      </c>
      <c r="G323" s="91" t="s">
        <v>514</v>
      </c>
      <c r="H323" s="135">
        <f t="shared" si="5"/>
        <v>40000</v>
      </c>
    </row>
    <row r="324" spans="1:8" x14ac:dyDescent="0.2">
      <c r="A324" s="89">
        <v>321</v>
      </c>
      <c r="B324" s="90" t="s">
        <v>239</v>
      </c>
      <c r="C324" s="78">
        <v>20000</v>
      </c>
      <c r="D324" s="170">
        <v>46023</v>
      </c>
      <c r="E324" s="170">
        <v>46023</v>
      </c>
      <c r="F324" s="90" t="s">
        <v>108</v>
      </c>
      <c r="G324" s="91" t="s">
        <v>515</v>
      </c>
      <c r="H324" s="135">
        <f t="shared" si="5"/>
        <v>20000</v>
      </c>
    </row>
    <row r="325" spans="1:8" x14ac:dyDescent="0.2">
      <c r="A325" s="89">
        <v>322</v>
      </c>
      <c r="B325" s="90" t="s">
        <v>331</v>
      </c>
      <c r="C325" s="78">
        <v>1500</v>
      </c>
      <c r="D325" s="170">
        <v>46023</v>
      </c>
      <c r="E325" s="170">
        <v>47088</v>
      </c>
      <c r="F325" s="90" t="s">
        <v>108</v>
      </c>
      <c r="G325" s="91" t="s">
        <v>516</v>
      </c>
      <c r="H325" s="135">
        <f t="shared" si="5"/>
        <v>54000</v>
      </c>
    </row>
    <row r="326" spans="1:8" ht="33.75" x14ac:dyDescent="0.2">
      <c r="A326" s="89">
        <v>323</v>
      </c>
      <c r="B326" s="90" t="s">
        <v>333</v>
      </c>
      <c r="C326" s="78">
        <v>200</v>
      </c>
      <c r="D326" s="170">
        <v>46023</v>
      </c>
      <c r="E326" s="170">
        <v>47118</v>
      </c>
      <c r="F326" s="90" t="s">
        <v>108</v>
      </c>
      <c r="G326" s="91" t="s">
        <v>517</v>
      </c>
      <c r="H326" s="135">
        <f t="shared" si="5"/>
        <v>7200</v>
      </c>
    </row>
    <row r="327" spans="1:8" x14ac:dyDescent="0.2">
      <c r="A327" s="89">
        <v>324</v>
      </c>
      <c r="B327" s="90" t="s">
        <v>277</v>
      </c>
      <c r="C327" s="78">
        <v>2500</v>
      </c>
      <c r="D327" s="170">
        <v>46023</v>
      </c>
      <c r="E327" s="170">
        <v>47088</v>
      </c>
      <c r="F327" s="90" t="s">
        <v>108</v>
      </c>
      <c r="G327" s="91" t="s">
        <v>518</v>
      </c>
      <c r="H327" s="135">
        <f t="shared" si="5"/>
        <v>90000</v>
      </c>
    </row>
    <row r="328" spans="1:8" ht="33.75" x14ac:dyDescent="0.2">
      <c r="A328" s="89">
        <v>325</v>
      </c>
      <c r="B328" s="90" t="s">
        <v>309</v>
      </c>
      <c r="C328" s="78">
        <v>7000</v>
      </c>
      <c r="D328" s="170">
        <v>46023</v>
      </c>
      <c r="E328" s="170">
        <v>47118</v>
      </c>
      <c r="F328" s="90" t="s">
        <v>108</v>
      </c>
      <c r="G328" s="91" t="s">
        <v>519</v>
      </c>
      <c r="H328" s="135">
        <f t="shared" si="5"/>
        <v>252000</v>
      </c>
    </row>
    <row r="329" spans="1:8" ht="22.5" x14ac:dyDescent="0.2">
      <c r="A329" s="89">
        <v>326</v>
      </c>
      <c r="B329" s="90" t="s">
        <v>303</v>
      </c>
      <c r="C329" s="78">
        <v>6000</v>
      </c>
      <c r="D329" s="170">
        <v>46023</v>
      </c>
      <c r="E329" s="170">
        <v>47088</v>
      </c>
      <c r="F329" s="90" t="s">
        <v>108</v>
      </c>
      <c r="G329" s="91" t="s">
        <v>600</v>
      </c>
      <c r="H329" s="135">
        <f t="shared" si="5"/>
        <v>216000</v>
      </c>
    </row>
    <row r="330" spans="1:8" x14ac:dyDescent="0.2">
      <c r="A330" s="89">
        <v>327</v>
      </c>
      <c r="B330" s="90" t="s">
        <v>295</v>
      </c>
      <c r="C330" s="78">
        <v>6000</v>
      </c>
      <c r="D330" s="170">
        <v>46023</v>
      </c>
      <c r="E330" s="170">
        <v>47118</v>
      </c>
      <c r="F330" s="90" t="s">
        <v>108</v>
      </c>
      <c r="G330" s="91" t="s">
        <v>521</v>
      </c>
      <c r="H330" s="135">
        <f t="shared" si="5"/>
        <v>216000</v>
      </c>
    </row>
    <row r="331" spans="1:8" ht="22.5" x14ac:dyDescent="0.2">
      <c r="A331" s="89">
        <v>328</v>
      </c>
      <c r="B331" s="90" t="s">
        <v>335</v>
      </c>
      <c r="C331" s="78">
        <v>500</v>
      </c>
      <c r="D331" s="170">
        <v>46023</v>
      </c>
      <c r="E331" s="170">
        <v>47118</v>
      </c>
      <c r="F331" s="90" t="s">
        <v>108</v>
      </c>
      <c r="G331" s="91" t="s">
        <v>522</v>
      </c>
      <c r="H331" s="135">
        <f t="shared" si="5"/>
        <v>18000</v>
      </c>
    </row>
    <row r="332" spans="1:8" x14ac:dyDescent="0.2">
      <c r="A332" s="89">
        <v>329</v>
      </c>
      <c r="B332" s="90" t="s">
        <v>337</v>
      </c>
      <c r="C332" s="78">
        <v>1300</v>
      </c>
      <c r="D332" s="170">
        <v>46023</v>
      </c>
      <c r="E332" s="170">
        <v>47118</v>
      </c>
      <c r="F332" s="90" t="s">
        <v>108</v>
      </c>
      <c r="G332" s="91" t="s">
        <v>523</v>
      </c>
      <c r="H332" s="135">
        <f t="shared" si="5"/>
        <v>46800</v>
      </c>
    </row>
    <row r="333" spans="1:8" ht="22.5" x14ac:dyDescent="0.2">
      <c r="A333" s="89">
        <v>330</v>
      </c>
      <c r="B333" s="90" t="s">
        <v>339</v>
      </c>
      <c r="C333" s="78">
        <v>3000</v>
      </c>
      <c r="D333" s="170">
        <v>46023</v>
      </c>
      <c r="E333" s="170">
        <v>47118</v>
      </c>
      <c r="F333" s="90" t="s">
        <v>108</v>
      </c>
      <c r="G333" s="91" t="s">
        <v>524</v>
      </c>
      <c r="H333" s="135">
        <f t="shared" si="5"/>
        <v>108000</v>
      </c>
    </row>
    <row r="334" spans="1:8" ht="33.75" x14ac:dyDescent="0.2">
      <c r="A334" s="89">
        <v>331</v>
      </c>
      <c r="B334" s="90" t="s">
        <v>273</v>
      </c>
      <c r="C334" s="78">
        <v>2000</v>
      </c>
      <c r="D334" s="170">
        <v>46023</v>
      </c>
      <c r="E334" s="170">
        <v>47088</v>
      </c>
      <c r="F334" s="90" t="s">
        <v>108</v>
      </c>
      <c r="G334" s="91" t="s">
        <v>525</v>
      </c>
      <c r="H334" s="135">
        <f t="shared" si="5"/>
        <v>72000</v>
      </c>
    </row>
    <row r="335" spans="1:8" ht="22.5" x14ac:dyDescent="0.2">
      <c r="A335" s="89">
        <v>332</v>
      </c>
      <c r="B335" s="90" t="s">
        <v>277</v>
      </c>
      <c r="C335" s="78">
        <v>3000</v>
      </c>
      <c r="D335" s="170">
        <v>46023</v>
      </c>
      <c r="E335" s="170">
        <v>47088</v>
      </c>
      <c r="F335" s="90" t="s">
        <v>108</v>
      </c>
      <c r="G335" s="91" t="s">
        <v>526</v>
      </c>
      <c r="H335" s="135">
        <f t="shared" si="5"/>
        <v>108000</v>
      </c>
    </row>
    <row r="336" spans="1:8" ht="22.5" x14ac:dyDescent="0.2">
      <c r="A336" s="89">
        <v>333</v>
      </c>
      <c r="B336" s="90" t="s">
        <v>269</v>
      </c>
      <c r="C336" s="78">
        <v>110000</v>
      </c>
      <c r="D336" s="170">
        <v>46023</v>
      </c>
      <c r="E336" s="170">
        <v>46357</v>
      </c>
      <c r="F336" s="90" t="s">
        <v>108</v>
      </c>
      <c r="G336" s="91" t="s">
        <v>532</v>
      </c>
      <c r="H336" s="135">
        <f t="shared" si="5"/>
        <v>1320000</v>
      </c>
    </row>
    <row r="337" spans="1:8" ht="22.5" x14ac:dyDescent="0.2">
      <c r="A337" s="89">
        <v>334</v>
      </c>
      <c r="B337" s="90" t="s">
        <v>231</v>
      </c>
      <c r="C337" s="78">
        <v>1200</v>
      </c>
      <c r="D337" s="170">
        <v>46023</v>
      </c>
      <c r="E337" s="170">
        <v>47088</v>
      </c>
      <c r="F337" s="90" t="s">
        <v>108</v>
      </c>
      <c r="G337" s="91" t="s">
        <v>528</v>
      </c>
      <c r="H337" s="135">
        <f t="shared" si="5"/>
        <v>43200</v>
      </c>
    </row>
    <row r="338" spans="1:8" ht="22.5" x14ac:dyDescent="0.2">
      <c r="A338" s="89">
        <v>335</v>
      </c>
      <c r="B338" s="90" t="s">
        <v>315</v>
      </c>
      <c r="C338" s="78">
        <v>500000</v>
      </c>
      <c r="D338" s="170">
        <v>46447</v>
      </c>
      <c r="E338" s="170">
        <v>46447</v>
      </c>
      <c r="F338" s="90" t="s">
        <v>108</v>
      </c>
      <c r="G338" s="91" t="s">
        <v>527</v>
      </c>
      <c r="H338" s="135">
        <f t="shared" si="5"/>
        <v>500000</v>
      </c>
    </row>
    <row r="339" spans="1:8" ht="22.5" x14ac:dyDescent="0.2">
      <c r="A339" s="89">
        <v>336</v>
      </c>
      <c r="B339" s="90" t="s">
        <v>301</v>
      </c>
      <c r="C339" s="78">
        <v>20000</v>
      </c>
      <c r="D339" s="170">
        <v>46113</v>
      </c>
      <c r="E339" s="170">
        <v>46113</v>
      </c>
      <c r="F339" s="90" t="s">
        <v>108</v>
      </c>
      <c r="G339" s="91" t="s">
        <v>529</v>
      </c>
      <c r="H339" s="135">
        <f t="shared" si="5"/>
        <v>20000</v>
      </c>
    </row>
    <row r="340" spans="1:8" ht="22.5" x14ac:dyDescent="0.2">
      <c r="A340" s="89">
        <v>337</v>
      </c>
      <c r="B340" s="90" t="s">
        <v>221</v>
      </c>
      <c r="C340" s="78">
        <v>1200</v>
      </c>
      <c r="D340" s="170">
        <v>46023</v>
      </c>
      <c r="E340" s="170">
        <v>46023</v>
      </c>
      <c r="F340" s="90" t="s">
        <v>106</v>
      </c>
      <c r="G340" s="91" t="s">
        <v>534</v>
      </c>
      <c r="H340" s="135">
        <f t="shared" si="5"/>
        <v>1200</v>
      </c>
    </row>
    <row r="341" spans="1:8" ht="22.5" x14ac:dyDescent="0.2">
      <c r="A341" s="89">
        <v>338</v>
      </c>
      <c r="B341" s="90" t="s">
        <v>299</v>
      </c>
      <c r="C341" s="78">
        <v>20000</v>
      </c>
      <c r="D341" s="170">
        <v>46023</v>
      </c>
      <c r="E341" s="170">
        <v>46023</v>
      </c>
      <c r="F341" s="90" t="s">
        <v>108</v>
      </c>
      <c r="G341" s="91" t="s">
        <v>530</v>
      </c>
      <c r="H341" s="135">
        <f t="shared" si="5"/>
        <v>20000</v>
      </c>
    </row>
    <row r="342" spans="1:8" ht="22.5" x14ac:dyDescent="0.2">
      <c r="A342" s="89">
        <v>339</v>
      </c>
      <c r="B342" s="90" t="s">
        <v>315</v>
      </c>
      <c r="C342" s="78">
        <v>200000</v>
      </c>
      <c r="D342" s="170">
        <v>46447</v>
      </c>
      <c r="E342" s="170">
        <v>46447</v>
      </c>
      <c r="F342" s="90" t="s">
        <v>109</v>
      </c>
      <c r="G342" s="91" t="s">
        <v>601</v>
      </c>
      <c r="H342" s="135">
        <f t="shared" si="5"/>
        <v>200000</v>
      </c>
    </row>
    <row r="343" spans="1:8" ht="22.5" x14ac:dyDescent="0.2">
      <c r="A343" s="89">
        <v>340</v>
      </c>
      <c r="B343" s="90" t="s">
        <v>315</v>
      </c>
      <c r="C343" s="78">
        <v>200000</v>
      </c>
      <c r="D343" s="170">
        <v>46753</v>
      </c>
      <c r="E343" s="170">
        <v>46753</v>
      </c>
      <c r="F343" s="90" t="s">
        <v>109</v>
      </c>
      <c r="G343" s="91" t="s">
        <v>601</v>
      </c>
      <c r="H343" s="135">
        <f t="shared" si="5"/>
        <v>200000</v>
      </c>
    </row>
    <row r="344" spans="1:8" ht="45" x14ac:dyDescent="0.2">
      <c r="A344" s="89">
        <v>341</v>
      </c>
      <c r="B344" s="90" t="s">
        <v>311</v>
      </c>
      <c r="C344" s="78">
        <v>10000</v>
      </c>
      <c r="D344" s="170">
        <v>46023</v>
      </c>
      <c r="E344" s="170">
        <v>47088</v>
      </c>
      <c r="F344" s="90" t="s">
        <v>110</v>
      </c>
      <c r="G344" s="91" t="s">
        <v>494</v>
      </c>
      <c r="H344" s="135">
        <f t="shared" si="5"/>
        <v>360000</v>
      </c>
    </row>
    <row r="345" spans="1:8" ht="33.75" x14ac:dyDescent="0.2">
      <c r="A345" s="89">
        <v>342</v>
      </c>
      <c r="B345" s="90" t="s">
        <v>237</v>
      </c>
      <c r="C345" s="78">
        <v>4000</v>
      </c>
      <c r="D345" s="170">
        <v>46023</v>
      </c>
      <c r="E345" s="170">
        <v>47088</v>
      </c>
      <c r="F345" s="90" t="s">
        <v>110</v>
      </c>
      <c r="G345" s="91" t="s">
        <v>497</v>
      </c>
      <c r="H345" s="135">
        <f t="shared" si="5"/>
        <v>144000</v>
      </c>
    </row>
    <row r="346" spans="1:8" ht="22.5" x14ac:dyDescent="0.2">
      <c r="A346" s="89">
        <v>343</v>
      </c>
      <c r="B346" s="90" t="s">
        <v>235</v>
      </c>
      <c r="C346" s="78">
        <v>22500</v>
      </c>
      <c r="D346" s="170">
        <v>46023</v>
      </c>
      <c r="E346" s="170">
        <v>47088</v>
      </c>
      <c r="F346" s="90" t="s">
        <v>110</v>
      </c>
      <c r="G346" s="91" t="s">
        <v>495</v>
      </c>
      <c r="H346" s="135">
        <f t="shared" si="5"/>
        <v>810000</v>
      </c>
    </row>
    <row r="347" spans="1:8" ht="22.5" x14ac:dyDescent="0.2">
      <c r="A347" s="89">
        <v>344</v>
      </c>
      <c r="B347" s="90" t="s">
        <v>227</v>
      </c>
      <c r="C347" s="78">
        <v>4000</v>
      </c>
      <c r="D347" s="170">
        <v>46023</v>
      </c>
      <c r="E347" s="170">
        <v>47088</v>
      </c>
      <c r="F347" s="90" t="s">
        <v>110</v>
      </c>
      <c r="G347" s="91" t="s">
        <v>586</v>
      </c>
      <c r="H347" s="135">
        <f t="shared" si="5"/>
        <v>144000</v>
      </c>
    </row>
    <row r="348" spans="1:8" ht="22.5" x14ac:dyDescent="0.2">
      <c r="A348" s="89">
        <v>345</v>
      </c>
      <c r="B348" s="90" t="s">
        <v>237</v>
      </c>
      <c r="C348" s="78">
        <v>5000</v>
      </c>
      <c r="D348" s="170">
        <v>46023</v>
      </c>
      <c r="E348" s="170">
        <v>47088</v>
      </c>
      <c r="F348" s="90" t="s">
        <v>110</v>
      </c>
      <c r="G348" s="91" t="s">
        <v>496</v>
      </c>
      <c r="H348" s="135">
        <f t="shared" si="5"/>
        <v>180000</v>
      </c>
    </row>
    <row r="349" spans="1:8" ht="33.75" x14ac:dyDescent="0.2">
      <c r="A349" s="89">
        <v>346</v>
      </c>
      <c r="B349" s="90" t="s">
        <v>313</v>
      </c>
      <c r="C349" s="78">
        <v>50000</v>
      </c>
      <c r="D349" s="170">
        <v>46023</v>
      </c>
      <c r="E349" s="170">
        <v>46023</v>
      </c>
      <c r="F349" s="90" t="s">
        <v>110</v>
      </c>
      <c r="G349" s="91" t="s">
        <v>531</v>
      </c>
      <c r="H349" s="135">
        <f t="shared" si="5"/>
        <v>50000</v>
      </c>
    </row>
    <row r="350" spans="1:8" ht="33.75" x14ac:dyDescent="0.2">
      <c r="A350" s="89">
        <v>347</v>
      </c>
      <c r="B350" s="90" t="s">
        <v>313</v>
      </c>
      <c r="C350" s="78">
        <v>50000</v>
      </c>
      <c r="D350" s="170">
        <v>46023</v>
      </c>
      <c r="E350" s="170">
        <v>46023</v>
      </c>
      <c r="F350" s="90" t="s">
        <v>110</v>
      </c>
      <c r="G350" s="91" t="s">
        <v>498</v>
      </c>
      <c r="H350" s="135">
        <f t="shared" si="5"/>
        <v>50000</v>
      </c>
    </row>
    <row r="351" spans="1:8" ht="22.5" x14ac:dyDescent="0.2">
      <c r="A351" s="89">
        <v>348</v>
      </c>
      <c r="B351" s="90" t="s">
        <v>237</v>
      </c>
      <c r="C351" s="78">
        <v>1000</v>
      </c>
      <c r="D351" s="170">
        <v>46023</v>
      </c>
      <c r="E351" s="170">
        <v>47088</v>
      </c>
      <c r="F351" s="90" t="s">
        <v>110</v>
      </c>
      <c r="G351" s="91" t="s">
        <v>501</v>
      </c>
      <c r="H351" s="135">
        <f t="shared" si="5"/>
        <v>36000</v>
      </c>
    </row>
    <row r="352" spans="1:8" ht="33.75" x14ac:dyDescent="0.2">
      <c r="A352" s="89">
        <v>349</v>
      </c>
      <c r="B352" s="90" t="s">
        <v>285</v>
      </c>
      <c r="C352" s="78">
        <v>20000</v>
      </c>
      <c r="D352" s="170">
        <v>46023</v>
      </c>
      <c r="E352" s="170">
        <v>47118</v>
      </c>
      <c r="F352" s="90" t="s">
        <v>110</v>
      </c>
      <c r="G352" s="91" t="s">
        <v>499</v>
      </c>
      <c r="H352" s="135">
        <f t="shared" si="5"/>
        <v>720000</v>
      </c>
    </row>
    <row r="353" spans="1:8" ht="33.75" x14ac:dyDescent="0.2">
      <c r="A353" s="89">
        <v>350</v>
      </c>
      <c r="B353" s="90" t="s">
        <v>315</v>
      </c>
      <c r="C353" s="78">
        <v>15000</v>
      </c>
      <c r="D353" s="170">
        <v>46023</v>
      </c>
      <c r="E353" s="170">
        <v>47118</v>
      </c>
      <c r="F353" s="90" t="s">
        <v>110</v>
      </c>
      <c r="G353" s="91" t="s">
        <v>500</v>
      </c>
      <c r="H353" s="135">
        <f t="shared" si="5"/>
        <v>540000</v>
      </c>
    </row>
    <row r="354" spans="1:8" ht="33.75" x14ac:dyDescent="0.2">
      <c r="A354" s="89">
        <v>351</v>
      </c>
      <c r="B354" s="90" t="s">
        <v>249</v>
      </c>
      <c r="C354" s="78">
        <v>400</v>
      </c>
      <c r="D354" s="170">
        <v>46023</v>
      </c>
      <c r="E354" s="170">
        <v>47118</v>
      </c>
      <c r="F354" s="90" t="s">
        <v>110</v>
      </c>
      <c r="G354" s="91" t="s">
        <v>502</v>
      </c>
      <c r="H354" s="135">
        <f t="shared" si="5"/>
        <v>14400</v>
      </c>
    </row>
    <row r="355" spans="1:8" ht="22.5" x14ac:dyDescent="0.2">
      <c r="A355" s="89">
        <v>352</v>
      </c>
      <c r="B355" s="90" t="s">
        <v>317</v>
      </c>
      <c r="C355" s="78">
        <v>12000</v>
      </c>
      <c r="D355" s="170">
        <v>46023</v>
      </c>
      <c r="E355" s="170">
        <v>46023</v>
      </c>
      <c r="F355" s="90" t="s">
        <v>110</v>
      </c>
      <c r="G355" s="91" t="s">
        <v>503</v>
      </c>
      <c r="H355" s="135">
        <f t="shared" si="5"/>
        <v>12000</v>
      </c>
    </row>
    <row r="356" spans="1:8" ht="22.5" x14ac:dyDescent="0.2">
      <c r="A356" s="89">
        <v>353</v>
      </c>
      <c r="B356" s="90" t="s">
        <v>197</v>
      </c>
      <c r="C356" s="78">
        <v>13000</v>
      </c>
      <c r="D356" s="170">
        <v>46023</v>
      </c>
      <c r="E356" s="170">
        <v>47118</v>
      </c>
      <c r="F356" s="90" t="s">
        <v>110</v>
      </c>
      <c r="G356" s="91" t="s">
        <v>504</v>
      </c>
      <c r="H356" s="135">
        <f t="shared" si="5"/>
        <v>468000</v>
      </c>
    </row>
    <row r="357" spans="1:8" ht="22.5" x14ac:dyDescent="0.2">
      <c r="A357" s="89">
        <v>354</v>
      </c>
      <c r="B357" s="90" t="s">
        <v>199</v>
      </c>
      <c r="C357" s="78">
        <v>23000</v>
      </c>
      <c r="D357" s="170">
        <v>46023</v>
      </c>
      <c r="E357" s="170">
        <v>47118</v>
      </c>
      <c r="F357" s="90" t="s">
        <v>110</v>
      </c>
      <c r="G357" s="91" t="s">
        <v>505</v>
      </c>
      <c r="H357" s="135">
        <f t="shared" si="5"/>
        <v>828000</v>
      </c>
    </row>
    <row r="358" spans="1:8" ht="22.5" x14ac:dyDescent="0.2">
      <c r="A358" s="89">
        <v>355</v>
      </c>
      <c r="B358" s="90" t="s">
        <v>299</v>
      </c>
      <c r="C358" s="78">
        <v>20000</v>
      </c>
      <c r="D358" s="170">
        <v>46388</v>
      </c>
      <c r="E358" s="170">
        <v>46388</v>
      </c>
      <c r="F358" s="324" t="s">
        <v>110</v>
      </c>
      <c r="G358" s="91" t="s">
        <v>588</v>
      </c>
      <c r="H358" s="135">
        <f t="shared" si="5"/>
        <v>20000</v>
      </c>
    </row>
    <row r="359" spans="1:8" x14ac:dyDescent="0.2">
      <c r="A359" s="89">
        <v>356</v>
      </c>
      <c r="B359" s="90" t="s">
        <v>201</v>
      </c>
      <c r="C359" s="78">
        <v>2000</v>
      </c>
      <c r="D359" s="170">
        <v>46023</v>
      </c>
      <c r="E359" s="170">
        <v>47088</v>
      </c>
      <c r="F359" s="90" t="s">
        <v>110</v>
      </c>
      <c r="G359" s="91" t="s">
        <v>506</v>
      </c>
      <c r="H359" s="135">
        <f t="shared" si="5"/>
        <v>72000</v>
      </c>
    </row>
    <row r="360" spans="1:8" ht="22.5" x14ac:dyDescent="0.2">
      <c r="A360" s="89">
        <v>357</v>
      </c>
      <c r="B360" s="90" t="s">
        <v>257</v>
      </c>
      <c r="C360" s="78">
        <v>1500</v>
      </c>
      <c r="D360" s="170">
        <v>46023</v>
      </c>
      <c r="E360" s="170">
        <v>46023</v>
      </c>
      <c r="F360" s="90" t="s">
        <v>110</v>
      </c>
      <c r="G360" s="91" t="s">
        <v>507</v>
      </c>
      <c r="H360" s="135">
        <f t="shared" si="5"/>
        <v>1500</v>
      </c>
    </row>
    <row r="361" spans="1:8" ht="22.5" x14ac:dyDescent="0.2">
      <c r="A361" s="89">
        <v>358</v>
      </c>
      <c r="B361" s="90" t="s">
        <v>275</v>
      </c>
      <c r="C361" s="78">
        <v>3000</v>
      </c>
      <c r="D361" s="170">
        <v>46023</v>
      </c>
      <c r="E361" s="170">
        <v>47088</v>
      </c>
      <c r="F361" s="90" t="s">
        <v>110</v>
      </c>
      <c r="G361" s="91" t="s">
        <v>599</v>
      </c>
      <c r="H361" s="135">
        <f t="shared" si="5"/>
        <v>108000</v>
      </c>
    </row>
    <row r="362" spans="1:8" ht="22.5" x14ac:dyDescent="0.2">
      <c r="A362" s="89">
        <v>359</v>
      </c>
      <c r="B362" s="90" t="s">
        <v>323</v>
      </c>
      <c r="C362" s="78">
        <v>50000</v>
      </c>
      <c r="D362" s="170">
        <v>46174</v>
      </c>
      <c r="E362" s="170">
        <v>46174</v>
      </c>
      <c r="F362" s="90" t="s">
        <v>110</v>
      </c>
      <c r="G362" s="91" t="s">
        <v>509</v>
      </c>
      <c r="H362" s="135">
        <f t="shared" si="5"/>
        <v>50000</v>
      </c>
    </row>
    <row r="363" spans="1:8" ht="22.5" x14ac:dyDescent="0.2">
      <c r="A363" s="89">
        <v>360</v>
      </c>
      <c r="B363" s="90" t="s">
        <v>325</v>
      </c>
      <c r="C363" s="78">
        <v>4000</v>
      </c>
      <c r="D363" s="170">
        <v>46023</v>
      </c>
      <c r="E363" s="170">
        <v>47118</v>
      </c>
      <c r="F363" s="90" t="s">
        <v>110</v>
      </c>
      <c r="G363" s="91" t="s">
        <v>510</v>
      </c>
      <c r="H363" s="135">
        <f t="shared" si="5"/>
        <v>144000</v>
      </c>
    </row>
    <row r="364" spans="1:8" ht="22.5" x14ac:dyDescent="0.2">
      <c r="A364" s="89">
        <v>361</v>
      </c>
      <c r="B364" s="90" t="s">
        <v>327</v>
      </c>
      <c r="C364" s="78">
        <v>2000</v>
      </c>
      <c r="D364" s="170">
        <v>46023</v>
      </c>
      <c r="E364" s="170">
        <v>47118</v>
      </c>
      <c r="F364" s="90" t="s">
        <v>110</v>
      </c>
      <c r="G364" s="91" t="s">
        <v>511</v>
      </c>
      <c r="H364" s="135">
        <f t="shared" si="5"/>
        <v>72000</v>
      </c>
    </row>
    <row r="365" spans="1:8" ht="22.5" x14ac:dyDescent="0.2">
      <c r="A365" s="89">
        <v>362</v>
      </c>
      <c r="B365" s="90" t="s">
        <v>265</v>
      </c>
      <c r="C365" s="78">
        <v>4500</v>
      </c>
      <c r="D365" s="170">
        <v>46023</v>
      </c>
      <c r="E365" s="170">
        <v>47088</v>
      </c>
      <c r="F365" s="90" t="s">
        <v>110</v>
      </c>
      <c r="G365" s="91" t="s">
        <v>512</v>
      </c>
      <c r="H365" s="135">
        <f t="shared" si="5"/>
        <v>162000</v>
      </c>
    </row>
    <row r="366" spans="1:8" ht="22.5" x14ac:dyDescent="0.2">
      <c r="A366" s="89">
        <v>363</v>
      </c>
      <c r="B366" s="90" t="s">
        <v>329</v>
      </c>
      <c r="C366" s="78">
        <v>2500</v>
      </c>
      <c r="D366" s="170">
        <v>46023</v>
      </c>
      <c r="E366" s="170">
        <v>47088</v>
      </c>
      <c r="F366" s="90" t="s">
        <v>110</v>
      </c>
      <c r="G366" s="91" t="s">
        <v>513</v>
      </c>
      <c r="H366" s="135">
        <f t="shared" si="5"/>
        <v>90000</v>
      </c>
    </row>
    <row r="367" spans="1:8" x14ac:dyDescent="0.2">
      <c r="A367" s="89">
        <v>364</v>
      </c>
      <c r="B367" s="90" t="s">
        <v>239</v>
      </c>
      <c r="C367" s="78">
        <v>70000</v>
      </c>
      <c r="D367" s="170">
        <v>46023</v>
      </c>
      <c r="E367" s="170">
        <v>46023</v>
      </c>
      <c r="F367" s="90" t="s">
        <v>110</v>
      </c>
      <c r="G367" s="91" t="s">
        <v>514</v>
      </c>
      <c r="H367" s="135">
        <f t="shared" si="5"/>
        <v>70000</v>
      </c>
    </row>
    <row r="368" spans="1:8" x14ac:dyDescent="0.2">
      <c r="A368" s="89">
        <v>365</v>
      </c>
      <c r="B368" s="90" t="s">
        <v>239</v>
      </c>
      <c r="C368" s="78">
        <v>20000</v>
      </c>
      <c r="D368" s="170">
        <v>46023</v>
      </c>
      <c r="E368" s="170">
        <v>46023</v>
      </c>
      <c r="F368" s="90" t="s">
        <v>110</v>
      </c>
      <c r="G368" s="91" t="s">
        <v>515</v>
      </c>
      <c r="H368" s="135">
        <f t="shared" si="5"/>
        <v>20000</v>
      </c>
    </row>
    <row r="369" spans="1:8" x14ac:dyDescent="0.2">
      <c r="A369" s="89">
        <v>366</v>
      </c>
      <c r="B369" s="90" t="s">
        <v>331</v>
      </c>
      <c r="C369" s="78">
        <v>4000</v>
      </c>
      <c r="D369" s="170">
        <v>46023</v>
      </c>
      <c r="E369" s="170">
        <v>47088</v>
      </c>
      <c r="F369" s="90" t="s">
        <v>110</v>
      </c>
      <c r="G369" s="91" t="s">
        <v>516</v>
      </c>
      <c r="H369" s="135">
        <f t="shared" si="5"/>
        <v>144000</v>
      </c>
    </row>
    <row r="370" spans="1:8" ht="33.75" x14ac:dyDescent="0.2">
      <c r="A370" s="89">
        <v>367</v>
      </c>
      <c r="B370" s="90" t="s">
        <v>333</v>
      </c>
      <c r="C370" s="78">
        <v>200</v>
      </c>
      <c r="D370" s="170">
        <v>46023</v>
      </c>
      <c r="E370" s="170">
        <v>47118</v>
      </c>
      <c r="F370" s="90" t="s">
        <v>110</v>
      </c>
      <c r="G370" s="91" t="s">
        <v>517</v>
      </c>
      <c r="H370" s="135">
        <f t="shared" si="5"/>
        <v>7200</v>
      </c>
    </row>
    <row r="371" spans="1:8" x14ac:dyDescent="0.2">
      <c r="A371" s="89">
        <v>368</v>
      </c>
      <c r="B371" s="90" t="s">
        <v>277</v>
      </c>
      <c r="C371" s="78">
        <v>5000</v>
      </c>
      <c r="D371" s="170">
        <v>46023</v>
      </c>
      <c r="E371" s="170">
        <v>47088</v>
      </c>
      <c r="F371" s="90" t="s">
        <v>110</v>
      </c>
      <c r="G371" s="91" t="s">
        <v>518</v>
      </c>
      <c r="H371" s="135">
        <f t="shared" si="5"/>
        <v>180000</v>
      </c>
    </row>
    <row r="372" spans="1:8" ht="33.75" x14ac:dyDescent="0.2">
      <c r="A372" s="89">
        <v>369</v>
      </c>
      <c r="B372" s="90" t="s">
        <v>309</v>
      </c>
      <c r="C372" s="78">
        <v>8000</v>
      </c>
      <c r="D372" s="170">
        <v>46023</v>
      </c>
      <c r="E372" s="170">
        <v>47118</v>
      </c>
      <c r="F372" s="90" t="s">
        <v>110</v>
      </c>
      <c r="G372" s="91" t="s">
        <v>519</v>
      </c>
      <c r="H372" s="135">
        <f t="shared" si="5"/>
        <v>288000</v>
      </c>
    </row>
    <row r="373" spans="1:8" ht="22.5" x14ac:dyDescent="0.2">
      <c r="A373" s="89">
        <v>370</v>
      </c>
      <c r="B373" s="90" t="s">
        <v>303</v>
      </c>
      <c r="C373" s="78">
        <v>7000</v>
      </c>
      <c r="D373" s="170">
        <v>46023</v>
      </c>
      <c r="E373" s="170">
        <v>47088</v>
      </c>
      <c r="F373" s="90" t="s">
        <v>110</v>
      </c>
      <c r="G373" s="91" t="s">
        <v>600</v>
      </c>
      <c r="H373" s="135">
        <f t="shared" si="5"/>
        <v>252000</v>
      </c>
    </row>
    <row r="374" spans="1:8" x14ac:dyDescent="0.2">
      <c r="A374" s="89">
        <v>371</v>
      </c>
      <c r="B374" s="90" t="s">
        <v>295</v>
      </c>
      <c r="C374" s="78">
        <v>8000</v>
      </c>
      <c r="D374" s="170">
        <v>46023</v>
      </c>
      <c r="E374" s="170">
        <v>47118</v>
      </c>
      <c r="F374" s="90" t="s">
        <v>110</v>
      </c>
      <c r="G374" s="91" t="s">
        <v>521</v>
      </c>
      <c r="H374" s="135">
        <f t="shared" si="5"/>
        <v>288000</v>
      </c>
    </row>
    <row r="375" spans="1:8" ht="22.5" x14ac:dyDescent="0.2">
      <c r="A375" s="89">
        <v>372</v>
      </c>
      <c r="B375" s="90" t="s">
        <v>335</v>
      </c>
      <c r="C375" s="78">
        <v>500</v>
      </c>
      <c r="D375" s="170">
        <v>46023</v>
      </c>
      <c r="E375" s="170">
        <v>47118</v>
      </c>
      <c r="F375" s="90" t="s">
        <v>110</v>
      </c>
      <c r="G375" s="91" t="s">
        <v>522</v>
      </c>
      <c r="H375" s="135">
        <f t="shared" si="5"/>
        <v>18000</v>
      </c>
    </row>
    <row r="376" spans="1:8" x14ac:dyDescent="0.2">
      <c r="A376" s="89">
        <v>373</v>
      </c>
      <c r="B376" s="90" t="s">
        <v>337</v>
      </c>
      <c r="C376" s="78">
        <v>1300</v>
      </c>
      <c r="D376" s="170">
        <v>46023</v>
      </c>
      <c r="E376" s="170">
        <v>47118</v>
      </c>
      <c r="F376" s="90" t="s">
        <v>110</v>
      </c>
      <c r="G376" s="91" t="s">
        <v>523</v>
      </c>
      <c r="H376" s="135">
        <f t="shared" si="5"/>
        <v>46800</v>
      </c>
    </row>
    <row r="377" spans="1:8" ht="22.5" x14ac:dyDescent="0.2">
      <c r="A377" s="89">
        <v>374</v>
      </c>
      <c r="B377" s="90" t="s">
        <v>339</v>
      </c>
      <c r="C377" s="78">
        <v>7000</v>
      </c>
      <c r="D377" s="170">
        <v>46023</v>
      </c>
      <c r="E377" s="170">
        <v>47118</v>
      </c>
      <c r="F377" s="90" t="s">
        <v>110</v>
      </c>
      <c r="G377" s="91" t="s">
        <v>524</v>
      </c>
      <c r="H377" s="135">
        <f t="shared" si="5"/>
        <v>252000</v>
      </c>
    </row>
    <row r="378" spans="1:8" ht="22.5" x14ac:dyDescent="0.2">
      <c r="A378" s="89">
        <v>375</v>
      </c>
      <c r="B378" s="90" t="s">
        <v>269</v>
      </c>
      <c r="C378" s="78">
        <v>120000</v>
      </c>
      <c r="D378" s="170">
        <v>46023</v>
      </c>
      <c r="E378" s="170">
        <v>46357</v>
      </c>
      <c r="F378" s="90" t="s">
        <v>110</v>
      </c>
      <c r="G378" s="91" t="s">
        <v>532</v>
      </c>
      <c r="H378" s="135">
        <f t="shared" si="5"/>
        <v>1440000</v>
      </c>
    </row>
    <row r="379" spans="1:8" ht="33.75" x14ac:dyDescent="0.2">
      <c r="A379" s="89">
        <v>376</v>
      </c>
      <c r="B379" s="90" t="s">
        <v>273</v>
      </c>
      <c r="C379" s="78">
        <v>1500</v>
      </c>
      <c r="D379" s="170">
        <v>46023</v>
      </c>
      <c r="E379" s="170">
        <v>47088</v>
      </c>
      <c r="F379" s="90" t="s">
        <v>110</v>
      </c>
      <c r="G379" s="91" t="s">
        <v>525</v>
      </c>
      <c r="H379" s="135">
        <f t="shared" ref="H379:H437" si="6">IFERROR((DATEDIF(D379,E379,"M")+1)*C379,0)</f>
        <v>54000</v>
      </c>
    </row>
    <row r="380" spans="1:8" ht="22.5" x14ac:dyDescent="0.2">
      <c r="A380" s="89">
        <v>377</v>
      </c>
      <c r="B380" s="90" t="s">
        <v>277</v>
      </c>
      <c r="C380" s="78">
        <v>4000</v>
      </c>
      <c r="D380" s="170">
        <v>46023</v>
      </c>
      <c r="E380" s="170">
        <v>47088</v>
      </c>
      <c r="F380" s="90" t="s">
        <v>110</v>
      </c>
      <c r="G380" s="91" t="s">
        <v>526</v>
      </c>
      <c r="H380" s="135">
        <f t="shared" si="6"/>
        <v>144000</v>
      </c>
    </row>
    <row r="381" spans="1:8" ht="22.5" x14ac:dyDescent="0.2">
      <c r="A381" s="89">
        <v>378</v>
      </c>
      <c r="B381" s="90" t="s">
        <v>231</v>
      </c>
      <c r="C381" s="78">
        <v>3500</v>
      </c>
      <c r="D381" s="170">
        <v>46023</v>
      </c>
      <c r="E381" s="170">
        <v>47088</v>
      </c>
      <c r="F381" s="90" t="s">
        <v>110</v>
      </c>
      <c r="G381" s="91" t="s">
        <v>528</v>
      </c>
      <c r="H381" s="135">
        <f t="shared" si="6"/>
        <v>126000</v>
      </c>
    </row>
    <row r="382" spans="1:8" ht="22.5" x14ac:dyDescent="0.2">
      <c r="A382" s="89">
        <v>379</v>
      </c>
      <c r="B382" s="90" t="s">
        <v>315</v>
      </c>
      <c r="C382" s="78">
        <v>500000</v>
      </c>
      <c r="D382" s="170">
        <v>46447</v>
      </c>
      <c r="E382" s="170">
        <v>46447</v>
      </c>
      <c r="F382" s="90" t="s">
        <v>110</v>
      </c>
      <c r="G382" s="91" t="s">
        <v>527</v>
      </c>
      <c r="H382" s="135">
        <f t="shared" si="6"/>
        <v>500000</v>
      </c>
    </row>
    <row r="383" spans="1:8" ht="22.5" x14ac:dyDescent="0.2">
      <c r="A383" s="89">
        <v>380</v>
      </c>
      <c r="B383" s="90" t="s">
        <v>301</v>
      </c>
      <c r="C383" s="78">
        <v>23000</v>
      </c>
      <c r="D383" s="170">
        <v>46113</v>
      </c>
      <c r="E383" s="170">
        <v>46113</v>
      </c>
      <c r="F383" s="90" t="s">
        <v>110</v>
      </c>
      <c r="G383" s="91" t="s">
        <v>529</v>
      </c>
      <c r="H383" s="135">
        <f t="shared" si="6"/>
        <v>23000</v>
      </c>
    </row>
    <row r="384" spans="1:8" ht="22.5" x14ac:dyDescent="0.2">
      <c r="A384" s="89">
        <v>381</v>
      </c>
      <c r="B384" s="90" t="s">
        <v>221</v>
      </c>
      <c r="C384" s="78">
        <v>1200</v>
      </c>
      <c r="D384" s="170">
        <v>46023</v>
      </c>
      <c r="E384" s="170">
        <v>46023</v>
      </c>
      <c r="F384" s="90" t="s">
        <v>107</v>
      </c>
      <c r="G384" s="91" t="s">
        <v>534</v>
      </c>
      <c r="H384" s="135">
        <f t="shared" si="6"/>
        <v>1200</v>
      </c>
    </row>
    <row r="385" spans="1:8" ht="22.5" x14ac:dyDescent="0.2">
      <c r="A385" s="89">
        <v>382</v>
      </c>
      <c r="B385" s="90" t="s">
        <v>299</v>
      </c>
      <c r="C385" s="78">
        <v>23000</v>
      </c>
      <c r="D385" s="170">
        <v>46023</v>
      </c>
      <c r="E385" s="170">
        <v>46023</v>
      </c>
      <c r="F385" s="90" t="s">
        <v>110</v>
      </c>
      <c r="G385" s="91" t="s">
        <v>530</v>
      </c>
      <c r="H385" s="135">
        <f t="shared" si="6"/>
        <v>23000</v>
      </c>
    </row>
    <row r="386" spans="1:8" ht="45" x14ac:dyDescent="0.2">
      <c r="A386" s="89">
        <v>383</v>
      </c>
      <c r="B386" s="90" t="s">
        <v>311</v>
      </c>
      <c r="C386" s="78">
        <v>10000</v>
      </c>
      <c r="D386" s="170">
        <v>46023</v>
      </c>
      <c r="E386" s="170">
        <v>47088</v>
      </c>
      <c r="F386" s="90" t="s">
        <v>105</v>
      </c>
      <c r="G386" s="91" t="s">
        <v>494</v>
      </c>
      <c r="H386" s="135">
        <f t="shared" si="6"/>
        <v>360000</v>
      </c>
    </row>
    <row r="387" spans="1:8" ht="33.75" x14ac:dyDescent="0.2">
      <c r="A387" s="89">
        <v>384</v>
      </c>
      <c r="B387" s="90" t="s">
        <v>237</v>
      </c>
      <c r="C387" s="78">
        <v>3000</v>
      </c>
      <c r="D387" s="170">
        <v>46023</v>
      </c>
      <c r="E387" s="170">
        <v>47088</v>
      </c>
      <c r="F387" s="90" t="s">
        <v>105</v>
      </c>
      <c r="G387" s="91" t="s">
        <v>497</v>
      </c>
      <c r="H387" s="135">
        <f t="shared" si="6"/>
        <v>108000</v>
      </c>
    </row>
    <row r="388" spans="1:8" ht="22.5" x14ac:dyDescent="0.2">
      <c r="A388" s="89">
        <v>385</v>
      </c>
      <c r="B388" s="90" t="s">
        <v>235</v>
      </c>
      <c r="C388" s="78">
        <v>22500</v>
      </c>
      <c r="D388" s="170">
        <v>46023</v>
      </c>
      <c r="E388" s="170">
        <v>47088</v>
      </c>
      <c r="F388" s="90" t="s">
        <v>105</v>
      </c>
      <c r="G388" s="91" t="s">
        <v>495</v>
      </c>
      <c r="H388" s="135">
        <f t="shared" si="6"/>
        <v>810000</v>
      </c>
    </row>
    <row r="389" spans="1:8" ht="22.5" x14ac:dyDescent="0.2">
      <c r="A389" s="89">
        <v>386</v>
      </c>
      <c r="B389" s="90" t="s">
        <v>227</v>
      </c>
      <c r="C389" s="78">
        <v>2000</v>
      </c>
      <c r="D389" s="170">
        <v>46023</v>
      </c>
      <c r="E389" s="170">
        <v>47088</v>
      </c>
      <c r="F389" s="90" t="s">
        <v>105</v>
      </c>
      <c r="G389" s="91" t="s">
        <v>586</v>
      </c>
      <c r="H389" s="135">
        <f t="shared" si="6"/>
        <v>72000</v>
      </c>
    </row>
    <row r="390" spans="1:8" ht="22.5" x14ac:dyDescent="0.2">
      <c r="A390" s="89">
        <v>387</v>
      </c>
      <c r="B390" s="90" t="s">
        <v>237</v>
      </c>
      <c r="C390" s="78">
        <v>5000</v>
      </c>
      <c r="D390" s="170">
        <v>46023</v>
      </c>
      <c r="E390" s="170">
        <v>47088</v>
      </c>
      <c r="F390" s="90" t="s">
        <v>105</v>
      </c>
      <c r="G390" s="91" t="s">
        <v>496</v>
      </c>
      <c r="H390" s="135">
        <f t="shared" si="6"/>
        <v>180000</v>
      </c>
    </row>
    <row r="391" spans="1:8" ht="33.75" x14ac:dyDescent="0.2">
      <c r="A391" s="89">
        <v>388</v>
      </c>
      <c r="B391" s="90" t="s">
        <v>313</v>
      </c>
      <c r="C391" s="78">
        <v>25000</v>
      </c>
      <c r="D391" s="170">
        <v>46023</v>
      </c>
      <c r="E391" s="170">
        <v>46023</v>
      </c>
      <c r="F391" s="90" t="s">
        <v>105</v>
      </c>
      <c r="G391" s="91" t="s">
        <v>531</v>
      </c>
      <c r="H391" s="135">
        <f t="shared" si="6"/>
        <v>25000</v>
      </c>
    </row>
    <row r="392" spans="1:8" ht="33.75" x14ac:dyDescent="0.2">
      <c r="A392" s="89">
        <v>389</v>
      </c>
      <c r="B392" s="90" t="s">
        <v>313</v>
      </c>
      <c r="C392" s="78">
        <v>20000</v>
      </c>
      <c r="D392" s="170">
        <v>46023</v>
      </c>
      <c r="E392" s="170">
        <v>46023</v>
      </c>
      <c r="F392" s="90" t="s">
        <v>105</v>
      </c>
      <c r="G392" s="91" t="s">
        <v>498</v>
      </c>
      <c r="H392" s="135">
        <f t="shared" si="6"/>
        <v>20000</v>
      </c>
    </row>
    <row r="393" spans="1:8" ht="22.5" x14ac:dyDescent="0.2">
      <c r="A393" s="89">
        <v>390</v>
      </c>
      <c r="B393" s="90" t="s">
        <v>237</v>
      </c>
      <c r="C393" s="78">
        <v>1500</v>
      </c>
      <c r="D393" s="170">
        <v>46023</v>
      </c>
      <c r="E393" s="170">
        <v>47088</v>
      </c>
      <c r="F393" s="90" t="s">
        <v>105</v>
      </c>
      <c r="G393" s="91" t="s">
        <v>501</v>
      </c>
      <c r="H393" s="135">
        <f t="shared" si="6"/>
        <v>54000</v>
      </c>
    </row>
    <row r="394" spans="1:8" ht="33.75" x14ac:dyDescent="0.2">
      <c r="A394" s="89">
        <v>391</v>
      </c>
      <c r="B394" s="90" t="s">
        <v>315</v>
      </c>
      <c r="C394" s="78">
        <v>10000</v>
      </c>
      <c r="D394" s="170">
        <v>46023</v>
      </c>
      <c r="E394" s="170">
        <v>47118</v>
      </c>
      <c r="F394" s="90" t="s">
        <v>105</v>
      </c>
      <c r="G394" s="91" t="s">
        <v>500</v>
      </c>
      <c r="H394" s="135">
        <f t="shared" si="6"/>
        <v>360000</v>
      </c>
    </row>
    <row r="395" spans="1:8" ht="33.75" x14ac:dyDescent="0.2">
      <c r="A395" s="89">
        <v>392</v>
      </c>
      <c r="B395" s="90" t="s">
        <v>249</v>
      </c>
      <c r="C395" s="78">
        <v>200</v>
      </c>
      <c r="D395" s="170">
        <v>46023</v>
      </c>
      <c r="E395" s="170">
        <v>47118</v>
      </c>
      <c r="F395" s="90" t="s">
        <v>105</v>
      </c>
      <c r="G395" s="91" t="s">
        <v>502</v>
      </c>
      <c r="H395" s="135">
        <f t="shared" si="6"/>
        <v>7200</v>
      </c>
    </row>
    <row r="396" spans="1:8" ht="22.5" x14ac:dyDescent="0.2">
      <c r="A396" s="89">
        <v>393</v>
      </c>
      <c r="B396" s="90" t="s">
        <v>317</v>
      </c>
      <c r="C396" s="78">
        <v>10000</v>
      </c>
      <c r="D396" s="170">
        <v>46023</v>
      </c>
      <c r="E396" s="170">
        <v>46023</v>
      </c>
      <c r="F396" s="90" t="s">
        <v>105</v>
      </c>
      <c r="G396" s="91" t="s">
        <v>503</v>
      </c>
      <c r="H396" s="135">
        <f t="shared" si="6"/>
        <v>10000</v>
      </c>
    </row>
    <row r="397" spans="1:8" ht="22.5" x14ac:dyDescent="0.2">
      <c r="A397" s="89">
        <v>394</v>
      </c>
      <c r="B397" s="90" t="s">
        <v>197</v>
      </c>
      <c r="C397" s="78">
        <v>20000</v>
      </c>
      <c r="D397" s="170">
        <v>46023</v>
      </c>
      <c r="E397" s="170">
        <v>47118</v>
      </c>
      <c r="F397" s="90" t="s">
        <v>105</v>
      </c>
      <c r="G397" s="91" t="s">
        <v>504</v>
      </c>
      <c r="H397" s="135">
        <f t="shared" si="6"/>
        <v>720000</v>
      </c>
    </row>
    <row r="398" spans="1:8" ht="22.5" x14ac:dyDescent="0.2">
      <c r="A398" s="89">
        <v>395</v>
      </c>
      <c r="B398" s="90" t="s">
        <v>199</v>
      </c>
      <c r="C398" s="78">
        <v>55000</v>
      </c>
      <c r="D398" s="170">
        <v>46023</v>
      </c>
      <c r="E398" s="170">
        <v>47118</v>
      </c>
      <c r="F398" s="90" t="s">
        <v>105</v>
      </c>
      <c r="G398" s="91" t="s">
        <v>505</v>
      </c>
      <c r="H398" s="135">
        <f t="shared" si="6"/>
        <v>1980000</v>
      </c>
    </row>
    <row r="399" spans="1:8" ht="22.5" x14ac:dyDescent="0.2">
      <c r="A399" s="89">
        <v>396</v>
      </c>
      <c r="B399" s="90" t="s">
        <v>299</v>
      </c>
      <c r="C399" s="78">
        <v>20000</v>
      </c>
      <c r="D399" s="170">
        <v>46388</v>
      </c>
      <c r="E399" s="170">
        <v>46388</v>
      </c>
      <c r="F399" s="324" t="s">
        <v>111</v>
      </c>
      <c r="G399" s="91" t="s">
        <v>588</v>
      </c>
      <c r="H399" s="135">
        <f t="shared" si="6"/>
        <v>20000</v>
      </c>
    </row>
    <row r="400" spans="1:8" x14ac:dyDescent="0.2">
      <c r="A400" s="89">
        <v>397</v>
      </c>
      <c r="B400" s="90" t="s">
        <v>201</v>
      </c>
      <c r="C400" s="78">
        <v>2000</v>
      </c>
      <c r="D400" s="170">
        <v>46023</v>
      </c>
      <c r="E400" s="170">
        <v>47088</v>
      </c>
      <c r="F400" s="90" t="s">
        <v>105</v>
      </c>
      <c r="G400" s="91" t="s">
        <v>506</v>
      </c>
      <c r="H400" s="135">
        <f t="shared" si="6"/>
        <v>72000</v>
      </c>
    </row>
    <row r="401" spans="1:8" ht="22.5" x14ac:dyDescent="0.2">
      <c r="A401" s="89">
        <v>398</v>
      </c>
      <c r="B401" s="90" t="s">
        <v>257</v>
      </c>
      <c r="C401" s="78">
        <v>1500</v>
      </c>
      <c r="D401" s="170">
        <v>46023</v>
      </c>
      <c r="E401" s="170">
        <v>46023</v>
      </c>
      <c r="F401" s="90" t="s">
        <v>105</v>
      </c>
      <c r="G401" s="91" t="s">
        <v>507</v>
      </c>
      <c r="H401" s="135">
        <f t="shared" si="6"/>
        <v>1500</v>
      </c>
    </row>
    <row r="402" spans="1:8" ht="22.5" x14ac:dyDescent="0.2">
      <c r="A402" s="89">
        <v>399</v>
      </c>
      <c r="B402" s="90" t="s">
        <v>275</v>
      </c>
      <c r="C402" s="78">
        <v>4000</v>
      </c>
      <c r="D402" s="170">
        <v>46023</v>
      </c>
      <c r="E402" s="170">
        <v>47088</v>
      </c>
      <c r="F402" s="90" t="s">
        <v>105</v>
      </c>
      <c r="G402" s="91" t="s">
        <v>599</v>
      </c>
      <c r="H402" s="135">
        <f t="shared" si="6"/>
        <v>144000</v>
      </c>
    </row>
    <row r="403" spans="1:8" ht="22.5" x14ac:dyDescent="0.2">
      <c r="A403" s="89">
        <v>400</v>
      </c>
      <c r="B403" s="90" t="s">
        <v>323</v>
      </c>
      <c r="C403" s="78">
        <v>60000</v>
      </c>
      <c r="D403" s="170">
        <v>46174</v>
      </c>
      <c r="E403" s="170">
        <v>46174</v>
      </c>
      <c r="F403" s="90" t="s">
        <v>105</v>
      </c>
      <c r="G403" s="91" t="s">
        <v>509</v>
      </c>
      <c r="H403" s="135">
        <f t="shared" si="6"/>
        <v>60000</v>
      </c>
    </row>
    <row r="404" spans="1:8" ht="22.5" x14ac:dyDescent="0.2">
      <c r="A404" s="89">
        <v>401</v>
      </c>
      <c r="B404" s="90" t="s">
        <v>325</v>
      </c>
      <c r="C404" s="78">
        <v>8000</v>
      </c>
      <c r="D404" s="170">
        <v>46023</v>
      </c>
      <c r="E404" s="170">
        <v>47118</v>
      </c>
      <c r="F404" s="90" t="s">
        <v>105</v>
      </c>
      <c r="G404" s="91" t="s">
        <v>510</v>
      </c>
      <c r="H404" s="135">
        <f t="shared" si="6"/>
        <v>288000</v>
      </c>
    </row>
    <row r="405" spans="1:8" ht="22.5" x14ac:dyDescent="0.2">
      <c r="A405" s="89">
        <v>402</v>
      </c>
      <c r="B405" s="90" t="s">
        <v>327</v>
      </c>
      <c r="C405" s="78">
        <v>3500</v>
      </c>
      <c r="D405" s="170">
        <v>46023</v>
      </c>
      <c r="E405" s="170">
        <v>47118</v>
      </c>
      <c r="F405" s="90" t="s">
        <v>105</v>
      </c>
      <c r="G405" s="91" t="s">
        <v>511</v>
      </c>
      <c r="H405" s="135">
        <f t="shared" si="6"/>
        <v>126000</v>
      </c>
    </row>
    <row r="406" spans="1:8" ht="22.5" x14ac:dyDescent="0.2">
      <c r="A406" s="89">
        <v>403</v>
      </c>
      <c r="B406" s="90" t="s">
        <v>265</v>
      </c>
      <c r="C406" s="78">
        <v>5000</v>
      </c>
      <c r="D406" s="170">
        <v>46023</v>
      </c>
      <c r="E406" s="170">
        <v>47088</v>
      </c>
      <c r="F406" s="90" t="s">
        <v>105</v>
      </c>
      <c r="G406" s="91" t="s">
        <v>512</v>
      </c>
      <c r="H406" s="135">
        <f t="shared" si="6"/>
        <v>180000</v>
      </c>
    </row>
    <row r="407" spans="1:8" ht="22.5" x14ac:dyDescent="0.2">
      <c r="A407" s="89">
        <v>404</v>
      </c>
      <c r="B407" s="90" t="s">
        <v>329</v>
      </c>
      <c r="C407" s="78">
        <v>3000</v>
      </c>
      <c r="D407" s="170">
        <v>46023</v>
      </c>
      <c r="E407" s="170">
        <v>47088</v>
      </c>
      <c r="F407" s="90" t="s">
        <v>105</v>
      </c>
      <c r="G407" s="91" t="s">
        <v>513</v>
      </c>
      <c r="H407" s="135">
        <f t="shared" si="6"/>
        <v>108000</v>
      </c>
    </row>
    <row r="408" spans="1:8" x14ac:dyDescent="0.2">
      <c r="A408" s="89">
        <v>405</v>
      </c>
      <c r="B408" s="90" t="s">
        <v>239</v>
      </c>
      <c r="C408" s="78">
        <v>70000</v>
      </c>
      <c r="D408" s="170">
        <v>46023</v>
      </c>
      <c r="E408" s="170">
        <v>46023</v>
      </c>
      <c r="F408" s="90" t="s">
        <v>105</v>
      </c>
      <c r="G408" s="91" t="s">
        <v>514</v>
      </c>
      <c r="H408" s="135">
        <f t="shared" si="6"/>
        <v>70000</v>
      </c>
    </row>
    <row r="409" spans="1:8" x14ac:dyDescent="0.2">
      <c r="A409" s="89">
        <v>406</v>
      </c>
      <c r="B409" s="90" t="s">
        <v>239</v>
      </c>
      <c r="C409" s="78">
        <v>20000</v>
      </c>
      <c r="D409" s="170">
        <v>46023</v>
      </c>
      <c r="E409" s="170">
        <v>46023</v>
      </c>
      <c r="F409" s="90" t="s">
        <v>105</v>
      </c>
      <c r="G409" s="91" t="s">
        <v>515</v>
      </c>
      <c r="H409" s="135">
        <f t="shared" si="6"/>
        <v>20000</v>
      </c>
    </row>
    <row r="410" spans="1:8" x14ac:dyDescent="0.2">
      <c r="A410" s="89">
        <v>407</v>
      </c>
      <c r="B410" s="90" t="s">
        <v>331</v>
      </c>
      <c r="C410" s="78">
        <v>3000</v>
      </c>
      <c r="D410" s="170">
        <v>46023</v>
      </c>
      <c r="E410" s="170">
        <v>47088</v>
      </c>
      <c r="F410" s="90" t="s">
        <v>105</v>
      </c>
      <c r="G410" s="91" t="s">
        <v>516</v>
      </c>
      <c r="H410" s="135">
        <f t="shared" si="6"/>
        <v>108000</v>
      </c>
    </row>
    <row r="411" spans="1:8" ht="33.75" x14ac:dyDescent="0.2">
      <c r="A411" s="89">
        <v>408</v>
      </c>
      <c r="B411" s="90" t="s">
        <v>333</v>
      </c>
      <c r="C411" s="78">
        <v>500</v>
      </c>
      <c r="D411" s="170">
        <v>46023</v>
      </c>
      <c r="E411" s="170">
        <v>47118</v>
      </c>
      <c r="F411" s="90" t="s">
        <v>105</v>
      </c>
      <c r="G411" s="91" t="s">
        <v>517</v>
      </c>
      <c r="H411" s="135">
        <f t="shared" si="6"/>
        <v>18000</v>
      </c>
    </row>
    <row r="412" spans="1:8" ht="33.75" x14ac:dyDescent="0.2">
      <c r="A412" s="89">
        <v>409</v>
      </c>
      <c r="B412" s="90" t="s">
        <v>285</v>
      </c>
      <c r="C412" s="78">
        <v>25000</v>
      </c>
      <c r="D412" s="170">
        <v>46023</v>
      </c>
      <c r="E412" s="170">
        <v>47118</v>
      </c>
      <c r="F412" s="90" t="s">
        <v>105</v>
      </c>
      <c r="G412" s="91" t="s">
        <v>499</v>
      </c>
      <c r="H412" s="135">
        <f t="shared" si="6"/>
        <v>900000</v>
      </c>
    </row>
    <row r="413" spans="1:8" x14ac:dyDescent="0.2">
      <c r="A413" s="89">
        <v>410</v>
      </c>
      <c r="B413" s="90" t="s">
        <v>277</v>
      </c>
      <c r="C413" s="78">
        <v>7000</v>
      </c>
      <c r="D413" s="170">
        <v>46023</v>
      </c>
      <c r="E413" s="170">
        <v>47088</v>
      </c>
      <c r="F413" s="90" t="s">
        <v>105</v>
      </c>
      <c r="G413" s="91" t="s">
        <v>518</v>
      </c>
      <c r="H413" s="135">
        <f t="shared" si="6"/>
        <v>252000</v>
      </c>
    </row>
    <row r="414" spans="1:8" ht="33.75" x14ac:dyDescent="0.2">
      <c r="A414" s="89">
        <v>411</v>
      </c>
      <c r="B414" s="90" t="s">
        <v>309</v>
      </c>
      <c r="C414" s="78">
        <v>9000</v>
      </c>
      <c r="D414" s="170">
        <v>46023</v>
      </c>
      <c r="E414" s="170">
        <v>47118</v>
      </c>
      <c r="F414" s="90" t="s">
        <v>105</v>
      </c>
      <c r="G414" s="91" t="s">
        <v>519</v>
      </c>
      <c r="H414" s="135">
        <f t="shared" si="6"/>
        <v>324000</v>
      </c>
    </row>
    <row r="415" spans="1:8" ht="22.5" x14ac:dyDescent="0.2">
      <c r="A415" s="89">
        <v>412</v>
      </c>
      <c r="B415" s="90" t="s">
        <v>303</v>
      </c>
      <c r="C415" s="78">
        <v>10000</v>
      </c>
      <c r="D415" s="170">
        <v>46023</v>
      </c>
      <c r="E415" s="170">
        <v>47088</v>
      </c>
      <c r="F415" s="90" t="s">
        <v>105</v>
      </c>
      <c r="G415" s="91" t="s">
        <v>600</v>
      </c>
      <c r="H415" s="135">
        <f t="shared" si="6"/>
        <v>360000</v>
      </c>
    </row>
    <row r="416" spans="1:8" x14ac:dyDescent="0.2">
      <c r="A416" s="89">
        <v>413</v>
      </c>
      <c r="B416" s="90" t="s">
        <v>295</v>
      </c>
      <c r="C416" s="78">
        <v>10000</v>
      </c>
      <c r="D416" s="170">
        <v>46023</v>
      </c>
      <c r="E416" s="170">
        <v>47118</v>
      </c>
      <c r="F416" s="90" t="s">
        <v>105</v>
      </c>
      <c r="G416" s="91" t="s">
        <v>521</v>
      </c>
      <c r="H416" s="135">
        <f t="shared" si="6"/>
        <v>360000</v>
      </c>
    </row>
    <row r="417" spans="1:8" ht="22.5" x14ac:dyDescent="0.2">
      <c r="A417" s="89">
        <v>414</v>
      </c>
      <c r="B417" s="90" t="s">
        <v>335</v>
      </c>
      <c r="C417" s="78">
        <v>500</v>
      </c>
      <c r="D417" s="170">
        <v>46023</v>
      </c>
      <c r="E417" s="170">
        <v>47118</v>
      </c>
      <c r="F417" s="90" t="s">
        <v>105</v>
      </c>
      <c r="G417" s="91" t="s">
        <v>522</v>
      </c>
      <c r="H417" s="135">
        <f t="shared" si="6"/>
        <v>18000</v>
      </c>
    </row>
    <row r="418" spans="1:8" x14ac:dyDescent="0.2">
      <c r="A418" s="89">
        <v>415</v>
      </c>
      <c r="B418" s="90" t="s">
        <v>337</v>
      </c>
      <c r="C418" s="78">
        <v>3500</v>
      </c>
      <c r="D418" s="170">
        <v>46023</v>
      </c>
      <c r="E418" s="170">
        <v>47118</v>
      </c>
      <c r="F418" s="90" t="s">
        <v>105</v>
      </c>
      <c r="G418" s="91" t="s">
        <v>523</v>
      </c>
      <c r="H418" s="135">
        <f t="shared" si="6"/>
        <v>126000</v>
      </c>
    </row>
    <row r="419" spans="1:8" ht="22.5" x14ac:dyDescent="0.2">
      <c r="A419" s="89">
        <v>416</v>
      </c>
      <c r="B419" s="90" t="s">
        <v>339</v>
      </c>
      <c r="C419" s="78">
        <v>6000</v>
      </c>
      <c r="D419" s="170">
        <v>46023</v>
      </c>
      <c r="E419" s="170">
        <v>47118</v>
      </c>
      <c r="F419" s="90" t="s">
        <v>105</v>
      </c>
      <c r="G419" s="91" t="s">
        <v>524</v>
      </c>
      <c r="H419" s="135">
        <f t="shared" si="6"/>
        <v>216000</v>
      </c>
    </row>
    <row r="420" spans="1:8" ht="33.75" x14ac:dyDescent="0.2">
      <c r="A420" s="89">
        <v>417</v>
      </c>
      <c r="B420" s="90" t="s">
        <v>273</v>
      </c>
      <c r="C420" s="78">
        <v>2000</v>
      </c>
      <c r="D420" s="170">
        <v>46023</v>
      </c>
      <c r="E420" s="170">
        <v>47088</v>
      </c>
      <c r="F420" s="90" t="s">
        <v>105</v>
      </c>
      <c r="G420" s="91" t="s">
        <v>525</v>
      </c>
      <c r="H420" s="135">
        <f t="shared" si="6"/>
        <v>72000</v>
      </c>
    </row>
    <row r="421" spans="1:8" ht="22.5" x14ac:dyDescent="0.2">
      <c r="A421" s="89">
        <v>418</v>
      </c>
      <c r="B421" s="90" t="s">
        <v>277</v>
      </c>
      <c r="C421" s="78">
        <v>2000</v>
      </c>
      <c r="D421" s="170">
        <v>46023</v>
      </c>
      <c r="E421" s="170">
        <v>47088</v>
      </c>
      <c r="F421" s="90" t="s">
        <v>105</v>
      </c>
      <c r="G421" s="91" t="s">
        <v>526</v>
      </c>
      <c r="H421" s="135">
        <f t="shared" si="6"/>
        <v>72000</v>
      </c>
    </row>
    <row r="422" spans="1:8" ht="22.5" x14ac:dyDescent="0.2">
      <c r="A422" s="89">
        <v>419</v>
      </c>
      <c r="B422" s="90" t="s">
        <v>269</v>
      </c>
      <c r="C422" s="78">
        <v>180000</v>
      </c>
      <c r="D422" s="170">
        <v>46023</v>
      </c>
      <c r="E422" s="170">
        <v>46357</v>
      </c>
      <c r="F422" s="90" t="s">
        <v>105</v>
      </c>
      <c r="G422" s="91" t="s">
        <v>532</v>
      </c>
      <c r="H422" s="135">
        <f t="shared" si="6"/>
        <v>2160000</v>
      </c>
    </row>
    <row r="423" spans="1:8" ht="22.5" x14ac:dyDescent="0.2">
      <c r="A423" s="89">
        <v>420</v>
      </c>
      <c r="B423" s="90" t="s">
        <v>231</v>
      </c>
      <c r="C423" s="78">
        <v>1200</v>
      </c>
      <c r="D423" s="170">
        <v>46023</v>
      </c>
      <c r="E423" s="170">
        <v>47088</v>
      </c>
      <c r="F423" s="90" t="s">
        <v>105</v>
      </c>
      <c r="G423" s="91" t="s">
        <v>528</v>
      </c>
      <c r="H423" s="135">
        <f t="shared" si="6"/>
        <v>43200</v>
      </c>
    </row>
    <row r="424" spans="1:8" ht="22.5" x14ac:dyDescent="0.2">
      <c r="A424" s="89">
        <v>421</v>
      </c>
      <c r="B424" s="90" t="s">
        <v>315</v>
      </c>
      <c r="C424" s="78">
        <v>800000</v>
      </c>
      <c r="D424" s="170">
        <v>46447</v>
      </c>
      <c r="E424" s="170">
        <v>46447</v>
      </c>
      <c r="F424" s="90" t="s">
        <v>105</v>
      </c>
      <c r="G424" s="91" t="s">
        <v>527</v>
      </c>
      <c r="H424" s="135">
        <f t="shared" si="6"/>
        <v>800000</v>
      </c>
    </row>
    <row r="425" spans="1:8" ht="22.5" x14ac:dyDescent="0.2">
      <c r="A425" s="89">
        <v>422</v>
      </c>
      <c r="B425" s="90" t="s">
        <v>301</v>
      </c>
      <c r="C425" s="78">
        <v>30000</v>
      </c>
      <c r="D425" s="170">
        <v>46113</v>
      </c>
      <c r="E425" s="170">
        <v>46113</v>
      </c>
      <c r="F425" s="90" t="s">
        <v>105</v>
      </c>
      <c r="G425" s="91" t="s">
        <v>529</v>
      </c>
      <c r="H425" s="135">
        <f t="shared" si="6"/>
        <v>30000</v>
      </c>
    </row>
    <row r="426" spans="1:8" ht="22.5" x14ac:dyDescent="0.2">
      <c r="A426" s="89">
        <v>423</v>
      </c>
      <c r="B426" s="90" t="s">
        <v>221</v>
      </c>
      <c r="C426" s="78">
        <v>1200</v>
      </c>
      <c r="D426" s="170">
        <v>46023</v>
      </c>
      <c r="E426" s="170">
        <v>46023</v>
      </c>
      <c r="F426" s="90" t="s">
        <v>108</v>
      </c>
      <c r="G426" s="91" t="s">
        <v>534</v>
      </c>
      <c r="H426" s="135">
        <f t="shared" si="6"/>
        <v>1200</v>
      </c>
    </row>
    <row r="427" spans="1:8" ht="22.5" x14ac:dyDescent="0.2">
      <c r="A427" s="89">
        <v>424</v>
      </c>
      <c r="B427" s="90" t="s">
        <v>299</v>
      </c>
      <c r="C427" s="78">
        <v>25000</v>
      </c>
      <c r="D427" s="170">
        <v>46023</v>
      </c>
      <c r="E427" s="170">
        <v>46023</v>
      </c>
      <c r="F427" s="90" t="s">
        <v>105</v>
      </c>
      <c r="G427" s="91" t="s">
        <v>530</v>
      </c>
      <c r="H427" s="135">
        <f t="shared" si="6"/>
        <v>25000</v>
      </c>
    </row>
    <row r="428" spans="1:8" ht="101.25" x14ac:dyDescent="0.2">
      <c r="A428" s="89">
        <v>425</v>
      </c>
      <c r="B428" s="90" t="s">
        <v>225</v>
      </c>
      <c r="C428" s="78">
        <v>6000</v>
      </c>
      <c r="D428" s="170">
        <v>46023</v>
      </c>
      <c r="E428" s="170">
        <v>47118</v>
      </c>
      <c r="F428" s="90" t="s">
        <v>101</v>
      </c>
      <c r="G428" s="91" t="s">
        <v>536</v>
      </c>
      <c r="H428" s="135">
        <f t="shared" si="6"/>
        <v>216000</v>
      </c>
    </row>
    <row r="429" spans="1:8" x14ac:dyDescent="0.2">
      <c r="A429" s="89">
        <v>426</v>
      </c>
      <c r="B429" s="90" t="s">
        <v>225</v>
      </c>
      <c r="C429" s="78">
        <v>30000</v>
      </c>
      <c r="D429" s="170">
        <v>46023</v>
      </c>
      <c r="E429" s="170">
        <v>46023</v>
      </c>
      <c r="F429" s="90" t="s">
        <v>101</v>
      </c>
      <c r="G429" s="91" t="s">
        <v>590</v>
      </c>
      <c r="H429" s="135">
        <f t="shared" si="6"/>
        <v>30000</v>
      </c>
    </row>
    <row r="430" spans="1:8" ht="22.5" x14ac:dyDescent="0.2">
      <c r="A430" s="89">
        <v>427</v>
      </c>
      <c r="B430" s="90" t="s">
        <v>225</v>
      </c>
      <c r="C430" s="78">
        <v>7000</v>
      </c>
      <c r="D430" s="170">
        <v>46023</v>
      </c>
      <c r="E430" s="170">
        <v>46023</v>
      </c>
      <c r="F430" s="90" t="s">
        <v>101</v>
      </c>
      <c r="G430" s="91" t="s">
        <v>537</v>
      </c>
      <c r="H430" s="135">
        <f t="shared" si="6"/>
        <v>7000</v>
      </c>
    </row>
    <row r="431" spans="1:8" ht="33.75" x14ac:dyDescent="0.2">
      <c r="A431" s="89">
        <v>428</v>
      </c>
      <c r="B431" s="90" t="s">
        <v>243</v>
      </c>
      <c r="C431" s="78">
        <v>30200</v>
      </c>
      <c r="D431" s="170">
        <v>46023</v>
      </c>
      <c r="E431" s="170">
        <v>46023</v>
      </c>
      <c r="F431" s="90" t="s">
        <v>101</v>
      </c>
      <c r="G431" s="91" t="s">
        <v>538</v>
      </c>
      <c r="H431" s="135">
        <f t="shared" si="6"/>
        <v>30200</v>
      </c>
    </row>
    <row r="432" spans="1:8" ht="33.75" x14ac:dyDescent="0.2">
      <c r="A432" s="89">
        <v>429</v>
      </c>
      <c r="B432" s="90" t="s">
        <v>225</v>
      </c>
      <c r="C432" s="78">
        <v>30000</v>
      </c>
      <c r="D432" s="170">
        <v>46023</v>
      </c>
      <c r="E432" s="170">
        <v>47118</v>
      </c>
      <c r="F432" s="90" t="s">
        <v>101</v>
      </c>
      <c r="G432" s="91" t="s">
        <v>591</v>
      </c>
      <c r="H432" s="135">
        <f t="shared" si="6"/>
        <v>1080000</v>
      </c>
    </row>
    <row r="433" spans="1:8" x14ac:dyDescent="0.2">
      <c r="A433" s="89">
        <v>430</v>
      </c>
      <c r="B433" s="90" t="s">
        <v>191</v>
      </c>
      <c r="C433" s="78">
        <v>4200</v>
      </c>
      <c r="D433" s="170">
        <v>46023</v>
      </c>
      <c r="E433" s="170">
        <v>47118</v>
      </c>
      <c r="F433" s="90" t="s">
        <v>101</v>
      </c>
      <c r="G433" s="91" t="s">
        <v>585</v>
      </c>
      <c r="H433" s="135">
        <f t="shared" si="6"/>
        <v>151200</v>
      </c>
    </row>
    <row r="434" spans="1:8" x14ac:dyDescent="0.2">
      <c r="A434" s="89">
        <v>431</v>
      </c>
      <c r="B434" s="90" t="s">
        <v>193</v>
      </c>
      <c r="C434" s="78">
        <v>2300</v>
      </c>
      <c r="D434" s="170">
        <v>46023</v>
      </c>
      <c r="E434" s="170">
        <v>47118</v>
      </c>
      <c r="F434" s="90" t="s">
        <v>101</v>
      </c>
      <c r="G434" s="91" t="s">
        <v>539</v>
      </c>
      <c r="H434" s="135">
        <f t="shared" si="6"/>
        <v>82800</v>
      </c>
    </row>
    <row r="435" spans="1:8" x14ac:dyDescent="0.2">
      <c r="A435" s="89">
        <v>432</v>
      </c>
      <c r="B435" s="90" t="s">
        <v>197</v>
      </c>
      <c r="C435" s="78">
        <v>4500</v>
      </c>
      <c r="D435" s="170">
        <v>46023</v>
      </c>
      <c r="E435" s="170">
        <v>47118</v>
      </c>
      <c r="F435" s="90" t="s">
        <v>101</v>
      </c>
      <c r="G435" s="91" t="s">
        <v>539</v>
      </c>
      <c r="H435" s="135">
        <f t="shared" si="6"/>
        <v>162000</v>
      </c>
    </row>
    <row r="436" spans="1:8" x14ac:dyDescent="0.2">
      <c r="A436" s="89">
        <v>433</v>
      </c>
      <c r="B436" s="90" t="s">
        <v>201</v>
      </c>
      <c r="C436" s="78">
        <v>2000</v>
      </c>
      <c r="D436" s="170">
        <v>46023</v>
      </c>
      <c r="E436" s="170">
        <v>47088</v>
      </c>
      <c r="F436" s="90" t="s">
        <v>101</v>
      </c>
      <c r="G436" s="91" t="s">
        <v>539</v>
      </c>
      <c r="H436" s="135">
        <f t="shared" si="6"/>
        <v>72000</v>
      </c>
    </row>
    <row r="437" spans="1:8" x14ac:dyDescent="0.2">
      <c r="A437" s="89">
        <v>434</v>
      </c>
      <c r="B437" s="90" t="s">
        <v>203</v>
      </c>
      <c r="C437" s="78">
        <v>10000</v>
      </c>
      <c r="D437" s="170">
        <v>46023</v>
      </c>
      <c r="E437" s="170">
        <v>47088</v>
      </c>
      <c r="F437" s="90" t="s">
        <v>101</v>
      </c>
      <c r="G437" s="91" t="s">
        <v>539</v>
      </c>
      <c r="H437" s="135">
        <f t="shared" si="6"/>
        <v>360000</v>
      </c>
    </row>
    <row r="438" spans="1:8" ht="22.5" x14ac:dyDescent="0.2">
      <c r="A438" s="89">
        <v>435</v>
      </c>
      <c r="B438" s="90" t="s">
        <v>205</v>
      </c>
      <c r="C438" s="78">
        <v>2000</v>
      </c>
      <c r="D438" s="170">
        <v>46023</v>
      </c>
      <c r="E438" s="170">
        <v>47118</v>
      </c>
      <c r="F438" s="90" t="s">
        <v>101</v>
      </c>
      <c r="G438" s="91" t="s">
        <v>540</v>
      </c>
      <c r="H438" s="135">
        <f t="shared" ref="H438:H466" si="7">IFERROR((DATEDIF(D438,E438,"M")+1)*C438,0)</f>
        <v>72000</v>
      </c>
    </row>
    <row r="439" spans="1:8" ht="22.5" x14ac:dyDescent="0.2">
      <c r="A439" s="89">
        <v>436</v>
      </c>
      <c r="B439" s="90" t="s">
        <v>209</v>
      </c>
      <c r="C439" s="78">
        <v>65000</v>
      </c>
      <c r="D439" s="170">
        <v>46023</v>
      </c>
      <c r="E439" s="170">
        <v>46357</v>
      </c>
      <c r="F439" s="90" t="s">
        <v>101</v>
      </c>
      <c r="G439" s="91" t="s">
        <v>541</v>
      </c>
      <c r="H439" s="135">
        <f t="shared" si="7"/>
        <v>780000</v>
      </c>
    </row>
    <row r="440" spans="1:8" ht="22.5" x14ac:dyDescent="0.2">
      <c r="A440" s="89">
        <v>437</v>
      </c>
      <c r="B440" s="90" t="s">
        <v>195</v>
      </c>
      <c r="C440" s="78">
        <v>10000</v>
      </c>
      <c r="D440" s="170">
        <v>46023</v>
      </c>
      <c r="E440" s="170">
        <v>46023</v>
      </c>
      <c r="F440" s="90" t="s">
        <v>101</v>
      </c>
      <c r="G440" s="91" t="s">
        <v>542</v>
      </c>
      <c r="H440" s="135">
        <f t="shared" si="7"/>
        <v>10000</v>
      </c>
    </row>
    <row r="441" spans="1:8" ht="22.5" x14ac:dyDescent="0.2">
      <c r="A441" s="89">
        <v>438</v>
      </c>
      <c r="B441" s="90" t="s">
        <v>227</v>
      </c>
      <c r="C441" s="78">
        <v>3500</v>
      </c>
      <c r="D441" s="170">
        <v>46023</v>
      </c>
      <c r="E441" s="170">
        <v>47088</v>
      </c>
      <c r="F441" s="90" t="s">
        <v>101</v>
      </c>
      <c r="G441" s="91" t="s">
        <v>586</v>
      </c>
      <c r="H441" s="135">
        <f t="shared" si="7"/>
        <v>126000</v>
      </c>
    </row>
    <row r="442" spans="1:8" ht="22.5" x14ac:dyDescent="0.2">
      <c r="A442" s="89">
        <v>439</v>
      </c>
      <c r="B442" s="90" t="s">
        <v>229</v>
      </c>
      <c r="C442" s="78">
        <v>2000</v>
      </c>
      <c r="D442" s="170">
        <v>46023</v>
      </c>
      <c r="E442" s="170">
        <v>47088</v>
      </c>
      <c r="F442" s="90" t="s">
        <v>101</v>
      </c>
      <c r="G442" s="91" t="s">
        <v>543</v>
      </c>
      <c r="H442" s="135">
        <f t="shared" si="7"/>
        <v>72000</v>
      </c>
    </row>
    <row r="443" spans="1:8" ht="22.5" x14ac:dyDescent="0.2">
      <c r="A443" s="89">
        <v>440</v>
      </c>
      <c r="B443" s="90" t="s">
        <v>285</v>
      </c>
      <c r="C443" s="78">
        <v>50000</v>
      </c>
      <c r="D443" s="170">
        <v>46143</v>
      </c>
      <c r="E443" s="170">
        <v>46143</v>
      </c>
      <c r="F443" s="90" t="s">
        <v>101</v>
      </c>
      <c r="G443" s="91" t="s">
        <v>544</v>
      </c>
      <c r="H443" s="135">
        <f t="shared" si="7"/>
        <v>50000</v>
      </c>
    </row>
    <row r="444" spans="1:8" x14ac:dyDescent="0.2">
      <c r="A444" s="89">
        <v>441</v>
      </c>
      <c r="B444" s="90" t="s">
        <v>235</v>
      </c>
      <c r="C444" s="78">
        <v>3000</v>
      </c>
      <c r="D444" s="170">
        <v>46023</v>
      </c>
      <c r="E444" s="170">
        <v>47088</v>
      </c>
      <c r="F444" s="90" t="s">
        <v>101</v>
      </c>
      <c r="G444" s="91" t="s">
        <v>501</v>
      </c>
      <c r="H444" s="135">
        <f t="shared" si="7"/>
        <v>108000</v>
      </c>
    </row>
    <row r="445" spans="1:8" ht="33.75" x14ac:dyDescent="0.2">
      <c r="A445" s="89">
        <v>442</v>
      </c>
      <c r="B445" s="90" t="s">
        <v>249</v>
      </c>
      <c r="C445" s="78">
        <v>2000</v>
      </c>
      <c r="D445" s="170">
        <v>46023</v>
      </c>
      <c r="E445" s="170">
        <v>47118</v>
      </c>
      <c r="F445" s="90" t="s">
        <v>101</v>
      </c>
      <c r="G445" s="91" t="s">
        <v>502</v>
      </c>
      <c r="H445" s="135">
        <f t="shared" si="7"/>
        <v>72000</v>
      </c>
    </row>
    <row r="446" spans="1:8" ht="22.5" x14ac:dyDescent="0.2">
      <c r="A446" s="89">
        <v>443</v>
      </c>
      <c r="B446" s="90" t="s">
        <v>253</v>
      </c>
      <c r="C446" s="78">
        <v>250</v>
      </c>
      <c r="D446" s="170">
        <v>46023</v>
      </c>
      <c r="E446" s="170">
        <v>47118</v>
      </c>
      <c r="F446" s="90" t="s">
        <v>101</v>
      </c>
      <c r="G446" s="91" t="s">
        <v>545</v>
      </c>
      <c r="H446" s="135">
        <f t="shared" si="7"/>
        <v>9000</v>
      </c>
    </row>
    <row r="447" spans="1:8" ht="22.5" x14ac:dyDescent="0.2">
      <c r="A447" s="89">
        <v>444</v>
      </c>
      <c r="B447" s="90" t="s">
        <v>257</v>
      </c>
      <c r="C447" s="78">
        <v>2500</v>
      </c>
      <c r="D447" s="170">
        <v>46023</v>
      </c>
      <c r="E447" s="170">
        <v>46023</v>
      </c>
      <c r="F447" s="90" t="s">
        <v>101</v>
      </c>
      <c r="G447" s="91" t="s">
        <v>507</v>
      </c>
      <c r="H447" s="135">
        <f t="shared" si="7"/>
        <v>2500</v>
      </c>
    </row>
    <row r="448" spans="1:8" ht="22.5" x14ac:dyDescent="0.2">
      <c r="A448" s="89">
        <v>445</v>
      </c>
      <c r="B448" s="90" t="s">
        <v>265</v>
      </c>
      <c r="C448" s="78">
        <v>3000</v>
      </c>
      <c r="D448" s="170">
        <v>46023</v>
      </c>
      <c r="E448" s="170">
        <v>47088</v>
      </c>
      <c r="F448" s="90" t="s">
        <v>101</v>
      </c>
      <c r="G448" s="91" t="s">
        <v>512</v>
      </c>
      <c r="H448" s="135">
        <f t="shared" si="7"/>
        <v>108000</v>
      </c>
    </row>
    <row r="449" spans="1:8" x14ac:dyDescent="0.2">
      <c r="A449" s="89">
        <v>446</v>
      </c>
      <c r="B449" s="90" t="s">
        <v>267</v>
      </c>
      <c r="C449" s="78">
        <v>1500</v>
      </c>
      <c r="D449" s="170">
        <v>46023</v>
      </c>
      <c r="E449" s="170">
        <v>47088</v>
      </c>
      <c r="F449" s="90" t="s">
        <v>101</v>
      </c>
      <c r="G449" s="91" t="s">
        <v>546</v>
      </c>
      <c r="H449" s="135">
        <f t="shared" si="7"/>
        <v>54000</v>
      </c>
    </row>
    <row r="450" spans="1:8" ht="22.5" x14ac:dyDescent="0.2">
      <c r="A450" s="89">
        <v>447</v>
      </c>
      <c r="B450" s="90" t="s">
        <v>275</v>
      </c>
      <c r="C450" s="78">
        <v>3000</v>
      </c>
      <c r="D450" s="170">
        <v>46023</v>
      </c>
      <c r="E450" s="170">
        <v>47088</v>
      </c>
      <c r="F450" s="90" t="s">
        <v>101</v>
      </c>
      <c r="G450" s="91" t="s">
        <v>599</v>
      </c>
      <c r="H450" s="135">
        <f t="shared" si="7"/>
        <v>108000</v>
      </c>
    </row>
    <row r="451" spans="1:8" ht="33.75" x14ac:dyDescent="0.2">
      <c r="A451" s="89">
        <v>448</v>
      </c>
      <c r="B451" s="90" t="s">
        <v>309</v>
      </c>
      <c r="C451" s="78">
        <v>10000</v>
      </c>
      <c r="D451" s="170">
        <v>46023</v>
      </c>
      <c r="E451" s="170">
        <v>47118</v>
      </c>
      <c r="F451" s="90" t="s">
        <v>101</v>
      </c>
      <c r="G451" s="91" t="s">
        <v>547</v>
      </c>
      <c r="H451" s="135">
        <f t="shared" si="7"/>
        <v>360000</v>
      </c>
    </row>
    <row r="452" spans="1:8" ht="33.75" x14ac:dyDescent="0.2">
      <c r="A452" s="89">
        <v>449</v>
      </c>
      <c r="B452" s="90" t="s">
        <v>309</v>
      </c>
      <c r="C452" s="78">
        <v>10000</v>
      </c>
      <c r="D452" s="170">
        <v>46023</v>
      </c>
      <c r="E452" s="170">
        <v>47118</v>
      </c>
      <c r="F452" s="90" t="s">
        <v>101</v>
      </c>
      <c r="G452" s="91" t="s">
        <v>548</v>
      </c>
      <c r="H452" s="135">
        <f t="shared" si="7"/>
        <v>360000</v>
      </c>
    </row>
    <row r="453" spans="1:8" ht="22.5" x14ac:dyDescent="0.2">
      <c r="A453" s="89">
        <v>450</v>
      </c>
      <c r="B453" s="90" t="s">
        <v>209</v>
      </c>
      <c r="C453" s="78">
        <v>65000</v>
      </c>
      <c r="D453" s="170">
        <v>46357</v>
      </c>
      <c r="E453" s="170">
        <v>46357</v>
      </c>
      <c r="F453" s="90" t="s">
        <v>101</v>
      </c>
      <c r="G453" s="91" t="s">
        <v>584</v>
      </c>
      <c r="H453" s="135">
        <f t="shared" si="7"/>
        <v>65000</v>
      </c>
    </row>
    <row r="454" spans="1:8" ht="22.5" x14ac:dyDescent="0.2">
      <c r="A454" s="89">
        <v>451</v>
      </c>
      <c r="B454" s="90" t="s">
        <v>207</v>
      </c>
      <c r="C454" s="78">
        <v>2000</v>
      </c>
      <c r="D454" s="170">
        <v>46023</v>
      </c>
      <c r="E454" s="170">
        <v>47088</v>
      </c>
      <c r="F454" s="90" t="s">
        <v>101</v>
      </c>
      <c r="G454" s="91" t="s">
        <v>549</v>
      </c>
      <c r="H454" s="135">
        <f t="shared" si="7"/>
        <v>72000</v>
      </c>
    </row>
    <row r="455" spans="1:8" ht="22.5" x14ac:dyDescent="0.2">
      <c r="A455" s="89">
        <v>452</v>
      </c>
      <c r="B455" s="90" t="s">
        <v>189</v>
      </c>
      <c r="C455" s="78">
        <v>22000</v>
      </c>
      <c r="D455" s="170">
        <v>46023</v>
      </c>
      <c r="E455" s="170">
        <v>47088</v>
      </c>
      <c r="F455" s="90" t="s">
        <v>101</v>
      </c>
      <c r="G455" s="91" t="s">
        <v>550</v>
      </c>
      <c r="H455" s="135">
        <f t="shared" si="7"/>
        <v>792000</v>
      </c>
    </row>
    <row r="456" spans="1:8" ht="22.5" x14ac:dyDescent="0.2">
      <c r="A456" s="89">
        <v>453</v>
      </c>
      <c r="B456" s="90" t="s">
        <v>327</v>
      </c>
      <c r="C456" s="78">
        <v>700</v>
      </c>
      <c r="D456" s="170">
        <v>46023</v>
      </c>
      <c r="E456" s="170">
        <v>47118</v>
      </c>
      <c r="F456" s="90" t="s">
        <v>101</v>
      </c>
      <c r="G456" s="91" t="s">
        <v>551</v>
      </c>
      <c r="H456" s="135">
        <f t="shared" si="7"/>
        <v>25200</v>
      </c>
    </row>
    <row r="457" spans="1:8" x14ac:dyDescent="0.2">
      <c r="A457" s="89">
        <v>454</v>
      </c>
      <c r="B457" s="90" t="s">
        <v>295</v>
      </c>
      <c r="C457" s="78">
        <v>5000</v>
      </c>
      <c r="D457" s="170">
        <v>46023</v>
      </c>
      <c r="E457" s="170">
        <v>47118</v>
      </c>
      <c r="F457" s="90" t="s">
        <v>101</v>
      </c>
      <c r="G457" s="91" t="s">
        <v>521</v>
      </c>
      <c r="H457" s="135">
        <f t="shared" si="7"/>
        <v>180000</v>
      </c>
    </row>
    <row r="458" spans="1:8" ht="22.5" x14ac:dyDescent="0.2">
      <c r="A458" s="89">
        <v>455</v>
      </c>
      <c r="B458" s="90" t="s">
        <v>221</v>
      </c>
      <c r="C458" s="78">
        <v>1200</v>
      </c>
      <c r="D458" s="170">
        <v>46023</v>
      </c>
      <c r="E458" s="170">
        <v>47088</v>
      </c>
      <c r="F458" s="90" t="s">
        <v>109</v>
      </c>
      <c r="G458" s="91" t="s">
        <v>534</v>
      </c>
      <c r="H458" s="135">
        <f t="shared" si="7"/>
        <v>43200</v>
      </c>
    </row>
    <row r="459" spans="1:8" ht="22.5" x14ac:dyDescent="0.2">
      <c r="A459" s="89">
        <v>456</v>
      </c>
      <c r="B459" s="90" t="s">
        <v>221</v>
      </c>
      <c r="C459" s="78">
        <v>1200</v>
      </c>
      <c r="D459" s="170">
        <v>46023</v>
      </c>
      <c r="E459" s="170">
        <v>46023</v>
      </c>
      <c r="F459" s="90" t="s">
        <v>110</v>
      </c>
      <c r="G459" s="91" t="s">
        <v>534</v>
      </c>
      <c r="H459" s="135">
        <f t="shared" si="7"/>
        <v>1200</v>
      </c>
    </row>
    <row r="460" spans="1:8" ht="22.5" x14ac:dyDescent="0.2">
      <c r="A460" s="89">
        <v>457</v>
      </c>
      <c r="B460" s="90" t="s">
        <v>221</v>
      </c>
      <c r="C460" s="78">
        <v>1200</v>
      </c>
      <c r="D460" s="170">
        <v>46023</v>
      </c>
      <c r="E460" s="170">
        <v>46023</v>
      </c>
      <c r="F460" s="90" t="s">
        <v>111</v>
      </c>
      <c r="G460" s="91" t="s">
        <v>534</v>
      </c>
      <c r="H460" s="135">
        <f t="shared" si="7"/>
        <v>1200</v>
      </c>
    </row>
    <row r="461" spans="1:8" ht="22.5" x14ac:dyDescent="0.2">
      <c r="A461" s="89">
        <v>458</v>
      </c>
      <c r="B461" s="90" t="s">
        <v>315</v>
      </c>
      <c r="C461" s="78">
        <v>250000</v>
      </c>
      <c r="D461" s="170">
        <v>46143</v>
      </c>
      <c r="E461" s="170">
        <v>46143</v>
      </c>
      <c r="F461" s="90" t="s">
        <v>103</v>
      </c>
      <c r="G461" s="91" t="s">
        <v>552</v>
      </c>
      <c r="H461" s="135">
        <f t="shared" si="7"/>
        <v>250000</v>
      </c>
    </row>
    <row r="462" spans="1:8" ht="22.5" x14ac:dyDescent="0.2">
      <c r="A462" s="89">
        <v>459</v>
      </c>
      <c r="B462" s="90" t="s">
        <v>315</v>
      </c>
      <c r="C462" s="78">
        <v>200000</v>
      </c>
      <c r="D462" s="170">
        <v>46143</v>
      </c>
      <c r="E462" s="170">
        <v>46143</v>
      </c>
      <c r="F462" s="90" t="s">
        <v>106</v>
      </c>
      <c r="G462" s="91" t="s">
        <v>552</v>
      </c>
      <c r="H462" s="135">
        <f t="shared" si="7"/>
        <v>200000</v>
      </c>
    </row>
    <row r="463" spans="1:8" ht="22.5" x14ac:dyDescent="0.2">
      <c r="A463" s="89">
        <v>460</v>
      </c>
      <c r="B463" s="90" t="s">
        <v>315</v>
      </c>
      <c r="C463" s="78">
        <v>700000</v>
      </c>
      <c r="D463" s="170">
        <v>46419</v>
      </c>
      <c r="E463" s="170">
        <v>46419</v>
      </c>
      <c r="F463" s="90" t="s">
        <v>110</v>
      </c>
      <c r="G463" s="91" t="s">
        <v>553</v>
      </c>
      <c r="H463" s="135">
        <f t="shared" si="7"/>
        <v>700000</v>
      </c>
    </row>
    <row r="464" spans="1:8" ht="22.5" x14ac:dyDescent="0.2">
      <c r="A464" s="89">
        <v>461</v>
      </c>
      <c r="B464" s="90" t="s">
        <v>315</v>
      </c>
      <c r="C464" s="78">
        <v>300000</v>
      </c>
      <c r="D464" s="170">
        <v>46447</v>
      </c>
      <c r="E464" s="170">
        <v>46447</v>
      </c>
      <c r="F464" s="90" t="s">
        <v>108</v>
      </c>
      <c r="G464" s="91" t="s">
        <v>553</v>
      </c>
      <c r="H464" s="135">
        <f t="shared" si="7"/>
        <v>300000</v>
      </c>
    </row>
    <row r="465" spans="1:8" ht="22.5" x14ac:dyDescent="0.2">
      <c r="A465" s="89">
        <v>462</v>
      </c>
      <c r="B465" s="90" t="s">
        <v>315</v>
      </c>
      <c r="C465" s="78">
        <v>150000</v>
      </c>
      <c r="D465" s="170">
        <v>46143</v>
      </c>
      <c r="E465" s="170">
        <v>46143</v>
      </c>
      <c r="F465" s="90" t="s">
        <v>111</v>
      </c>
      <c r="G465" s="91" t="s">
        <v>554</v>
      </c>
      <c r="H465" s="135">
        <f t="shared" si="7"/>
        <v>150000</v>
      </c>
    </row>
    <row r="466" spans="1:8" ht="22.5" x14ac:dyDescent="0.2">
      <c r="A466" s="89">
        <v>463</v>
      </c>
      <c r="B466" s="90" t="s">
        <v>299</v>
      </c>
      <c r="C466" s="78">
        <v>20000</v>
      </c>
      <c r="D466" s="170">
        <v>46753</v>
      </c>
      <c r="E466" s="170">
        <v>46753</v>
      </c>
      <c r="F466" s="324" t="s">
        <v>103</v>
      </c>
      <c r="G466" s="91" t="s">
        <v>589</v>
      </c>
      <c r="H466" s="135">
        <f t="shared" si="7"/>
        <v>20000</v>
      </c>
    </row>
    <row r="467" spans="1:8" ht="22.5" x14ac:dyDescent="0.2">
      <c r="A467" s="89">
        <v>464</v>
      </c>
      <c r="B467" s="90" t="s">
        <v>299</v>
      </c>
      <c r="C467" s="78">
        <v>20000</v>
      </c>
      <c r="D467" s="170">
        <v>46753</v>
      </c>
      <c r="E467" s="170">
        <v>46753</v>
      </c>
      <c r="F467" s="324" t="s">
        <v>104</v>
      </c>
      <c r="G467" s="91" t="s">
        <v>589</v>
      </c>
      <c r="H467" s="135">
        <f t="shared" ref="H467:H469" si="8">IFERROR((DATEDIF(D467,E467,"M")+1)*C467,0)</f>
        <v>20000</v>
      </c>
    </row>
    <row r="468" spans="1:8" ht="22.5" x14ac:dyDescent="0.2">
      <c r="A468" s="89">
        <v>465</v>
      </c>
      <c r="B468" s="90" t="s">
        <v>299</v>
      </c>
      <c r="C468" s="78">
        <v>20000</v>
      </c>
      <c r="D468" s="170">
        <v>46753</v>
      </c>
      <c r="E468" s="170">
        <v>46753</v>
      </c>
      <c r="F468" s="324" t="s">
        <v>105</v>
      </c>
      <c r="G468" s="91" t="s">
        <v>589</v>
      </c>
      <c r="H468" s="135">
        <f t="shared" si="8"/>
        <v>20000</v>
      </c>
    </row>
    <row r="469" spans="1:8" ht="22.5" x14ac:dyDescent="0.2">
      <c r="A469" s="89">
        <v>466</v>
      </c>
      <c r="B469" s="90" t="s">
        <v>299</v>
      </c>
      <c r="C469" s="78">
        <v>20000</v>
      </c>
      <c r="D469" s="170">
        <v>46753</v>
      </c>
      <c r="E469" s="170">
        <v>46753</v>
      </c>
      <c r="F469" s="324" t="s">
        <v>106</v>
      </c>
      <c r="G469" s="91" t="s">
        <v>589</v>
      </c>
      <c r="H469" s="135">
        <f t="shared" si="8"/>
        <v>20000</v>
      </c>
    </row>
    <row r="470" spans="1:8" ht="22.5" x14ac:dyDescent="0.2">
      <c r="A470" s="89">
        <v>467</v>
      </c>
      <c r="B470" s="90" t="s">
        <v>299</v>
      </c>
      <c r="C470" s="78">
        <v>20000</v>
      </c>
      <c r="D470" s="170">
        <v>46753</v>
      </c>
      <c r="E470" s="170">
        <v>46753</v>
      </c>
      <c r="F470" s="324" t="s">
        <v>107</v>
      </c>
      <c r="G470" s="91" t="s">
        <v>589</v>
      </c>
      <c r="H470" s="135">
        <f t="shared" ref="H470:H472" si="9">IFERROR((DATEDIF(D470,E470,"M")+1)*C470,0)</f>
        <v>20000</v>
      </c>
    </row>
    <row r="471" spans="1:8" ht="22.5" x14ac:dyDescent="0.2">
      <c r="A471" s="89">
        <v>468</v>
      </c>
      <c r="B471" s="90" t="s">
        <v>299</v>
      </c>
      <c r="C471" s="78">
        <v>20000</v>
      </c>
      <c r="D471" s="170">
        <v>46753</v>
      </c>
      <c r="E471" s="170">
        <v>46753</v>
      </c>
      <c r="F471" s="324" t="s">
        <v>108</v>
      </c>
      <c r="G471" s="91" t="s">
        <v>589</v>
      </c>
      <c r="H471" s="135">
        <f t="shared" si="9"/>
        <v>20000</v>
      </c>
    </row>
    <row r="472" spans="1:8" ht="45" x14ac:dyDescent="0.2">
      <c r="A472" s="89">
        <v>469</v>
      </c>
      <c r="B472" s="90" t="s">
        <v>311</v>
      </c>
      <c r="C472" s="78">
        <v>3000</v>
      </c>
      <c r="D472" s="170">
        <v>46023</v>
      </c>
      <c r="E472" s="170">
        <v>47088</v>
      </c>
      <c r="F472" s="324" t="s">
        <v>109</v>
      </c>
      <c r="G472" s="91" t="s">
        <v>494</v>
      </c>
      <c r="H472" s="135">
        <f t="shared" si="9"/>
        <v>108000</v>
      </c>
    </row>
    <row r="473" spans="1:8" ht="33.75" x14ac:dyDescent="0.2">
      <c r="A473" s="89">
        <v>470</v>
      </c>
      <c r="B473" s="90" t="s">
        <v>313</v>
      </c>
      <c r="C473" s="78">
        <v>30000</v>
      </c>
      <c r="D473" s="170">
        <v>46023</v>
      </c>
      <c r="E473" s="170">
        <v>46023</v>
      </c>
      <c r="F473" s="324" t="s">
        <v>109</v>
      </c>
      <c r="G473" s="91" t="s">
        <v>531</v>
      </c>
      <c r="H473" s="135">
        <f t="shared" ref="H473:H516" si="10">IFERROR((DATEDIF(D473,E473,"M")+1)*C473,0)</f>
        <v>30000</v>
      </c>
    </row>
    <row r="474" spans="1:8" ht="33.75" x14ac:dyDescent="0.2">
      <c r="A474" s="89">
        <v>471</v>
      </c>
      <c r="B474" s="90" t="s">
        <v>313</v>
      </c>
      <c r="C474" s="78">
        <v>25000</v>
      </c>
      <c r="D474" s="170">
        <v>46023</v>
      </c>
      <c r="E474" s="170">
        <v>46023</v>
      </c>
      <c r="F474" s="324" t="s">
        <v>109</v>
      </c>
      <c r="G474" s="91" t="s">
        <v>498</v>
      </c>
      <c r="H474" s="135">
        <f t="shared" si="10"/>
        <v>25000</v>
      </c>
    </row>
    <row r="475" spans="1:8" ht="22.5" x14ac:dyDescent="0.2">
      <c r="A475" s="89">
        <v>472</v>
      </c>
      <c r="B475" s="90" t="s">
        <v>299</v>
      </c>
      <c r="C475" s="78">
        <v>20000</v>
      </c>
      <c r="D475" s="170">
        <v>46753</v>
      </c>
      <c r="E475" s="170">
        <v>46753</v>
      </c>
      <c r="F475" s="324" t="s">
        <v>110</v>
      </c>
      <c r="G475" s="91" t="s">
        <v>589</v>
      </c>
      <c r="H475" s="135">
        <f t="shared" si="10"/>
        <v>20000</v>
      </c>
    </row>
    <row r="476" spans="1:8" ht="22.5" x14ac:dyDescent="0.2">
      <c r="A476" s="89">
        <v>473</v>
      </c>
      <c r="B476" s="90" t="s">
        <v>299</v>
      </c>
      <c r="C476" s="78">
        <v>20000</v>
      </c>
      <c r="D476" s="170">
        <v>46753</v>
      </c>
      <c r="E476" s="170">
        <v>46753</v>
      </c>
      <c r="F476" s="324" t="s">
        <v>111</v>
      </c>
      <c r="G476" s="91" t="s">
        <v>589</v>
      </c>
      <c r="H476" s="135">
        <f t="shared" si="10"/>
        <v>20000</v>
      </c>
    </row>
    <row r="477" spans="1:8" ht="22.5" x14ac:dyDescent="0.2">
      <c r="A477" s="89">
        <v>474</v>
      </c>
      <c r="B477" s="90" t="s">
        <v>301</v>
      </c>
      <c r="C477" s="78">
        <v>23000</v>
      </c>
      <c r="D477" s="170">
        <v>46478</v>
      </c>
      <c r="E477" s="170">
        <v>46478</v>
      </c>
      <c r="F477" s="324" t="s">
        <v>109</v>
      </c>
      <c r="G477" s="91" t="s">
        <v>529</v>
      </c>
      <c r="H477" s="135">
        <f t="shared" si="10"/>
        <v>23000</v>
      </c>
    </row>
    <row r="478" spans="1:8" ht="22.5" x14ac:dyDescent="0.2">
      <c r="A478" s="89">
        <v>475</v>
      </c>
      <c r="B478" s="90" t="s">
        <v>301</v>
      </c>
      <c r="C478" s="78">
        <v>23000</v>
      </c>
      <c r="D478" s="170">
        <v>46844</v>
      </c>
      <c r="E478" s="170">
        <v>46844</v>
      </c>
      <c r="F478" s="324" t="s">
        <v>109</v>
      </c>
      <c r="G478" s="91" t="s">
        <v>529</v>
      </c>
      <c r="H478" s="135">
        <f t="shared" si="10"/>
        <v>23000</v>
      </c>
    </row>
    <row r="479" spans="1:8" ht="33.75" x14ac:dyDescent="0.2">
      <c r="A479" s="89">
        <v>476</v>
      </c>
      <c r="B479" s="90" t="s">
        <v>313</v>
      </c>
      <c r="C479" s="78">
        <v>25000</v>
      </c>
      <c r="D479" s="170">
        <v>46388</v>
      </c>
      <c r="E479" s="170">
        <v>46388</v>
      </c>
      <c r="F479" s="324" t="s">
        <v>109</v>
      </c>
      <c r="G479" s="91" t="s">
        <v>498</v>
      </c>
      <c r="H479" s="135">
        <f t="shared" si="10"/>
        <v>25000</v>
      </c>
    </row>
    <row r="480" spans="1:8" ht="33.75" x14ac:dyDescent="0.2">
      <c r="A480" s="89">
        <v>477</v>
      </c>
      <c r="B480" s="90" t="s">
        <v>313</v>
      </c>
      <c r="C480" s="78">
        <v>25000</v>
      </c>
      <c r="D480" s="170">
        <v>46753</v>
      </c>
      <c r="E480" s="170">
        <v>46753</v>
      </c>
      <c r="F480" s="324" t="s">
        <v>109</v>
      </c>
      <c r="G480" s="91" t="s">
        <v>498</v>
      </c>
      <c r="H480" s="135">
        <f t="shared" si="10"/>
        <v>25000</v>
      </c>
    </row>
    <row r="481" spans="1:8" ht="33.75" x14ac:dyDescent="0.2">
      <c r="A481" s="89">
        <v>478</v>
      </c>
      <c r="B481" s="90" t="s">
        <v>313</v>
      </c>
      <c r="C481" s="78">
        <v>5000</v>
      </c>
      <c r="D481" s="170">
        <v>46388</v>
      </c>
      <c r="E481" s="170">
        <v>46388</v>
      </c>
      <c r="F481" s="90" t="s">
        <v>102</v>
      </c>
      <c r="G481" s="91" t="s">
        <v>498</v>
      </c>
      <c r="H481" s="135">
        <f t="shared" si="10"/>
        <v>5000</v>
      </c>
    </row>
    <row r="482" spans="1:8" ht="33.75" x14ac:dyDescent="0.2">
      <c r="A482" s="89">
        <v>479</v>
      </c>
      <c r="B482" s="90" t="s">
        <v>313</v>
      </c>
      <c r="C482" s="78">
        <v>20000</v>
      </c>
      <c r="D482" s="170">
        <v>46388</v>
      </c>
      <c r="E482" s="170">
        <v>46388</v>
      </c>
      <c r="F482" s="324" t="s">
        <v>103</v>
      </c>
      <c r="G482" s="91" t="s">
        <v>498</v>
      </c>
      <c r="H482" s="135">
        <f t="shared" si="10"/>
        <v>20000</v>
      </c>
    </row>
    <row r="483" spans="1:8" ht="33.75" x14ac:dyDescent="0.2">
      <c r="A483" s="89">
        <v>480</v>
      </c>
      <c r="B483" s="90" t="s">
        <v>313</v>
      </c>
      <c r="C483" s="78">
        <v>15000</v>
      </c>
      <c r="D483" s="170">
        <v>46388</v>
      </c>
      <c r="E483" s="170">
        <v>46388</v>
      </c>
      <c r="F483" s="324" t="s">
        <v>104</v>
      </c>
      <c r="G483" s="91" t="s">
        <v>498</v>
      </c>
      <c r="H483" s="135">
        <f t="shared" si="10"/>
        <v>15000</v>
      </c>
    </row>
    <row r="484" spans="1:8" ht="33.75" x14ac:dyDescent="0.2">
      <c r="A484" s="89">
        <v>481</v>
      </c>
      <c r="B484" s="90" t="s">
        <v>313</v>
      </c>
      <c r="C484" s="78">
        <v>5000</v>
      </c>
      <c r="D484" s="170">
        <v>46388</v>
      </c>
      <c r="E484" s="170">
        <v>46388</v>
      </c>
      <c r="F484" s="324" t="s">
        <v>107</v>
      </c>
      <c r="G484" s="91" t="s">
        <v>498</v>
      </c>
      <c r="H484" s="135">
        <f t="shared" si="10"/>
        <v>5000</v>
      </c>
    </row>
    <row r="485" spans="1:8" ht="33.75" x14ac:dyDescent="0.2">
      <c r="A485" s="89">
        <v>482</v>
      </c>
      <c r="B485" s="90" t="s">
        <v>313</v>
      </c>
      <c r="C485" s="78">
        <v>5000</v>
      </c>
      <c r="D485" s="170">
        <v>46388</v>
      </c>
      <c r="E485" s="170">
        <v>46388</v>
      </c>
      <c r="F485" s="324" t="s">
        <v>106</v>
      </c>
      <c r="G485" s="91" t="s">
        <v>498</v>
      </c>
      <c r="H485" s="135">
        <f t="shared" si="10"/>
        <v>5000</v>
      </c>
    </row>
    <row r="486" spans="1:8" ht="33.75" x14ac:dyDescent="0.2">
      <c r="A486" s="89">
        <v>483</v>
      </c>
      <c r="B486" s="90" t="s">
        <v>313</v>
      </c>
      <c r="C486" s="78">
        <v>5000</v>
      </c>
      <c r="D486" s="170">
        <v>46388</v>
      </c>
      <c r="E486" s="170">
        <v>46388</v>
      </c>
      <c r="F486" s="90" t="s">
        <v>111</v>
      </c>
      <c r="G486" s="91" t="s">
        <v>498</v>
      </c>
      <c r="H486" s="135">
        <f t="shared" si="10"/>
        <v>5000</v>
      </c>
    </row>
    <row r="487" spans="1:8" ht="33.75" x14ac:dyDescent="0.2">
      <c r="A487" s="89">
        <v>484</v>
      </c>
      <c r="B487" s="90" t="s">
        <v>313</v>
      </c>
      <c r="C487" s="78">
        <v>30000</v>
      </c>
      <c r="D487" s="170">
        <v>46388</v>
      </c>
      <c r="E487" s="170">
        <v>46388</v>
      </c>
      <c r="F487" s="90" t="s">
        <v>108</v>
      </c>
      <c r="G487" s="91" t="s">
        <v>498</v>
      </c>
      <c r="H487" s="135">
        <f t="shared" si="10"/>
        <v>30000</v>
      </c>
    </row>
    <row r="488" spans="1:8" ht="33.75" x14ac:dyDescent="0.2">
      <c r="A488" s="89">
        <v>485</v>
      </c>
      <c r="B488" s="90" t="s">
        <v>313</v>
      </c>
      <c r="C488" s="78">
        <v>60000</v>
      </c>
      <c r="D488" s="170">
        <v>46388</v>
      </c>
      <c r="E488" s="170">
        <v>46388</v>
      </c>
      <c r="F488" s="90" t="s">
        <v>110</v>
      </c>
      <c r="G488" s="91" t="s">
        <v>498</v>
      </c>
      <c r="H488" s="135">
        <f t="shared" si="10"/>
        <v>60000</v>
      </c>
    </row>
    <row r="489" spans="1:8" ht="33.75" x14ac:dyDescent="0.2">
      <c r="A489" s="89">
        <v>486</v>
      </c>
      <c r="B489" s="90" t="s">
        <v>313</v>
      </c>
      <c r="C489" s="78">
        <v>20000</v>
      </c>
      <c r="D489" s="170">
        <v>46388</v>
      </c>
      <c r="E489" s="170">
        <v>46388</v>
      </c>
      <c r="F489" s="90" t="s">
        <v>105</v>
      </c>
      <c r="G489" s="91" t="s">
        <v>498</v>
      </c>
      <c r="H489" s="135">
        <f t="shared" si="10"/>
        <v>20000</v>
      </c>
    </row>
    <row r="490" spans="1:8" ht="33.75" x14ac:dyDescent="0.2">
      <c r="A490" s="89">
        <v>487</v>
      </c>
      <c r="B490" s="90" t="s">
        <v>313</v>
      </c>
      <c r="C490" s="78">
        <v>5000</v>
      </c>
      <c r="D490" s="170">
        <v>46753</v>
      </c>
      <c r="E490" s="170">
        <v>46753</v>
      </c>
      <c r="F490" s="90" t="s">
        <v>102</v>
      </c>
      <c r="G490" s="91" t="s">
        <v>498</v>
      </c>
      <c r="H490" s="135">
        <f t="shared" si="10"/>
        <v>5000</v>
      </c>
    </row>
    <row r="491" spans="1:8" ht="33.75" x14ac:dyDescent="0.2">
      <c r="A491" s="89">
        <v>488</v>
      </c>
      <c r="B491" s="90" t="s">
        <v>313</v>
      </c>
      <c r="C491" s="78">
        <v>20000</v>
      </c>
      <c r="D491" s="170">
        <v>46753</v>
      </c>
      <c r="E491" s="170">
        <v>46753</v>
      </c>
      <c r="F491" s="324" t="s">
        <v>103</v>
      </c>
      <c r="G491" s="91" t="s">
        <v>498</v>
      </c>
      <c r="H491" s="135">
        <f t="shared" si="10"/>
        <v>20000</v>
      </c>
    </row>
    <row r="492" spans="1:8" ht="33.75" x14ac:dyDescent="0.2">
      <c r="A492" s="89">
        <v>489</v>
      </c>
      <c r="B492" s="90" t="s">
        <v>313</v>
      </c>
      <c r="C492" s="78">
        <v>15000</v>
      </c>
      <c r="D492" s="170">
        <v>46753</v>
      </c>
      <c r="E492" s="170">
        <v>46753</v>
      </c>
      <c r="F492" s="324" t="s">
        <v>104</v>
      </c>
      <c r="G492" s="91" t="s">
        <v>498</v>
      </c>
      <c r="H492" s="135">
        <f t="shared" si="10"/>
        <v>15000</v>
      </c>
    </row>
    <row r="493" spans="1:8" ht="33.75" x14ac:dyDescent="0.2">
      <c r="A493" s="89">
        <v>490</v>
      </c>
      <c r="B493" s="90" t="s">
        <v>313</v>
      </c>
      <c r="C493" s="78">
        <v>5000</v>
      </c>
      <c r="D493" s="170">
        <v>46753</v>
      </c>
      <c r="E493" s="170">
        <v>46753</v>
      </c>
      <c r="F493" s="324" t="s">
        <v>107</v>
      </c>
      <c r="G493" s="91" t="s">
        <v>498</v>
      </c>
      <c r="H493" s="135">
        <f t="shared" si="10"/>
        <v>5000</v>
      </c>
    </row>
    <row r="494" spans="1:8" ht="33.75" x14ac:dyDescent="0.2">
      <c r="A494" s="89">
        <v>491</v>
      </c>
      <c r="B494" s="90" t="s">
        <v>313</v>
      </c>
      <c r="C494" s="78">
        <v>5000</v>
      </c>
      <c r="D494" s="170">
        <v>46753</v>
      </c>
      <c r="E494" s="170">
        <v>46753</v>
      </c>
      <c r="F494" s="324" t="s">
        <v>106</v>
      </c>
      <c r="G494" s="91" t="s">
        <v>498</v>
      </c>
      <c r="H494" s="135">
        <f t="shared" si="10"/>
        <v>5000</v>
      </c>
    </row>
    <row r="495" spans="1:8" ht="33.75" x14ac:dyDescent="0.2">
      <c r="A495" s="89">
        <v>492</v>
      </c>
      <c r="B495" s="90" t="s">
        <v>313</v>
      </c>
      <c r="C495" s="78">
        <v>5000</v>
      </c>
      <c r="D495" s="170">
        <v>46753</v>
      </c>
      <c r="E495" s="170">
        <v>46753</v>
      </c>
      <c r="F495" s="90" t="s">
        <v>111</v>
      </c>
      <c r="G495" s="91" t="s">
        <v>498</v>
      </c>
      <c r="H495" s="135">
        <f t="shared" si="10"/>
        <v>5000</v>
      </c>
    </row>
    <row r="496" spans="1:8" ht="33.75" x14ac:dyDescent="0.2">
      <c r="A496" s="89">
        <v>493</v>
      </c>
      <c r="B496" s="90" t="s">
        <v>313</v>
      </c>
      <c r="C496" s="78">
        <v>30000</v>
      </c>
      <c r="D496" s="170">
        <v>46753</v>
      </c>
      <c r="E496" s="170">
        <v>46753</v>
      </c>
      <c r="F496" s="90" t="s">
        <v>108</v>
      </c>
      <c r="G496" s="91" t="s">
        <v>498</v>
      </c>
      <c r="H496" s="135">
        <f t="shared" si="10"/>
        <v>30000</v>
      </c>
    </row>
    <row r="497" spans="1:8" ht="33.75" x14ac:dyDescent="0.2">
      <c r="A497" s="89">
        <v>494</v>
      </c>
      <c r="B497" s="90" t="s">
        <v>313</v>
      </c>
      <c r="C497" s="78">
        <v>60000</v>
      </c>
      <c r="D497" s="170">
        <v>46753</v>
      </c>
      <c r="E497" s="170">
        <v>46753</v>
      </c>
      <c r="F497" s="90" t="s">
        <v>110</v>
      </c>
      <c r="G497" s="91" t="s">
        <v>498</v>
      </c>
      <c r="H497" s="135">
        <f t="shared" si="10"/>
        <v>60000</v>
      </c>
    </row>
    <row r="498" spans="1:8" ht="33.75" x14ac:dyDescent="0.2">
      <c r="A498" s="89">
        <v>495</v>
      </c>
      <c r="B498" s="90" t="s">
        <v>313</v>
      </c>
      <c r="C498" s="78">
        <v>20000</v>
      </c>
      <c r="D498" s="170">
        <v>46753</v>
      </c>
      <c r="E498" s="170">
        <v>46753</v>
      </c>
      <c r="F498" s="90" t="s">
        <v>105</v>
      </c>
      <c r="G498" s="91" t="s">
        <v>498</v>
      </c>
      <c r="H498" s="135">
        <f t="shared" si="10"/>
        <v>20000</v>
      </c>
    </row>
    <row r="499" spans="1:8" ht="22.5" x14ac:dyDescent="0.2">
      <c r="A499" s="89">
        <v>496</v>
      </c>
      <c r="B499" s="90" t="s">
        <v>323</v>
      </c>
      <c r="C499" s="78">
        <v>20000</v>
      </c>
      <c r="D499" s="170">
        <v>46388</v>
      </c>
      <c r="E499" s="170">
        <v>46388</v>
      </c>
      <c r="F499" s="324" t="s">
        <v>109</v>
      </c>
      <c r="G499" s="91" t="s">
        <v>509</v>
      </c>
      <c r="H499" s="135">
        <f t="shared" si="10"/>
        <v>20000</v>
      </c>
    </row>
    <row r="500" spans="1:8" ht="22.5" x14ac:dyDescent="0.2">
      <c r="A500" s="89">
        <v>497</v>
      </c>
      <c r="B500" s="90" t="s">
        <v>323</v>
      </c>
      <c r="C500" s="78">
        <v>20000</v>
      </c>
      <c r="D500" s="170">
        <v>46753</v>
      </c>
      <c r="E500" s="170">
        <v>46753</v>
      </c>
      <c r="F500" s="324" t="s">
        <v>109</v>
      </c>
      <c r="G500" s="91" t="s">
        <v>509</v>
      </c>
      <c r="H500" s="135">
        <f t="shared" si="10"/>
        <v>20000</v>
      </c>
    </row>
    <row r="501" spans="1:8" ht="22.5" x14ac:dyDescent="0.2">
      <c r="A501" s="89">
        <v>498</v>
      </c>
      <c r="B501" s="90" t="s">
        <v>317</v>
      </c>
      <c r="C501" s="78">
        <v>1500</v>
      </c>
      <c r="D501" s="170">
        <v>46753</v>
      </c>
      <c r="E501" s="170">
        <v>46753</v>
      </c>
      <c r="F501" s="90" t="s">
        <v>109</v>
      </c>
      <c r="G501" s="91" t="s">
        <v>503</v>
      </c>
      <c r="H501" s="135">
        <f t="shared" si="10"/>
        <v>1500</v>
      </c>
    </row>
    <row r="502" spans="1:8" ht="22.5" x14ac:dyDescent="0.2">
      <c r="A502" s="89">
        <v>499</v>
      </c>
      <c r="B502" s="90" t="s">
        <v>317</v>
      </c>
      <c r="C502" s="78">
        <v>1500</v>
      </c>
      <c r="D502" s="170">
        <v>46388</v>
      </c>
      <c r="E502" s="170">
        <v>46388</v>
      </c>
      <c r="F502" s="90" t="s">
        <v>109</v>
      </c>
      <c r="G502" s="91" t="s">
        <v>503</v>
      </c>
      <c r="H502" s="135">
        <f t="shared" si="10"/>
        <v>1500</v>
      </c>
    </row>
    <row r="503" spans="1:8" ht="22.5" x14ac:dyDescent="0.2">
      <c r="A503" s="89">
        <v>500</v>
      </c>
      <c r="B503" s="90" t="s">
        <v>317</v>
      </c>
      <c r="C503" s="78">
        <v>1500</v>
      </c>
      <c r="D503" s="170">
        <v>46388</v>
      </c>
      <c r="E503" s="170">
        <v>46388</v>
      </c>
      <c r="F503" s="90" t="s">
        <v>102</v>
      </c>
      <c r="G503" s="91" t="s">
        <v>503</v>
      </c>
      <c r="H503" s="135">
        <f t="shared" si="10"/>
        <v>1500</v>
      </c>
    </row>
    <row r="504" spans="1:8" ht="22.5" x14ac:dyDescent="0.2">
      <c r="A504" s="89">
        <v>501</v>
      </c>
      <c r="B504" s="90" t="s">
        <v>317</v>
      </c>
      <c r="C504" s="78">
        <v>5000</v>
      </c>
      <c r="D504" s="170">
        <v>46388</v>
      </c>
      <c r="E504" s="170">
        <v>46388</v>
      </c>
      <c r="F504" s="90" t="s">
        <v>103</v>
      </c>
      <c r="G504" s="91" t="s">
        <v>503</v>
      </c>
      <c r="H504" s="135">
        <f t="shared" si="10"/>
        <v>5000</v>
      </c>
    </row>
    <row r="505" spans="1:8" ht="22.5" x14ac:dyDescent="0.2">
      <c r="A505" s="89">
        <v>502</v>
      </c>
      <c r="B505" s="90" t="s">
        <v>317</v>
      </c>
      <c r="C505" s="78">
        <v>2500</v>
      </c>
      <c r="D505" s="170">
        <v>46388</v>
      </c>
      <c r="E505" s="170">
        <v>46388</v>
      </c>
      <c r="F505" s="90" t="s">
        <v>104</v>
      </c>
      <c r="G505" s="91" t="s">
        <v>503</v>
      </c>
      <c r="H505" s="135">
        <f t="shared" si="10"/>
        <v>2500</v>
      </c>
    </row>
    <row r="506" spans="1:8" ht="22.5" x14ac:dyDescent="0.2">
      <c r="A506" s="89">
        <v>503</v>
      </c>
      <c r="B506" s="90" t="s">
        <v>317</v>
      </c>
      <c r="C506" s="78">
        <v>2500</v>
      </c>
      <c r="D506" s="170">
        <v>46388</v>
      </c>
      <c r="E506" s="170">
        <v>46388</v>
      </c>
      <c r="F506" s="90" t="s">
        <v>107</v>
      </c>
      <c r="G506" s="91" t="s">
        <v>503</v>
      </c>
      <c r="H506" s="135">
        <f t="shared" si="10"/>
        <v>2500</v>
      </c>
    </row>
    <row r="507" spans="1:8" ht="22.5" x14ac:dyDescent="0.2">
      <c r="A507" s="89">
        <v>504</v>
      </c>
      <c r="B507" s="90" t="s">
        <v>317</v>
      </c>
      <c r="C507" s="78">
        <v>2500</v>
      </c>
      <c r="D507" s="170">
        <v>46388</v>
      </c>
      <c r="E507" s="170">
        <v>46388</v>
      </c>
      <c r="F507" s="90" t="s">
        <v>106</v>
      </c>
      <c r="G507" s="91" t="s">
        <v>503</v>
      </c>
      <c r="H507" s="135">
        <f t="shared" si="10"/>
        <v>2500</v>
      </c>
    </row>
    <row r="508" spans="1:8" ht="22.5" x14ac:dyDescent="0.2">
      <c r="A508" s="89">
        <v>505</v>
      </c>
      <c r="B508" s="90" t="s">
        <v>317</v>
      </c>
      <c r="C508" s="78">
        <v>2500</v>
      </c>
      <c r="D508" s="170">
        <v>46388</v>
      </c>
      <c r="E508" s="170">
        <v>46388</v>
      </c>
      <c r="F508" s="90" t="s">
        <v>111</v>
      </c>
      <c r="G508" s="91" t="s">
        <v>503</v>
      </c>
      <c r="H508" s="135">
        <f t="shared" si="10"/>
        <v>2500</v>
      </c>
    </row>
    <row r="509" spans="1:8" ht="22.5" x14ac:dyDescent="0.2">
      <c r="A509" s="89">
        <v>506</v>
      </c>
      <c r="B509" s="90" t="s">
        <v>317</v>
      </c>
      <c r="C509" s="78">
        <v>6000</v>
      </c>
      <c r="D509" s="170">
        <v>46388</v>
      </c>
      <c r="E509" s="170">
        <v>46388</v>
      </c>
      <c r="F509" s="90" t="s">
        <v>108</v>
      </c>
      <c r="G509" s="91" t="s">
        <v>503</v>
      </c>
      <c r="H509" s="135">
        <f t="shared" si="10"/>
        <v>6000</v>
      </c>
    </row>
    <row r="510" spans="1:8" ht="22.5" x14ac:dyDescent="0.2">
      <c r="A510" s="89">
        <v>507</v>
      </c>
      <c r="B510" s="90" t="s">
        <v>317</v>
      </c>
      <c r="C510" s="78">
        <v>12000</v>
      </c>
      <c r="D510" s="170">
        <v>46388</v>
      </c>
      <c r="E510" s="170">
        <v>46388</v>
      </c>
      <c r="F510" s="90" t="s">
        <v>110</v>
      </c>
      <c r="G510" s="91" t="s">
        <v>503</v>
      </c>
      <c r="H510" s="135">
        <f t="shared" si="10"/>
        <v>12000</v>
      </c>
    </row>
    <row r="511" spans="1:8" ht="22.5" x14ac:dyDescent="0.2">
      <c r="A511" s="89">
        <v>508</v>
      </c>
      <c r="B511" s="90" t="s">
        <v>317</v>
      </c>
      <c r="C511" s="78">
        <v>10000</v>
      </c>
      <c r="D511" s="170">
        <v>46388</v>
      </c>
      <c r="E511" s="170">
        <v>46388</v>
      </c>
      <c r="F511" s="90" t="s">
        <v>105</v>
      </c>
      <c r="G511" s="91" t="s">
        <v>503</v>
      </c>
      <c r="H511" s="135">
        <f t="shared" si="10"/>
        <v>10000</v>
      </c>
    </row>
    <row r="512" spans="1:8" ht="22.5" x14ac:dyDescent="0.2">
      <c r="A512" s="89">
        <v>509</v>
      </c>
      <c r="B512" s="90" t="s">
        <v>317</v>
      </c>
      <c r="C512" s="78">
        <v>1500</v>
      </c>
      <c r="D512" s="170">
        <v>46753</v>
      </c>
      <c r="E512" s="170">
        <v>46753</v>
      </c>
      <c r="F512" s="90" t="s">
        <v>102</v>
      </c>
      <c r="G512" s="91" t="s">
        <v>503</v>
      </c>
      <c r="H512" s="135">
        <f t="shared" si="10"/>
        <v>1500</v>
      </c>
    </row>
    <row r="513" spans="1:8" ht="22.5" x14ac:dyDescent="0.2">
      <c r="A513" s="89">
        <v>510</v>
      </c>
      <c r="B513" s="90" t="s">
        <v>317</v>
      </c>
      <c r="C513" s="78">
        <v>5000</v>
      </c>
      <c r="D513" s="170">
        <v>46753</v>
      </c>
      <c r="E513" s="170">
        <v>46753</v>
      </c>
      <c r="F513" s="90" t="s">
        <v>103</v>
      </c>
      <c r="G513" s="91" t="s">
        <v>503</v>
      </c>
      <c r="H513" s="135">
        <f t="shared" si="10"/>
        <v>5000</v>
      </c>
    </row>
    <row r="514" spans="1:8" ht="22.5" x14ac:dyDescent="0.2">
      <c r="A514" s="89">
        <v>511</v>
      </c>
      <c r="B514" s="90" t="s">
        <v>317</v>
      </c>
      <c r="C514" s="78">
        <v>2500</v>
      </c>
      <c r="D514" s="170">
        <v>46753</v>
      </c>
      <c r="E514" s="170">
        <v>46753</v>
      </c>
      <c r="F514" s="90" t="s">
        <v>104</v>
      </c>
      <c r="G514" s="91" t="s">
        <v>503</v>
      </c>
      <c r="H514" s="135">
        <f t="shared" si="10"/>
        <v>2500</v>
      </c>
    </row>
    <row r="515" spans="1:8" ht="22.5" x14ac:dyDescent="0.2">
      <c r="A515" s="89">
        <v>512</v>
      </c>
      <c r="B515" s="90" t="s">
        <v>317</v>
      </c>
      <c r="C515" s="78">
        <v>2500</v>
      </c>
      <c r="D515" s="170">
        <v>46753</v>
      </c>
      <c r="E515" s="170">
        <v>46753</v>
      </c>
      <c r="F515" s="90" t="s">
        <v>107</v>
      </c>
      <c r="G515" s="91" t="s">
        <v>503</v>
      </c>
      <c r="H515" s="135">
        <f t="shared" si="10"/>
        <v>2500</v>
      </c>
    </row>
    <row r="516" spans="1:8" ht="22.5" x14ac:dyDescent="0.2">
      <c r="A516" s="89">
        <v>513</v>
      </c>
      <c r="B516" s="90" t="s">
        <v>317</v>
      </c>
      <c r="C516" s="78">
        <v>2500</v>
      </c>
      <c r="D516" s="170">
        <v>46753</v>
      </c>
      <c r="E516" s="170">
        <v>46753</v>
      </c>
      <c r="F516" s="90" t="s">
        <v>106</v>
      </c>
      <c r="G516" s="91" t="s">
        <v>503</v>
      </c>
      <c r="H516" s="135">
        <f t="shared" si="10"/>
        <v>2500</v>
      </c>
    </row>
    <row r="517" spans="1:8" ht="22.5" x14ac:dyDescent="0.2">
      <c r="A517" s="89">
        <v>514</v>
      </c>
      <c r="B517" s="90" t="s">
        <v>317</v>
      </c>
      <c r="C517" s="78">
        <v>2500</v>
      </c>
      <c r="D517" s="170">
        <v>46753</v>
      </c>
      <c r="E517" s="170">
        <v>46753</v>
      </c>
      <c r="F517" s="90" t="s">
        <v>111</v>
      </c>
      <c r="G517" s="91" t="s">
        <v>503</v>
      </c>
      <c r="H517" s="135">
        <f t="shared" ref="H517:H563" si="11">IFERROR((DATEDIF(D517,E517,"M")+1)*C517,0)</f>
        <v>2500</v>
      </c>
    </row>
    <row r="518" spans="1:8" ht="22.5" x14ac:dyDescent="0.2">
      <c r="A518" s="89">
        <v>515</v>
      </c>
      <c r="B518" s="90" t="s">
        <v>317</v>
      </c>
      <c r="C518" s="78">
        <v>6000</v>
      </c>
      <c r="D518" s="170">
        <v>46753</v>
      </c>
      <c r="E518" s="170">
        <v>46753</v>
      </c>
      <c r="F518" s="90" t="s">
        <v>108</v>
      </c>
      <c r="G518" s="91" t="s">
        <v>503</v>
      </c>
      <c r="H518" s="135">
        <f t="shared" si="11"/>
        <v>6000</v>
      </c>
    </row>
    <row r="519" spans="1:8" ht="22.5" x14ac:dyDescent="0.2">
      <c r="A519" s="89">
        <v>516</v>
      </c>
      <c r="B519" s="90" t="s">
        <v>317</v>
      </c>
      <c r="C519" s="78">
        <v>12000</v>
      </c>
      <c r="D519" s="170">
        <v>46753</v>
      </c>
      <c r="E519" s="170">
        <v>46753</v>
      </c>
      <c r="F519" s="90" t="s">
        <v>110</v>
      </c>
      <c r="G519" s="91" t="s">
        <v>503</v>
      </c>
      <c r="H519" s="135">
        <f t="shared" si="11"/>
        <v>12000</v>
      </c>
    </row>
    <row r="520" spans="1:8" ht="22.5" x14ac:dyDescent="0.2">
      <c r="A520" s="89">
        <v>517</v>
      </c>
      <c r="B520" s="90" t="s">
        <v>317</v>
      </c>
      <c r="C520" s="78">
        <v>10000</v>
      </c>
      <c r="D520" s="170">
        <v>46753</v>
      </c>
      <c r="E520" s="170">
        <v>46753</v>
      </c>
      <c r="F520" s="90" t="s">
        <v>105</v>
      </c>
      <c r="G520" s="91" t="s">
        <v>503</v>
      </c>
      <c r="H520" s="135">
        <f t="shared" si="11"/>
        <v>10000</v>
      </c>
    </row>
    <row r="521" spans="1:8" ht="22.5" x14ac:dyDescent="0.2">
      <c r="A521" s="89">
        <v>518</v>
      </c>
      <c r="B521" s="90" t="s">
        <v>323</v>
      </c>
      <c r="C521" s="78">
        <v>50000</v>
      </c>
      <c r="D521" s="170">
        <v>46388</v>
      </c>
      <c r="E521" s="170">
        <v>46388</v>
      </c>
      <c r="F521" s="90" t="s">
        <v>102</v>
      </c>
      <c r="G521" s="91" t="s">
        <v>608</v>
      </c>
      <c r="H521" s="135">
        <f t="shared" si="11"/>
        <v>50000</v>
      </c>
    </row>
    <row r="522" spans="1:8" ht="22.5" x14ac:dyDescent="0.2">
      <c r="A522" s="89">
        <v>519</v>
      </c>
      <c r="B522" s="90" t="s">
        <v>323</v>
      </c>
      <c r="C522" s="78">
        <v>50000</v>
      </c>
      <c r="D522" s="170">
        <v>46388</v>
      </c>
      <c r="E522" s="170">
        <v>46388</v>
      </c>
      <c r="F522" s="90" t="s">
        <v>103</v>
      </c>
      <c r="G522" s="91" t="s">
        <v>509</v>
      </c>
      <c r="H522" s="135">
        <f t="shared" si="11"/>
        <v>50000</v>
      </c>
    </row>
    <row r="523" spans="1:8" ht="22.5" x14ac:dyDescent="0.2">
      <c r="A523" s="89">
        <v>520</v>
      </c>
      <c r="B523" s="90" t="s">
        <v>323</v>
      </c>
      <c r="C523" s="78">
        <v>20000</v>
      </c>
      <c r="D523" s="170">
        <v>46388</v>
      </c>
      <c r="E523" s="170">
        <v>46388</v>
      </c>
      <c r="F523" s="90" t="s">
        <v>104</v>
      </c>
      <c r="G523" s="91" t="s">
        <v>509</v>
      </c>
      <c r="H523" s="135">
        <f t="shared" si="11"/>
        <v>20000</v>
      </c>
    </row>
    <row r="524" spans="1:8" ht="22.5" x14ac:dyDescent="0.2">
      <c r="A524" s="89">
        <v>521</v>
      </c>
      <c r="B524" s="90" t="s">
        <v>323</v>
      </c>
      <c r="C524" s="78">
        <v>30000</v>
      </c>
      <c r="D524" s="170">
        <v>46388</v>
      </c>
      <c r="E524" s="170">
        <v>46388</v>
      </c>
      <c r="F524" s="90" t="s">
        <v>107</v>
      </c>
      <c r="G524" s="91" t="s">
        <v>509</v>
      </c>
      <c r="H524" s="135">
        <f t="shared" si="11"/>
        <v>30000</v>
      </c>
    </row>
    <row r="525" spans="1:8" ht="22.5" x14ac:dyDescent="0.2">
      <c r="A525" s="89">
        <v>522</v>
      </c>
      <c r="B525" s="90" t="s">
        <v>323</v>
      </c>
      <c r="C525" s="78">
        <v>40000</v>
      </c>
      <c r="D525" s="170">
        <v>46388</v>
      </c>
      <c r="E525" s="170">
        <v>46388</v>
      </c>
      <c r="F525" s="90" t="s">
        <v>106</v>
      </c>
      <c r="G525" s="91" t="s">
        <v>509</v>
      </c>
      <c r="H525" s="135">
        <f t="shared" si="11"/>
        <v>40000</v>
      </c>
    </row>
    <row r="526" spans="1:8" ht="22.5" x14ac:dyDescent="0.2">
      <c r="A526" s="89">
        <v>523</v>
      </c>
      <c r="B526" s="90" t="s">
        <v>323</v>
      </c>
      <c r="C526" s="78">
        <v>30000</v>
      </c>
      <c r="D526" s="170">
        <v>46388</v>
      </c>
      <c r="E526" s="170">
        <v>46388</v>
      </c>
      <c r="F526" s="90" t="s">
        <v>111</v>
      </c>
      <c r="G526" s="91" t="s">
        <v>509</v>
      </c>
      <c r="H526" s="135">
        <f t="shared" si="11"/>
        <v>30000</v>
      </c>
    </row>
    <row r="527" spans="1:8" ht="22.5" x14ac:dyDescent="0.2">
      <c r="A527" s="89">
        <v>524</v>
      </c>
      <c r="B527" s="90" t="s">
        <v>323</v>
      </c>
      <c r="C527" s="78">
        <v>70000</v>
      </c>
      <c r="D527" s="170">
        <v>46388</v>
      </c>
      <c r="E527" s="170">
        <v>46388</v>
      </c>
      <c r="F527" s="90" t="s">
        <v>108</v>
      </c>
      <c r="G527" s="91" t="s">
        <v>509</v>
      </c>
      <c r="H527" s="135">
        <f t="shared" si="11"/>
        <v>70000</v>
      </c>
    </row>
    <row r="528" spans="1:8" ht="22.5" x14ac:dyDescent="0.2">
      <c r="A528" s="89">
        <v>525</v>
      </c>
      <c r="B528" s="90" t="s">
        <v>323</v>
      </c>
      <c r="C528" s="78">
        <v>50000</v>
      </c>
      <c r="D528" s="170">
        <v>46388</v>
      </c>
      <c r="E528" s="170">
        <v>46388</v>
      </c>
      <c r="F528" s="90" t="s">
        <v>110</v>
      </c>
      <c r="G528" s="91" t="s">
        <v>509</v>
      </c>
      <c r="H528" s="135">
        <f t="shared" si="11"/>
        <v>50000</v>
      </c>
    </row>
    <row r="529" spans="1:8" ht="22.5" x14ac:dyDescent="0.2">
      <c r="A529" s="89">
        <v>526</v>
      </c>
      <c r="B529" s="90" t="s">
        <v>323</v>
      </c>
      <c r="C529" s="78">
        <v>60000</v>
      </c>
      <c r="D529" s="170">
        <v>46388</v>
      </c>
      <c r="E529" s="170">
        <v>46388</v>
      </c>
      <c r="F529" s="90" t="s">
        <v>105</v>
      </c>
      <c r="G529" s="91" t="s">
        <v>509</v>
      </c>
      <c r="H529" s="135">
        <f t="shared" si="11"/>
        <v>60000</v>
      </c>
    </row>
    <row r="530" spans="1:8" ht="22.5" x14ac:dyDescent="0.2">
      <c r="A530" s="89">
        <v>527</v>
      </c>
      <c r="B530" s="90" t="s">
        <v>323</v>
      </c>
      <c r="C530" s="78">
        <v>50000</v>
      </c>
      <c r="D530" s="170">
        <v>46753</v>
      </c>
      <c r="E530" s="170">
        <v>46753</v>
      </c>
      <c r="F530" s="90" t="s">
        <v>102</v>
      </c>
      <c r="G530" s="91" t="s">
        <v>608</v>
      </c>
      <c r="H530" s="135">
        <f t="shared" si="11"/>
        <v>50000</v>
      </c>
    </row>
    <row r="531" spans="1:8" ht="22.5" x14ac:dyDescent="0.2">
      <c r="A531" s="89">
        <v>528</v>
      </c>
      <c r="B531" s="90" t="s">
        <v>323</v>
      </c>
      <c r="C531" s="78">
        <v>50000</v>
      </c>
      <c r="D531" s="170">
        <v>46753</v>
      </c>
      <c r="E531" s="170">
        <v>46753</v>
      </c>
      <c r="F531" s="90" t="s">
        <v>103</v>
      </c>
      <c r="G531" s="91" t="s">
        <v>509</v>
      </c>
      <c r="H531" s="135">
        <f t="shared" si="11"/>
        <v>50000</v>
      </c>
    </row>
    <row r="532" spans="1:8" ht="22.5" x14ac:dyDescent="0.2">
      <c r="A532" s="89">
        <v>529</v>
      </c>
      <c r="B532" s="90" t="s">
        <v>323</v>
      </c>
      <c r="C532" s="78">
        <v>20000</v>
      </c>
      <c r="D532" s="170">
        <v>46753</v>
      </c>
      <c r="E532" s="170">
        <v>46753</v>
      </c>
      <c r="F532" s="90" t="s">
        <v>104</v>
      </c>
      <c r="G532" s="91" t="s">
        <v>509</v>
      </c>
      <c r="H532" s="135">
        <f t="shared" si="11"/>
        <v>20000</v>
      </c>
    </row>
    <row r="533" spans="1:8" ht="22.5" x14ac:dyDescent="0.2">
      <c r="A533" s="89">
        <v>530</v>
      </c>
      <c r="B533" s="90" t="s">
        <v>323</v>
      </c>
      <c r="C533" s="78">
        <v>30000</v>
      </c>
      <c r="D533" s="170">
        <v>46753</v>
      </c>
      <c r="E533" s="170">
        <v>46753</v>
      </c>
      <c r="F533" s="90" t="s">
        <v>107</v>
      </c>
      <c r="G533" s="91" t="s">
        <v>509</v>
      </c>
      <c r="H533" s="135">
        <f t="shared" si="11"/>
        <v>30000</v>
      </c>
    </row>
    <row r="534" spans="1:8" ht="22.5" x14ac:dyDescent="0.2">
      <c r="A534" s="89">
        <v>531</v>
      </c>
      <c r="B534" s="90" t="s">
        <v>323</v>
      </c>
      <c r="C534" s="78">
        <v>40000</v>
      </c>
      <c r="D534" s="170">
        <v>46753</v>
      </c>
      <c r="E534" s="170">
        <v>46753</v>
      </c>
      <c r="F534" s="90" t="s">
        <v>106</v>
      </c>
      <c r="G534" s="91" t="s">
        <v>509</v>
      </c>
      <c r="H534" s="135">
        <f t="shared" si="11"/>
        <v>40000</v>
      </c>
    </row>
    <row r="535" spans="1:8" ht="22.5" x14ac:dyDescent="0.2">
      <c r="A535" s="89">
        <v>532</v>
      </c>
      <c r="B535" s="90" t="s">
        <v>323</v>
      </c>
      <c r="C535" s="78">
        <v>30000</v>
      </c>
      <c r="D535" s="170">
        <v>46753</v>
      </c>
      <c r="E535" s="170">
        <v>46753</v>
      </c>
      <c r="F535" s="90" t="s">
        <v>111</v>
      </c>
      <c r="G535" s="91" t="s">
        <v>509</v>
      </c>
      <c r="H535" s="135">
        <f t="shared" si="11"/>
        <v>30000</v>
      </c>
    </row>
    <row r="536" spans="1:8" ht="22.5" x14ac:dyDescent="0.2">
      <c r="A536" s="89">
        <v>533</v>
      </c>
      <c r="B536" s="90" t="s">
        <v>323</v>
      </c>
      <c r="C536" s="78">
        <v>70000</v>
      </c>
      <c r="D536" s="170">
        <v>46753</v>
      </c>
      <c r="E536" s="170">
        <v>46753</v>
      </c>
      <c r="F536" s="90" t="s">
        <v>108</v>
      </c>
      <c r="G536" s="91" t="s">
        <v>509</v>
      </c>
      <c r="H536" s="135">
        <f t="shared" si="11"/>
        <v>70000</v>
      </c>
    </row>
    <row r="537" spans="1:8" ht="22.5" x14ac:dyDescent="0.2">
      <c r="A537" s="89">
        <v>534</v>
      </c>
      <c r="B537" s="90" t="s">
        <v>323</v>
      </c>
      <c r="C537" s="78">
        <v>50000</v>
      </c>
      <c r="D537" s="170">
        <v>46753</v>
      </c>
      <c r="E537" s="170">
        <v>46753</v>
      </c>
      <c r="F537" s="90" t="s">
        <v>110</v>
      </c>
      <c r="G537" s="91" t="s">
        <v>509</v>
      </c>
      <c r="H537" s="135">
        <f t="shared" si="11"/>
        <v>50000</v>
      </c>
    </row>
    <row r="538" spans="1:8" ht="22.5" x14ac:dyDescent="0.2">
      <c r="A538" s="89">
        <v>535</v>
      </c>
      <c r="B538" s="90" t="s">
        <v>323</v>
      </c>
      <c r="C538" s="78">
        <v>60000</v>
      </c>
      <c r="D538" s="170">
        <v>46753</v>
      </c>
      <c r="E538" s="170">
        <v>46753</v>
      </c>
      <c r="F538" s="90" t="s">
        <v>105</v>
      </c>
      <c r="G538" s="91" t="s">
        <v>509</v>
      </c>
      <c r="H538" s="135">
        <f t="shared" si="11"/>
        <v>60000</v>
      </c>
    </row>
    <row r="539" spans="1:8" ht="22.5" x14ac:dyDescent="0.2">
      <c r="A539" s="89">
        <v>536</v>
      </c>
      <c r="B539" s="90" t="s">
        <v>301</v>
      </c>
      <c r="C539" s="78">
        <v>23000</v>
      </c>
      <c r="D539" s="170">
        <v>46478</v>
      </c>
      <c r="E539" s="170">
        <v>46478</v>
      </c>
      <c r="F539" s="90" t="s">
        <v>103</v>
      </c>
      <c r="G539" s="91" t="s">
        <v>529</v>
      </c>
      <c r="H539" s="135">
        <f t="shared" si="11"/>
        <v>23000</v>
      </c>
    </row>
    <row r="540" spans="1:8" ht="22.5" x14ac:dyDescent="0.2">
      <c r="A540" s="89">
        <v>537</v>
      </c>
      <c r="B540" s="90" t="s">
        <v>301</v>
      </c>
      <c r="C540" s="78">
        <v>20000</v>
      </c>
      <c r="D540" s="170">
        <v>46478</v>
      </c>
      <c r="E540" s="170">
        <v>46478</v>
      </c>
      <c r="F540" s="90" t="s">
        <v>104</v>
      </c>
      <c r="G540" s="91" t="s">
        <v>529</v>
      </c>
      <c r="H540" s="135">
        <f t="shared" si="11"/>
        <v>20000</v>
      </c>
    </row>
    <row r="541" spans="1:8" ht="22.5" x14ac:dyDescent="0.2">
      <c r="A541" s="89">
        <v>538</v>
      </c>
      <c r="B541" s="90" t="s">
        <v>301</v>
      </c>
      <c r="C541" s="78">
        <v>24000</v>
      </c>
      <c r="D541" s="170">
        <v>46478</v>
      </c>
      <c r="E541" s="170">
        <v>46478</v>
      </c>
      <c r="F541" s="90" t="s">
        <v>107</v>
      </c>
      <c r="G541" s="91" t="s">
        <v>529</v>
      </c>
      <c r="H541" s="135">
        <f t="shared" si="11"/>
        <v>24000</v>
      </c>
    </row>
    <row r="542" spans="1:8" ht="22.5" x14ac:dyDescent="0.2">
      <c r="A542" s="89">
        <v>539</v>
      </c>
      <c r="B542" s="90" t="s">
        <v>301</v>
      </c>
      <c r="C542" s="78">
        <v>23000</v>
      </c>
      <c r="D542" s="170">
        <v>46478</v>
      </c>
      <c r="E542" s="170">
        <v>46478</v>
      </c>
      <c r="F542" s="90" t="s">
        <v>106</v>
      </c>
      <c r="G542" s="91" t="s">
        <v>529</v>
      </c>
      <c r="H542" s="135">
        <f t="shared" si="11"/>
        <v>23000</v>
      </c>
    </row>
    <row r="543" spans="1:8" ht="22.5" x14ac:dyDescent="0.2">
      <c r="A543" s="89">
        <v>540</v>
      </c>
      <c r="B543" s="90" t="s">
        <v>301</v>
      </c>
      <c r="C543" s="78">
        <v>14000</v>
      </c>
      <c r="D543" s="170">
        <v>46478</v>
      </c>
      <c r="E543" s="170">
        <v>46478</v>
      </c>
      <c r="F543" s="90" t="s">
        <v>111</v>
      </c>
      <c r="G543" s="91" t="s">
        <v>529</v>
      </c>
      <c r="H543" s="135">
        <f t="shared" si="11"/>
        <v>14000</v>
      </c>
    </row>
    <row r="544" spans="1:8" ht="22.5" x14ac:dyDescent="0.2">
      <c r="A544" s="89">
        <v>541</v>
      </c>
      <c r="B544" s="90" t="s">
        <v>301</v>
      </c>
      <c r="C544" s="78">
        <v>20000</v>
      </c>
      <c r="D544" s="170">
        <v>46478</v>
      </c>
      <c r="E544" s="170">
        <v>46478</v>
      </c>
      <c r="F544" s="90" t="s">
        <v>108</v>
      </c>
      <c r="G544" s="91" t="s">
        <v>529</v>
      </c>
      <c r="H544" s="135">
        <f t="shared" si="11"/>
        <v>20000</v>
      </c>
    </row>
    <row r="545" spans="1:8" ht="22.5" x14ac:dyDescent="0.2">
      <c r="A545" s="89">
        <v>542</v>
      </c>
      <c r="B545" s="90" t="s">
        <v>301</v>
      </c>
      <c r="C545" s="78">
        <v>23000</v>
      </c>
      <c r="D545" s="170">
        <v>46478</v>
      </c>
      <c r="E545" s="170">
        <v>46478</v>
      </c>
      <c r="F545" s="90" t="s">
        <v>110</v>
      </c>
      <c r="G545" s="91" t="s">
        <v>529</v>
      </c>
      <c r="H545" s="135">
        <f t="shared" si="11"/>
        <v>23000</v>
      </c>
    </row>
    <row r="546" spans="1:8" ht="22.5" x14ac:dyDescent="0.2">
      <c r="A546" s="89">
        <v>543</v>
      </c>
      <c r="B546" s="90" t="s">
        <v>301</v>
      </c>
      <c r="C546" s="78">
        <v>30000</v>
      </c>
      <c r="D546" s="170">
        <v>46478</v>
      </c>
      <c r="E546" s="170">
        <v>46478</v>
      </c>
      <c r="F546" s="90" t="s">
        <v>105</v>
      </c>
      <c r="G546" s="91" t="s">
        <v>529</v>
      </c>
      <c r="H546" s="135">
        <f t="shared" si="11"/>
        <v>30000</v>
      </c>
    </row>
    <row r="547" spans="1:8" ht="22.5" x14ac:dyDescent="0.2">
      <c r="A547" s="89">
        <v>544</v>
      </c>
      <c r="B547" s="90" t="s">
        <v>301</v>
      </c>
      <c r="C547" s="78">
        <v>23000</v>
      </c>
      <c r="D547" s="170">
        <v>46844</v>
      </c>
      <c r="E547" s="170">
        <v>46844</v>
      </c>
      <c r="F547" s="90" t="s">
        <v>103</v>
      </c>
      <c r="G547" s="91" t="s">
        <v>529</v>
      </c>
      <c r="H547" s="135">
        <f t="shared" si="11"/>
        <v>23000</v>
      </c>
    </row>
    <row r="548" spans="1:8" ht="22.5" x14ac:dyDescent="0.2">
      <c r="A548" s="89">
        <v>545</v>
      </c>
      <c r="B548" s="90" t="s">
        <v>301</v>
      </c>
      <c r="C548" s="78">
        <v>20000</v>
      </c>
      <c r="D548" s="170">
        <v>46844</v>
      </c>
      <c r="E548" s="170">
        <v>46844</v>
      </c>
      <c r="F548" s="90" t="s">
        <v>104</v>
      </c>
      <c r="G548" s="91" t="s">
        <v>529</v>
      </c>
      <c r="H548" s="135">
        <f t="shared" si="11"/>
        <v>20000</v>
      </c>
    </row>
    <row r="549" spans="1:8" ht="22.5" x14ac:dyDescent="0.2">
      <c r="A549" s="89">
        <v>546</v>
      </c>
      <c r="B549" s="90" t="s">
        <v>301</v>
      </c>
      <c r="C549" s="78">
        <v>24000</v>
      </c>
      <c r="D549" s="170">
        <v>46844</v>
      </c>
      <c r="E549" s="170">
        <v>46844</v>
      </c>
      <c r="F549" s="90" t="s">
        <v>107</v>
      </c>
      <c r="G549" s="91" t="s">
        <v>529</v>
      </c>
      <c r="H549" s="135">
        <f t="shared" si="11"/>
        <v>24000</v>
      </c>
    </row>
    <row r="550" spans="1:8" ht="22.5" x14ac:dyDescent="0.2">
      <c r="A550" s="89">
        <v>547</v>
      </c>
      <c r="B550" s="90" t="s">
        <v>301</v>
      </c>
      <c r="C550" s="78">
        <v>23000</v>
      </c>
      <c r="D550" s="170">
        <v>46844</v>
      </c>
      <c r="E550" s="170">
        <v>46844</v>
      </c>
      <c r="F550" s="90" t="s">
        <v>106</v>
      </c>
      <c r="G550" s="91" t="s">
        <v>529</v>
      </c>
      <c r="H550" s="135">
        <f t="shared" si="11"/>
        <v>23000</v>
      </c>
    </row>
    <row r="551" spans="1:8" ht="22.5" x14ac:dyDescent="0.2">
      <c r="A551" s="89">
        <v>548</v>
      </c>
      <c r="B551" s="90" t="s">
        <v>301</v>
      </c>
      <c r="C551" s="78">
        <v>14000</v>
      </c>
      <c r="D551" s="170">
        <v>46844</v>
      </c>
      <c r="E551" s="170">
        <v>46844</v>
      </c>
      <c r="F551" s="90" t="s">
        <v>111</v>
      </c>
      <c r="G551" s="91" t="s">
        <v>529</v>
      </c>
      <c r="H551" s="135">
        <f t="shared" si="11"/>
        <v>14000</v>
      </c>
    </row>
    <row r="552" spans="1:8" ht="22.5" x14ac:dyDescent="0.2">
      <c r="A552" s="89">
        <v>549</v>
      </c>
      <c r="B552" s="90" t="s">
        <v>301</v>
      </c>
      <c r="C552" s="78">
        <v>20000</v>
      </c>
      <c r="D552" s="170">
        <v>46844</v>
      </c>
      <c r="E552" s="170">
        <v>46844</v>
      </c>
      <c r="F552" s="90" t="s">
        <v>108</v>
      </c>
      <c r="G552" s="91" t="s">
        <v>529</v>
      </c>
      <c r="H552" s="135">
        <f t="shared" si="11"/>
        <v>20000</v>
      </c>
    </row>
    <row r="553" spans="1:8" ht="22.5" x14ac:dyDescent="0.2">
      <c r="A553" s="89">
        <v>550</v>
      </c>
      <c r="B553" s="90" t="s">
        <v>301</v>
      </c>
      <c r="C553" s="78">
        <v>23000</v>
      </c>
      <c r="D553" s="170">
        <v>46844</v>
      </c>
      <c r="E553" s="170">
        <v>46844</v>
      </c>
      <c r="F553" s="90" t="s">
        <v>110</v>
      </c>
      <c r="G553" s="91" t="s">
        <v>529</v>
      </c>
      <c r="H553" s="135">
        <f t="shared" si="11"/>
        <v>23000</v>
      </c>
    </row>
    <row r="554" spans="1:8" ht="22.5" x14ac:dyDescent="0.2">
      <c r="A554" s="89">
        <v>551</v>
      </c>
      <c r="B554" s="90" t="s">
        <v>301</v>
      </c>
      <c r="C554" s="78">
        <v>30000</v>
      </c>
      <c r="D554" s="170">
        <v>46844</v>
      </c>
      <c r="E554" s="170">
        <v>46844</v>
      </c>
      <c r="F554" s="90" t="s">
        <v>105</v>
      </c>
      <c r="G554" s="91" t="s">
        <v>529</v>
      </c>
      <c r="H554" s="135">
        <f t="shared" si="11"/>
        <v>30000</v>
      </c>
    </row>
    <row r="555" spans="1:8" x14ac:dyDescent="0.2">
      <c r="A555" s="89">
        <v>552</v>
      </c>
      <c r="B555" s="90" t="s">
        <v>239</v>
      </c>
      <c r="C555" s="78">
        <v>30000</v>
      </c>
      <c r="D555" s="170">
        <v>46753</v>
      </c>
      <c r="E555" s="170">
        <v>46753</v>
      </c>
      <c r="F555" s="90" t="s">
        <v>109</v>
      </c>
      <c r="G555" s="91" t="s">
        <v>609</v>
      </c>
      <c r="H555" s="135">
        <f t="shared" si="11"/>
        <v>30000</v>
      </c>
    </row>
    <row r="556" spans="1:8" x14ac:dyDescent="0.2">
      <c r="A556" s="89">
        <v>553</v>
      </c>
      <c r="B556" s="90" t="s">
        <v>239</v>
      </c>
      <c r="C556" s="78">
        <v>30000</v>
      </c>
      <c r="D556" s="170">
        <v>46388</v>
      </c>
      <c r="E556" s="170">
        <v>46388</v>
      </c>
      <c r="F556" s="90" t="s">
        <v>109</v>
      </c>
      <c r="G556" s="91" t="s">
        <v>609</v>
      </c>
      <c r="H556" s="135">
        <f t="shared" si="11"/>
        <v>30000</v>
      </c>
    </row>
    <row r="557" spans="1:8" x14ac:dyDescent="0.2">
      <c r="A557" s="89">
        <v>554</v>
      </c>
      <c r="B557" s="90" t="s">
        <v>239</v>
      </c>
      <c r="C557" s="78">
        <v>30000</v>
      </c>
      <c r="D557" s="170">
        <v>46388</v>
      </c>
      <c r="E557" s="170">
        <v>46388</v>
      </c>
      <c r="F557" s="90" t="s">
        <v>102</v>
      </c>
      <c r="G557" s="91" t="s">
        <v>609</v>
      </c>
      <c r="H557" s="135">
        <f t="shared" si="11"/>
        <v>30000</v>
      </c>
    </row>
    <row r="558" spans="1:8" x14ac:dyDescent="0.2">
      <c r="A558" s="89">
        <v>555</v>
      </c>
      <c r="B558" s="90" t="s">
        <v>239</v>
      </c>
      <c r="C558" s="78">
        <v>10000</v>
      </c>
      <c r="D558" s="170">
        <v>46388</v>
      </c>
      <c r="E558" s="170">
        <v>46388</v>
      </c>
      <c r="F558" s="90" t="s">
        <v>102</v>
      </c>
      <c r="G558" s="91" t="s">
        <v>515</v>
      </c>
      <c r="H558" s="135">
        <f t="shared" si="11"/>
        <v>10000</v>
      </c>
    </row>
    <row r="559" spans="1:8" x14ac:dyDescent="0.2">
      <c r="A559" s="89">
        <v>556</v>
      </c>
      <c r="B559" s="90" t="s">
        <v>239</v>
      </c>
      <c r="C559" s="78">
        <v>30000</v>
      </c>
      <c r="D559" s="170">
        <v>46388</v>
      </c>
      <c r="E559" s="170">
        <v>46388</v>
      </c>
      <c r="F559" s="90" t="s">
        <v>103</v>
      </c>
      <c r="G559" s="91" t="s">
        <v>514</v>
      </c>
      <c r="H559" s="135">
        <f t="shared" si="11"/>
        <v>30000</v>
      </c>
    </row>
    <row r="560" spans="1:8" x14ac:dyDescent="0.2">
      <c r="A560" s="89">
        <v>557</v>
      </c>
      <c r="B560" s="90" t="s">
        <v>239</v>
      </c>
      <c r="C560" s="78">
        <v>20000</v>
      </c>
      <c r="D560" s="170">
        <v>46388</v>
      </c>
      <c r="E560" s="170">
        <v>46388</v>
      </c>
      <c r="F560" s="90" t="s">
        <v>103</v>
      </c>
      <c r="G560" s="91" t="s">
        <v>515</v>
      </c>
      <c r="H560" s="135">
        <f t="shared" si="11"/>
        <v>20000</v>
      </c>
    </row>
    <row r="561" spans="1:8" x14ac:dyDescent="0.2">
      <c r="A561" s="89">
        <v>558</v>
      </c>
      <c r="B561" s="90" t="s">
        <v>239</v>
      </c>
      <c r="C561" s="78">
        <v>25000</v>
      </c>
      <c r="D561" s="170">
        <v>46388</v>
      </c>
      <c r="E561" s="170">
        <v>46388</v>
      </c>
      <c r="F561" s="90" t="s">
        <v>104</v>
      </c>
      <c r="G561" s="91" t="s">
        <v>514</v>
      </c>
      <c r="H561" s="135">
        <f t="shared" si="11"/>
        <v>25000</v>
      </c>
    </row>
    <row r="562" spans="1:8" x14ac:dyDescent="0.2">
      <c r="A562" s="89">
        <v>559</v>
      </c>
      <c r="B562" s="90" t="s">
        <v>239</v>
      </c>
      <c r="C562" s="78">
        <v>15000</v>
      </c>
      <c r="D562" s="170">
        <v>46388</v>
      </c>
      <c r="E562" s="170">
        <v>46388</v>
      </c>
      <c r="F562" s="90" t="s">
        <v>104</v>
      </c>
      <c r="G562" s="91" t="s">
        <v>515</v>
      </c>
      <c r="H562" s="135">
        <f t="shared" si="11"/>
        <v>15000</v>
      </c>
    </row>
    <row r="563" spans="1:8" x14ac:dyDescent="0.2">
      <c r="A563" s="89">
        <v>560</v>
      </c>
      <c r="B563" s="90" t="s">
        <v>239</v>
      </c>
      <c r="C563" s="78">
        <v>35000</v>
      </c>
      <c r="D563" s="170">
        <v>46388</v>
      </c>
      <c r="E563" s="170">
        <v>46388</v>
      </c>
      <c r="F563" s="90" t="s">
        <v>107</v>
      </c>
      <c r="G563" s="91" t="s">
        <v>514</v>
      </c>
      <c r="H563" s="135">
        <f t="shared" si="11"/>
        <v>35000</v>
      </c>
    </row>
    <row r="564" spans="1:8" x14ac:dyDescent="0.2">
      <c r="A564" s="89">
        <v>561</v>
      </c>
      <c r="B564" s="90" t="s">
        <v>239</v>
      </c>
      <c r="C564" s="78">
        <v>25000</v>
      </c>
      <c r="D564" s="170">
        <v>46388</v>
      </c>
      <c r="E564" s="170">
        <v>46388</v>
      </c>
      <c r="F564" s="90" t="s">
        <v>107</v>
      </c>
      <c r="G564" s="91" t="s">
        <v>515</v>
      </c>
      <c r="H564" s="135">
        <f t="shared" ref="H564:H612" si="12">IFERROR((DATEDIF(D564,E564,"M")+1)*C564,0)</f>
        <v>25000</v>
      </c>
    </row>
    <row r="565" spans="1:8" x14ac:dyDescent="0.2">
      <c r="A565" s="89">
        <v>562</v>
      </c>
      <c r="B565" s="90" t="s">
        <v>239</v>
      </c>
      <c r="C565" s="78">
        <v>35000</v>
      </c>
      <c r="D565" s="170">
        <v>46388</v>
      </c>
      <c r="E565" s="170">
        <v>46388</v>
      </c>
      <c r="F565" s="90" t="s">
        <v>106</v>
      </c>
      <c r="G565" s="91" t="s">
        <v>514</v>
      </c>
      <c r="H565" s="135">
        <f t="shared" si="12"/>
        <v>35000</v>
      </c>
    </row>
    <row r="566" spans="1:8" x14ac:dyDescent="0.2">
      <c r="A566" s="89">
        <v>563</v>
      </c>
      <c r="B566" s="90" t="s">
        <v>239</v>
      </c>
      <c r="C566" s="78">
        <v>20000</v>
      </c>
      <c r="D566" s="170">
        <v>46388</v>
      </c>
      <c r="E566" s="170">
        <v>46388</v>
      </c>
      <c r="F566" s="90" t="s">
        <v>106</v>
      </c>
      <c r="G566" s="91" t="s">
        <v>515</v>
      </c>
      <c r="H566" s="135">
        <f t="shared" si="12"/>
        <v>20000</v>
      </c>
    </row>
    <row r="567" spans="1:8" x14ac:dyDescent="0.2">
      <c r="A567" s="89">
        <v>564</v>
      </c>
      <c r="B567" s="90" t="s">
        <v>239</v>
      </c>
      <c r="C567" s="78">
        <v>25000</v>
      </c>
      <c r="D567" s="170">
        <v>46388</v>
      </c>
      <c r="E567" s="170">
        <v>46388</v>
      </c>
      <c r="F567" s="90" t="s">
        <v>111</v>
      </c>
      <c r="G567" s="91" t="s">
        <v>514</v>
      </c>
      <c r="H567" s="135">
        <f t="shared" si="12"/>
        <v>25000</v>
      </c>
    </row>
    <row r="568" spans="1:8" x14ac:dyDescent="0.2">
      <c r="A568" s="89">
        <v>565</v>
      </c>
      <c r="B568" s="90" t="s">
        <v>239</v>
      </c>
      <c r="C568" s="78">
        <v>10000</v>
      </c>
      <c r="D568" s="170">
        <v>46388</v>
      </c>
      <c r="E568" s="170">
        <v>46388</v>
      </c>
      <c r="F568" s="90" t="s">
        <v>111</v>
      </c>
      <c r="G568" s="91" t="s">
        <v>535</v>
      </c>
      <c r="H568" s="135">
        <f t="shared" si="12"/>
        <v>10000</v>
      </c>
    </row>
    <row r="569" spans="1:8" x14ac:dyDescent="0.2">
      <c r="A569" s="89">
        <v>566</v>
      </c>
      <c r="B569" s="90" t="s">
        <v>239</v>
      </c>
      <c r="C569" s="78">
        <v>30000</v>
      </c>
      <c r="D569" s="170">
        <v>46388</v>
      </c>
      <c r="E569" s="170">
        <v>46388</v>
      </c>
      <c r="F569" s="90" t="s">
        <v>108</v>
      </c>
      <c r="G569" s="91" t="s">
        <v>514</v>
      </c>
      <c r="H569" s="135">
        <f t="shared" si="12"/>
        <v>30000</v>
      </c>
    </row>
    <row r="570" spans="1:8" x14ac:dyDescent="0.2">
      <c r="A570" s="89">
        <v>567</v>
      </c>
      <c r="B570" s="90" t="s">
        <v>239</v>
      </c>
      <c r="C570" s="78">
        <v>20000</v>
      </c>
      <c r="D570" s="170">
        <v>46388</v>
      </c>
      <c r="E570" s="170">
        <v>46388</v>
      </c>
      <c r="F570" s="90" t="s">
        <v>108</v>
      </c>
      <c r="G570" s="91" t="s">
        <v>515</v>
      </c>
      <c r="H570" s="135">
        <f t="shared" si="12"/>
        <v>20000</v>
      </c>
    </row>
    <row r="571" spans="1:8" x14ac:dyDescent="0.2">
      <c r="A571" s="89">
        <v>568</v>
      </c>
      <c r="B571" s="90" t="s">
        <v>239</v>
      </c>
      <c r="C571" s="78">
        <v>60000</v>
      </c>
      <c r="D571" s="170">
        <v>46388</v>
      </c>
      <c r="E571" s="170">
        <v>46388</v>
      </c>
      <c r="F571" s="90" t="s">
        <v>110</v>
      </c>
      <c r="G571" s="91" t="s">
        <v>514</v>
      </c>
      <c r="H571" s="135">
        <f t="shared" si="12"/>
        <v>60000</v>
      </c>
    </row>
    <row r="572" spans="1:8" x14ac:dyDescent="0.2">
      <c r="A572" s="89">
        <v>569</v>
      </c>
      <c r="B572" s="90" t="s">
        <v>239</v>
      </c>
      <c r="C572" s="78">
        <v>20000</v>
      </c>
      <c r="D572" s="170">
        <v>46388</v>
      </c>
      <c r="E572" s="170">
        <v>46388</v>
      </c>
      <c r="F572" s="90" t="s">
        <v>110</v>
      </c>
      <c r="G572" s="91" t="s">
        <v>515</v>
      </c>
      <c r="H572" s="135">
        <f t="shared" si="12"/>
        <v>20000</v>
      </c>
    </row>
    <row r="573" spans="1:8" x14ac:dyDescent="0.2">
      <c r="A573" s="89">
        <v>570</v>
      </c>
      <c r="B573" s="90" t="s">
        <v>239</v>
      </c>
      <c r="C573" s="78">
        <v>60000</v>
      </c>
      <c r="D573" s="170">
        <v>46388</v>
      </c>
      <c r="E573" s="170">
        <v>46388</v>
      </c>
      <c r="F573" s="90" t="s">
        <v>105</v>
      </c>
      <c r="G573" s="91" t="s">
        <v>514</v>
      </c>
      <c r="H573" s="135">
        <f t="shared" si="12"/>
        <v>60000</v>
      </c>
    </row>
    <row r="574" spans="1:8" x14ac:dyDescent="0.2">
      <c r="A574" s="89">
        <v>571</v>
      </c>
      <c r="B574" s="90" t="s">
        <v>239</v>
      </c>
      <c r="C574" s="78">
        <v>20000</v>
      </c>
      <c r="D574" s="170">
        <v>46388</v>
      </c>
      <c r="E574" s="170">
        <v>46388</v>
      </c>
      <c r="F574" s="90" t="s">
        <v>105</v>
      </c>
      <c r="G574" s="91" t="s">
        <v>515</v>
      </c>
      <c r="H574" s="135">
        <f t="shared" si="12"/>
        <v>20000</v>
      </c>
    </row>
    <row r="575" spans="1:8" x14ac:dyDescent="0.2">
      <c r="A575" s="89">
        <v>572</v>
      </c>
      <c r="B575" s="90" t="s">
        <v>239</v>
      </c>
      <c r="C575" s="78">
        <v>5000</v>
      </c>
      <c r="D575" s="170">
        <v>46388</v>
      </c>
      <c r="E575" s="170">
        <v>46388</v>
      </c>
      <c r="F575" s="90" t="s">
        <v>109</v>
      </c>
      <c r="G575" s="91" t="s">
        <v>515</v>
      </c>
      <c r="H575" s="135">
        <f t="shared" si="12"/>
        <v>5000</v>
      </c>
    </row>
    <row r="576" spans="1:8" x14ac:dyDescent="0.2">
      <c r="A576" s="89">
        <v>573</v>
      </c>
      <c r="B576" s="90" t="s">
        <v>239</v>
      </c>
      <c r="C576" s="78">
        <v>8000</v>
      </c>
      <c r="D576" s="170">
        <v>46753</v>
      </c>
      <c r="E576" s="170">
        <v>46753</v>
      </c>
      <c r="F576" s="90" t="s">
        <v>109</v>
      </c>
      <c r="G576" s="91" t="s">
        <v>515</v>
      </c>
      <c r="H576" s="135">
        <f t="shared" si="12"/>
        <v>8000</v>
      </c>
    </row>
    <row r="577" spans="1:8" x14ac:dyDescent="0.2">
      <c r="A577" s="89">
        <v>574</v>
      </c>
      <c r="B577" s="90" t="s">
        <v>239</v>
      </c>
      <c r="C577" s="78">
        <v>30000</v>
      </c>
      <c r="D577" s="170">
        <v>46753</v>
      </c>
      <c r="E577" s="170">
        <v>46753</v>
      </c>
      <c r="F577" s="90" t="s">
        <v>102</v>
      </c>
      <c r="G577" s="91" t="s">
        <v>609</v>
      </c>
      <c r="H577" s="135">
        <f t="shared" si="12"/>
        <v>30000</v>
      </c>
    </row>
    <row r="578" spans="1:8" x14ac:dyDescent="0.2">
      <c r="A578" s="89">
        <v>575</v>
      </c>
      <c r="B578" s="90" t="s">
        <v>239</v>
      </c>
      <c r="C578" s="78">
        <v>15000</v>
      </c>
      <c r="D578" s="170">
        <v>46753</v>
      </c>
      <c r="E578" s="170">
        <v>46753</v>
      </c>
      <c r="F578" s="90" t="s">
        <v>102</v>
      </c>
      <c r="G578" s="91" t="s">
        <v>515</v>
      </c>
      <c r="H578" s="135">
        <f t="shared" si="12"/>
        <v>15000</v>
      </c>
    </row>
    <row r="579" spans="1:8" x14ac:dyDescent="0.2">
      <c r="A579" s="89">
        <v>576</v>
      </c>
      <c r="B579" s="90" t="s">
        <v>239</v>
      </c>
      <c r="C579" s="78">
        <v>30000</v>
      </c>
      <c r="D579" s="170">
        <v>46753</v>
      </c>
      <c r="E579" s="170">
        <v>46753</v>
      </c>
      <c r="F579" s="90" t="s">
        <v>103</v>
      </c>
      <c r="G579" s="91" t="s">
        <v>514</v>
      </c>
      <c r="H579" s="135">
        <f t="shared" si="12"/>
        <v>30000</v>
      </c>
    </row>
    <row r="580" spans="1:8" x14ac:dyDescent="0.2">
      <c r="A580" s="89">
        <v>577</v>
      </c>
      <c r="B580" s="90" t="s">
        <v>239</v>
      </c>
      <c r="C580" s="78">
        <v>20000</v>
      </c>
      <c r="D580" s="170">
        <v>46753</v>
      </c>
      <c r="E580" s="170">
        <v>46753</v>
      </c>
      <c r="F580" s="90" t="s">
        <v>103</v>
      </c>
      <c r="G580" s="91" t="s">
        <v>515</v>
      </c>
      <c r="H580" s="135">
        <f t="shared" si="12"/>
        <v>20000</v>
      </c>
    </row>
    <row r="581" spans="1:8" x14ac:dyDescent="0.2">
      <c r="A581" s="89">
        <v>578</v>
      </c>
      <c r="B581" s="90" t="s">
        <v>239</v>
      </c>
      <c r="C581" s="78">
        <v>20000</v>
      </c>
      <c r="D581" s="170">
        <v>46753</v>
      </c>
      <c r="E581" s="170">
        <v>46753</v>
      </c>
      <c r="F581" s="90" t="s">
        <v>104</v>
      </c>
      <c r="G581" s="91" t="s">
        <v>514</v>
      </c>
      <c r="H581" s="135">
        <f t="shared" si="12"/>
        <v>20000</v>
      </c>
    </row>
    <row r="582" spans="1:8" x14ac:dyDescent="0.2">
      <c r="A582" s="89">
        <v>579</v>
      </c>
      <c r="B582" s="90" t="s">
        <v>239</v>
      </c>
      <c r="C582" s="78">
        <v>15000</v>
      </c>
      <c r="D582" s="170">
        <v>46753</v>
      </c>
      <c r="E582" s="170">
        <v>46753</v>
      </c>
      <c r="F582" s="90" t="s">
        <v>104</v>
      </c>
      <c r="G582" s="91" t="s">
        <v>515</v>
      </c>
      <c r="H582" s="135">
        <f t="shared" si="12"/>
        <v>15000</v>
      </c>
    </row>
    <row r="583" spans="1:8" x14ac:dyDescent="0.2">
      <c r="A583" s="89">
        <v>580</v>
      </c>
      <c r="B583" s="90" t="s">
        <v>239</v>
      </c>
      <c r="C583" s="78">
        <v>30000</v>
      </c>
      <c r="D583" s="170">
        <v>46753</v>
      </c>
      <c r="E583" s="170">
        <v>46753</v>
      </c>
      <c r="F583" s="90" t="s">
        <v>107</v>
      </c>
      <c r="G583" s="91" t="s">
        <v>514</v>
      </c>
      <c r="H583" s="135">
        <f t="shared" si="12"/>
        <v>30000</v>
      </c>
    </row>
    <row r="584" spans="1:8" x14ac:dyDescent="0.2">
      <c r="A584" s="89">
        <v>581</v>
      </c>
      <c r="B584" s="90" t="s">
        <v>239</v>
      </c>
      <c r="C584" s="78">
        <v>20000</v>
      </c>
      <c r="D584" s="170">
        <v>46753</v>
      </c>
      <c r="E584" s="170">
        <v>46753</v>
      </c>
      <c r="F584" s="90" t="s">
        <v>107</v>
      </c>
      <c r="G584" s="91" t="s">
        <v>515</v>
      </c>
      <c r="H584" s="135">
        <f t="shared" si="12"/>
        <v>20000</v>
      </c>
    </row>
    <row r="585" spans="1:8" x14ac:dyDescent="0.2">
      <c r="A585" s="89">
        <v>582</v>
      </c>
      <c r="B585" s="90" t="s">
        <v>239</v>
      </c>
      <c r="C585" s="78">
        <v>30000</v>
      </c>
      <c r="D585" s="170">
        <v>46753</v>
      </c>
      <c r="E585" s="170">
        <v>46753</v>
      </c>
      <c r="F585" s="90" t="s">
        <v>106</v>
      </c>
      <c r="G585" s="91" t="s">
        <v>514</v>
      </c>
      <c r="H585" s="135">
        <f t="shared" si="12"/>
        <v>30000</v>
      </c>
    </row>
    <row r="586" spans="1:8" x14ac:dyDescent="0.2">
      <c r="A586" s="89">
        <v>583</v>
      </c>
      <c r="B586" s="90" t="s">
        <v>239</v>
      </c>
      <c r="C586" s="78">
        <v>20000</v>
      </c>
      <c r="D586" s="170">
        <v>46753</v>
      </c>
      <c r="E586" s="170">
        <v>46753</v>
      </c>
      <c r="F586" s="90" t="s">
        <v>106</v>
      </c>
      <c r="G586" s="91" t="s">
        <v>515</v>
      </c>
      <c r="H586" s="135">
        <f t="shared" si="12"/>
        <v>20000</v>
      </c>
    </row>
    <row r="587" spans="1:8" x14ac:dyDescent="0.2">
      <c r="A587" s="89">
        <v>584</v>
      </c>
      <c r="B587" s="90" t="s">
        <v>239</v>
      </c>
      <c r="C587" s="78">
        <v>30000</v>
      </c>
      <c r="D587" s="170">
        <v>46753</v>
      </c>
      <c r="E587" s="170">
        <v>46753</v>
      </c>
      <c r="F587" s="90" t="s">
        <v>111</v>
      </c>
      <c r="G587" s="91" t="s">
        <v>514</v>
      </c>
      <c r="H587" s="135">
        <f t="shared" si="12"/>
        <v>30000</v>
      </c>
    </row>
    <row r="588" spans="1:8" x14ac:dyDescent="0.2">
      <c r="A588" s="89">
        <v>585</v>
      </c>
      <c r="B588" s="90" t="s">
        <v>239</v>
      </c>
      <c r="C588" s="78">
        <v>15000</v>
      </c>
      <c r="D588" s="170">
        <v>46753</v>
      </c>
      <c r="E588" s="170">
        <v>46753</v>
      </c>
      <c r="F588" s="90" t="s">
        <v>111</v>
      </c>
      <c r="G588" s="91" t="s">
        <v>535</v>
      </c>
      <c r="H588" s="135">
        <f t="shared" si="12"/>
        <v>15000</v>
      </c>
    </row>
    <row r="589" spans="1:8" x14ac:dyDescent="0.2">
      <c r="A589" s="89">
        <v>586</v>
      </c>
      <c r="B589" s="90" t="s">
        <v>239</v>
      </c>
      <c r="C589" s="78">
        <v>35000</v>
      </c>
      <c r="D589" s="170">
        <v>46753</v>
      </c>
      <c r="E589" s="170">
        <v>46753</v>
      </c>
      <c r="F589" s="90" t="s">
        <v>108</v>
      </c>
      <c r="G589" s="91" t="s">
        <v>514</v>
      </c>
      <c r="H589" s="135">
        <f t="shared" si="12"/>
        <v>35000</v>
      </c>
    </row>
    <row r="590" spans="1:8" x14ac:dyDescent="0.2">
      <c r="A590" s="89">
        <v>587</v>
      </c>
      <c r="B590" s="90" t="s">
        <v>239</v>
      </c>
      <c r="C590" s="78">
        <v>15000</v>
      </c>
      <c r="D590" s="170">
        <v>46753</v>
      </c>
      <c r="E590" s="170">
        <v>46753</v>
      </c>
      <c r="F590" s="90" t="s">
        <v>108</v>
      </c>
      <c r="G590" s="91" t="s">
        <v>515</v>
      </c>
      <c r="H590" s="135">
        <f t="shared" si="12"/>
        <v>15000</v>
      </c>
    </row>
    <row r="591" spans="1:8" x14ac:dyDescent="0.2">
      <c r="A591" s="89">
        <v>588</v>
      </c>
      <c r="B591" s="90" t="s">
        <v>239</v>
      </c>
      <c r="C591" s="78">
        <v>60000</v>
      </c>
      <c r="D591" s="170">
        <v>46753</v>
      </c>
      <c r="E591" s="170">
        <v>46753</v>
      </c>
      <c r="F591" s="90" t="s">
        <v>110</v>
      </c>
      <c r="G591" s="91" t="s">
        <v>514</v>
      </c>
      <c r="H591" s="135">
        <f t="shared" si="12"/>
        <v>60000</v>
      </c>
    </row>
    <row r="592" spans="1:8" x14ac:dyDescent="0.2">
      <c r="A592" s="89">
        <v>589</v>
      </c>
      <c r="B592" s="90" t="s">
        <v>239</v>
      </c>
      <c r="C592" s="78">
        <v>30000</v>
      </c>
      <c r="D592" s="170">
        <v>46753</v>
      </c>
      <c r="E592" s="170">
        <v>46753</v>
      </c>
      <c r="F592" s="90" t="s">
        <v>110</v>
      </c>
      <c r="G592" s="91" t="s">
        <v>515</v>
      </c>
      <c r="H592" s="135">
        <f t="shared" si="12"/>
        <v>30000</v>
      </c>
    </row>
    <row r="593" spans="1:8" x14ac:dyDescent="0.2">
      <c r="A593" s="89">
        <v>590</v>
      </c>
      <c r="B593" s="90" t="s">
        <v>239</v>
      </c>
      <c r="C593" s="78">
        <v>60000</v>
      </c>
      <c r="D593" s="170">
        <v>46753</v>
      </c>
      <c r="E593" s="170">
        <v>46753</v>
      </c>
      <c r="F593" s="90" t="s">
        <v>105</v>
      </c>
      <c r="G593" s="91" t="s">
        <v>514</v>
      </c>
      <c r="H593" s="135">
        <f t="shared" si="12"/>
        <v>60000</v>
      </c>
    </row>
    <row r="594" spans="1:8" x14ac:dyDescent="0.2">
      <c r="A594" s="89">
        <v>591</v>
      </c>
      <c r="B594" s="90" t="s">
        <v>239</v>
      </c>
      <c r="C594" s="78">
        <v>25000</v>
      </c>
      <c r="D594" s="170">
        <v>46753</v>
      </c>
      <c r="E594" s="170">
        <v>46753</v>
      </c>
      <c r="F594" s="90" t="s">
        <v>105</v>
      </c>
      <c r="G594" s="91" t="s">
        <v>515</v>
      </c>
      <c r="H594" s="135">
        <f t="shared" si="12"/>
        <v>25000</v>
      </c>
    </row>
    <row r="595" spans="1:8" ht="22.5" x14ac:dyDescent="0.2">
      <c r="A595" s="89">
        <v>592</v>
      </c>
      <c r="B595" s="90" t="s">
        <v>269</v>
      </c>
      <c r="C595" s="78">
        <v>95000</v>
      </c>
      <c r="D595" s="170">
        <v>46388</v>
      </c>
      <c r="E595" s="170">
        <v>46722</v>
      </c>
      <c r="F595" s="324" t="s">
        <v>103</v>
      </c>
      <c r="G595" s="91" t="s">
        <v>532</v>
      </c>
      <c r="H595" s="135">
        <f t="shared" si="12"/>
        <v>1140000</v>
      </c>
    </row>
    <row r="596" spans="1:8" ht="22.5" x14ac:dyDescent="0.2">
      <c r="A596" s="89">
        <v>593</v>
      </c>
      <c r="B596" s="90" t="s">
        <v>269</v>
      </c>
      <c r="C596" s="78">
        <v>66000</v>
      </c>
      <c r="D596" s="170">
        <v>46388</v>
      </c>
      <c r="E596" s="170">
        <v>46722</v>
      </c>
      <c r="F596" s="324" t="s">
        <v>104</v>
      </c>
      <c r="G596" s="91" t="s">
        <v>532</v>
      </c>
      <c r="H596" s="135">
        <f t="shared" si="12"/>
        <v>792000</v>
      </c>
    </row>
    <row r="597" spans="1:8" ht="22.5" x14ac:dyDescent="0.2">
      <c r="A597" s="89">
        <v>594</v>
      </c>
      <c r="B597" s="90" t="s">
        <v>269</v>
      </c>
      <c r="C597" s="78">
        <v>105000</v>
      </c>
      <c r="D597" s="170">
        <v>46388</v>
      </c>
      <c r="E597" s="170">
        <v>46722</v>
      </c>
      <c r="F597" s="324" t="s">
        <v>107</v>
      </c>
      <c r="G597" s="91" t="s">
        <v>532</v>
      </c>
      <c r="H597" s="135">
        <f t="shared" si="12"/>
        <v>1260000</v>
      </c>
    </row>
    <row r="598" spans="1:8" ht="22.5" x14ac:dyDescent="0.2">
      <c r="A598" s="89">
        <v>595</v>
      </c>
      <c r="B598" s="90" t="s">
        <v>269</v>
      </c>
      <c r="C598" s="78">
        <v>60000</v>
      </c>
      <c r="D598" s="170">
        <v>46388</v>
      </c>
      <c r="E598" s="170">
        <v>46722</v>
      </c>
      <c r="F598" s="324" t="s">
        <v>102</v>
      </c>
      <c r="G598" s="91" t="s">
        <v>602</v>
      </c>
      <c r="H598" s="135">
        <f t="shared" si="12"/>
        <v>720000</v>
      </c>
    </row>
    <row r="599" spans="1:8" ht="22.5" x14ac:dyDescent="0.2">
      <c r="A599" s="89">
        <v>596</v>
      </c>
      <c r="B599" s="90" t="s">
        <v>269</v>
      </c>
      <c r="C599" s="78">
        <v>100000</v>
      </c>
      <c r="D599" s="170">
        <v>46388</v>
      </c>
      <c r="E599" s="170">
        <v>46722</v>
      </c>
      <c r="F599" s="324" t="s">
        <v>106</v>
      </c>
      <c r="G599" s="91" t="s">
        <v>532</v>
      </c>
      <c r="H599" s="135">
        <f t="shared" si="12"/>
        <v>1200000</v>
      </c>
    </row>
    <row r="600" spans="1:8" ht="22.5" x14ac:dyDescent="0.2">
      <c r="A600" s="89">
        <v>597</v>
      </c>
      <c r="B600" s="90" t="s">
        <v>269</v>
      </c>
      <c r="C600" s="78">
        <v>66000</v>
      </c>
      <c r="D600" s="170">
        <v>46388</v>
      </c>
      <c r="E600" s="170">
        <v>46722</v>
      </c>
      <c r="F600" s="90" t="s">
        <v>111</v>
      </c>
      <c r="G600" s="91" t="s">
        <v>532</v>
      </c>
      <c r="H600" s="135">
        <f t="shared" si="12"/>
        <v>792000</v>
      </c>
    </row>
    <row r="601" spans="1:8" ht="22.5" x14ac:dyDescent="0.2">
      <c r="A601" s="89">
        <v>598</v>
      </c>
      <c r="B601" s="90" t="s">
        <v>269</v>
      </c>
      <c r="C601" s="78">
        <v>120000</v>
      </c>
      <c r="D601" s="170">
        <v>46388</v>
      </c>
      <c r="E601" s="170">
        <v>46722</v>
      </c>
      <c r="F601" s="90" t="s">
        <v>108</v>
      </c>
      <c r="G601" s="91" t="s">
        <v>532</v>
      </c>
      <c r="H601" s="135">
        <f t="shared" si="12"/>
        <v>1440000</v>
      </c>
    </row>
    <row r="602" spans="1:8" ht="22.5" x14ac:dyDescent="0.2">
      <c r="A602" s="89">
        <v>599</v>
      </c>
      <c r="B602" s="90" t="s">
        <v>269</v>
      </c>
      <c r="C602" s="78">
        <v>130000</v>
      </c>
      <c r="D602" s="170">
        <v>46388</v>
      </c>
      <c r="E602" s="170">
        <v>46722</v>
      </c>
      <c r="F602" s="90" t="s">
        <v>110</v>
      </c>
      <c r="G602" s="91" t="s">
        <v>532</v>
      </c>
      <c r="H602" s="135">
        <f t="shared" si="12"/>
        <v>1560000</v>
      </c>
    </row>
    <row r="603" spans="1:8" ht="22.5" x14ac:dyDescent="0.2">
      <c r="A603" s="89">
        <v>600</v>
      </c>
      <c r="B603" s="90" t="s">
        <v>269</v>
      </c>
      <c r="C603" s="78">
        <v>210000</v>
      </c>
      <c r="D603" s="170">
        <v>46388</v>
      </c>
      <c r="E603" s="170">
        <v>46722</v>
      </c>
      <c r="F603" s="90" t="s">
        <v>105</v>
      </c>
      <c r="G603" s="91" t="s">
        <v>532</v>
      </c>
      <c r="H603" s="135">
        <f t="shared" si="12"/>
        <v>2520000</v>
      </c>
    </row>
    <row r="604" spans="1:8" ht="22.5" x14ac:dyDescent="0.2">
      <c r="A604" s="89">
        <v>601</v>
      </c>
      <c r="B604" s="90" t="s">
        <v>269</v>
      </c>
      <c r="C604" s="78">
        <v>71500</v>
      </c>
      <c r="D604" s="170">
        <v>46388</v>
      </c>
      <c r="E604" s="170">
        <v>46722</v>
      </c>
      <c r="F604" s="324" t="s">
        <v>109</v>
      </c>
      <c r="G604" s="91" t="s">
        <v>532</v>
      </c>
      <c r="H604" s="135">
        <f t="shared" si="12"/>
        <v>858000</v>
      </c>
    </row>
    <row r="605" spans="1:8" ht="22.5" x14ac:dyDescent="0.2">
      <c r="A605" s="89">
        <v>602</v>
      </c>
      <c r="B605" s="90" t="s">
        <v>269</v>
      </c>
      <c r="C605" s="78">
        <v>78000</v>
      </c>
      <c r="D605" s="170">
        <v>46753</v>
      </c>
      <c r="E605" s="170">
        <v>47088</v>
      </c>
      <c r="F605" s="324" t="s">
        <v>109</v>
      </c>
      <c r="G605" s="91" t="s">
        <v>532</v>
      </c>
      <c r="H605" s="135">
        <f t="shared" si="12"/>
        <v>936000</v>
      </c>
    </row>
    <row r="606" spans="1:8" ht="22.5" x14ac:dyDescent="0.2">
      <c r="A606" s="89">
        <v>603</v>
      </c>
      <c r="B606" s="90" t="s">
        <v>269</v>
      </c>
      <c r="C606" s="78">
        <v>105000</v>
      </c>
      <c r="D606" s="170">
        <v>46753</v>
      </c>
      <c r="E606" s="170">
        <v>47088</v>
      </c>
      <c r="F606" s="324" t="s">
        <v>103</v>
      </c>
      <c r="G606" s="91" t="s">
        <v>532</v>
      </c>
      <c r="H606" s="135">
        <f t="shared" si="12"/>
        <v>1260000</v>
      </c>
    </row>
    <row r="607" spans="1:8" ht="22.5" x14ac:dyDescent="0.2">
      <c r="A607" s="89">
        <v>604</v>
      </c>
      <c r="B607" s="90" t="s">
        <v>269</v>
      </c>
      <c r="C607" s="78">
        <v>72000</v>
      </c>
      <c r="D607" s="170">
        <v>46753</v>
      </c>
      <c r="E607" s="170">
        <v>47088</v>
      </c>
      <c r="F607" s="324" t="s">
        <v>104</v>
      </c>
      <c r="G607" s="91" t="s">
        <v>532</v>
      </c>
      <c r="H607" s="135">
        <f t="shared" si="12"/>
        <v>864000</v>
      </c>
    </row>
    <row r="608" spans="1:8" ht="22.5" x14ac:dyDescent="0.2">
      <c r="A608" s="89">
        <v>605</v>
      </c>
      <c r="B608" s="90" t="s">
        <v>269</v>
      </c>
      <c r="C608" s="78">
        <v>110000</v>
      </c>
      <c r="D608" s="170">
        <v>46753</v>
      </c>
      <c r="E608" s="170">
        <v>47088</v>
      </c>
      <c r="F608" s="324" t="s">
        <v>107</v>
      </c>
      <c r="G608" s="91" t="s">
        <v>532</v>
      </c>
      <c r="H608" s="135">
        <f t="shared" si="12"/>
        <v>1320000</v>
      </c>
    </row>
    <row r="609" spans="1:8" ht="22.5" x14ac:dyDescent="0.2">
      <c r="A609" s="89">
        <v>606</v>
      </c>
      <c r="B609" s="90" t="s">
        <v>269</v>
      </c>
      <c r="C609" s="78">
        <v>66000</v>
      </c>
      <c r="D609" s="170">
        <v>46753</v>
      </c>
      <c r="E609" s="170">
        <v>47088</v>
      </c>
      <c r="F609" s="324" t="s">
        <v>102</v>
      </c>
      <c r="G609" s="91" t="s">
        <v>602</v>
      </c>
      <c r="H609" s="135">
        <f t="shared" si="12"/>
        <v>792000</v>
      </c>
    </row>
    <row r="610" spans="1:8" ht="22.5" x14ac:dyDescent="0.2">
      <c r="A610" s="89">
        <v>607</v>
      </c>
      <c r="B610" s="90" t="s">
        <v>269</v>
      </c>
      <c r="C610" s="78">
        <v>110000</v>
      </c>
      <c r="D610" s="170">
        <v>46753</v>
      </c>
      <c r="E610" s="170">
        <v>47088</v>
      </c>
      <c r="F610" s="324" t="s">
        <v>106</v>
      </c>
      <c r="G610" s="91" t="s">
        <v>532</v>
      </c>
      <c r="H610" s="135">
        <f t="shared" si="12"/>
        <v>1320000</v>
      </c>
    </row>
    <row r="611" spans="1:8" ht="22.5" x14ac:dyDescent="0.2">
      <c r="A611" s="89">
        <v>608</v>
      </c>
      <c r="B611" s="90" t="s">
        <v>269</v>
      </c>
      <c r="C611" s="78">
        <v>72000</v>
      </c>
      <c r="D611" s="170">
        <v>46753</v>
      </c>
      <c r="E611" s="170">
        <v>47088</v>
      </c>
      <c r="F611" s="90" t="s">
        <v>111</v>
      </c>
      <c r="G611" s="91" t="s">
        <v>532</v>
      </c>
      <c r="H611" s="135">
        <f t="shared" si="12"/>
        <v>864000</v>
      </c>
    </row>
    <row r="612" spans="1:8" ht="22.5" x14ac:dyDescent="0.2">
      <c r="A612" s="89">
        <v>609</v>
      </c>
      <c r="B612" s="90" t="s">
        <v>269</v>
      </c>
      <c r="C612" s="78">
        <v>130000</v>
      </c>
      <c r="D612" s="170">
        <v>46753</v>
      </c>
      <c r="E612" s="170">
        <v>47088</v>
      </c>
      <c r="F612" s="90" t="s">
        <v>108</v>
      </c>
      <c r="G612" s="91" t="s">
        <v>532</v>
      </c>
      <c r="H612" s="135">
        <f t="shared" si="12"/>
        <v>1560000</v>
      </c>
    </row>
    <row r="613" spans="1:8" ht="22.5" x14ac:dyDescent="0.2">
      <c r="A613" s="89">
        <v>610</v>
      </c>
      <c r="B613" s="90" t="s">
        <v>269</v>
      </c>
      <c r="C613" s="78">
        <v>140000</v>
      </c>
      <c r="D613" s="170">
        <v>46753</v>
      </c>
      <c r="E613" s="170">
        <v>47088</v>
      </c>
      <c r="F613" s="90" t="s">
        <v>110</v>
      </c>
      <c r="G613" s="91" t="s">
        <v>532</v>
      </c>
      <c r="H613" s="135">
        <f t="shared" ref="H613:H614" si="13">IFERROR((DATEDIF(D613,E613,"M")+1)*C613,0)</f>
        <v>1680000</v>
      </c>
    </row>
    <row r="614" spans="1:8" ht="22.5" x14ac:dyDescent="0.2">
      <c r="A614" s="89">
        <v>611</v>
      </c>
      <c r="B614" s="90" t="s">
        <v>269</v>
      </c>
      <c r="C614" s="78">
        <v>220000</v>
      </c>
      <c r="D614" s="170">
        <v>46753</v>
      </c>
      <c r="E614" s="170">
        <v>47088</v>
      </c>
      <c r="F614" s="90" t="s">
        <v>105</v>
      </c>
      <c r="G614" s="91" t="s">
        <v>532</v>
      </c>
      <c r="H614" s="135">
        <f t="shared" si="13"/>
        <v>2640000</v>
      </c>
    </row>
    <row r="615" spans="1:8" ht="13.5" thickBot="1" x14ac:dyDescent="0.25">
      <c r="A615" s="89">
        <v>612</v>
      </c>
      <c r="B615" s="92"/>
      <c r="C615" s="84"/>
      <c r="D615" s="170"/>
      <c r="E615" s="170"/>
      <c r="F615" s="92"/>
      <c r="G615" s="93"/>
      <c r="H615" s="135">
        <f t="shared" ref="H615" si="14">IFERROR((DATEDIF(D615,E615,"M")+1)*C615,0)</f>
        <v>0</v>
      </c>
    </row>
    <row r="616" spans="1:8" ht="20.25" customHeight="1" thickBot="1" x14ac:dyDescent="0.25">
      <c r="A616" s="295"/>
      <c r="B616" s="296"/>
      <c r="C616" s="295"/>
      <c r="D616" s="295"/>
      <c r="E616" s="295"/>
      <c r="F616" s="296"/>
      <c r="G616" s="297" t="s">
        <v>555</v>
      </c>
      <c r="H616" s="298">
        <f>SUM(H4:H615)</f>
        <v>106564580</v>
      </c>
    </row>
    <row r="617" spans="1:8" x14ac:dyDescent="0.2">
      <c r="B617" s="18"/>
    </row>
    <row r="618" spans="1:8" x14ac:dyDescent="0.2">
      <c r="B618" s="18"/>
    </row>
    <row r="619" spans="1:8" x14ac:dyDescent="0.2">
      <c r="B619" s="18"/>
    </row>
    <row r="620" spans="1:8" x14ac:dyDescent="0.2">
      <c r="B620" s="18"/>
    </row>
    <row r="621" spans="1:8" x14ac:dyDescent="0.2">
      <c r="B621" s="18"/>
    </row>
  </sheetData>
  <sheetProtection formatRows="0" autoFilter="0"/>
  <autoFilter ref="A3:H616"/>
  <mergeCells count="2">
    <mergeCell ref="A1:H1"/>
    <mergeCell ref="A2:H2"/>
  </mergeCells>
  <conditionalFormatting sqref="B596:C603 F596:G603 A4:H4 B5:G465 B615:G615 B501:G595 B491:G498 B481:G489 H5:H615 A5:A615">
    <cfRule type="expression" dxfId="28" priority="84">
      <formula>ISEVEN(ROW())</formula>
    </cfRule>
  </conditionalFormatting>
  <conditionalFormatting sqref="B466:G466">
    <cfRule type="expression" dxfId="27" priority="74">
      <formula>ISEVEN(ROW())</formula>
    </cfRule>
  </conditionalFormatting>
  <conditionalFormatting sqref="B467:G467">
    <cfRule type="expression" dxfId="26" priority="72">
      <formula>ISEVEN(ROW())</formula>
    </cfRule>
  </conditionalFormatting>
  <conditionalFormatting sqref="B468:G468">
    <cfRule type="expression" dxfId="25" priority="71">
      <formula>ISEVEN(ROW())</formula>
    </cfRule>
  </conditionalFormatting>
  <conditionalFormatting sqref="B469:G469">
    <cfRule type="expression" dxfId="24" priority="70">
      <formula>ISEVEN(ROW())</formula>
    </cfRule>
  </conditionalFormatting>
  <conditionalFormatting sqref="B470:G470">
    <cfRule type="expression" dxfId="23" priority="69">
      <formula>ISEVEN(ROW())</formula>
    </cfRule>
  </conditionalFormatting>
  <conditionalFormatting sqref="B471:G471">
    <cfRule type="expression" dxfId="22" priority="68">
      <formula>ISEVEN(ROW())</formula>
    </cfRule>
  </conditionalFormatting>
  <conditionalFormatting sqref="B475:G475">
    <cfRule type="expression" dxfId="21" priority="66">
      <formula>ISEVEN(ROW())</formula>
    </cfRule>
  </conditionalFormatting>
  <conditionalFormatting sqref="B476:G476">
    <cfRule type="expression" dxfId="20" priority="65">
      <formula>ISEVEN(ROW())</formula>
    </cfRule>
  </conditionalFormatting>
  <conditionalFormatting sqref="G473:G474 B473:E474">
    <cfRule type="expression" dxfId="19" priority="56">
      <formula>ISEVEN(ROW())</formula>
    </cfRule>
  </conditionalFormatting>
  <conditionalFormatting sqref="F473:F474">
    <cfRule type="expression" dxfId="18" priority="55">
      <formula>ISEVEN(ROW())</formula>
    </cfRule>
  </conditionalFormatting>
  <conditionalFormatting sqref="B490:G490">
    <cfRule type="expression" dxfId="17" priority="46">
      <formula>ISEVEN(ROW())</formula>
    </cfRule>
  </conditionalFormatting>
  <conditionalFormatting sqref="B472:D472 F472:G472">
    <cfRule type="expression" dxfId="16" priority="31">
      <formula>ISEVEN(ROW())</formula>
    </cfRule>
  </conditionalFormatting>
  <conditionalFormatting sqref="D596:E603">
    <cfRule type="expression" dxfId="15" priority="20">
      <formula>ISEVEN(ROW())</formula>
    </cfRule>
  </conditionalFormatting>
  <conditionalFormatting sqref="B606:G606 B607:C614 F607:G614">
    <cfRule type="expression" dxfId="14" priority="19">
      <formula>ISEVEN(ROW())</formula>
    </cfRule>
  </conditionalFormatting>
  <conditionalFormatting sqref="D607:E614">
    <cfRule type="expression" dxfId="13" priority="13">
      <formula>ISEVEN(ROW())</formula>
    </cfRule>
  </conditionalFormatting>
  <conditionalFormatting sqref="E472">
    <cfRule type="expression" dxfId="12" priority="12">
      <formula>ISEVEN(ROW())</formula>
    </cfRule>
  </conditionalFormatting>
  <conditionalFormatting sqref="B477:G477">
    <cfRule type="expression" dxfId="11" priority="11">
      <formula>ISEVEN(ROW())</formula>
    </cfRule>
  </conditionalFormatting>
  <conditionalFormatting sqref="B478:G478">
    <cfRule type="expression" dxfId="10" priority="10">
      <formula>ISEVEN(ROW())</formula>
    </cfRule>
  </conditionalFormatting>
  <conditionalFormatting sqref="G479 B479:E479">
    <cfRule type="expression" dxfId="9" priority="9">
      <formula>ISEVEN(ROW())</formula>
    </cfRule>
  </conditionalFormatting>
  <conditionalFormatting sqref="F479">
    <cfRule type="expression" dxfId="8" priority="8">
      <formula>ISEVEN(ROW())</formula>
    </cfRule>
  </conditionalFormatting>
  <conditionalFormatting sqref="G480 B480:E480">
    <cfRule type="expression" dxfId="7" priority="6">
      <formula>ISEVEN(ROW())</formula>
    </cfRule>
  </conditionalFormatting>
  <conditionalFormatting sqref="F480">
    <cfRule type="expression" dxfId="6" priority="5">
      <formula>ISEVEN(ROW())</formula>
    </cfRule>
  </conditionalFormatting>
  <conditionalFormatting sqref="B499:G499">
    <cfRule type="expression" dxfId="5" priority="4">
      <formula>ISEVEN(ROW())</formula>
    </cfRule>
  </conditionalFormatting>
  <conditionalFormatting sqref="B500:G500">
    <cfRule type="expression" dxfId="4" priority="3">
      <formula>ISEVEN(ROW())</formula>
    </cfRule>
  </conditionalFormatting>
  <conditionalFormatting sqref="B604:G604">
    <cfRule type="expression" dxfId="3" priority="2">
      <formula>ISEVEN(ROW())</formula>
    </cfRule>
  </conditionalFormatting>
  <conditionalFormatting sqref="B605:G605">
    <cfRule type="expression" dxfId="2" priority="1">
      <formula>ISEVEN(ROW())</formula>
    </cfRule>
  </conditionalFormatting>
  <dataValidations count="2">
    <dataValidation type="list" allowBlank="1" showInputMessage="1" showErrorMessage="1" sqref="B4:B615">
      <formula1>Gerais</formula1>
    </dataValidation>
    <dataValidation type="list" allowBlank="1" showInputMessage="1" showErrorMessage="1" sqref="F4:F615">
      <formula1>VinculoPTg</formula1>
    </dataValidation>
  </dataValidations>
  <pageMargins left="0.51181102362204722" right="0.51181102362204722" top="0.78740157480314965" bottom="0.78740157480314965" header="0.31496062992125984" footer="0.31496062992125984"/>
  <pageSetup paperSize="9" scale="93" fitToHeight="0" orientation="landscape" r:id="rId1"/>
  <headerFooter>
    <oddFooter>Página &amp;P de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F4C49D281836D4E92FD382DEA1B6B69" ma:contentTypeVersion="15" ma:contentTypeDescription="Crie um novo documento." ma:contentTypeScope="" ma:versionID="877762fa6cc189146c4e1f15d798d2a6">
  <xsd:schema xmlns:xsd="http://www.w3.org/2001/XMLSchema" xmlns:xs="http://www.w3.org/2001/XMLSchema" xmlns:p="http://schemas.microsoft.com/office/2006/metadata/properties" xmlns:ns2="5eb5d589-dbdd-4f3f-b74b-9cfd9011a81a" xmlns:ns3="414d09f0-56df-423b-92e5-75650b3356a2" targetNamespace="http://schemas.microsoft.com/office/2006/metadata/properties" ma:root="true" ma:fieldsID="86920986c7658813823fdd577ece8c52" ns2:_="" ns3:_="">
    <xsd:import namespace="5eb5d589-dbdd-4f3f-b74b-9cfd9011a81a"/>
    <xsd:import namespace="414d09f0-56df-423b-92e5-75650b3356a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b5d589-dbdd-4f3f-b74b-9cfd9011a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Marcações de imagem" ma:readOnly="false" ma:fieldId="{5cf76f15-5ced-4ddc-b409-7134ff3c332f}" ma:taxonomyMulti="true" ma:sspId="917d32f3-4fa4-4f5b-a8d0-62dbd3d265b9"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14d09f0-56df-423b-92e5-75650b3356a2"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element name="TaxCatchAll" ma:index="16" nillable="true" ma:displayName="Taxonomy Catch All Column" ma:hidden="true" ma:list="{364ba5d2-42ae-408b-bb8b-4bee1c9673d2}" ma:internalName="TaxCatchAll" ma:showField="CatchAllData" ma:web="414d09f0-56df-423b-92e5-75650b3356a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14d09f0-56df-423b-92e5-75650b3356a2" xsi:nil="true"/>
    <lcf76f155ced4ddcb4097134ff3c332f xmlns="5eb5d589-dbdd-4f3f-b74b-9cfd9011a81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32D53D0-5683-4EDB-9CEB-EE2330B40A93}">
  <ds:schemaRefs>
    <ds:schemaRef ds:uri="http://schemas.microsoft.com/sharepoint/v3/contenttype/forms"/>
  </ds:schemaRefs>
</ds:datastoreItem>
</file>

<file path=customXml/itemProps2.xml><?xml version="1.0" encoding="utf-8"?>
<ds:datastoreItem xmlns:ds="http://schemas.openxmlformats.org/officeDocument/2006/customXml" ds:itemID="{FCECC9DD-0AD0-4F6C-B3A4-97D515FFB2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b5d589-dbdd-4f3f-b74b-9cfd9011a81a"/>
    <ds:schemaRef ds:uri="414d09f0-56df-423b-92e5-75650b3356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7FBEF5F-A114-4984-9F99-9E882297B98F}">
  <ds:schemaRefs>
    <ds:schemaRef ds:uri="http://schemas.microsoft.com/office/infopath/2007/PartnerControls"/>
    <ds:schemaRef ds:uri="http://www.w3.org/XML/1998/namespace"/>
    <ds:schemaRef ds:uri="http://schemas.microsoft.com/office/2006/metadata/properties"/>
    <ds:schemaRef ds:uri="http://purl.org/dc/terms/"/>
    <ds:schemaRef ds:uri="5eb5d589-dbdd-4f3f-b74b-9cfd9011a81a"/>
    <ds:schemaRef ds:uri="414d09f0-56df-423b-92e5-75650b3356a2"/>
    <ds:schemaRef ds:uri="http://schemas.microsoft.com/office/2006/documentManagement/types"/>
    <ds:schemaRef ds:uri="http://purl.org/dc/dcmitype/"/>
    <ds:schemaRef ds:uri="http://purl.org/dc/elements/1.1/"/>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31</vt:i4>
      </vt:variant>
    </vt:vector>
  </HeadingPairs>
  <TitlesOfParts>
    <vt:vector size="43" baseType="lpstr">
      <vt:lpstr>Capa</vt:lpstr>
      <vt:lpstr>Cronogramas</vt:lpstr>
      <vt:lpstr>Sintético</vt:lpstr>
      <vt:lpstr>Gastos das Atividades</vt:lpstr>
      <vt:lpstr>Analítico</vt:lpstr>
      <vt:lpstr>Encargos e Benefícios</vt:lpstr>
      <vt:lpstr>Gastos com Pessoal</vt:lpstr>
      <vt:lpstr>Bens</vt:lpstr>
      <vt:lpstr>Gastos Gerais</vt:lpstr>
      <vt:lpstr>Desmobilização</vt:lpstr>
      <vt:lpstr>Assinatura</vt:lpstr>
      <vt:lpstr>Plano</vt:lpstr>
      <vt:lpstr>Aquisição_de_Bens_Permanentes</vt:lpstr>
      <vt:lpstr>Analítico!Area_de_impressao</vt:lpstr>
      <vt:lpstr>Assinatura!Area_de_impressao</vt:lpstr>
      <vt:lpstr>Bens!Area_de_impressao</vt:lpstr>
      <vt:lpstr>Capa!Area_de_impressao</vt:lpstr>
      <vt:lpstr>Desmobilização!Area_de_impressao</vt:lpstr>
      <vt:lpstr>'Encargos e Benefícios'!Area_de_impressao</vt:lpstr>
      <vt:lpstr>'Gastos com Pessoal'!Area_de_impressao</vt:lpstr>
      <vt:lpstr>'Gastos das Atividades'!Area_de_impressao</vt:lpstr>
      <vt:lpstr>'Gastos Gerais'!Area_de_impressao</vt:lpstr>
      <vt:lpstr>Sintético!Area_de_impressao</vt:lpstr>
      <vt:lpstr>área_destinada</vt:lpstr>
      <vt:lpstr>Benefícios</vt:lpstr>
      <vt:lpstr>Beneficios2</vt:lpstr>
      <vt:lpstr>Beneficios3</vt:lpstr>
      <vt:lpstr>Bens</vt:lpstr>
      <vt:lpstr>Categorias</vt:lpstr>
      <vt:lpstr>Gastos_com_Pessoal</vt:lpstr>
      <vt:lpstr>Gastos_Gerais</vt:lpstr>
      <vt:lpstr>Gerais</vt:lpstr>
      <vt:lpstr>Ocorrência</vt:lpstr>
      <vt:lpstr>Receitas</vt:lpstr>
      <vt:lpstr>Rendimentos_de_Aplicações_Fin.</vt:lpstr>
      <vt:lpstr>Reserva</vt:lpstr>
      <vt:lpstr>Analítico!Titulos_de_impressao</vt:lpstr>
      <vt:lpstr>Desmobilização!Titulos_de_impressao</vt:lpstr>
      <vt:lpstr>'Encargos e Benefícios'!Titulos_de_impressao</vt:lpstr>
      <vt:lpstr>'Gastos com Pessoal'!Titulos_de_impressao</vt:lpstr>
      <vt:lpstr>'Gastos Gerais'!Titulos_de_impressao</vt:lpstr>
      <vt:lpstr>Sintético!Titulos_de_impressao</vt:lpstr>
      <vt:lpstr>Transferência_para_Reserva_de_Recursos</vt:lpstr>
    </vt:vector>
  </TitlesOfParts>
  <Manager/>
  <Company>SEPLAG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Henrique Ribeiro Santos</dc:creator>
  <cp:keywords/>
  <dc:description/>
  <cp:lastModifiedBy>Julia Souza Vilela</cp:lastModifiedBy>
  <cp:revision/>
  <dcterms:created xsi:type="dcterms:W3CDTF">2007-08-22T17:17:19Z</dcterms:created>
  <dcterms:modified xsi:type="dcterms:W3CDTF">2025-12-23T14:14:41Z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0x0101006F4C49D281836D4E92FD382DEA1B6B69</vt:lpwstr>
  </property>
  <property fmtid="{D5CDD505-2E9C-101B-9397-08002B2CF9AE}" pid="3" name="MediaServiceImageTags">
    <vt:lpwstr/>
  </property>
</Properties>
</file>